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mweinst\OneDrive - Waste Management\Documents\WUTC Rate Cases\WUTC Commodity Rebates - Puget Sound\2020-2021 Commodity Rebates\2020 Commodity Rebate Analysis\"/>
    </mc:Choice>
  </mc:AlternateContent>
  <xr:revisionPtr revIDLastSave="0" documentId="13_ncr:1_{11D3DE97-5B23-4CEB-A0BB-4C4297E136AF}" xr6:coauthVersionLast="45" xr6:coauthVersionMax="45" xr10:uidLastSave="{00000000-0000-0000-0000-000000000000}"/>
  <bookViews>
    <workbookView xWindow="5070" yWindow="540" windowWidth="21600" windowHeight="11250" xr2:uid="{00000000-000D-0000-FFFF-FFFF00000000}"/>
  </bookViews>
  <sheets>
    <sheet name="Rate Sheet Summary" sheetId="20" r:id="rId1"/>
    <sheet name="Rebate (Charge) Analysis" sheetId="24" state="hidden" r:id="rId2"/>
    <sheet name="Rebate (charge) Calculation" sheetId="27" r:id="rId3"/>
    <sheet name="Customer Counts" sheetId="9" r:id="rId4"/>
    <sheet name="2020-2021 Recy. Tons &amp; Revenue" sheetId="11" r:id="rId5"/>
    <sheet name="King County Tonnage" sheetId="25" r:id="rId6"/>
    <sheet name="Snohomish County Tonnage" sheetId="26" r:id="rId7"/>
    <sheet name="CRC Prices &amp; Revenue" sheetId="8" r:id="rId8"/>
    <sheet name="Composition" sheetId="5" r:id="rId9"/>
    <sheet name="KC 2020-2021 Preliminary Budget" sheetId="17" r:id="rId10"/>
    <sheet name="SC 2020-2021 Preliminary Budget" sheetId="18" r:id="rId11"/>
  </sheets>
  <externalReferences>
    <externalReference r:id="rId1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0" i="8" l="1"/>
  <c r="J39" i="20" l="1"/>
  <c r="G39" i="20" l="1"/>
  <c r="G38" i="20"/>
  <c r="D18" i="11" l="1"/>
  <c r="C18" i="11"/>
  <c r="Y35" i="5" l="1"/>
  <c r="Y16" i="5" l="1"/>
  <c r="D116" i="11" l="1"/>
  <c r="C116" i="11"/>
  <c r="D85" i="11"/>
  <c r="C85" i="11"/>
  <c r="H47" i="26"/>
  <c r="E48" i="26"/>
  <c r="E47" i="26"/>
  <c r="A115" i="27" l="1"/>
  <c r="N113" i="27"/>
  <c r="A110" i="27"/>
  <c r="A58" i="27"/>
  <c r="A59" i="27"/>
  <c r="A57" i="27"/>
  <c r="A97" i="27"/>
  <c r="A98" i="27"/>
  <c r="A96" i="27"/>
  <c r="A91" i="27"/>
  <c r="N74" i="27"/>
  <c r="A71" i="27"/>
  <c r="C54" i="27"/>
  <c r="C53" i="27"/>
  <c r="C12" i="27"/>
  <c r="C13" i="27" s="1"/>
  <c r="F24" i="27" s="1"/>
  <c r="F32" i="27" s="1"/>
  <c r="C11" i="27"/>
  <c r="K13" i="27"/>
  <c r="K21" i="27"/>
  <c r="N29" i="27"/>
  <c r="N24" i="27"/>
  <c r="N32" i="27" s="1"/>
  <c r="W112" i="27"/>
  <c r="W117" i="27" s="1"/>
  <c r="N97" i="27"/>
  <c r="N98" i="27" s="1"/>
  <c r="S94" i="27"/>
  <c r="V105" i="27" s="1"/>
  <c r="V93" i="27"/>
  <c r="M93" i="27"/>
  <c r="E92" i="27" s="1"/>
  <c r="N93" i="27"/>
  <c r="V92" i="27"/>
  <c r="M92" i="27"/>
  <c r="N92" i="27" s="1"/>
  <c r="W78" i="27"/>
  <c r="W73" i="27"/>
  <c r="N71" i="27"/>
  <c r="S55" i="27"/>
  <c r="V66" i="27" s="1"/>
  <c r="V54" i="27"/>
  <c r="M54" i="27"/>
  <c r="E53" i="27" s="1"/>
  <c r="N54" i="27"/>
  <c r="V53" i="27"/>
  <c r="M53" i="27"/>
  <c r="V29" i="27"/>
  <c r="S13" i="27"/>
  <c r="V24" i="27" s="1"/>
  <c r="V12" i="27"/>
  <c r="V11" i="27"/>
  <c r="V13" i="27" s="1"/>
  <c r="V22" i="27" s="1"/>
  <c r="M11" i="27"/>
  <c r="N11" i="27" s="1"/>
  <c r="V94" i="27" l="1"/>
  <c r="V103" i="27" s="1"/>
  <c r="V55" i="27"/>
  <c r="V64" i="27" s="1"/>
  <c r="W68" i="27" s="1"/>
  <c r="W74" i="27" s="1"/>
  <c r="F53" i="27"/>
  <c r="C55" i="27"/>
  <c r="F66" i="27" s="1"/>
  <c r="F74" i="27" s="1"/>
  <c r="N94" i="27"/>
  <c r="N100" i="27" s="1"/>
  <c r="N110" i="27"/>
  <c r="O114" i="27" s="1"/>
  <c r="E93" i="27" s="1"/>
  <c r="K55" i="27"/>
  <c r="K94" i="27"/>
  <c r="N72" i="27"/>
  <c r="N73" i="27" s="1"/>
  <c r="O75" i="27"/>
  <c r="E54" i="27" s="1"/>
  <c r="F54" i="27" s="1"/>
  <c r="F55" i="27" s="1"/>
  <c r="W26" i="27"/>
  <c r="O33" i="27"/>
  <c r="N30" i="27"/>
  <c r="N31" i="27" s="1"/>
  <c r="W107" i="27"/>
  <c r="W113" i="27" s="1"/>
  <c r="U115" i="27"/>
  <c r="W115" i="27" s="1"/>
  <c r="U34" i="27"/>
  <c r="W34" i="27" s="1"/>
  <c r="N58" i="27"/>
  <c r="N111" i="27"/>
  <c r="N112" i="27" s="1"/>
  <c r="V30" i="27"/>
  <c r="W31" i="27" s="1"/>
  <c r="N53" i="27"/>
  <c r="N55" i="27" s="1"/>
  <c r="N59" i="27"/>
  <c r="U76" i="27"/>
  <c r="W76" i="27" s="1"/>
  <c r="W80" i="27" s="1"/>
  <c r="M62" i="27" s="1"/>
  <c r="N62" i="27" s="1"/>
  <c r="N17" i="27"/>
  <c r="N18" i="27" s="1"/>
  <c r="D115" i="11"/>
  <c r="C115" i="11"/>
  <c r="C84" i="11"/>
  <c r="W35" i="5"/>
  <c r="W119" i="27" l="1"/>
  <c r="M101" i="27" s="1"/>
  <c r="N101" i="27" s="1"/>
  <c r="O37" i="27"/>
  <c r="E12" i="27"/>
  <c r="F12" i="27" s="1"/>
  <c r="N103" i="27"/>
  <c r="O107" i="27" s="1"/>
  <c r="O115" i="27" s="1"/>
  <c r="W36" i="27"/>
  <c r="M12" i="27"/>
  <c r="N61" i="27"/>
  <c r="N64" i="27" s="1"/>
  <c r="O68" i="27" s="1"/>
  <c r="O76" i="27" s="1"/>
  <c r="W32" i="27"/>
  <c r="N12" i="27" l="1"/>
  <c r="N13" i="27" s="1"/>
  <c r="N20" i="27" s="1"/>
  <c r="E11" i="27"/>
  <c r="F11" i="27" s="1"/>
  <c r="F13" i="27" s="1"/>
  <c r="F22" i="27" s="1"/>
  <c r="G26" i="27" s="1"/>
  <c r="W40" i="27"/>
  <c r="W38" i="27"/>
  <c r="M21" i="27" s="1"/>
  <c r="N21" i="27" s="1"/>
  <c r="N22" i="27" s="1"/>
  <c r="O26" i="27" s="1"/>
  <c r="O34" i="27" s="1"/>
  <c r="O39" i="27" s="1"/>
  <c r="W16" i="5"/>
  <c r="P43" i="25" l="1"/>
  <c r="D84" i="11" s="1"/>
  <c r="H43" i="26"/>
  <c r="G43" i="26"/>
  <c r="E44" i="26"/>
  <c r="E43" i="26"/>
  <c r="Q43" i="26" s="1"/>
  <c r="D17" i="11" s="1"/>
  <c r="O44" i="26"/>
  <c r="O43" i="26"/>
  <c r="S48" i="26"/>
  <c r="Q48" i="26"/>
  <c r="S47" i="26"/>
  <c r="Q47" i="26"/>
  <c r="Q44" i="26"/>
  <c r="S44" i="26"/>
  <c r="V48" i="25"/>
  <c r="T48" i="25"/>
  <c r="V47" i="25"/>
  <c r="T47" i="25"/>
  <c r="V44" i="25"/>
  <c r="T44" i="25"/>
  <c r="S43" i="26" l="1"/>
  <c r="T43" i="25"/>
  <c r="C17" i="11" s="1"/>
  <c r="V43" i="25"/>
  <c r="C45" i="11" s="1"/>
  <c r="C46" i="11"/>
  <c r="G85" i="11"/>
  <c r="D46" i="11"/>
  <c r="D114" i="11"/>
  <c r="C114" i="11"/>
  <c r="D83" i="11"/>
  <c r="C83" i="11"/>
  <c r="G84" i="11" l="1"/>
  <c r="D45" i="11"/>
  <c r="H39" i="26"/>
  <c r="S39" i="26" s="1"/>
  <c r="G39" i="26"/>
  <c r="E40" i="26"/>
  <c r="E39" i="26"/>
  <c r="O40" i="26"/>
  <c r="S40" i="26" s="1"/>
  <c r="O39" i="26"/>
  <c r="Q40" i="26"/>
  <c r="Q39" i="26"/>
  <c r="D16" i="11" s="1"/>
  <c r="V40" i="25"/>
  <c r="T40" i="25"/>
  <c r="C16" i="11" s="1"/>
  <c r="V39" i="25"/>
  <c r="C44" i="11" s="1"/>
  <c r="T39" i="25"/>
  <c r="U35" i="5"/>
  <c r="G83" i="11" l="1"/>
  <c r="D44" i="11"/>
  <c r="D113" i="11"/>
  <c r="C113" i="11"/>
  <c r="D82" i="11"/>
  <c r="C82" i="11"/>
  <c r="T4" i="25"/>
  <c r="T7" i="25"/>
  <c r="T8" i="25"/>
  <c r="O36" i="26"/>
  <c r="O35" i="26"/>
  <c r="H35" i="26"/>
  <c r="E36" i="26"/>
  <c r="E35" i="26"/>
  <c r="T12" i="25"/>
  <c r="T15" i="25"/>
  <c r="T16" i="25"/>
  <c r="T20" i="25"/>
  <c r="T24" i="25"/>
  <c r="T27" i="25"/>
  <c r="T28" i="25"/>
  <c r="T31" i="25"/>
  <c r="T32" i="25"/>
  <c r="T35" i="25"/>
  <c r="T36" i="25"/>
  <c r="C15" i="11" s="1"/>
  <c r="S35" i="5"/>
  <c r="S16" i="5" l="1"/>
  <c r="S36" i="26" l="1"/>
  <c r="Q36" i="26"/>
  <c r="S35" i="26"/>
  <c r="Q35" i="26"/>
  <c r="D15" i="11" s="1"/>
  <c r="V36" i="25"/>
  <c r="V35" i="25"/>
  <c r="C43" i="11" s="1"/>
  <c r="D43" i="11" l="1"/>
  <c r="G82" i="11"/>
  <c r="D112" i="11"/>
  <c r="C112" i="11"/>
  <c r="D81" i="11"/>
  <c r="C81" i="11"/>
  <c r="C80" i="11"/>
  <c r="C14" i="11"/>
  <c r="Q35" i="5"/>
  <c r="Q16" i="5"/>
  <c r="E32" i="26"/>
  <c r="Q32" i="26" s="1"/>
  <c r="E31" i="26"/>
  <c r="H31" i="26"/>
  <c r="O32" i="26"/>
  <c r="O31" i="26"/>
  <c r="S31" i="26" s="1"/>
  <c r="V32" i="25"/>
  <c r="V31" i="25"/>
  <c r="C42" i="11" s="1"/>
  <c r="Q31" i="26"/>
  <c r="B147" i="8"/>
  <c r="B135" i="8"/>
  <c r="Q31" i="8"/>
  <c r="R31" i="8"/>
  <c r="S31" i="8"/>
  <c r="T31" i="8"/>
  <c r="U31" i="8"/>
  <c r="V31" i="8"/>
  <c r="W31" i="8"/>
  <c r="X31" i="8"/>
  <c r="Y31" i="8"/>
  <c r="P31" i="8"/>
  <c r="D31" i="8"/>
  <c r="E31" i="8"/>
  <c r="F31" i="8"/>
  <c r="G31" i="8"/>
  <c r="H31" i="8"/>
  <c r="I31" i="8"/>
  <c r="J31" i="8"/>
  <c r="K31" i="8"/>
  <c r="L31" i="8"/>
  <c r="C31" i="8"/>
  <c r="D111" i="11"/>
  <c r="C111" i="11"/>
  <c r="E111" i="11" s="1"/>
  <c r="D80" i="11"/>
  <c r="O35" i="5"/>
  <c r="C13" i="11"/>
  <c r="M63" i="8" s="1"/>
  <c r="H27" i="26"/>
  <c r="Q27" i="26" s="1"/>
  <c r="G27" i="26"/>
  <c r="E28" i="26"/>
  <c r="Q28" i="26" s="1"/>
  <c r="E27" i="26"/>
  <c r="O28" i="26"/>
  <c r="S28" i="26" s="1"/>
  <c r="O27" i="26"/>
  <c r="S27" i="26"/>
  <c r="G80" i="11" s="1"/>
  <c r="V28" i="25"/>
  <c r="V27" i="25"/>
  <c r="C41" i="11" s="1"/>
  <c r="D110" i="11"/>
  <c r="E110" i="11" s="1"/>
  <c r="C110" i="11"/>
  <c r="C79" i="11"/>
  <c r="P23" i="25"/>
  <c r="T23" i="25" s="1"/>
  <c r="C12" i="11" s="1"/>
  <c r="V24" i="25"/>
  <c r="H23" i="26"/>
  <c r="E24" i="26"/>
  <c r="S24" i="26" s="1"/>
  <c r="E23" i="26"/>
  <c r="S23" i="26"/>
  <c r="G79" i="11" s="1"/>
  <c r="Q23" i="26"/>
  <c r="M35" i="5"/>
  <c r="M16" i="5"/>
  <c r="D109" i="11"/>
  <c r="E109" i="11" s="1"/>
  <c r="C109" i="11"/>
  <c r="D78" i="11"/>
  <c r="C78" i="11"/>
  <c r="D39" i="11"/>
  <c r="C11" i="11"/>
  <c r="S20" i="26"/>
  <c r="Q20" i="26"/>
  <c r="S19" i="26"/>
  <c r="G78" i="11" s="1"/>
  <c r="Q19" i="26"/>
  <c r="D11" i="11" s="1"/>
  <c r="V20" i="25"/>
  <c r="V19" i="25"/>
  <c r="C39" i="11" s="1"/>
  <c r="T19" i="25"/>
  <c r="AL11" i="8"/>
  <c r="AM11" i="8" s="1"/>
  <c r="K35" i="5"/>
  <c r="K16" i="5"/>
  <c r="CE8" i="8"/>
  <c r="CF8" i="8"/>
  <c r="CG8" i="8"/>
  <c r="CH8" i="8"/>
  <c r="CI8" i="8"/>
  <c r="CJ8" i="8"/>
  <c r="CK8" i="8"/>
  <c r="CL8" i="8"/>
  <c r="CM8" i="8"/>
  <c r="CN8" i="8"/>
  <c r="CE9" i="8"/>
  <c r="CF9" i="8"/>
  <c r="CG9" i="8"/>
  <c r="CH9" i="8"/>
  <c r="CI9" i="8"/>
  <c r="CJ9" i="8"/>
  <c r="CK9" i="8"/>
  <c r="CL9" i="8"/>
  <c r="CM9" i="8"/>
  <c r="CN9" i="8"/>
  <c r="CE10" i="8"/>
  <c r="CF10" i="8"/>
  <c r="CG10" i="8"/>
  <c r="CH10" i="8"/>
  <c r="CI10" i="8"/>
  <c r="CJ10" i="8"/>
  <c r="CK10" i="8"/>
  <c r="CL10" i="8"/>
  <c r="CM10" i="8"/>
  <c r="CN10" i="8"/>
  <c r="CE11" i="8"/>
  <c r="CF11" i="8"/>
  <c r="CG11" i="8"/>
  <c r="CH11" i="8"/>
  <c r="CI11" i="8"/>
  <c r="CJ11" i="8"/>
  <c r="CK11" i="8"/>
  <c r="CL11" i="8"/>
  <c r="CM11" i="8"/>
  <c r="CN11" i="8"/>
  <c r="CE12" i="8"/>
  <c r="CF12" i="8"/>
  <c r="CG12" i="8"/>
  <c r="CH12" i="8"/>
  <c r="CI12" i="8"/>
  <c r="CJ12" i="8"/>
  <c r="CK12" i="8"/>
  <c r="CL12" i="8"/>
  <c r="CM12" i="8"/>
  <c r="CN12" i="8"/>
  <c r="CE13" i="8"/>
  <c r="CF13" i="8"/>
  <c r="CG13" i="8"/>
  <c r="CH13" i="8"/>
  <c r="CI13" i="8"/>
  <c r="CJ13" i="8"/>
  <c r="CK13" i="8"/>
  <c r="CL13" i="8"/>
  <c r="CM13" i="8"/>
  <c r="CN13" i="8"/>
  <c r="CE14" i="8"/>
  <c r="CF14" i="8"/>
  <c r="CG14" i="8"/>
  <c r="CH14" i="8"/>
  <c r="CI14" i="8"/>
  <c r="CJ14" i="8"/>
  <c r="CK14" i="8"/>
  <c r="CL14" i="8"/>
  <c r="CM14" i="8"/>
  <c r="CN14" i="8"/>
  <c r="CE15" i="8"/>
  <c r="CF15" i="8"/>
  <c r="CG15" i="8"/>
  <c r="CH15" i="8"/>
  <c r="CI15" i="8"/>
  <c r="CJ15" i="8"/>
  <c r="CK15" i="8"/>
  <c r="CL15" i="8"/>
  <c r="CM15" i="8"/>
  <c r="CN15" i="8"/>
  <c r="CE16" i="8"/>
  <c r="CF16" i="8"/>
  <c r="CG16" i="8"/>
  <c r="CH16" i="8"/>
  <c r="CI16" i="8"/>
  <c r="CJ16" i="8"/>
  <c r="CK16" i="8"/>
  <c r="CL16" i="8"/>
  <c r="CM16" i="8"/>
  <c r="CN16" i="8"/>
  <c r="CE17" i="8"/>
  <c r="CF17" i="8"/>
  <c r="CG17" i="8"/>
  <c r="CH17" i="8"/>
  <c r="CI17" i="8"/>
  <c r="CJ17" i="8"/>
  <c r="CK17" i="8"/>
  <c r="CL17" i="8"/>
  <c r="CM17" i="8"/>
  <c r="CN17" i="8"/>
  <c r="CE18" i="8"/>
  <c r="CF18" i="8"/>
  <c r="CG18" i="8"/>
  <c r="CH18" i="8"/>
  <c r="CI18" i="8"/>
  <c r="CJ18" i="8"/>
  <c r="CK18" i="8"/>
  <c r="CL18" i="8"/>
  <c r="CM18" i="8"/>
  <c r="CN18" i="8"/>
  <c r="CE19" i="8"/>
  <c r="CF19" i="8"/>
  <c r="CG19" i="8"/>
  <c r="CH19" i="8"/>
  <c r="CI19" i="8"/>
  <c r="CJ19" i="8"/>
  <c r="CK19" i="8"/>
  <c r="CL19" i="8"/>
  <c r="CM19" i="8"/>
  <c r="CN19" i="8"/>
  <c r="CE20" i="8"/>
  <c r="CF20" i="8"/>
  <c r="CG20" i="8"/>
  <c r="CH20" i="8"/>
  <c r="CI20" i="8"/>
  <c r="CJ20" i="8"/>
  <c r="CK20" i="8"/>
  <c r="CL20" i="8"/>
  <c r="CM20" i="8"/>
  <c r="CN20" i="8"/>
  <c r="CE21" i="8"/>
  <c r="CF21" i="8"/>
  <c r="CG21" i="8"/>
  <c r="CH21" i="8"/>
  <c r="CI21" i="8"/>
  <c r="CJ21" i="8"/>
  <c r="CK21" i="8"/>
  <c r="CL21" i="8"/>
  <c r="CM21" i="8"/>
  <c r="CN21" i="8"/>
  <c r="CE22" i="8"/>
  <c r="CF22" i="8"/>
  <c r="CG22" i="8"/>
  <c r="CH22" i="8"/>
  <c r="CI22" i="8"/>
  <c r="CJ22" i="8"/>
  <c r="CK22" i="8"/>
  <c r="CL22" i="8"/>
  <c r="CM22" i="8"/>
  <c r="CN22" i="8"/>
  <c r="CE23" i="8"/>
  <c r="CF23" i="8"/>
  <c r="CG23" i="8"/>
  <c r="CH23" i="8"/>
  <c r="CI23" i="8"/>
  <c r="CJ23" i="8"/>
  <c r="CK23" i="8"/>
  <c r="CL23" i="8"/>
  <c r="CM23" i="8"/>
  <c r="CN23" i="8"/>
  <c r="CE24" i="8"/>
  <c r="CF24" i="8"/>
  <c r="CG24" i="8"/>
  <c r="CH24" i="8"/>
  <c r="CI24" i="8"/>
  <c r="CJ24" i="8"/>
  <c r="CK24" i="8"/>
  <c r="CL24" i="8"/>
  <c r="CM24" i="8"/>
  <c r="CN24" i="8"/>
  <c r="CE25" i="8"/>
  <c r="CF25" i="8"/>
  <c r="CG25" i="8"/>
  <c r="CH25" i="8"/>
  <c r="CI25" i="8"/>
  <c r="CJ25" i="8"/>
  <c r="CK25" i="8"/>
  <c r="CL25" i="8"/>
  <c r="CM25" i="8"/>
  <c r="CN25" i="8"/>
  <c r="CE26" i="8"/>
  <c r="CF26" i="8"/>
  <c r="CG26" i="8"/>
  <c r="CH26" i="8"/>
  <c r="CI26" i="8"/>
  <c r="CJ26" i="8"/>
  <c r="CK26" i="8"/>
  <c r="CL26" i="8"/>
  <c r="CM26" i="8"/>
  <c r="CN26" i="8"/>
  <c r="CE27" i="8"/>
  <c r="CF27" i="8"/>
  <c r="CG27" i="8"/>
  <c r="CH27" i="8"/>
  <c r="CI27" i="8"/>
  <c r="CJ27" i="8"/>
  <c r="CK27" i="8"/>
  <c r="CL27" i="8"/>
  <c r="CM27" i="8"/>
  <c r="CN27" i="8"/>
  <c r="CE28" i="8"/>
  <c r="CF28" i="8"/>
  <c r="CG28" i="8"/>
  <c r="CH28" i="8"/>
  <c r="CI28" i="8"/>
  <c r="CJ28" i="8"/>
  <c r="CK28" i="8"/>
  <c r="CL28" i="8"/>
  <c r="CM28" i="8"/>
  <c r="CN28" i="8"/>
  <c r="CE29" i="8"/>
  <c r="CF29" i="8"/>
  <c r="CG29" i="8"/>
  <c r="CH29" i="8"/>
  <c r="CI29" i="8"/>
  <c r="CJ29" i="8"/>
  <c r="CK29" i="8"/>
  <c r="CL29" i="8"/>
  <c r="CM29" i="8"/>
  <c r="CN29" i="8"/>
  <c r="CE30" i="8"/>
  <c r="CF30" i="8"/>
  <c r="CG30" i="8"/>
  <c r="CH30" i="8"/>
  <c r="CI30" i="8"/>
  <c r="CJ30" i="8"/>
  <c r="CK30" i="8"/>
  <c r="CL30" i="8"/>
  <c r="CM30" i="8"/>
  <c r="CN30" i="8"/>
  <c r="CF7" i="8"/>
  <c r="CG7" i="8"/>
  <c r="CH7" i="8"/>
  <c r="CI7" i="8"/>
  <c r="CJ7" i="8"/>
  <c r="CK7" i="8"/>
  <c r="CL7" i="8"/>
  <c r="CM7" i="8"/>
  <c r="CN7" i="8"/>
  <c r="CE7" i="8"/>
  <c r="D108" i="11"/>
  <c r="C108" i="11"/>
  <c r="D77" i="11"/>
  <c r="E77" i="11" s="1"/>
  <c r="C77" i="11"/>
  <c r="D10" i="11"/>
  <c r="C10" i="11"/>
  <c r="M51" i="8" s="1"/>
  <c r="S16" i="26"/>
  <c r="Q16" i="26"/>
  <c r="S15" i="26"/>
  <c r="G77" i="11" s="1"/>
  <c r="Q15" i="26"/>
  <c r="V16" i="25"/>
  <c r="V15" i="25"/>
  <c r="C38" i="11" s="1"/>
  <c r="AL10" i="8"/>
  <c r="AM10" i="8" s="1"/>
  <c r="I35" i="5"/>
  <c r="AY35" i="5" s="1"/>
  <c r="I16" i="5"/>
  <c r="O66" i="11"/>
  <c r="O61" i="11" s="1"/>
  <c r="N66" i="11"/>
  <c r="N61" i="11" s="1"/>
  <c r="I41" i="9"/>
  <c r="I40" i="9"/>
  <c r="H66" i="11"/>
  <c r="H61" i="11" s="1"/>
  <c r="G66" i="11"/>
  <c r="G61" i="11" s="1"/>
  <c r="D66" i="11"/>
  <c r="D61" i="11" s="1"/>
  <c r="C66" i="11"/>
  <c r="C61" i="11" s="1"/>
  <c r="R61" i="11"/>
  <c r="R66" i="11" s="1"/>
  <c r="D107" i="11"/>
  <c r="E107" i="11" s="1"/>
  <c r="D106" i="11"/>
  <c r="D105" i="11"/>
  <c r="C107" i="11"/>
  <c r="C106" i="11"/>
  <c r="C105" i="11"/>
  <c r="D76" i="11"/>
  <c r="D75" i="11"/>
  <c r="D74" i="11"/>
  <c r="C76" i="11"/>
  <c r="C75" i="11"/>
  <c r="E75" i="11"/>
  <c r="C74" i="11"/>
  <c r="D8" i="11"/>
  <c r="M140" i="8" s="1"/>
  <c r="D7" i="11"/>
  <c r="C8" i="11"/>
  <c r="S12" i="26"/>
  <c r="H11" i="26"/>
  <c r="S11" i="26" s="1"/>
  <c r="G11" i="26"/>
  <c r="E12" i="26"/>
  <c r="Q12" i="26" s="1"/>
  <c r="E11" i="26"/>
  <c r="Q11" i="26" s="1"/>
  <c r="D9" i="11" s="1"/>
  <c r="S8" i="26"/>
  <c r="D36" i="11" s="1"/>
  <c r="Q8" i="26"/>
  <c r="S7" i="26"/>
  <c r="G75" i="11" s="1"/>
  <c r="Q7" i="26"/>
  <c r="S4" i="26"/>
  <c r="Q4" i="26"/>
  <c r="S3" i="26"/>
  <c r="G74" i="11" s="1"/>
  <c r="Q3" i="26"/>
  <c r="V12" i="25"/>
  <c r="C37" i="11" s="1"/>
  <c r="V11" i="25"/>
  <c r="T11" i="25"/>
  <c r="C9" i="11" s="1"/>
  <c r="V8" i="25"/>
  <c r="V7" i="25"/>
  <c r="C36" i="11" s="1"/>
  <c r="V4" i="25"/>
  <c r="V3" i="25"/>
  <c r="C35" i="11" s="1"/>
  <c r="T3" i="25"/>
  <c r="C7" i="11" s="1"/>
  <c r="F113" i="24"/>
  <c r="F74" i="24"/>
  <c r="D33" i="18"/>
  <c r="D34" i="18"/>
  <c r="F32" i="24"/>
  <c r="O112" i="24"/>
  <c r="O117" i="24"/>
  <c r="K94" i="24"/>
  <c r="N105" i="24" s="1"/>
  <c r="N93" i="24"/>
  <c r="N92" i="24"/>
  <c r="N94" i="24" s="1"/>
  <c r="N103" i="24" s="1"/>
  <c r="O107" i="24" s="1"/>
  <c r="O113" i="24" s="1"/>
  <c r="E92" i="24"/>
  <c r="O78" i="24"/>
  <c r="O73" i="24"/>
  <c r="N66" i="24"/>
  <c r="K55" i="24"/>
  <c r="M76" i="24"/>
  <c r="O76" i="24" s="1"/>
  <c r="N54" i="24"/>
  <c r="E54" i="24"/>
  <c r="N53" i="24"/>
  <c r="N55" i="24" s="1"/>
  <c r="N64" i="24" s="1"/>
  <c r="O68" i="24" s="1"/>
  <c r="E53" i="24"/>
  <c r="N29" i="24"/>
  <c r="K13" i="24"/>
  <c r="N12" i="24"/>
  <c r="N11" i="24"/>
  <c r="N13" i="24" s="1"/>
  <c r="N22" i="24" s="1"/>
  <c r="E11" i="24"/>
  <c r="F11" i="24"/>
  <c r="B57" i="5"/>
  <c r="AW36" i="5"/>
  <c r="AQ36" i="5"/>
  <c r="AO36" i="5"/>
  <c r="AP34" i="5"/>
  <c r="AK36" i="5"/>
  <c r="AA36" i="5"/>
  <c r="U36" i="5"/>
  <c r="S36" i="5"/>
  <c r="C36" i="5"/>
  <c r="AM17" i="5"/>
  <c r="S17" i="5"/>
  <c r="T11" i="5" s="1"/>
  <c r="K17" i="5"/>
  <c r="D45" i="17"/>
  <c r="D44" i="17"/>
  <c r="D43" i="17"/>
  <c r="D42" i="17"/>
  <c r="D41" i="17"/>
  <c r="D50" i="18"/>
  <c r="D49" i="18"/>
  <c r="D48" i="18"/>
  <c r="D47" i="18"/>
  <c r="D46" i="18"/>
  <c r="M228" i="8"/>
  <c r="E97" i="11"/>
  <c r="H97" i="11" s="1"/>
  <c r="E58" i="11"/>
  <c r="M224" i="8"/>
  <c r="E125" i="11"/>
  <c r="E94" i="11"/>
  <c r="H94" i="11"/>
  <c r="M119" i="8"/>
  <c r="E93" i="11"/>
  <c r="H93" i="11" s="1"/>
  <c r="AL25" i="8"/>
  <c r="AL26" i="8"/>
  <c r="AL27" i="8"/>
  <c r="AL28" i="8"/>
  <c r="AL29" i="8"/>
  <c r="AL30" i="8"/>
  <c r="AY34" i="5"/>
  <c r="AY31" i="5"/>
  <c r="AY30" i="5"/>
  <c r="AY27" i="5"/>
  <c r="AY26" i="5"/>
  <c r="AS36" i="5"/>
  <c r="AT34" i="5"/>
  <c r="AM36" i="5"/>
  <c r="AG36" i="5"/>
  <c r="AH36" i="5" s="1"/>
  <c r="AC36" i="5"/>
  <c r="AD26" i="5" s="1"/>
  <c r="W36" i="5"/>
  <c r="X32" i="5" s="1"/>
  <c r="AY30" i="8"/>
  <c r="BA30" i="8"/>
  <c r="AY29" i="8"/>
  <c r="BA29" i="8" s="1"/>
  <c r="AY28" i="8"/>
  <c r="AY27" i="8"/>
  <c r="BA27" i="8" s="1"/>
  <c r="AY26" i="8"/>
  <c r="BA26" i="8" s="1"/>
  <c r="AY25" i="8"/>
  <c r="AY24" i="8"/>
  <c r="BA24" i="8" s="1"/>
  <c r="AY23" i="8"/>
  <c r="AY22" i="8"/>
  <c r="AY21" i="8"/>
  <c r="AY20" i="8"/>
  <c r="AY19" i="8"/>
  <c r="AY18" i="8"/>
  <c r="AZ18" i="8" s="1"/>
  <c r="AY17" i="8"/>
  <c r="AZ17" i="8" s="1"/>
  <c r="AY16" i="8"/>
  <c r="AZ16" i="8" s="1"/>
  <c r="AY15" i="8"/>
  <c r="AZ15" i="8" s="1"/>
  <c r="AY14" i="8"/>
  <c r="AZ14" i="8" s="1"/>
  <c r="AY13" i="8"/>
  <c r="AZ13" i="8" s="1"/>
  <c r="AY12" i="8"/>
  <c r="AY11" i="8"/>
  <c r="AZ11" i="8" s="1"/>
  <c r="AY10" i="8"/>
  <c r="AZ10" i="8" s="1"/>
  <c r="AY9" i="8"/>
  <c r="AY8" i="8"/>
  <c r="AZ8" i="8" s="1"/>
  <c r="AY7" i="8"/>
  <c r="AZ7" i="8" s="1"/>
  <c r="AL8" i="8"/>
  <c r="AM8" i="8" s="1"/>
  <c r="AL9" i="8"/>
  <c r="AM9" i="8" s="1"/>
  <c r="AL12" i="8"/>
  <c r="AM12" i="8" s="1"/>
  <c r="AL13" i="8"/>
  <c r="AM13" i="8" s="1"/>
  <c r="AL14" i="8"/>
  <c r="AM14" i="8" s="1"/>
  <c r="AL15" i="8"/>
  <c r="AL16" i="8"/>
  <c r="AM16" i="8" s="1"/>
  <c r="AL17" i="8"/>
  <c r="AM17" i="8" s="1"/>
  <c r="AL18" i="8"/>
  <c r="AM18" i="8" s="1"/>
  <c r="AL19" i="8"/>
  <c r="AL20" i="8"/>
  <c r="AL21" i="8"/>
  <c r="BA21" i="8" s="1"/>
  <c r="AL22" i="8"/>
  <c r="AL23" i="8"/>
  <c r="AL24" i="8"/>
  <c r="AL7" i="8"/>
  <c r="AM7" i="8" s="1"/>
  <c r="BA7" i="8"/>
  <c r="BE7" i="8"/>
  <c r="BT7" i="8"/>
  <c r="BF7" i="8"/>
  <c r="BU7" i="8"/>
  <c r="BG7" i="8"/>
  <c r="BV7" i="8"/>
  <c r="BH7" i="8"/>
  <c r="BW7" i="8"/>
  <c r="BI7" i="8"/>
  <c r="BX7" i="8" s="1"/>
  <c r="BJ7" i="8"/>
  <c r="BY7" i="8"/>
  <c r="BK7" i="8"/>
  <c r="BZ7" i="8"/>
  <c r="BL7" i="8"/>
  <c r="CA7" i="8"/>
  <c r="BM7" i="8"/>
  <c r="CB7" i="8"/>
  <c r="BE8" i="8"/>
  <c r="BT8" i="8"/>
  <c r="BF8" i="8"/>
  <c r="BG8" i="8"/>
  <c r="BV8" i="8" s="1"/>
  <c r="BH8" i="8"/>
  <c r="BW8" i="8" s="1"/>
  <c r="BJ8" i="8"/>
  <c r="BY8" i="8" s="1"/>
  <c r="BK8" i="8"/>
  <c r="BZ8" i="8" s="1"/>
  <c r="BL8" i="8"/>
  <c r="CA8" i="8" s="1"/>
  <c r="BM8" i="8"/>
  <c r="CB8" i="8" s="1"/>
  <c r="BE9" i="8"/>
  <c r="BT9" i="8" s="1"/>
  <c r="BF9" i="8"/>
  <c r="BU9" i="8" s="1"/>
  <c r="BG9" i="8"/>
  <c r="BV9" i="8" s="1"/>
  <c r="BH9" i="8"/>
  <c r="BW9" i="8" s="1"/>
  <c r="BJ9" i="8"/>
  <c r="BY9" i="8" s="1"/>
  <c r="BK9" i="8"/>
  <c r="BZ9" i="8" s="1"/>
  <c r="BL9" i="8"/>
  <c r="CA9" i="8" s="1"/>
  <c r="BM9" i="8"/>
  <c r="CB9" i="8" s="1"/>
  <c r="BE10" i="8"/>
  <c r="BT10" i="8" s="1"/>
  <c r="BF10" i="8"/>
  <c r="BU10" i="8" s="1"/>
  <c r="BG10" i="8"/>
  <c r="BV10" i="8" s="1"/>
  <c r="BH10" i="8"/>
  <c r="BW10" i="8" s="1"/>
  <c r="BJ10" i="8"/>
  <c r="BY10" i="8" s="1"/>
  <c r="BK10" i="8"/>
  <c r="BZ10" i="8" s="1"/>
  <c r="BL10" i="8"/>
  <c r="CA10" i="8" s="1"/>
  <c r="BM10" i="8"/>
  <c r="CB10" i="8" s="1"/>
  <c r="BE11" i="8"/>
  <c r="BT11" i="8" s="1"/>
  <c r="BF11" i="8"/>
  <c r="BU11" i="8"/>
  <c r="BG11" i="8"/>
  <c r="BV11" i="8" s="1"/>
  <c r="BH11" i="8"/>
  <c r="BW11" i="8" s="1"/>
  <c r="BJ11" i="8"/>
  <c r="BY11" i="8" s="1"/>
  <c r="BK11" i="8"/>
  <c r="BZ11" i="8"/>
  <c r="BL11" i="8"/>
  <c r="CA11" i="8" s="1"/>
  <c r="BM11" i="8"/>
  <c r="CB11" i="8"/>
  <c r="BE12" i="8"/>
  <c r="BT12" i="8" s="1"/>
  <c r="BF12" i="8"/>
  <c r="BG12" i="8"/>
  <c r="BV12" i="8"/>
  <c r="BH12" i="8"/>
  <c r="BW12" i="8" s="1"/>
  <c r="BJ12" i="8"/>
  <c r="BY12" i="8"/>
  <c r="BK12" i="8"/>
  <c r="BZ12" i="8" s="1"/>
  <c r="BL12" i="8"/>
  <c r="CA12" i="8"/>
  <c r="BM12" i="8"/>
  <c r="CB12" i="8" s="1"/>
  <c r="BE13" i="8"/>
  <c r="BT13" i="8"/>
  <c r="BF13" i="8"/>
  <c r="BU13" i="8" s="1"/>
  <c r="BG13" i="8"/>
  <c r="BV13" i="8"/>
  <c r="BH13" i="8"/>
  <c r="BW13" i="8" s="1"/>
  <c r="BJ13" i="8"/>
  <c r="BY13" i="8"/>
  <c r="BK13" i="8"/>
  <c r="BZ13" i="8" s="1"/>
  <c r="BL13" i="8"/>
  <c r="CA13" i="8"/>
  <c r="BM13" i="8"/>
  <c r="CB13" i="8" s="1"/>
  <c r="BE14" i="8"/>
  <c r="BT14" i="8"/>
  <c r="BF14" i="8"/>
  <c r="BU14" i="8" s="1"/>
  <c r="BG14" i="8"/>
  <c r="BV14" i="8"/>
  <c r="BH14" i="8"/>
  <c r="BW14" i="8" s="1"/>
  <c r="BJ14" i="8"/>
  <c r="BY14" i="8"/>
  <c r="BK14" i="8"/>
  <c r="BZ14" i="8" s="1"/>
  <c r="BL14" i="8"/>
  <c r="CA14" i="8"/>
  <c r="BM14" i="8"/>
  <c r="CB14" i="8" s="1"/>
  <c r="BE15" i="8"/>
  <c r="BT15" i="8"/>
  <c r="BF15" i="8"/>
  <c r="BU15" i="8" s="1"/>
  <c r="BG15" i="8"/>
  <c r="BV15" i="8" s="1"/>
  <c r="BH15" i="8"/>
  <c r="BW15" i="8" s="1"/>
  <c r="BJ15" i="8"/>
  <c r="BY15" i="8" s="1"/>
  <c r="BK15" i="8"/>
  <c r="BZ15" i="8" s="1"/>
  <c r="BL15" i="8"/>
  <c r="CA15" i="8" s="1"/>
  <c r="BM15" i="8"/>
  <c r="CB15" i="8" s="1"/>
  <c r="BE16" i="8"/>
  <c r="BT16" i="8" s="1"/>
  <c r="BF16" i="8"/>
  <c r="BU16" i="8" s="1"/>
  <c r="BG16" i="8"/>
  <c r="BV16" i="8" s="1"/>
  <c r="BH16" i="8"/>
  <c r="BW16" i="8" s="1"/>
  <c r="BJ16" i="8"/>
  <c r="BY16" i="8" s="1"/>
  <c r="BK16" i="8"/>
  <c r="BZ16" i="8" s="1"/>
  <c r="BL16" i="8"/>
  <c r="CA16" i="8" s="1"/>
  <c r="BM16" i="8"/>
  <c r="BE17" i="8"/>
  <c r="BT17" i="8" s="1"/>
  <c r="BF17" i="8"/>
  <c r="BU17" i="8" s="1"/>
  <c r="BG17" i="8"/>
  <c r="BV17" i="8" s="1"/>
  <c r="BH17" i="8"/>
  <c r="BW17" i="8" s="1"/>
  <c r="BJ17" i="8"/>
  <c r="BY17" i="8" s="1"/>
  <c r="BK17" i="8"/>
  <c r="BZ17" i="8" s="1"/>
  <c r="BL17" i="8"/>
  <c r="CA17" i="8" s="1"/>
  <c r="BM17" i="8"/>
  <c r="CB17" i="8" s="1"/>
  <c r="BE18" i="8"/>
  <c r="BT18" i="8" s="1"/>
  <c r="BF18" i="8"/>
  <c r="BU18" i="8" s="1"/>
  <c r="BG18" i="8"/>
  <c r="BV18" i="8" s="1"/>
  <c r="BH18" i="8"/>
  <c r="BW18" i="8"/>
  <c r="BJ18" i="8"/>
  <c r="BY18" i="8" s="1"/>
  <c r="BK18" i="8"/>
  <c r="BZ18" i="8" s="1"/>
  <c r="BL18" i="8"/>
  <c r="CA18" i="8"/>
  <c r="BM18" i="8"/>
  <c r="CB18" i="8" s="1"/>
  <c r="BE19" i="8"/>
  <c r="BT19" i="8"/>
  <c r="BF19" i="8"/>
  <c r="BU19" i="8" s="1"/>
  <c r="BG19" i="8"/>
  <c r="BV19" i="8" s="1"/>
  <c r="BH19" i="8"/>
  <c r="BW19" i="8" s="1"/>
  <c r="BJ19" i="8"/>
  <c r="BY19" i="8"/>
  <c r="BK19" i="8"/>
  <c r="BZ19" i="8" s="1"/>
  <c r="BL19" i="8"/>
  <c r="CA19" i="8"/>
  <c r="BM19" i="8"/>
  <c r="CB19" i="8" s="1"/>
  <c r="BE20" i="8"/>
  <c r="BT20" i="8" s="1"/>
  <c r="BF20" i="8"/>
  <c r="BU20" i="8"/>
  <c r="BG20" i="8"/>
  <c r="BV20" i="8" s="1"/>
  <c r="BH20" i="8"/>
  <c r="BW20" i="8"/>
  <c r="BJ20" i="8"/>
  <c r="BY20" i="8" s="1"/>
  <c r="BK20" i="8"/>
  <c r="BZ20" i="8"/>
  <c r="BL20" i="8"/>
  <c r="CA20" i="8" s="1"/>
  <c r="BM20" i="8"/>
  <c r="CB20" i="8"/>
  <c r="BE21" i="8"/>
  <c r="BT21" i="8" s="1"/>
  <c r="BF21" i="8"/>
  <c r="BU21" i="8"/>
  <c r="BG21" i="8"/>
  <c r="BV21" i="8" s="1"/>
  <c r="BH21" i="8"/>
  <c r="BW21" i="8"/>
  <c r="BJ21" i="8"/>
  <c r="BY21" i="8" s="1"/>
  <c r="BK21" i="8"/>
  <c r="BZ21" i="8"/>
  <c r="BL21" i="8"/>
  <c r="CA21" i="8" s="1"/>
  <c r="BM21" i="8"/>
  <c r="CB21" i="8"/>
  <c r="BE22" i="8"/>
  <c r="BT22" i="8" s="1"/>
  <c r="BF22" i="8"/>
  <c r="BU22" i="8"/>
  <c r="BG22" i="8"/>
  <c r="BV22" i="8" s="1"/>
  <c r="BH22" i="8"/>
  <c r="BW22" i="8"/>
  <c r="BJ22" i="8"/>
  <c r="BY22" i="8" s="1"/>
  <c r="BK22" i="8"/>
  <c r="BZ22" i="8"/>
  <c r="BL22" i="8"/>
  <c r="CA22" i="8" s="1"/>
  <c r="BM22" i="8"/>
  <c r="CB22" i="8"/>
  <c r="BE23" i="8"/>
  <c r="BT23" i="8" s="1"/>
  <c r="BF23" i="8"/>
  <c r="BU23" i="8"/>
  <c r="BG23" i="8"/>
  <c r="BV23" i="8" s="1"/>
  <c r="BH23" i="8"/>
  <c r="BW23" i="8"/>
  <c r="BJ23" i="8"/>
  <c r="BY23" i="8" s="1"/>
  <c r="BK23" i="8"/>
  <c r="BZ23" i="8"/>
  <c r="BL23" i="8"/>
  <c r="CA23" i="8" s="1"/>
  <c r="BM23" i="8"/>
  <c r="CB23" i="8"/>
  <c r="BE24" i="8"/>
  <c r="BT24" i="8" s="1"/>
  <c r="BF24" i="8"/>
  <c r="BU24" i="8"/>
  <c r="BG24" i="8"/>
  <c r="BV24" i="8" s="1"/>
  <c r="BH24" i="8"/>
  <c r="BW24" i="8"/>
  <c r="BI24" i="8"/>
  <c r="BX24" i="8" s="1"/>
  <c r="BJ24" i="8"/>
  <c r="BY24" i="8"/>
  <c r="BK24" i="8"/>
  <c r="BZ24" i="8" s="1"/>
  <c r="BL24" i="8"/>
  <c r="CA24" i="8"/>
  <c r="BM24" i="8"/>
  <c r="CB24" i="8" s="1"/>
  <c r="BE25" i="8"/>
  <c r="BF25" i="8"/>
  <c r="BU25" i="8" s="1"/>
  <c r="BG25" i="8"/>
  <c r="BV25" i="8" s="1"/>
  <c r="BH25" i="8"/>
  <c r="BW25" i="8" s="1"/>
  <c r="BI25" i="8"/>
  <c r="BX25" i="8" s="1"/>
  <c r="BJ25" i="8"/>
  <c r="BY25" i="8" s="1"/>
  <c r="BK25" i="8"/>
  <c r="BL25" i="8"/>
  <c r="CA25" i="8" s="1"/>
  <c r="BM25" i="8"/>
  <c r="CB25" i="8"/>
  <c r="BE26" i="8"/>
  <c r="BT26" i="8" s="1"/>
  <c r="BF26" i="8"/>
  <c r="BG26" i="8"/>
  <c r="BH26" i="8"/>
  <c r="BW26" i="8" s="1"/>
  <c r="BI26" i="8"/>
  <c r="BX26" i="8"/>
  <c r="BJ26" i="8"/>
  <c r="BY26" i="8" s="1"/>
  <c r="BK26" i="8"/>
  <c r="BZ26" i="8"/>
  <c r="BL26" i="8"/>
  <c r="CA26" i="8" s="1"/>
  <c r="BM26" i="8"/>
  <c r="CB26" i="8"/>
  <c r="BE27" i="8"/>
  <c r="BT27" i="8" s="1"/>
  <c r="BF27" i="8"/>
  <c r="BU27" i="8"/>
  <c r="BG27" i="8"/>
  <c r="BV27" i="8" s="1"/>
  <c r="BH27" i="8"/>
  <c r="BW27" i="8"/>
  <c r="BJ27" i="8"/>
  <c r="BY27" i="8" s="1"/>
  <c r="BK27" i="8"/>
  <c r="BZ27" i="8"/>
  <c r="BL27" i="8"/>
  <c r="CA27" i="8" s="1"/>
  <c r="BM27" i="8"/>
  <c r="CB27" i="8"/>
  <c r="BE28" i="8"/>
  <c r="BT28" i="8" s="1"/>
  <c r="BF28" i="8"/>
  <c r="BU28" i="8"/>
  <c r="BG28" i="8"/>
  <c r="BV28" i="8" s="1"/>
  <c r="BH28" i="8"/>
  <c r="BW28" i="8"/>
  <c r="BI28" i="8"/>
  <c r="BX28" i="8" s="1"/>
  <c r="BJ28" i="8"/>
  <c r="BY28" i="8"/>
  <c r="BK28" i="8"/>
  <c r="BZ28" i="8" s="1"/>
  <c r="BL28" i="8"/>
  <c r="CA28" i="8"/>
  <c r="BM28" i="8"/>
  <c r="CB28" i="8" s="1"/>
  <c r="BE29" i="8"/>
  <c r="BT29" i="8"/>
  <c r="BF29" i="8"/>
  <c r="BU29" i="8" s="1"/>
  <c r="BG29" i="8"/>
  <c r="BH29" i="8"/>
  <c r="BW29" i="8"/>
  <c r="BJ29" i="8"/>
  <c r="BY29" i="8" s="1"/>
  <c r="BK29" i="8"/>
  <c r="BZ29" i="8" s="1"/>
  <c r="BL29" i="8"/>
  <c r="CA29" i="8" s="1"/>
  <c r="BM29" i="8"/>
  <c r="CB29" i="8" s="1"/>
  <c r="BE30" i="8"/>
  <c r="BT30" i="8" s="1"/>
  <c r="BF30" i="8"/>
  <c r="BG30" i="8"/>
  <c r="BV30" i="8" s="1"/>
  <c r="BH30" i="8"/>
  <c r="BW30" i="8"/>
  <c r="BJ30" i="8"/>
  <c r="BY30" i="8" s="1"/>
  <c r="BK30" i="8"/>
  <c r="BZ30" i="8"/>
  <c r="BL30" i="8"/>
  <c r="CA30" i="8" s="1"/>
  <c r="BM30" i="8"/>
  <c r="CB30" i="8"/>
  <c r="BD8" i="8"/>
  <c r="BS8" i="8" s="1"/>
  <c r="BD9" i="8"/>
  <c r="BD10" i="8"/>
  <c r="BS10" i="8"/>
  <c r="BD11" i="8"/>
  <c r="BD12" i="8"/>
  <c r="BS12" i="8"/>
  <c r="BD13" i="8"/>
  <c r="BS13" i="8" s="1"/>
  <c r="BD14" i="8"/>
  <c r="BS14" i="8"/>
  <c r="BD15" i="8"/>
  <c r="BS15" i="8" s="1"/>
  <c r="BD16" i="8"/>
  <c r="BS16" i="8" s="1"/>
  <c r="BD17" i="8"/>
  <c r="BS17" i="8" s="1"/>
  <c r="BD18" i="8"/>
  <c r="BS18" i="8" s="1"/>
  <c r="BD19" i="8"/>
  <c r="BS19" i="8" s="1"/>
  <c r="BD20" i="8"/>
  <c r="BS20" i="8"/>
  <c r="BD21" i="8"/>
  <c r="BS21" i="8" s="1"/>
  <c r="BD22" i="8"/>
  <c r="BD23" i="8"/>
  <c r="BS23" i="8"/>
  <c r="BD24" i="8"/>
  <c r="BN24" i="8" s="1"/>
  <c r="BD25" i="8"/>
  <c r="BD26" i="8"/>
  <c r="BD27" i="8"/>
  <c r="BD28" i="8"/>
  <c r="BN28" i="8" s="1"/>
  <c r="BD29" i="8"/>
  <c r="BD30" i="8"/>
  <c r="BS30" i="8" s="1"/>
  <c r="BD7" i="8"/>
  <c r="BS7" i="8"/>
  <c r="E36" i="5"/>
  <c r="E53" i="11"/>
  <c r="E92" i="11"/>
  <c r="E91" i="11"/>
  <c r="H91" i="11" s="1"/>
  <c r="E90" i="11"/>
  <c r="H90" i="11"/>
  <c r="M200" i="8"/>
  <c r="M103" i="8"/>
  <c r="E120" i="11"/>
  <c r="E89" i="11"/>
  <c r="E50" i="11"/>
  <c r="M192" i="8"/>
  <c r="G119" i="11"/>
  <c r="E88" i="11"/>
  <c r="H88" i="11"/>
  <c r="T19" i="9"/>
  <c r="O19" i="9"/>
  <c r="I19" i="9"/>
  <c r="X19" i="9"/>
  <c r="Z19" i="9" s="1"/>
  <c r="D19" i="9"/>
  <c r="T20" i="9"/>
  <c r="O20" i="9"/>
  <c r="I20" i="9"/>
  <c r="D20" i="9"/>
  <c r="X20" i="9"/>
  <c r="G118" i="11"/>
  <c r="H118" i="11" s="1"/>
  <c r="E87" i="11"/>
  <c r="H87" i="11"/>
  <c r="E48" i="11"/>
  <c r="E117" i="11"/>
  <c r="E86" i="11"/>
  <c r="H86" i="11"/>
  <c r="E47" i="11"/>
  <c r="M184" i="8"/>
  <c r="E116" i="11"/>
  <c r="G116" i="11"/>
  <c r="E85" i="11"/>
  <c r="M83" i="8"/>
  <c r="E115" i="11"/>
  <c r="G115" i="11"/>
  <c r="E84" i="11"/>
  <c r="G114" i="11"/>
  <c r="E83" i="11"/>
  <c r="H83" i="11" s="1"/>
  <c r="R83" i="11" s="1"/>
  <c r="S83" i="11" s="1"/>
  <c r="M75" i="8"/>
  <c r="G113" i="11"/>
  <c r="E113" i="11"/>
  <c r="M71" i="8"/>
  <c r="M55" i="8"/>
  <c r="M144" i="8"/>
  <c r="E106" i="11"/>
  <c r="O30" i="11"/>
  <c r="O58" i="11"/>
  <c r="AY7" i="5"/>
  <c r="AY8" i="5"/>
  <c r="AY11" i="5"/>
  <c r="AY12" i="5"/>
  <c r="AY15" i="5"/>
  <c r="AW17" i="5"/>
  <c r="O57" i="11"/>
  <c r="O29" i="11"/>
  <c r="O56" i="11"/>
  <c r="P56" i="11" s="1"/>
  <c r="O28" i="11"/>
  <c r="O55" i="11"/>
  <c r="O27" i="11"/>
  <c r="P27" i="11" s="1"/>
  <c r="BI27" i="8"/>
  <c r="BX27" i="8"/>
  <c r="O54" i="11"/>
  <c r="O26" i="11"/>
  <c r="AO17" i="5"/>
  <c r="AP16" i="5"/>
  <c r="O25" i="11"/>
  <c r="O53" i="11"/>
  <c r="O52" i="11"/>
  <c r="O24" i="11"/>
  <c r="O51" i="11"/>
  <c r="O23" i="11"/>
  <c r="O50" i="11"/>
  <c r="O22" i="11"/>
  <c r="P22" i="11" s="1"/>
  <c r="O49" i="11"/>
  <c r="P49" i="11" s="1"/>
  <c r="O21" i="11"/>
  <c r="O48" i="11"/>
  <c r="O20" i="11"/>
  <c r="O47" i="11"/>
  <c r="O19" i="11"/>
  <c r="O46" i="11"/>
  <c r="S46" i="11" s="1"/>
  <c r="O18" i="11"/>
  <c r="S18" i="11" s="1"/>
  <c r="O45" i="11"/>
  <c r="S45" i="11" s="1"/>
  <c r="O17" i="11"/>
  <c r="S17" i="11" s="1"/>
  <c r="O43" i="11"/>
  <c r="O44" i="11"/>
  <c r="S44" i="11" s="1"/>
  <c r="O15" i="11"/>
  <c r="S15" i="11" s="1"/>
  <c r="O16" i="11"/>
  <c r="S16" i="11" s="1"/>
  <c r="D6" i="9"/>
  <c r="N35" i="11"/>
  <c r="I6" i="9"/>
  <c r="O6" i="9"/>
  <c r="T6" i="9"/>
  <c r="D7" i="9"/>
  <c r="I7" i="9"/>
  <c r="O7" i="9"/>
  <c r="T7" i="9"/>
  <c r="D8" i="9"/>
  <c r="I8" i="9"/>
  <c r="O8" i="9"/>
  <c r="T8" i="9"/>
  <c r="D9" i="9"/>
  <c r="I9" i="9"/>
  <c r="O9" i="9"/>
  <c r="T9" i="9"/>
  <c r="Y9" i="9" s="1"/>
  <c r="D10" i="9"/>
  <c r="I10" i="9"/>
  <c r="O10" i="9"/>
  <c r="V10" i="9" s="1"/>
  <c r="T10" i="9"/>
  <c r="D11" i="9"/>
  <c r="I11" i="9"/>
  <c r="O11" i="9"/>
  <c r="Y11" i="9" s="1"/>
  <c r="T11" i="9"/>
  <c r="D12" i="9"/>
  <c r="I12" i="9"/>
  <c r="O12" i="9"/>
  <c r="T12" i="9"/>
  <c r="D13" i="9"/>
  <c r="I13" i="9"/>
  <c r="O13" i="9"/>
  <c r="Y13" i="9" s="1"/>
  <c r="T13" i="9"/>
  <c r="D14" i="9"/>
  <c r="I14" i="9"/>
  <c r="O14" i="9"/>
  <c r="T14" i="9"/>
  <c r="D15" i="9"/>
  <c r="I15" i="9"/>
  <c r="X15" i="9" s="1"/>
  <c r="O15" i="9"/>
  <c r="T15" i="9"/>
  <c r="D16" i="9"/>
  <c r="I16" i="9"/>
  <c r="X16" i="9" s="1"/>
  <c r="O16" i="9"/>
  <c r="D17" i="9"/>
  <c r="I17" i="9"/>
  <c r="O17" i="9"/>
  <c r="D18" i="9"/>
  <c r="I18" i="9"/>
  <c r="K18" i="9" s="1"/>
  <c r="O18" i="9"/>
  <c r="T18" i="9"/>
  <c r="N49" i="11"/>
  <c r="D21" i="9"/>
  <c r="I21" i="9"/>
  <c r="O21" i="9"/>
  <c r="T21" i="9"/>
  <c r="Y21" i="9" s="1"/>
  <c r="D22" i="9"/>
  <c r="I22" i="9"/>
  <c r="O22" i="9"/>
  <c r="T22" i="9"/>
  <c r="Y22" i="9" s="1"/>
  <c r="D23" i="9"/>
  <c r="I23" i="9"/>
  <c r="K23" i="9" s="1"/>
  <c r="O23" i="9"/>
  <c r="T23" i="9"/>
  <c r="Y23" i="9" s="1"/>
  <c r="D24" i="9"/>
  <c r="N53" i="11" s="1"/>
  <c r="P53" i="11" s="1"/>
  <c r="I24" i="9"/>
  <c r="O24" i="9"/>
  <c r="N25" i="11"/>
  <c r="T24" i="9"/>
  <c r="D25" i="9"/>
  <c r="N54" i="11" s="1"/>
  <c r="P54" i="11" s="1"/>
  <c r="I25" i="9"/>
  <c r="O25" i="9"/>
  <c r="T25" i="9"/>
  <c r="D26" i="9"/>
  <c r="N55" i="11"/>
  <c r="I26" i="9"/>
  <c r="O26" i="9"/>
  <c r="T26" i="9"/>
  <c r="D27" i="9"/>
  <c r="I27" i="9"/>
  <c r="K27" i="9" s="1"/>
  <c r="O27" i="9"/>
  <c r="T27" i="9"/>
  <c r="D28" i="9"/>
  <c r="I28" i="9"/>
  <c r="X28" i="9" s="1"/>
  <c r="Z28" i="9" s="1"/>
  <c r="O28" i="9"/>
  <c r="T28" i="9"/>
  <c r="D29" i="9"/>
  <c r="N58" i="11" s="1"/>
  <c r="P58" i="11" s="1"/>
  <c r="I29" i="9"/>
  <c r="O29" i="9"/>
  <c r="T29" i="9"/>
  <c r="Y29" i="9" s="1"/>
  <c r="B30" i="9"/>
  <c r="C30" i="9"/>
  <c r="F30" i="9"/>
  <c r="G30" i="9"/>
  <c r="H30" i="9"/>
  <c r="M30" i="9"/>
  <c r="N30" i="9"/>
  <c r="R30" i="9"/>
  <c r="S30" i="9"/>
  <c r="B32" i="9"/>
  <c r="C32" i="9"/>
  <c r="D32" i="9" s="1"/>
  <c r="F32" i="9"/>
  <c r="G32" i="9"/>
  <c r="H32" i="9"/>
  <c r="M32" i="9"/>
  <c r="N32" i="9"/>
  <c r="R32" i="9"/>
  <c r="S32" i="9"/>
  <c r="BI8" i="8"/>
  <c r="BX8" i="8" s="1"/>
  <c r="O7" i="11"/>
  <c r="O8" i="11"/>
  <c r="O9" i="11"/>
  <c r="O10" i="11"/>
  <c r="O11" i="11"/>
  <c r="O12" i="11"/>
  <c r="O13" i="11"/>
  <c r="O14" i="11"/>
  <c r="A35" i="11"/>
  <c r="A74" i="11"/>
  <c r="A105" i="11"/>
  <c r="O35" i="11"/>
  <c r="A36" i="11"/>
  <c r="A75" i="11"/>
  <c r="A106" i="11"/>
  <c r="O36" i="11"/>
  <c r="A37" i="11"/>
  <c r="A76" i="11"/>
  <c r="A107" i="11" s="1"/>
  <c r="O37" i="11"/>
  <c r="A38" i="11"/>
  <c r="A77" i="11"/>
  <c r="A108" i="11" s="1"/>
  <c r="O38" i="11"/>
  <c r="A39" i="11"/>
  <c r="A78" i="11"/>
  <c r="A109" i="11"/>
  <c r="O39" i="11"/>
  <c r="A40" i="11"/>
  <c r="A79" i="11"/>
  <c r="A110" i="11"/>
  <c r="O40" i="11"/>
  <c r="A41" i="11"/>
  <c r="A80" i="11"/>
  <c r="A111" i="11"/>
  <c r="O41" i="11"/>
  <c r="A42" i="11"/>
  <c r="A81" i="11"/>
  <c r="A112" i="11"/>
  <c r="O42" i="11"/>
  <c r="A43" i="11"/>
  <c r="A82" i="11"/>
  <c r="A113" i="11" s="1"/>
  <c r="A44" i="11"/>
  <c r="A83" i="11"/>
  <c r="A114" i="11"/>
  <c r="A45" i="11"/>
  <c r="A84" i="11"/>
  <c r="A115" i="11"/>
  <c r="A46" i="11"/>
  <c r="A85" i="11" s="1"/>
  <c r="A116" i="11" s="1"/>
  <c r="A47" i="11"/>
  <c r="A86" i="11"/>
  <c r="A117" i="11" s="1"/>
  <c r="A48" i="11"/>
  <c r="A87" i="11"/>
  <c r="A118" i="11"/>
  <c r="A49" i="11"/>
  <c r="A88" i="11"/>
  <c r="A119" i="11"/>
  <c r="A50" i="11"/>
  <c r="A89" i="11" s="1"/>
  <c r="A120" i="11" s="1"/>
  <c r="A51" i="11"/>
  <c r="A90" i="11"/>
  <c r="A121" i="11" s="1"/>
  <c r="A52" i="11"/>
  <c r="A91" i="11"/>
  <c r="A122" i="11"/>
  <c r="A53" i="11"/>
  <c r="A92" i="11"/>
  <c r="A123" i="11"/>
  <c r="A54" i="11"/>
  <c r="A93" i="11" s="1"/>
  <c r="A124" i="11" s="1"/>
  <c r="A55" i="11"/>
  <c r="A94" i="11"/>
  <c r="A125" i="11" s="1"/>
  <c r="A56" i="11"/>
  <c r="A95" i="11"/>
  <c r="A126" i="11"/>
  <c r="A57" i="11"/>
  <c r="A96" i="11"/>
  <c r="A127" i="11"/>
  <c r="A58" i="11"/>
  <c r="A97" i="11" s="1"/>
  <c r="A128" i="11" s="1"/>
  <c r="T17" i="9"/>
  <c r="N48" i="11"/>
  <c r="P48" i="11" s="1"/>
  <c r="N7" i="11"/>
  <c r="P7" i="11"/>
  <c r="Q30" i="9"/>
  <c r="Q32" i="9"/>
  <c r="M95" i="8"/>
  <c r="T16" i="9"/>
  <c r="E55" i="11"/>
  <c r="M208" i="8"/>
  <c r="G128" i="11"/>
  <c r="E128" i="11"/>
  <c r="H128" i="11"/>
  <c r="M131" i="8"/>
  <c r="N20" i="11"/>
  <c r="P20" i="11"/>
  <c r="Y15" i="9"/>
  <c r="K20" i="9"/>
  <c r="N45" i="11"/>
  <c r="K16" i="9"/>
  <c r="V20" i="9"/>
  <c r="M17" i="5"/>
  <c r="N7" i="5"/>
  <c r="W17" i="5"/>
  <c r="X11" i="5" s="1"/>
  <c r="AP12" i="5"/>
  <c r="AG17" i="5"/>
  <c r="AH12" i="5" s="1"/>
  <c r="AH14" i="5"/>
  <c r="AK17" i="5"/>
  <c r="AY16" i="5"/>
  <c r="AN34" i="5"/>
  <c r="AN29" i="5"/>
  <c r="AN32" i="5"/>
  <c r="U17" i="5"/>
  <c r="V6" i="5" s="1"/>
  <c r="AP14" i="5"/>
  <c r="AP11" i="5"/>
  <c r="M67" i="8"/>
  <c r="G117" i="11"/>
  <c r="M111" i="8"/>
  <c r="E25" i="11"/>
  <c r="Y26" i="9"/>
  <c r="N27" i="11"/>
  <c r="V26" i="9"/>
  <c r="Y27" i="9"/>
  <c r="AT36" i="5"/>
  <c r="AT30" i="5"/>
  <c r="AT33" i="5"/>
  <c r="M115" i="8"/>
  <c r="Y28" i="9"/>
  <c r="M196" i="8"/>
  <c r="E21" i="11"/>
  <c r="E56" i="11"/>
  <c r="M79" i="8"/>
  <c r="E96" i="11"/>
  <c r="H96" i="11" s="1"/>
  <c r="M87" i="8"/>
  <c r="G122" i="11"/>
  <c r="E23" i="11"/>
  <c r="M123" i="8"/>
  <c r="E51" i="11"/>
  <c r="G121" i="11"/>
  <c r="E82" i="11"/>
  <c r="H82" i="11" s="1"/>
  <c r="E114" i="11"/>
  <c r="H114" i="11" s="1"/>
  <c r="E119" i="11"/>
  <c r="E121" i="11"/>
  <c r="E95" i="11"/>
  <c r="H95" i="11"/>
  <c r="E126" i="11"/>
  <c r="E18" i="11"/>
  <c r="M204" i="8"/>
  <c r="G123" i="11"/>
  <c r="H123" i="11" s="1"/>
  <c r="G127" i="11"/>
  <c r="E57" i="11"/>
  <c r="M99" i="8"/>
  <c r="E22" i="11"/>
  <c r="G120" i="11"/>
  <c r="H120" i="11"/>
  <c r="E122" i="11"/>
  <c r="H122" i="11"/>
  <c r="E123" i="11"/>
  <c r="G125" i="11"/>
  <c r="H125" i="11"/>
  <c r="G126" i="11"/>
  <c r="M127" i="8"/>
  <c r="E29" i="11"/>
  <c r="E49" i="11"/>
  <c r="M168" i="8"/>
  <c r="E15" i="11"/>
  <c r="G124" i="11"/>
  <c r="E127" i="11"/>
  <c r="E54" i="11"/>
  <c r="E81" i="11"/>
  <c r="E17" i="11"/>
  <c r="M176" i="8"/>
  <c r="M59" i="8"/>
  <c r="E124" i="11"/>
  <c r="H124" i="11"/>
  <c r="M216" i="8"/>
  <c r="E27" i="11"/>
  <c r="E112" i="11"/>
  <c r="AX12" i="5"/>
  <c r="I42" i="9"/>
  <c r="M107" i="8"/>
  <c r="E24" i="11"/>
  <c r="E20" i="11"/>
  <c r="E52" i="11"/>
  <c r="E26" i="11"/>
  <c r="M212" i="8"/>
  <c r="M220" i="8"/>
  <c r="E28" i="11"/>
  <c r="E118" i="11"/>
  <c r="E19" i="11"/>
  <c r="M91" i="8"/>
  <c r="E16" i="11"/>
  <c r="M172" i="8"/>
  <c r="E46" i="11"/>
  <c r="E45" i="11"/>
  <c r="E43" i="11"/>
  <c r="M43" i="8"/>
  <c r="E44" i="11"/>
  <c r="H89" i="11"/>
  <c r="M180" i="8"/>
  <c r="M188" i="8"/>
  <c r="E30" i="11"/>
  <c r="D29" i="17"/>
  <c r="D51" i="18"/>
  <c r="D24" i="18"/>
  <c r="D36" i="18" s="1"/>
  <c r="D20" i="18" s="1"/>
  <c r="B51" i="18"/>
  <c r="B46" i="17"/>
  <c r="AH29" i="5"/>
  <c r="AN28" i="5"/>
  <c r="AD35" i="5"/>
  <c r="X29" i="5"/>
  <c r="AX33" i="5"/>
  <c r="AX31" i="5"/>
  <c r="AX34" i="5"/>
  <c r="AX25" i="5"/>
  <c r="AX36" i="5"/>
  <c r="AX30" i="5"/>
  <c r="AX35" i="5"/>
  <c r="AX29" i="5"/>
  <c r="AX26" i="5"/>
  <c r="AX27" i="5"/>
  <c r="AX32" i="5"/>
  <c r="AX28" i="5"/>
  <c r="AU36" i="5"/>
  <c r="AV31" i="5"/>
  <c r="AY25" i="5"/>
  <c r="AY29" i="5"/>
  <c r="AR31" i="5"/>
  <c r="AR35" i="5"/>
  <c r="AR25" i="5"/>
  <c r="AR34" i="5"/>
  <c r="AR30" i="5"/>
  <c r="AR36" i="5"/>
  <c r="AR27" i="5"/>
  <c r="AR32" i="5"/>
  <c r="AR26" i="5"/>
  <c r="AR33" i="5"/>
  <c r="AR29" i="5"/>
  <c r="AR28" i="5"/>
  <c r="AP35" i="5"/>
  <c r="AP27" i="5"/>
  <c r="AP32" i="5"/>
  <c r="AY33" i="5"/>
  <c r="AN36" i="5"/>
  <c r="AN27" i="5"/>
  <c r="AN33" i="5"/>
  <c r="AN35" i="5"/>
  <c r="AN26" i="5"/>
  <c r="AN31" i="5"/>
  <c r="AN25" i="5"/>
  <c r="AN30" i="5"/>
  <c r="AL31" i="5"/>
  <c r="AL30" i="5"/>
  <c r="AL25" i="5"/>
  <c r="AL34" i="5"/>
  <c r="AL36" i="5"/>
  <c r="AL26" i="5"/>
  <c r="AL29" i="5"/>
  <c r="AL35" i="5"/>
  <c r="AL27" i="5"/>
  <c r="AL33" i="5"/>
  <c r="AL32" i="5"/>
  <c r="AL28" i="5"/>
  <c r="AI36" i="5"/>
  <c r="AJ33" i="5"/>
  <c r="AH33" i="5"/>
  <c r="AH25" i="5"/>
  <c r="AE36" i="5"/>
  <c r="AF32" i="5"/>
  <c r="AD28" i="5"/>
  <c r="AD31" i="5"/>
  <c r="AB34" i="5"/>
  <c r="AB25" i="5"/>
  <c r="AB35" i="5"/>
  <c r="AB28" i="5"/>
  <c r="AB30" i="5"/>
  <c r="AB36" i="5"/>
  <c r="AB31" i="5"/>
  <c r="AB29" i="5"/>
  <c r="AB26" i="5"/>
  <c r="AB33" i="5"/>
  <c r="AB27" i="5"/>
  <c r="AB32" i="5"/>
  <c r="Y36" i="5"/>
  <c r="Z32" i="5" s="1"/>
  <c r="X28" i="5"/>
  <c r="X27" i="5"/>
  <c r="X35" i="5"/>
  <c r="X26" i="5"/>
  <c r="X30" i="5"/>
  <c r="V32" i="5"/>
  <c r="V35" i="5"/>
  <c r="V27" i="5"/>
  <c r="V34" i="5"/>
  <c r="V29" i="5"/>
  <c r="V28" i="5"/>
  <c r="V33" i="5"/>
  <c r="V30" i="5"/>
  <c r="V25" i="5"/>
  <c r="V31" i="5"/>
  <c r="V26" i="5"/>
  <c r="V36" i="5"/>
  <c r="Q36" i="5"/>
  <c r="O36" i="5"/>
  <c r="P28" i="5" s="1"/>
  <c r="P27" i="5"/>
  <c r="M36" i="5"/>
  <c r="N32" i="5"/>
  <c r="K36" i="5"/>
  <c r="L29" i="5" s="1"/>
  <c r="I36" i="5"/>
  <c r="J30" i="5"/>
  <c r="G36" i="5"/>
  <c r="AY28" i="5"/>
  <c r="AY32" i="5"/>
  <c r="F27" i="5"/>
  <c r="F36" i="5"/>
  <c r="F25" i="5"/>
  <c r="F34" i="5"/>
  <c r="F32" i="5"/>
  <c r="F26" i="5"/>
  <c r="F31" i="5"/>
  <c r="F28" i="5"/>
  <c r="F30" i="5"/>
  <c r="F33" i="5"/>
  <c r="D25" i="5"/>
  <c r="D36" i="5"/>
  <c r="D30" i="5"/>
  <c r="D26" i="5"/>
  <c r="D31" i="5"/>
  <c r="D35" i="5"/>
  <c r="D28" i="5"/>
  <c r="D32" i="5"/>
  <c r="D34" i="5"/>
  <c r="D27" i="5"/>
  <c r="D33" i="5"/>
  <c r="AH26" i="5"/>
  <c r="AH30" i="5"/>
  <c r="AH34" i="5"/>
  <c r="AH27" i="5"/>
  <c r="AH31" i="5"/>
  <c r="AH35" i="5"/>
  <c r="AH28" i="5"/>
  <c r="AH32" i="5"/>
  <c r="X8" i="5"/>
  <c r="AX16" i="5"/>
  <c r="AU17" i="5"/>
  <c r="AV9" i="5"/>
  <c r="AY6" i="5"/>
  <c r="AS17" i="5"/>
  <c r="AQ17" i="5"/>
  <c r="AR7" i="5"/>
  <c r="AP13" i="5"/>
  <c r="AP8" i="5"/>
  <c r="AP9" i="5"/>
  <c r="AP6" i="5"/>
  <c r="AP17" i="5"/>
  <c r="AP15" i="5"/>
  <c r="AP7" i="5"/>
  <c r="AP10" i="5"/>
  <c r="AN16" i="5"/>
  <c r="AN7" i="5"/>
  <c r="AN9" i="5"/>
  <c r="AN12" i="5"/>
  <c r="AN11" i="5"/>
  <c r="AN8" i="5"/>
  <c r="AN14" i="5"/>
  <c r="AN15" i="5"/>
  <c r="AN6" i="5"/>
  <c r="AN17" i="5" s="1"/>
  <c r="AN10" i="5"/>
  <c r="AN13" i="5"/>
  <c r="AI17" i="5"/>
  <c r="AJ9" i="5"/>
  <c r="AH11" i="5"/>
  <c r="AE17" i="5"/>
  <c r="AC17" i="5"/>
  <c r="AD11" i="5"/>
  <c r="AA17" i="5"/>
  <c r="AB13" i="5"/>
  <c r="Y17" i="5"/>
  <c r="Z9" i="5" s="1"/>
  <c r="X16" i="5"/>
  <c r="X6" i="5"/>
  <c r="X7" i="5"/>
  <c r="X12" i="5"/>
  <c r="X9" i="5"/>
  <c r="X13" i="5"/>
  <c r="X10" i="5"/>
  <c r="X15" i="5"/>
  <c r="X14" i="5"/>
  <c r="Q17" i="5"/>
  <c r="R15" i="5" s="1"/>
  <c r="O17" i="5"/>
  <c r="I17" i="5"/>
  <c r="AY13" i="5"/>
  <c r="G17" i="5"/>
  <c r="E17" i="5"/>
  <c r="F8" i="5"/>
  <c r="AY9" i="5"/>
  <c r="AY14" i="5"/>
  <c r="AY10" i="5"/>
  <c r="C17" i="5"/>
  <c r="R25" i="5"/>
  <c r="AF33" i="5"/>
  <c r="AF27" i="5"/>
  <c r="AF34" i="5"/>
  <c r="AF36" i="5"/>
  <c r="AF35" i="5"/>
  <c r="P33" i="5"/>
  <c r="H26" i="5"/>
  <c r="AF9" i="5"/>
  <c r="AV12" i="5"/>
  <c r="AV8" i="5"/>
  <c r="AR16" i="5"/>
  <c r="AR15" i="5"/>
  <c r="AJ12" i="5"/>
  <c r="AJ14" i="5"/>
  <c r="AF15" i="5"/>
  <c r="AF12" i="5"/>
  <c r="AF7" i="5"/>
  <c r="AF6" i="5"/>
  <c r="AF11" i="5"/>
  <c r="AF8" i="5"/>
  <c r="AF14" i="5"/>
  <c r="AF10" i="5"/>
  <c r="AF16" i="5"/>
  <c r="AF13" i="5"/>
  <c r="AD9" i="5"/>
  <c r="AB11" i="5"/>
  <c r="AB14" i="5"/>
  <c r="P10" i="5"/>
  <c r="H7" i="5"/>
  <c r="H15" i="5"/>
  <c r="D14" i="5"/>
  <c r="C13" i="24"/>
  <c r="F53" i="24"/>
  <c r="F55" i="24"/>
  <c r="AV32" i="5"/>
  <c r="Y19" i="9"/>
  <c r="V19" i="9"/>
  <c r="AD10" i="5"/>
  <c r="AD6" i="5"/>
  <c r="AD17" i="5" s="1"/>
  <c r="AL10" i="5"/>
  <c r="AL12" i="5"/>
  <c r="AL8" i="5"/>
  <c r="AL9" i="5"/>
  <c r="AL13" i="5"/>
  <c r="AL14" i="5"/>
  <c r="AL11" i="5"/>
  <c r="AL15" i="5"/>
  <c r="AL7" i="5"/>
  <c r="AL6" i="5"/>
  <c r="AL17" i="5"/>
  <c r="AL16" i="5"/>
  <c r="F7" i="5"/>
  <c r="AF17" i="5"/>
  <c r="AT10" i="5"/>
  <c r="AT16" i="5"/>
  <c r="N56" i="11"/>
  <c r="K25" i="9"/>
  <c r="V25" i="9"/>
  <c r="X25" i="9"/>
  <c r="Y17" i="9"/>
  <c r="N40" i="11"/>
  <c r="X11" i="9"/>
  <c r="X23" i="9"/>
  <c r="Y18" i="9"/>
  <c r="BI30" i="8"/>
  <c r="BX30" i="8" s="1"/>
  <c r="BI29" i="8"/>
  <c r="BX29" i="8" s="1"/>
  <c r="O26" i="24"/>
  <c r="N24" i="24"/>
  <c r="N30" i="24"/>
  <c r="O31" i="24" s="1"/>
  <c r="M34" i="24"/>
  <c r="O34" i="24" s="1"/>
  <c r="O74" i="24"/>
  <c r="O80" i="24" s="1"/>
  <c r="E62" i="24" s="1"/>
  <c r="F62" i="24" s="1"/>
  <c r="F54" i="24"/>
  <c r="C55" i="24"/>
  <c r="E93" i="24"/>
  <c r="F93" i="24" s="1"/>
  <c r="F94" i="24" s="1"/>
  <c r="C94" i="24"/>
  <c r="F92" i="24"/>
  <c r="BI10" i="8"/>
  <c r="BX10" i="8" s="1"/>
  <c r="BI9" i="8"/>
  <c r="BX9" i="8" s="1"/>
  <c r="O32" i="24"/>
  <c r="BI11" i="8"/>
  <c r="BX11" i="8" s="1"/>
  <c r="BI12" i="8"/>
  <c r="BX12" i="8" s="1"/>
  <c r="BI13" i="8"/>
  <c r="BX13" i="8" s="1"/>
  <c r="BI14" i="8"/>
  <c r="BX14" i="8" s="1"/>
  <c r="BI15" i="8"/>
  <c r="BX15" i="8" s="1"/>
  <c r="BI16" i="8"/>
  <c r="BX16" i="8" s="1"/>
  <c r="BI17" i="8"/>
  <c r="BX17" i="8" s="1"/>
  <c r="BI18" i="8"/>
  <c r="BX18" i="8" s="1"/>
  <c r="BI19" i="8"/>
  <c r="BX19" i="8" s="1"/>
  <c r="BI20" i="8"/>
  <c r="BI21" i="8"/>
  <c r="BX21" i="8"/>
  <c r="BI22" i="8"/>
  <c r="BX22" i="8" s="1"/>
  <c r="BI23" i="8"/>
  <c r="BX23" i="8" s="1"/>
  <c r="F29" i="24"/>
  <c r="G33" i="24" s="1"/>
  <c r="F17" i="24"/>
  <c r="F18" i="24"/>
  <c r="F110" i="24"/>
  <c r="F97" i="24"/>
  <c r="F98" i="24"/>
  <c r="F71" i="24"/>
  <c r="G75" i="24"/>
  <c r="F58" i="24"/>
  <c r="F59" i="24" s="1"/>
  <c r="F72" i="24"/>
  <c r="F73" i="24"/>
  <c r="P25" i="11"/>
  <c r="N12" i="11"/>
  <c r="P12" i="11" s="1"/>
  <c r="N17" i="11"/>
  <c r="D40" i="18"/>
  <c r="K19" i="9"/>
  <c r="X6" i="9"/>
  <c r="V29" i="9"/>
  <c r="X18" i="9"/>
  <c r="P55" i="11"/>
  <c r="V28" i="9"/>
  <c r="K28" i="9"/>
  <c r="N57" i="11"/>
  <c r="N28" i="11"/>
  <c r="P28" i="11"/>
  <c r="V27" i="9"/>
  <c r="X27" i="9"/>
  <c r="Z27" i="9" s="1"/>
  <c r="V22" i="9"/>
  <c r="X22" i="9"/>
  <c r="N22" i="11"/>
  <c r="N29" i="11"/>
  <c r="P29" i="11"/>
  <c r="K11" i="9"/>
  <c r="N50" i="11"/>
  <c r="AV30" i="5"/>
  <c r="AV33" i="5"/>
  <c r="AV28" i="5"/>
  <c r="AV35" i="5"/>
  <c r="AT27" i="5"/>
  <c r="AT32" i="5"/>
  <c r="AT29" i="5"/>
  <c r="AT26" i="5"/>
  <c r="AT31" i="5"/>
  <c r="AT28" i="5"/>
  <c r="AT35" i="5"/>
  <c r="AT25" i="5"/>
  <c r="AP29" i="5"/>
  <c r="AP36" i="5"/>
  <c r="AP26" i="5"/>
  <c r="AP25" i="5"/>
  <c r="AP33" i="5"/>
  <c r="AP31" i="5"/>
  <c r="AP28" i="5"/>
  <c r="AP30" i="5"/>
  <c r="AJ26" i="5"/>
  <c r="AJ34" i="5"/>
  <c r="AJ36" i="5"/>
  <c r="AJ32" i="5"/>
  <c r="AD34" i="5"/>
  <c r="AD30" i="5"/>
  <c r="AD27" i="5"/>
  <c r="AD29" i="5"/>
  <c r="AD25" i="5"/>
  <c r="AD32" i="5"/>
  <c r="AD33" i="5"/>
  <c r="AD36" i="5"/>
  <c r="R36" i="5"/>
  <c r="R34" i="5"/>
  <c r="R30" i="5"/>
  <c r="N35" i="5"/>
  <c r="N26" i="5"/>
  <c r="N25" i="5"/>
  <c r="N30" i="5"/>
  <c r="H29" i="5"/>
  <c r="H34" i="5"/>
  <c r="H27" i="5"/>
  <c r="H31" i="5"/>
  <c r="H32" i="5"/>
  <c r="H28" i="5"/>
  <c r="H30" i="5"/>
  <c r="H35" i="5"/>
  <c r="H33" i="5"/>
  <c r="AX14" i="5"/>
  <c r="AX15" i="5"/>
  <c r="AX9" i="5"/>
  <c r="AX8" i="5"/>
  <c r="AX11" i="5"/>
  <c r="AX13" i="5"/>
  <c r="AX10" i="5"/>
  <c r="AV15" i="5"/>
  <c r="AV16" i="5"/>
  <c r="AV14" i="5"/>
  <c r="AV6" i="5"/>
  <c r="AV17" i="5"/>
  <c r="AV11" i="5"/>
  <c r="AV7" i="5"/>
  <c r="AV13" i="5"/>
  <c r="AV10" i="5"/>
  <c r="AR9" i="5"/>
  <c r="AR12" i="5"/>
  <c r="AR6" i="5"/>
  <c r="AR17" i="5"/>
  <c r="AR13" i="5"/>
  <c r="AR10" i="5"/>
  <c r="AR8" i="5"/>
  <c r="AR14" i="5"/>
  <c r="AR11" i="5"/>
  <c r="AJ13" i="5"/>
  <c r="AJ11" i="5"/>
  <c r="AJ16" i="5"/>
  <c r="AJ8" i="5"/>
  <c r="AJ15" i="5"/>
  <c r="AJ10" i="5"/>
  <c r="AJ7" i="5"/>
  <c r="AJ6" i="5"/>
  <c r="AH8" i="5"/>
  <c r="AH9" i="5"/>
  <c r="AH16" i="5"/>
  <c r="AH13" i="5"/>
  <c r="AH10" i="5"/>
  <c r="AH6" i="5"/>
  <c r="AH17" i="5"/>
  <c r="AH15" i="5"/>
  <c r="AH7" i="5"/>
  <c r="AD12" i="5"/>
  <c r="AD7" i="5"/>
  <c r="AD15" i="5"/>
  <c r="AD13" i="5"/>
  <c r="AD14" i="5"/>
  <c r="AB15" i="5"/>
  <c r="AB16" i="5"/>
  <c r="AB8" i="5"/>
  <c r="AB9" i="5"/>
  <c r="AB6" i="5"/>
  <c r="AB17" i="5"/>
  <c r="AB10" i="5"/>
  <c r="AB7" i="5"/>
  <c r="AB12" i="5"/>
  <c r="P7" i="5"/>
  <c r="P13" i="5"/>
  <c r="J8" i="5"/>
  <c r="J7" i="5"/>
  <c r="J9" i="5"/>
  <c r="J11" i="5"/>
  <c r="H10" i="5"/>
  <c r="H6" i="5"/>
  <c r="H11" i="5"/>
  <c r="CB16" i="8"/>
  <c r="BT25" i="8"/>
  <c r="BV26" i="8"/>
  <c r="F100" i="24"/>
  <c r="F61" i="24"/>
  <c r="F30" i="24"/>
  <c r="F31" i="24" s="1"/>
  <c r="D35" i="17"/>
  <c r="O124" i="11"/>
  <c r="AJ17" i="5"/>
  <c r="O119" i="11"/>
  <c r="O123" i="11"/>
  <c r="O126" i="11"/>
  <c r="H117" i="11"/>
  <c r="O128" i="11"/>
  <c r="O120" i="11"/>
  <c r="O118" i="11"/>
  <c r="O127" i="11"/>
  <c r="H9" i="5"/>
  <c r="H12" i="5"/>
  <c r="D29" i="5"/>
  <c r="F35" i="5"/>
  <c r="F29" i="5"/>
  <c r="F14" i="5"/>
  <c r="F16" i="5"/>
  <c r="F15" i="5"/>
  <c r="F13" i="5"/>
  <c r="F6" i="5"/>
  <c r="F12" i="5"/>
  <c r="F9" i="5"/>
  <c r="D7" i="5"/>
  <c r="D8" i="5"/>
  <c r="D12" i="5"/>
  <c r="D15" i="5"/>
  <c r="O121" i="11"/>
  <c r="O122" i="11"/>
  <c r="O125" i="11"/>
  <c r="O117" i="11"/>
  <c r="D42" i="18"/>
  <c r="D18" i="18"/>
  <c r="D21" i="18"/>
  <c r="D38" i="18"/>
  <c r="P66" i="11"/>
  <c r="J66" i="11"/>
  <c r="L66" i="11" s="1"/>
  <c r="Y8" i="9"/>
  <c r="Y6" i="9"/>
  <c r="Z6" i="9"/>
  <c r="N9" i="11"/>
  <c r="P9" i="11" s="1"/>
  <c r="Y7" i="9"/>
  <c r="BA8" i="8"/>
  <c r="BN7" i="8"/>
  <c r="BP7" i="8" s="1"/>
  <c r="E105" i="11"/>
  <c r="E74" i="11"/>
  <c r="M47" i="8"/>
  <c r="J30" i="11"/>
  <c r="J58" i="11"/>
  <c r="N128" i="11"/>
  <c r="J22" i="11"/>
  <c r="J20" i="11"/>
  <c r="J19" i="11"/>
  <c r="J23" i="11"/>
  <c r="J28" i="11"/>
  <c r="J27" i="11"/>
  <c r="J21" i="11"/>
  <c r="N121" i="11"/>
  <c r="J51" i="11"/>
  <c r="N117" i="11"/>
  <c r="J47" i="11"/>
  <c r="J25" i="11"/>
  <c r="J26" i="11"/>
  <c r="N125" i="11"/>
  <c r="J55" i="11"/>
  <c r="J29" i="11"/>
  <c r="J24" i="11"/>
  <c r="J56" i="11"/>
  <c r="N126" i="11"/>
  <c r="N118" i="11"/>
  <c r="J48" i="11"/>
  <c r="N120" i="11"/>
  <c r="J50" i="11"/>
  <c r="D19" i="17"/>
  <c r="D37" i="17"/>
  <c r="N124" i="11"/>
  <c r="J54" i="11"/>
  <c r="N127" i="11"/>
  <c r="J57" i="11"/>
  <c r="N122" i="11"/>
  <c r="J52" i="11"/>
  <c r="N123" i="11"/>
  <c r="J53" i="11"/>
  <c r="N119" i="11"/>
  <c r="J49" i="11"/>
  <c r="J35" i="5"/>
  <c r="J31" i="5"/>
  <c r="J27" i="5"/>
  <c r="J25" i="5"/>
  <c r="J33" i="5"/>
  <c r="J34" i="5"/>
  <c r="J29" i="5"/>
  <c r="J36" i="5"/>
  <c r="J28" i="5"/>
  <c r="J32" i="5"/>
  <c r="J26" i="5"/>
  <c r="J6" i="5"/>
  <c r="L35" i="5"/>
  <c r="L31" i="5"/>
  <c r="L28" i="5"/>
  <c r="L30" i="5"/>
  <c r="L25" i="5"/>
  <c r="L36" i="5"/>
  <c r="L34" i="5"/>
  <c r="L33" i="5"/>
  <c r="L27" i="5"/>
  <c r="L32" i="5"/>
  <c r="L26" i="5"/>
  <c r="Y10" i="9"/>
  <c r="X10" i="9"/>
  <c r="Z10" i="9"/>
  <c r="N11" i="11"/>
  <c r="R11" i="11"/>
  <c r="N39" i="11"/>
  <c r="K10" i="9"/>
  <c r="P11" i="11"/>
  <c r="Z11" i="9"/>
  <c r="P40" i="11"/>
  <c r="V11" i="9"/>
  <c r="N34" i="5"/>
  <c r="N27" i="5"/>
  <c r="N36" i="5"/>
  <c r="N29" i="5"/>
  <c r="N33" i="5"/>
  <c r="N31" i="5"/>
  <c r="N28" i="5"/>
  <c r="N10" i="5"/>
  <c r="N15" i="5"/>
  <c r="N16" i="5"/>
  <c r="N11" i="5"/>
  <c r="N6" i="5"/>
  <c r="N14" i="5"/>
  <c r="N8" i="5"/>
  <c r="N9" i="5"/>
  <c r="N12" i="5"/>
  <c r="N13" i="5"/>
  <c r="P61" i="11"/>
  <c r="H75" i="11"/>
  <c r="R75" i="11"/>
  <c r="S75" i="11"/>
  <c r="E39" i="11"/>
  <c r="M39" i="8"/>
  <c r="S8" i="11"/>
  <c r="E7" i="11"/>
  <c r="T7" i="11" s="1"/>
  <c r="R35" i="11"/>
  <c r="BA23" i="8"/>
  <c r="CO24" i="8"/>
  <c r="BA28" i="8"/>
  <c r="CO23" i="8"/>
  <c r="CO29" i="8"/>
  <c r="CO27" i="8"/>
  <c r="CO25" i="8"/>
  <c r="CO21" i="8"/>
  <c r="CO9" i="8"/>
  <c r="BA18" i="8"/>
  <c r="BA22" i="8"/>
  <c r="BS9" i="8"/>
  <c r="BN9" i="8"/>
  <c r="BN30" i="8"/>
  <c r="BP30" i="8" s="1"/>
  <c r="BU30" i="8"/>
  <c r="BZ25" i="8"/>
  <c r="BN25" i="8"/>
  <c r="BP25" i="8" s="1"/>
  <c r="BU12" i="8"/>
  <c r="BU26" i="8"/>
  <c r="BN26" i="8"/>
  <c r="BA16" i="8"/>
  <c r="CO30" i="8"/>
  <c r="CO26" i="8"/>
  <c r="CO22" i="8"/>
  <c r="CO12" i="8"/>
  <c r="CO10" i="8"/>
  <c r="BN27" i="8"/>
  <c r="BP27" i="8" s="1"/>
  <c r="BS22" i="8"/>
  <c r="BN23" i="8"/>
  <c r="BP23" i="8" s="1"/>
  <c r="BU8" i="8"/>
  <c r="BA17" i="8"/>
  <c r="BA25" i="8"/>
  <c r="Y12" i="9"/>
  <c r="Z12" i="9" s="1"/>
  <c r="V12" i="9"/>
  <c r="X12" i="9"/>
  <c r="N41" i="11"/>
  <c r="P41" i="11"/>
  <c r="K12" i="9"/>
  <c r="N13" i="11"/>
  <c r="P25" i="5"/>
  <c r="P30" i="5"/>
  <c r="P29" i="5"/>
  <c r="P34" i="5"/>
  <c r="P32" i="5"/>
  <c r="P36" i="5"/>
  <c r="P31" i="5"/>
  <c r="P35" i="5"/>
  <c r="P26" i="5"/>
  <c r="BA13" i="8"/>
  <c r="CO13" i="8"/>
  <c r="R13" i="11"/>
  <c r="P13" i="11"/>
  <c r="P35" i="11"/>
  <c r="E108" i="11"/>
  <c r="D129" i="11"/>
  <c r="E66" i="11"/>
  <c r="S10" i="11"/>
  <c r="M148" i="8"/>
  <c r="C98" i="11"/>
  <c r="E80" i="11"/>
  <c r="E76" i="11"/>
  <c r="H74" i="11"/>
  <c r="S39" i="11"/>
  <c r="G109" i="11"/>
  <c r="H109" i="11" s="1"/>
  <c r="R12" i="11"/>
  <c r="H92" i="11"/>
  <c r="S9" i="11"/>
  <c r="E9" i="11"/>
  <c r="P57" i="11"/>
  <c r="H121" i="11"/>
  <c r="H119" i="11"/>
  <c r="S7" i="11"/>
  <c r="M136" i="8"/>
  <c r="C129" i="11"/>
  <c r="J61" i="11"/>
  <c r="E78" i="11"/>
  <c r="R41" i="11"/>
  <c r="H126" i="11"/>
  <c r="R39" i="11"/>
  <c r="E61" i="11"/>
  <c r="S61" i="11"/>
  <c r="S66" i="11" s="1"/>
  <c r="H78" i="11"/>
  <c r="R78" i="11"/>
  <c r="S78" i="11" s="1"/>
  <c r="R74" i="11"/>
  <c r="S74" i="11" s="1"/>
  <c r="X13" i="9"/>
  <c r="Z13" i="9" s="1"/>
  <c r="K13" i="9"/>
  <c r="N42" i="11"/>
  <c r="V13" i="9"/>
  <c r="N14" i="11"/>
  <c r="R14" i="11" s="1"/>
  <c r="R29" i="5"/>
  <c r="R26" i="5"/>
  <c r="R33" i="5"/>
  <c r="R28" i="5"/>
  <c r="R9" i="5"/>
  <c r="R12" i="5"/>
  <c r="R7" i="5"/>
  <c r="R6" i="5"/>
  <c r="R10" i="5"/>
  <c r="R13" i="5"/>
  <c r="R16" i="5"/>
  <c r="R11" i="5"/>
  <c r="R8" i="5"/>
  <c r="R14" i="5"/>
  <c r="BN14" i="8"/>
  <c r="H77" i="11"/>
  <c r="R77" i="11" s="1"/>
  <c r="S77" i="11" s="1"/>
  <c r="P42" i="11"/>
  <c r="P14" i="11"/>
  <c r="BP26" i="8" l="1"/>
  <c r="BA11" i="8"/>
  <c r="BA14" i="8"/>
  <c r="BP14" i="8" s="1"/>
  <c r="CO28" i="8"/>
  <c r="CO20" i="8"/>
  <c r="BN13" i="8"/>
  <c r="BN22" i="8"/>
  <c r="BP22" i="8" s="1"/>
  <c r="BN21" i="8"/>
  <c r="BP21" i="8" s="1"/>
  <c r="BN10" i="8"/>
  <c r="BA20" i="8"/>
  <c r="BP28" i="8"/>
  <c r="BP24" i="8"/>
  <c r="CO19" i="8"/>
  <c r="CO11" i="8"/>
  <c r="CO8" i="8"/>
  <c r="CO7" i="8"/>
  <c r="BP13" i="8"/>
  <c r="BN12" i="8"/>
  <c r="BN8" i="8"/>
  <c r="BP8" i="8" s="1"/>
  <c r="BV29" i="8"/>
  <c r="BN29" i="8"/>
  <c r="BP29" i="8" s="1"/>
  <c r="L6" i="5"/>
  <c r="L10" i="5"/>
  <c r="L13" i="5"/>
  <c r="L14" i="5"/>
  <c r="L15" i="5"/>
  <c r="L9" i="5"/>
  <c r="L16" i="5"/>
  <c r="L7" i="5"/>
  <c r="L12" i="5"/>
  <c r="L11" i="5"/>
  <c r="T29" i="5"/>
  <c r="T34" i="5"/>
  <c r="T28" i="5"/>
  <c r="T27" i="5"/>
  <c r="T30" i="5"/>
  <c r="T31" i="5"/>
  <c r="T36" i="5"/>
  <c r="T35" i="5"/>
  <c r="T25" i="5"/>
  <c r="T32" i="5"/>
  <c r="T26" i="5"/>
  <c r="T33" i="5"/>
  <c r="B59" i="5"/>
  <c r="S45" i="5"/>
  <c r="AM43" i="5"/>
  <c r="Q47" i="5"/>
  <c r="AC52" i="5"/>
  <c r="W49" i="5"/>
  <c r="AM45" i="5"/>
  <c r="AI51" i="5"/>
  <c r="AS46" i="5"/>
  <c r="U49" i="5"/>
  <c r="I44" i="5"/>
  <c r="AQ49" i="5"/>
  <c r="AO49" i="5"/>
  <c r="E48" i="5"/>
  <c r="AI52" i="5"/>
  <c r="Y52" i="5"/>
  <c r="E49" i="5"/>
  <c r="AM44" i="5"/>
  <c r="Q44" i="5"/>
  <c r="I52" i="5"/>
  <c r="Q46" i="5"/>
  <c r="W45" i="5"/>
  <c r="G48" i="5"/>
  <c r="O49" i="5"/>
  <c r="Q49" i="5"/>
  <c r="AA50" i="5"/>
  <c r="K46" i="5"/>
  <c r="E46" i="5"/>
  <c r="C43" i="5"/>
  <c r="M47" i="5"/>
  <c r="I46" i="5"/>
  <c r="AS53" i="5"/>
  <c r="AU47" i="5"/>
  <c r="C52" i="5"/>
  <c r="AA48" i="5"/>
  <c r="I47" i="5"/>
  <c r="O43" i="5"/>
  <c r="G46" i="5"/>
  <c r="AU50" i="5"/>
  <c r="AI53" i="5"/>
  <c r="AI44" i="5"/>
  <c r="AC50" i="5"/>
  <c r="AG49" i="5"/>
  <c r="AO44" i="5"/>
  <c r="AA44" i="5"/>
  <c r="O53" i="5"/>
  <c r="U51" i="5"/>
  <c r="AU51" i="5"/>
  <c r="AU43" i="5"/>
  <c r="O48" i="5"/>
  <c r="AI43" i="5"/>
  <c r="AO46" i="5"/>
  <c r="AC48" i="5"/>
  <c r="AC51" i="5"/>
  <c r="AW46" i="5"/>
  <c r="AE47" i="5"/>
  <c r="U44" i="5"/>
  <c r="AS51" i="5"/>
  <c r="E53" i="5"/>
  <c r="AG44" i="5"/>
  <c r="C48" i="5"/>
  <c r="AM53" i="5"/>
  <c r="G43" i="5"/>
  <c r="AA45" i="5"/>
  <c r="E51" i="5"/>
  <c r="C49" i="5"/>
  <c r="AW50" i="5"/>
  <c r="M51" i="5"/>
  <c r="AM47" i="5"/>
  <c r="AW53" i="5"/>
  <c r="AI48" i="5"/>
  <c r="AO48" i="5"/>
  <c r="M44" i="5"/>
  <c r="AC49" i="5"/>
  <c r="W46" i="5"/>
  <c r="U46" i="5"/>
  <c r="G51" i="5"/>
  <c r="O44" i="5"/>
  <c r="AA52" i="5"/>
  <c r="C46" i="5"/>
  <c r="AE50" i="5"/>
  <c r="AO45" i="5"/>
  <c r="Q51" i="5"/>
  <c r="M53" i="5"/>
  <c r="G50" i="5"/>
  <c r="AG53" i="5"/>
  <c r="AU45" i="5"/>
  <c r="E44" i="5"/>
  <c r="Y48" i="5"/>
  <c r="AE49" i="5"/>
  <c r="W50" i="5"/>
  <c r="K43" i="5"/>
  <c r="AM51" i="5"/>
  <c r="W53" i="5"/>
  <c r="O47" i="5"/>
  <c r="AA43" i="5"/>
  <c r="AW48" i="5"/>
  <c r="G49" i="5"/>
  <c r="AK53" i="5"/>
  <c r="AK44" i="5"/>
  <c r="S48" i="5"/>
  <c r="M45" i="5"/>
  <c r="E47" i="5"/>
  <c r="K47" i="5"/>
  <c r="AM48" i="5"/>
  <c r="S52" i="5"/>
  <c r="AC44" i="5"/>
  <c r="AO47" i="5"/>
  <c r="K45" i="5"/>
  <c r="O46" i="5"/>
  <c r="AQ53" i="5"/>
  <c r="AI45" i="5"/>
  <c r="AA49" i="5"/>
  <c r="AW45" i="5"/>
  <c r="Q52" i="5"/>
  <c r="I50" i="5"/>
  <c r="AS44" i="5"/>
  <c r="Y43" i="5"/>
  <c r="S47" i="5"/>
  <c r="AW44" i="5"/>
  <c r="AK49" i="5"/>
  <c r="O45" i="5"/>
  <c r="Y46" i="5"/>
  <c r="AQ43" i="5"/>
  <c r="O51" i="5"/>
  <c r="AE52" i="5"/>
  <c r="Y50" i="5"/>
  <c r="S49" i="5"/>
  <c r="O52" i="5"/>
  <c r="Y53" i="5"/>
  <c r="AK52" i="5"/>
  <c r="W43" i="5"/>
  <c r="AE53" i="5"/>
  <c r="AG46" i="5"/>
  <c r="AE51" i="5"/>
  <c r="I51" i="5"/>
  <c r="AK51" i="5"/>
  <c r="S50" i="5"/>
  <c r="AQ45" i="5"/>
  <c r="C47" i="5"/>
  <c r="Q48" i="5"/>
  <c r="S44" i="5"/>
  <c r="S43" i="5"/>
  <c r="G47" i="5"/>
  <c r="AA47" i="5"/>
  <c r="C53" i="5"/>
  <c r="AS50" i="5"/>
  <c r="E52" i="5"/>
  <c r="AG43" i="5"/>
  <c r="AK46" i="5"/>
  <c r="S46" i="5"/>
  <c r="I43" i="5"/>
  <c r="AC47" i="5"/>
  <c r="W44" i="5"/>
  <c r="AS49" i="5"/>
  <c r="AO53" i="5"/>
  <c r="C50" i="5"/>
  <c r="C44" i="5"/>
  <c r="U47" i="5"/>
  <c r="AS43" i="5"/>
  <c r="K44" i="5"/>
  <c r="AI50" i="5"/>
  <c r="AE44" i="5"/>
  <c r="Q45" i="5"/>
  <c r="AS52" i="5"/>
  <c r="AG50" i="5"/>
  <c r="AK43" i="5"/>
  <c r="AC46" i="5"/>
  <c r="AI47" i="5"/>
  <c r="M48" i="5"/>
  <c r="U53" i="5"/>
  <c r="W47" i="5"/>
  <c r="AA46" i="5"/>
  <c r="I45" i="5"/>
  <c r="AU44" i="5"/>
  <c r="AS47" i="5"/>
  <c r="E50" i="5"/>
  <c r="AI49" i="5"/>
  <c r="C45" i="5"/>
  <c r="G53" i="5"/>
  <c r="U48" i="5"/>
  <c r="AA51" i="5"/>
  <c r="U52" i="5"/>
  <c r="M50" i="5"/>
  <c r="K52" i="5"/>
  <c r="M49" i="5"/>
  <c r="AO51" i="5"/>
  <c r="AK48" i="5"/>
  <c r="W51" i="5"/>
  <c r="Y49" i="5"/>
  <c r="M43" i="5"/>
  <c r="U43" i="5"/>
  <c r="K49" i="5"/>
  <c r="AE46" i="5"/>
  <c r="AM50" i="5"/>
  <c r="AU48" i="5"/>
  <c r="AO52" i="5"/>
  <c r="Q43" i="5"/>
  <c r="AE45" i="5"/>
  <c r="M46" i="5"/>
  <c r="Y45" i="5"/>
  <c r="AU53" i="5"/>
  <c r="G52" i="5"/>
  <c r="AQ52" i="5"/>
  <c r="AU52" i="5"/>
  <c r="AO50" i="5"/>
  <c r="K53" i="5"/>
  <c r="Y51" i="5"/>
  <c r="I48" i="5"/>
  <c r="K48" i="5"/>
  <c r="AW47" i="5"/>
  <c r="AQ47" i="5"/>
  <c r="W52" i="5"/>
  <c r="AQ51" i="5"/>
  <c r="AM46" i="5"/>
  <c r="G44" i="5"/>
  <c r="AQ48" i="5"/>
  <c r="K51" i="5"/>
  <c r="K50" i="5"/>
  <c r="AQ44" i="5"/>
  <c r="S51" i="5"/>
  <c r="AC45" i="5"/>
  <c r="AG52" i="5"/>
  <c r="R37" i="11"/>
  <c r="D37" i="11"/>
  <c r="G76" i="11"/>
  <c r="R80" i="11"/>
  <c r="S80" i="11" s="1"/>
  <c r="H80" i="11"/>
  <c r="AC53" i="5"/>
  <c r="AQ46" i="5"/>
  <c r="BS11" i="8"/>
  <c r="BN11" i="8"/>
  <c r="BP11" i="8" s="1"/>
  <c r="R36" i="11"/>
  <c r="G106" i="11"/>
  <c r="H106" i="11" s="1"/>
  <c r="S36" i="11"/>
  <c r="E36" i="11"/>
  <c r="S11" i="11"/>
  <c r="M152" i="8"/>
  <c r="R17" i="5"/>
  <c r="AW51" i="5"/>
  <c r="AM49" i="5"/>
  <c r="AW49" i="5"/>
  <c r="E45" i="5"/>
  <c r="L8" i="5"/>
  <c r="P10" i="11"/>
  <c r="Z29" i="9"/>
  <c r="X24" i="9"/>
  <c r="K24" i="9"/>
  <c r="X21" i="9"/>
  <c r="K21" i="9"/>
  <c r="V21" i="9"/>
  <c r="X9" i="9"/>
  <c r="Z9" i="9" s="1"/>
  <c r="N38" i="11"/>
  <c r="K9" i="9"/>
  <c r="N10" i="11"/>
  <c r="V9" i="9"/>
  <c r="N37" i="11"/>
  <c r="P37" i="11" s="1"/>
  <c r="V8" i="9"/>
  <c r="X8" i="9"/>
  <c r="K8" i="9"/>
  <c r="N36" i="11"/>
  <c r="P36" i="11" s="1"/>
  <c r="V7" i="9"/>
  <c r="K7" i="9"/>
  <c r="N8" i="11"/>
  <c r="P8" i="11" s="1"/>
  <c r="X7" i="9"/>
  <c r="Z7" i="9" s="1"/>
  <c r="R9" i="11"/>
  <c r="N17" i="5"/>
  <c r="F64" i="24"/>
  <c r="G68" i="24" s="1"/>
  <c r="G76" i="24" s="1"/>
  <c r="Z18" i="9"/>
  <c r="P15" i="5"/>
  <c r="P16" i="5"/>
  <c r="P11" i="5"/>
  <c r="P14" i="5"/>
  <c r="P6" i="5"/>
  <c r="P8" i="5"/>
  <c r="P9" i="5"/>
  <c r="P12" i="5"/>
  <c r="T9" i="11"/>
  <c r="Z8" i="9"/>
  <c r="BX20" i="8"/>
  <c r="BN20" i="8"/>
  <c r="BP20" i="8" s="1"/>
  <c r="O40" i="24"/>
  <c r="O36" i="24"/>
  <c r="O38" i="24" s="1"/>
  <c r="E21" i="24"/>
  <c r="F21" i="24" s="1"/>
  <c r="E12" i="24"/>
  <c r="F12" i="24" s="1"/>
  <c r="F13" i="24" s="1"/>
  <c r="F20" i="24" s="1"/>
  <c r="D9" i="5"/>
  <c r="D13" i="5"/>
  <c r="J14" i="5"/>
  <c r="J13" i="5"/>
  <c r="AT15" i="5"/>
  <c r="AT13" i="5"/>
  <c r="AT9" i="5"/>
  <c r="AT8" i="5"/>
  <c r="AT11" i="5"/>
  <c r="Y24" i="9"/>
  <c r="Z24" i="9" s="1"/>
  <c r="V24" i="9"/>
  <c r="N52" i="11"/>
  <c r="N24" i="11"/>
  <c r="P24" i="11" s="1"/>
  <c r="K22" i="9"/>
  <c r="N23" i="11"/>
  <c r="P23" i="11" s="1"/>
  <c r="N51" i="11"/>
  <c r="P51" i="11" s="1"/>
  <c r="N21" i="11"/>
  <c r="P21" i="11" s="1"/>
  <c r="Y20" i="9"/>
  <c r="Z20" i="9" s="1"/>
  <c r="BA15" i="8"/>
  <c r="AM15" i="8"/>
  <c r="AZ9" i="8"/>
  <c r="BA9" i="8"/>
  <c r="BP9" i="8" s="1"/>
  <c r="BA12" i="8"/>
  <c r="BP12" i="8" s="1"/>
  <c r="AZ12" i="8"/>
  <c r="BA19" i="8"/>
  <c r="D10" i="5"/>
  <c r="D16" i="5"/>
  <c r="J12" i="5"/>
  <c r="J10" i="5"/>
  <c r="P17" i="11"/>
  <c r="T17" i="11" s="1"/>
  <c r="R17" i="11"/>
  <c r="AT12" i="5"/>
  <c r="F11" i="5"/>
  <c r="F10" i="5"/>
  <c r="F17" i="5" s="1"/>
  <c r="AF26" i="5"/>
  <c r="AF30" i="5"/>
  <c r="AF28" i="5"/>
  <c r="AF31" i="5"/>
  <c r="AF25" i="5"/>
  <c r="AJ27" i="5"/>
  <c r="AJ30" i="5"/>
  <c r="AJ35" i="5"/>
  <c r="AJ28" i="5"/>
  <c r="AJ25" i="5"/>
  <c r="AJ31" i="5"/>
  <c r="AV36" i="5"/>
  <c r="AV27" i="5"/>
  <c r="AV25" i="5"/>
  <c r="AV34" i="5"/>
  <c r="AV29" i="5"/>
  <c r="H127" i="11"/>
  <c r="P45" i="11"/>
  <c r="R45" i="11"/>
  <c r="P39" i="11"/>
  <c r="T39" i="11" s="1"/>
  <c r="O59" i="11"/>
  <c r="O63" i="11" s="1"/>
  <c r="O64" i="11" s="1"/>
  <c r="P38" i="11"/>
  <c r="K29" i="9"/>
  <c r="X29" i="9"/>
  <c r="K26" i="9"/>
  <c r="X26" i="9"/>
  <c r="Z26" i="9" s="1"/>
  <c r="N26" i="11"/>
  <c r="P26" i="11" s="1"/>
  <c r="Y25" i="9"/>
  <c r="Z25" i="9" s="1"/>
  <c r="Z23" i="9"/>
  <c r="Z22" i="9"/>
  <c r="Z21" i="9"/>
  <c r="N47" i="11"/>
  <c r="P47" i="11" s="1"/>
  <c r="N19" i="11"/>
  <c r="P19" i="11" s="1"/>
  <c r="P50" i="11"/>
  <c r="P52" i="11"/>
  <c r="AX7" i="5"/>
  <c r="AX6" i="5"/>
  <c r="AX17" i="5" s="1"/>
  <c r="H84" i="11"/>
  <c r="R84" i="11" s="1"/>
  <c r="S84" i="11" s="1"/>
  <c r="D11" i="5"/>
  <c r="D6" i="5"/>
  <c r="D17" i="5" s="1"/>
  <c r="J16" i="5"/>
  <c r="J15" i="5"/>
  <c r="F111" i="24"/>
  <c r="F112" i="24" s="1"/>
  <c r="G114" i="24"/>
  <c r="V23" i="9"/>
  <c r="AT14" i="5"/>
  <c r="AT6" i="5"/>
  <c r="AT17" i="5" s="1"/>
  <c r="AV26" i="5"/>
  <c r="AT7" i="5"/>
  <c r="AF29" i="5"/>
  <c r="AJ29" i="5"/>
  <c r="H16" i="5"/>
  <c r="H14" i="5"/>
  <c r="H13" i="5"/>
  <c r="H8" i="5"/>
  <c r="H17" i="5" s="1"/>
  <c r="AD16" i="5"/>
  <c r="AD8" i="5"/>
  <c r="H25" i="5"/>
  <c r="H36" i="5"/>
  <c r="R35" i="5"/>
  <c r="R31" i="5"/>
  <c r="R32" i="5"/>
  <c r="R27" i="5"/>
  <c r="V18" i="9"/>
  <c r="K6" i="9"/>
  <c r="V6" i="9"/>
  <c r="R7" i="11"/>
  <c r="G81" i="11"/>
  <c r="H81" i="11" s="1"/>
  <c r="N30" i="11"/>
  <c r="P30" i="11" s="1"/>
  <c r="Y16" i="9"/>
  <c r="Z16" i="9" s="1"/>
  <c r="I36" i="9"/>
  <c r="F33" i="9" s="1"/>
  <c r="C92" i="27"/>
  <c r="F92" i="27" s="1"/>
  <c r="R38" i="11"/>
  <c r="D13" i="11"/>
  <c r="E13" i="11" s="1"/>
  <c r="T13" i="11" s="1"/>
  <c r="D14" i="11"/>
  <c r="T45" i="11"/>
  <c r="N18" i="11"/>
  <c r="R18" i="11" s="1"/>
  <c r="D46" i="17"/>
  <c r="D24" i="17" s="1"/>
  <c r="D31" i="17" s="1"/>
  <c r="R42" i="11"/>
  <c r="D41" i="11"/>
  <c r="M115" i="24"/>
  <c r="O115" i="24" s="1"/>
  <c r="O119" i="24" s="1"/>
  <c r="E101" i="24" s="1"/>
  <c r="F101" i="24" s="1"/>
  <c r="F103" i="24" s="1"/>
  <c r="G107" i="24" s="1"/>
  <c r="G115" i="24" s="1"/>
  <c r="D35" i="11"/>
  <c r="BA10" i="8"/>
  <c r="BP10" i="8" s="1"/>
  <c r="Q24" i="26"/>
  <c r="D12" i="11" s="1"/>
  <c r="CO14" i="8"/>
  <c r="E11" i="11"/>
  <c r="V23" i="25"/>
  <c r="C40" i="11" s="1"/>
  <c r="R40" i="11" s="1"/>
  <c r="D79" i="11"/>
  <c r="S32" i="26"/>
  <c r="D42" i="11" s="1"/>
  <c r="R82" i="11"/>
  <c r="S82" i="11" s="1"/>
  <c r="D38" i="11"/>
  <c r="D40" i="11"/>
  <c r="S43" i="11"/>
  <c r="BN19" i="8"/>
  <c r="BP19" i="8" s="1"/>
  <c r="CO18" i="8"/>
  <c r="BN18" i="8"/>
  <c r="BP18" i="8" s="1"/>
  <c r="Z27" i="5"/>
  <c r="Z30" i="5"/>
  <c r="Z35" i="5"/>
  <c r="Z29" i="5"/>
  <c r="Z33" i="5"/>
  <c r="Z34" i="5"/>
  <c r="Z28" i="5"/>
  <c r="Z31" i="5"/>
  <c r="Z36" i="5"/>
  <c r="Z26" i="5"/>
  <c r="Z25" i="5"/>
  <c r="I32" i="8"/>
  <c r="Z16" i="5"/>
  <c r="Z10" i="5"/>
  <c r="Z12" i="5"/>
  <c r="Z13" i="5"/>
  <c r="Z14" i="5"/>
  <c r="Z15" i="5"/>
  <c r="Z11" i="5"/>
  <c r="Z7" i="5"/>
  <c r="Z8" i="5"/>
  <c r="Z6" i="5"/>
  <c r="H85" i="11"/>
  <c r="R85" i="11" s="1"/>
  <c r="S85" i="11" s="1"/>
  <c r="N46" i="11"/>
  <c r="R46" i="11" s="1"/>
  <c r="C93" i="27"/>
  <c r="P18" i="11"/>
  <c r="T18" i="11" s="1"/>
  <c r="H116" i="11"/>
  <c r="O32" i="9"/>
  <c r="V17" i="9"/>
  <c r="K17" i="9"/>
  <c r="P46" i="11"/>
  <c r="T46" i="11" s="1"/>
  <c r="X17" i="9"/>
  <c r="Z17" i="9" s="1"/>
  <c r="H115" i="11"/>
  <c r="X25" i="5"/>
  <c r="X31" i="5"/>
  <c r="X36" i="5"/>
  <c r="X33" i="5"/>
  <c r="X34" i="5"/>
  <c r="CO17" i="8"/>
  <c r="BN17" i="8"/>
  <c r="BP17" i="8" s="1"/>
  <c r="X17" i="5"/>
  <c r="T30" i="9"/>
  <c r="O30" i="9"/>
  <c r="I37" i="9"/>
  <c r="V16" i="9"/>
  <c r="E129" i="11"/>
  <c r="L61" i="11"/>
  <c r="O31" i="11"/>
  <c r="Z15" i="9"/>
  <c r="I30" i="9"/>
  <c r="K15" i="9"/>
  <c r="V15" i="9"/>
  <c r="N16" i="11"/>
  <c r="N44" i="11"/>
  <c r="V12" i="5"/>
  <c r="V11" i="5"/>
  <c r="V13" i="5"/>
  <c r="V8" i="5"/>
  <c r="V14" i="5"/>
  <c r="V10" i="5"/>
  <c r="V15" i="5"/>
  <c r="V16" i="5"/>
  <c r="V9" i="5"/>
  <c r="V7" i="5"/>
  <c r="CO16" i="8"/>
  <c r="BN16" i="8"/>
  <c r="BP16" i="8" s="1"/>
  <c r="T61" i="11"/>
  <c r="T66" i="11" s="1"/>
  <c r="H113" i="11"/>
  <c r="E8" i="11"/>
  <c r="T8" i="11" s="1"/>
  <c r="R8" i="11"/>
  <c r="R10" i="11"/>
  <c r="C31" i="11"/>
  <c r="E10" i="11"/>
  <c r="T10" i="11" s="1"/>
  <c r="T11" i="11"/>
  <c r="AY36" i="5"/>
  <c r="AZ36" i="5" s="1"/>
  <c r="V32" i="8"/>
  <c r="CO15" i="8"/>
  <c r="BN15" i="8"/>
  <c r="AY17" i="5"/>
  <c r="AZ13" i="5" s="1"/>
  <c r="T6" i="5"/>
  <c r="T15" i="5"/>
  <c r="T8" i="5"/>
  <c r="T16" i="5"/>
  <c r="T14" i="5"/>
  <c r="T10" i="5"/>
  <c r="T9" i="5"/>
  <c r="T13" i="5"/>
  <c r="T7" i="5"/>
  <c r="T12" i="5"/>
  <c r="T32" i="9"/>
  <c r="Y14" i="9"/>
  <c r="V14" i="9"/>
  <c r="N15" i="11"/>
  <c r="I32" i="9"/>
  <c r="I38" i="9"/>
  <c r="K14" i="9"/>
  <c r="D30" i="9"/>
  <c r="N43" i="11"/>
  <c r="R43" i="11" s="1"/>
  <c r="X14" i="9"/>
  <c r="S42" i="11" l="1"/>
  <c r="G112" i="11"/>
  <c r="H112" i="11" s="1"/>
  <c r="E42" i="11"/>
  <c r="T42" i="11" s="1"/>
  <c r="D20" i="17"/>
  <c r="D21" i="17" s="1"/>
  <c r="D33" i="17" s="1"/>
  <c r="S12" i="11"/>
  <c r="M156" i="8"/>
  <c r="E12" i="11"/>
  <c r="T12" i="11" s="1"/>
  <c r="D31" i="11"/>
  <c r="S31" i="11" s="1"/>
  <c r="G111" i="11"/>
  <c r="H111" i="11" s="1"/>
  <c r="S41" i="11"/>
  <c r="E41" i="11"/>
  <c r="T41" i="11" s="1"/>
  <c r="P17" i="5"/>
  <c r="T36" i="11"/>
  <c r="C59" i="11"/>
  <c r="C63" i="11" s="1"/>
  <c r="C64" i="11" s="1"/>
  <c r="L53" i="5"/>
  <c r="M54" i="5"/>
  <c r="N54" i="5" s="1"/>
  <c r="C54" i="5"/>
  <c r="D54" i="5" s="1"/>
  <c r="AA53" i="5"/>
  <c r="U45" i="5"/>
  <c r="E130" i="11"/>
  <c r="AY51" i="5"/>
  <c r="K54" i="5"/>
  <c r="L54" i="5" s="1"/>
  <c r="L43" i="5"/>
  <c r="C151" i="8" s="1"/>
  <c r="C33" i="9"/>
  <c r="S40" i="11"/>
  <c r="G110" i="11"/>
  <c r="H110" i="11" s="1"/>
  <c r="E40" i="11"/>
  <c r="T40" i="11" s="1"/>
  <c r="D98" i="11"/>
  <c r="E79" i="11"/>
  <c r="J17" i="5"/>
  <c r="BP15" i="8"/>
  <c r="G108" i="11"/>
  <c r="H108" i="11" s="1"/>
  <c r="S38" i="11"/>
  <c r="E38" i="11"/>
  <c r="T38" i="11" s="1"/>
  <c r="R81" i="11"/>
  <c r="S81" i="11" s="1"/>
  <c r="R76" i="11"/>
  <c r="S76" i="11" s="1"/>
  <c r="G98" i="11"/>
  <c r="H76" i="11"/>
  <c r="L51" i="5"/>
  <c r="K151" i="8" s="1"/>
  <c r="AY49" i="5"/>
  <c r="D44" i="5"/>
  <c r="D135" i="8" s="1"/>
  <c r="N45" i="5"/>
  <c r="E155" i="8" s="1"/>
  <c r="D49" i="5"/>
  <c r="I135" i="8" s="1"/>
  <c r="E43" i="5"/>
  <c r="Y44" i="5"/>
  <c r="AW43" i="5"/>
  <c r="AU46" i="5"/>
  <c r="W48" i="5"/>
  <c r="AY48" i="5" s="1"/>
  <c r="O50" i="5"/>
  <c r="AG51" i="5"/>
  <c r="I53" i="5"/>
  <c r="AG45" i="5"/>
  <c r="AG47" i="5"/>
  <c r="AK47" i="5"/>
  <c r="AO43" i="5"/>
  <c r="Q53" i="5"/>
  <c r="AE43" i="5"/>
  <c r="U50" i="5"/>
  <c r="AC43" i="5"/>
  <c r="Q50" i="5"/>
  <c r="P44" i="11"/>
  <c r="T44" i="11" s="1"/>
  <c r="R44" i="11"/>
  <c r="S13" i="11"/>
  <c r="M160" i="8"/>
  <c r="U54" i="5"/>
  <c r="V46" i="5" s="1"/>
  <c r="F171" i="8" s="1"/>
  <c r="L47" i="5"/>
  <c r="G151" i="8" s="1"/>
  <c r="AA54" i="5"/>
  <c r="AB54" i="5" s="1"/>
  <c r="P15" i="11"/>
  <c r="T15" i="11" s="1"/>
  <c r="R15" i="11"/>
  <c r="B33" i="9"/>
  <c r="D33" i="9"/>
  <c r="Y30" i="9"/>
  <c r="AY52" i="5"/>
  <c r="E35" i="11"/>
  <c r="G105" i="11"/>
  <c r="S35" i="11"/>
  <c r="D59" i="11"/>
  <c r="S14" i="11"/>
  <c r="E14" i="11"/>
  <c r="T14" i="11" s="1"/>
  <c r="M164" i="8"/>
  <c r="F22" i="24"/>
  <c r="G26" i="24" s="1"/>
  <c r="G34" i="24" s="1"/>
  <c r="S37" i="11"/>
  <c r="E37" i="11"/>
  <c r="T37" i="11" s="1"/>
  <c r="G107" i="11"/>
  <c r="H107" i="11" s="1"/>
  <c r="L49" i="5"/>
  <c r="I151" i="8" s="1"/>
  <c r="L52" i="5"/>
  <c r="L151" i="8" s="1"/>
  <c r="L44" i="5"/>
  <c r="D151" i="8" s="1"/>
  <c r="L45" i="5"/>
  <c r="E151" i="8" s="1"/>
  <c r="O54" i="5"/>
  <c r="P54" i="5" s="1"/>
  <c r="AG48" i="5"/>
  <c r="G45" i="5"/>
  <c r="Y47" i="5"/>
  <c r="AY47" i="5" s="1"/>
  <c r="AE48" i="5"/>
  <c r="AU49" i="5"/>
  <c r="I49" i="5"/>
  <c r="AS45" i="5"/>
  <c r="AS54" i="5" s="1"/>
  <c r="AS48" i="5"/>
  <c r="AK45" i="5"/>
  <c r="AW52" i="5"/>
  <c r="AI46" i="5"/>
  <c r="AY46" i="5" s="1"/>
  <c r="C51" i="5"/>
  <c r="M52" i="5"/>
  <c r="S53" i="5"/>
  <c r="AQ50" i="5"/>
  <c r="AM52" i="5"/>
  <c r="AK50" i="5"/>
  <c r="L17" i="5"/>
  <c r="Z17" i="5"/>
  <c r="C94" i="27"/>
  <c r="F105" i="27" s="1"/>
  <c r="F113" i="27" s="1"/>
  <c r="F93" i="27"/>
  <c r="F94" i="27" s="1"/>
  <c r="Y32" i="9"/>
  <c r="C130" i="11"/>
  <c r="N6" i="20" s="1"/>
  <c r="D130" i="11"/>
  <c r="O6" i="20" s="1"/>
  <c r="V32" i="9"/>
  <c r="V30" i="9"/>
  <c r="X32" i="9"/>
  <c r="R16" i="11"/>
  <c r="P16" i="11"/>
  <c r="T16" i="11" s="1"/>
  <c r="AZ27" i="5"/>
  <c r="AZ29" i="5"/>
  <c r="AZ30" i="5"/>
  <c r="V17" i="5"/>
  <c r="AZ9" i="5"/>
  <c r="AZ7" i="5"/>
  <c r="AZ8" i="5"/>
  <c r="E31" i="11"/>
  <c r="AZ25" i="5"/>
  <c r="AZ31" i="5"/>
  <c r="AZ34" i="5"/>
  <c r="AZ26" i="5"/>
  <c r="AZ35" i="5"/>
  <c r="AZ33" i="5"/>
  <c r="AZ28" i="5"/>
  <c r="AZ32" i="5"/>
  <c r="AZ14" i="5"/>
  <c r="AZ6" i="5"/>
  <c r="AZ10" i="5"/>
  <c r="AZ11" i="5"/>
  <c r="AZ16" i="5"/>
  <c r="AZ15" i="5"/>
  <c r="AZ12" i="5"/>
  <c r="T17" i="5"/>
  <c r="N31" i="11"/>
  <c r="R31" i="11" s="1"/>
  <c r="K30" i="9"/>
  <c r="K32" i="9"/>
  <c r="F34" i="9"/>
  <c r="P43" i="11"/>
  <c r="N59" i="11"/>
  <c r="Z14" i="9"/>
  <c r="Z30" i="9" s="1"/>
  <c r="X30" i="9"/>
  <c r="F172" i="8" l="1"/>
  <c r="F173" i="8" s="1"/>
  <c r="F74" i="8"/>
  <c r="F75" i="8" s="1"/>
  <c r="F76" i="8" s="1"/>
  <c r="AT54" i="5"/>
  <c r="AT50" i="5"/>
  <c r="J219" i="8" s="1"/>
  <c r="AT47" i="5"/>
  <c r="G219" i="8" s="1"/>
  <c r="AT52" i="5"/>
  <c r="L219" i="8" s="1"/>
  <c r="AT46" i="5"/>
  <c r="F219" i="8" s="1"/>
  <c r="AT53" i="5"/>
  <c r="AT51" i="5"/>
  <c r="K219" i="8" s="1"/>
  <c r="AT44" i="5"/>
  <c r="D219" i="8" s="1"/>
  <c r="AT49" i="5"/>
  <c r="I219" i="8" s="1"/>
  <c r="AT43" i="5"/>
  <c r="C219" i="8" s="1"/>
  <c r="P51" i="5"/>
  <c r="K159" i="8" s="1"/>
  <c r="E54" i="5"/>
  <c r="G99" i="11"/>
  <c r="AX52" i="5"/>
  <c r="L227" i="8" s="1"/>
  <c r="N44" i="5"/>
  <c r="D155" i="8" s="1"/>
  <c r="AB49" i="5"/>
  <c r="I183" i="8" s="1"/>
  <c r="P52" i="5"/>
  <c r="L159" i="8" s="1"/>
  <c r="AB47" i="5"/>
  <c r="G183" i="8" s="1"/>
  <c r="D50" i="5"/>
  <c r="J135" i="8" s="1"/>
  <c r="AB46" i="5"/>
  <c r="F183" i="8" s="1"/>
  <c r="N47" i="5"/>
  <c r="G155" i="8" s="1"/>
  <c r="AB45" i="5"/>
  <c r="E183" i="8" s="1"/>
  <c r="G54" i="8"/>
  <c r="G55" i="8" s="1"/>
  <c r="G152" i="8"/>
  <c r="G153" i="8" s="1"/>
  <c r="D47" i="5"/>
  <c r="G135" i="8" s="1"/>
  <c r="N46" i="5"/>
  <c r="F155" i="8" s="1"/>
  <c r="AC54" i="5"/>
  <c r="AD43" i="5"/>
  <c r="C187" i="8" s="1"/>
  <c r="AO54" i="5"/>
  <c r="AP43" i="5"/>
  <c r="C211" i="8" s="1"/>
  <c r="P46" i="5"/>
  <c r="F159" i="8" s="1"/>
  <c r="AB50" i="5"/>
  <c r="J183" i="8" s="1"/>
  <c r="AB53" i="5"/>
  <c r="D43" i="5"/>
  <c r="C135" i="8" s="1"/>
  <c r="D45" i="5"/>
  <c r="E135" i="8" s="1"/>
  <c r="N51" i="5"/>
  <c r="K155" i="8" s="1"/>
  <c r="N50" i="5"/>
  <c r="J155" i="8" s="1"/>
  <c r="E54" i="8"/>
  <c r="E55" i="8" s="1"/>
  <c r="E152" i="8"/>
  <c r="E153" i="8" s="1"/>
  <c r="I152" i="8"/>
  <c r="I153" i="8" s="1"/>
  <c r="I54" i="8"/>
  <c r="I55" i="8" s="1"/>
  <c r="P49" i="5"/>
  <c r="I159" i="8" s="1"/>
  <c r="P48" i="5"/>
  <c r="H159" i="8" s="1"/>
  <c r="E58" i="8"/>
  <c r="E59" i="8" s="1"/>
  <c r="E156" i="8"/>
  <c r="E157" i="8" s="1"/>
  <c r="D38" i="8"/>
  <c r="D39" i="8" s="1"/>
  <c r="D136" i="8"/>
  <c r="D137" i="8" s="1"/>
  <c r="K152" i="8"/>
  <c r="K153" i="8" s="1"/>
  <c r="K54" i="8"/>
  <c r="K55" i="8" s="1"/>
  <c r="AB48" i="5"/>
  <c r="H183" i="8" s="1"/>
  <c r="P59" i="11"/>
  <c r="T43" i="11"/>
  <c r="AY53" i="5"/>
  <c r="T53" i="5"/>
  <c r="N52" i="5"/>
  <c r="L155" i="8" s="1"/>
  <c r="AV49" i="5"/>
  <c r="I223" i="8" s="1"/>
  <c r="AB44" i="5"/>
  <c r="D183" i="8" s="1"/>
  <c r="D48" i="5"/>
  <c r="H135" i="8" s="1"/>
  <c r="D152" i="8"/>
  <c r="D153" i="8" s="1"/>
  <c r="D54" i="8"/>
  <c r="D55" i="8" s="1"/>
  <c r="H105" i="11"/>
  <c r="H129" i="11" s="1"/>
  <c r="G129" i="11"/>
  <c r="G130" i="11" s="1"/>
  <c r="D52" i="5"/>
  <c r="L135" i="8" s="1"/>
  <c r="N53" i="5"/>
  <c r="AY50" i="5"/>
  <c r="V50" i="5"/>
  <c r="J171" i="8" s="1"/>
  <c r="AL47" i="5"/>
  <c r="G203" i="8" s="1"/>
  <c r="AW54" i="5"/>
  <c r="D53" i="5"/>
  <c r="AB51" i="5"/>
  <c r="K183" i="8" s="1"/>
  <c r="L48" i="5"/>
  <c r="H151" i="8" s="1"/>
  <c r="H79" i="11"/>
  <c r="E98" i="11"/>
  <c r="P47" i="5"/>
  <c r="G159" i="8" s="1"/>
  <c r="S54" i="5"/>
  <c r="W54" i="5"/>
  <c r="AT45" i="5"/>
  <c r="E219" i="8" s="1"/>
  <c r="D63" i="11"/>
  <c r="D64" i="11" s="1"/>
  <c r="S59" i="11"/>
  <c r="S63" i="11" s="1"/>
  <c r="S64" i="11" s="1"/>
  <c r="V52" i="5"/>
  <c r="L171" i="8" s="1"/>
  <c r="V44" i="5"/>
  <c r="D171" i="8" s="1"/>
  <c r="V54" i="5"/>
  <c r="V48" i="5"/>
  <c r="H171" i="8" s="1"/>
  <c r="V49" i="5"/>
  <c r="I171" i="8" s="1"/>
  <c r="V53" i="5"/>
  <c r="V51" i="5"/>
  <c r="K171" i="8" s="1"/>
  <c r="V47" i="5"/>
  <c r="G171" i="8" s="1"/>
  <c r="R50" i="5"/>
  <c r="J163" i="8" s="1"/>
  <c r="I136" i="8"/>
  <c r="I137" i="8" s="1"/>
  <c r="I38" i="8"/>
  <c r="I39" i="8" s="1"/>
  <c r="C54" i="8"/>
  <c r="C152" i="8"/>
  <c r="C153" i="8" s="1"/>
  <c r="V45" i="5"/>
  <c r="E171" i="8" s="1"/>
  <c r="AI54" i="5"/>
  <c r="AJ46" i="5" s="1"/>
  <c r="F199" i="8" s="1"/>
  <c r="D51" i="5"/>
  <c r="K135" i="8" s="1"/>
  <c r="AT48" i="5"/>
  <c r="H219" i="8" s="1"/>
  <c r="P43" i="5"/>
  <c r="C159" i="8" s="1"/>
  <c r="AU54" i="5"/>
  <c r="AG54" i="5"/>
  <c r="L54" i="8"/>
  <c r="L55" i="8" s="1"/>
  <c r="L152" i="8"/>
  <c r="L153" i="8" s="1"/>
  <c r="E59" i="11"/>
  <c r="E63" i="11" s="1"/>
  <c r="E64" i="11" s="1"/>
  <c r="T35" i="11"/>
  <c r="AB43" i="5"/>
  <c r="C183" i="8" s="1"/>
  <c r="AQ54" i="5"/>
  <c r="I54" i="5"/>
  <c r="AE54" i="5"/>
  <c r="P50" i="5"/>
  <c r="J159" i="8" s="1"/>
  <c r="Y54" i="5"/>
  <c r="AY44" i="5"/>
  <c r="P53" i="5"/>
  <c r="P44" i="5"/>
  <c r="D159" i="8" s="1"/>
  <c r="P45" i="5"/>
  <c r="E159" i="8" s="1"/>
  <c r="N48" i="5"/>
  <c r="H155" i="8" s="1"/>
  <c r="N49" i="5"/>
  <c r="I155" i="8" s="1"/>
  <c r="Q54" i="5"/>
  <c r="AY43" i="5"/>
  <c r="AY54" i="5" s="1"/>
  <c r="AZ43" i="5" s="1"/>
  <c r="D46" i="5"/>
  <c r="F135" i="8" s="1"/>
  <c r="AM54" i="5"/>
  <c r="L46" i="5"/>
  <c r="F151" i="8" s="1"/>
  <c r="G54" i="5"/>
  <c r="AB52" i="5"/>
  <c r="L183" i="8" s="1"/>
  <c r="AK54" i="5"/>
  <c r="AL45" i="5" s="1"/>
  <c r="E203" i="8" s="1"/>
  <c r="N43" i="5"/>
  <c r="C155" i="8" s="1"/>
  <c r="L50" i="5"/>
  <c r="J151" i="8" s="1"/>
  <c r="AY45" i="5"/>
  <c r="V43" i="5"/>
  <c r="C171" i="8" s="1"/>
  <c r="Z32" i="9"/>
  <c r="P6" i="20"/>
  <c r="AZ51" i="5"/>
  <c r="AZ46" i="5"/>
  <c r="AZ54" i="5"/>
  <c r="AZ48" i="5"/>
  <c r="P31" i="11"/>
  <c r="T31" i="11" s="1"/>
  <c r="AZ17" i="5"/>
  <c r="P63" i="11"/>
  <c r="P64" i="11" s="1"/>
  <c r="T59" i="11"/>
  <c r="T63" i="11" s="1"/>
  <c r="T64" i="11" s="1"/>
  <c r="R59" i="11"/>
  <c r="R63" i="11" s="1"/>
  <c r="R64" i="11" s="1"/>
  <c r="N63" i="11"/>
  <c r="N64" i="11" s="1"/>
  <c r="F102" i="8" l="1"/>
  <c r="F103" i="8" s="1"/>
  <c r="F104" i="8" s="1"/>
  <c r="F200" i="8"/>
  <c r="F201" i="8" s="1"/>
  <c r="E106" i="8"/>
  <c r="E107" i="8" s="1"/>
  <c r="E108" i="8" s="1"/>
  <c r="E204" i="8"/>
  <c r="E205" i="8" s="1"/>
  <c r="H54" i="5"/>
  <c r="H52" i="5"/>
  <c r="L143" i="8" s="1"/>
  <c r="H49" i="5"/>
  <c r="I143" i="8" s="1"/>
  <c r="H44" i="5"/>
  <c r="D143" i="8" s="1"/>
  <c r="H50" i="5"/>
  <c r="J143" i="8" s="1"/>
  <c r="H47" i="5"/>
  <c r="G143" i="8" s="1"/>
  <c r="H51" i="5"/>
  <c r="K143" i="8" s="1"/>
  <c r="H43" i="5"/>
  <c r="C143" i="8" s="1"/>
  <c r="H48" i="5"/>
  <c r="H143" i="8" s="1"/>
  <c r="H53" i="5"/>
  <c r="H46" i="5"/>
  <c r="F143" i="8" s="1"/>
  <c r="J66" i="8"/>
  <c r="J67" i="8" s="1"/>
  <c r="J68" i="8" s="1"/>
  <c r="J164" i="8"/>
  <c r="J165" i="8" s="1"/>
  <c r="F58" i="8"/>
  <c r="F59" i="8" s="1"/>
  <c r="F156" i="8"/>
  <c r="F157" i="8" s="1"/>
  <c r="M155" i="8"/>
  <c r="C58" i="8"/>
  <c r="C156" i="8"/>
  <c r="C157" i="8" s="1"/>
  <c r="F54" i="8"/>
  <c r="F55" i="8" s="1"/>
  <c r="F152" i="8"/>
  <c r="F153" i="8" s="1"/>
  <c r="R54" i="5"/>
  <c r="R52" i="5"/>
  <c r="L163" i="8" s="1"/>
  <c r="R44" i="5"/>
  <c r="D163" i="8" s="1"/>
  <c r="R51" i="5"/>
  <c r="K163" i="8" s="1"/>
  <c r="R46" i="5"/>
  <c r="F163" i="8" s="1"/>
  <c r="R48" i="5"/>
  <c r="H163" i="8" s="1"/>
  <c r="R49" i="5"/>
  <c r="I163" i="8" s="1"/>
  <c r="R43" i="5"/>
  <c r="C163" i="8" s="1"/>
  <c r="R45" i="5"/>
  <c r="E163" i="8" s="1"/>
  <c r="R47" i="5"/>
  <c r="G163" i="8" s="1"/>
  <c r="D160" i="8"/>
  <c r="D161" i="8" s="1"/>
  <c r="D62" i="8"/>
  <c r="D63" i="8" s="1"/>
  <c r="J160" i="8"/>
  <c r="J161" i="8" s="1"/>
  <c r="J62" i="8"/>
  <c r="J63" i="8" s="1"/>
  <c r="J54" i="5"/>
  <c r="J47" i="5"/>
  <c r="G147" i="8" s="1"/>
  <c r="J44" i="5"/>
  <c r="D147" i="8" s="1"/>
  <c r="J48" i="5"/>
  <c r="H147" i="8" s="1"/>
  <c r="J46" i="5"/>
  <c r="F147" i="8" s="1"/>
  <c r="J43" i="5"/>
  <c r="C147" i="8" s="1"/>
  <c r="J50" i="5"/>
  <c r="J147" i="8" s="1"/>
  <c r="J52" i="5"/>
  <c r="L147" i="8" s="1"/>
  <c r="J51" i="5"/>
  <c r="K147" i="8" s="1"/>
  <c r="J45" i="5"/>
  <c r="E147" i="8" s="1"/>
  <c r="AV54" i="5"/>
  <c r="AV47" i="5"/>
  <c r="G223" i="8" s="1"/>
  <c r="AV48" i="5"/>
  <c r="H223" i="8" s="1"/>
  <c r="AV53" i="5"/>
  <c r="AV43" i="5"/>
  <c r="C223" i="8" s="1"/>
  <c r="AV52" i="5"/>
  <c r="L223" i="8" s="1"/>
  <c r="AV51" i="5"/>
  <c r="K223" i="8" s="1"/>
  <c r="AV44" i="5"/>
  <c r="D223" i="8" s="1"/>
  <c r="AV45" i="5"/>
  <c r="E223" i="8" s="1"/>
  <c r="AV50" i="5"/>
  <c r="J223" i="8" s="1"/>
  <c r="K136" i="8"/>
  <c r="K137" i="8" s="1"/>
  <c r="K38" i="8"/>
  <c r="K39" i="8" s="1"/>
  <c r="E74" i="8"/>
  <c r="E75" i="8" s="1"/>
  <c r="E76" i="8" s="1"/>
  <c r="E172" i="8"/>
  <c r="E173" i="8" s="1"/>
  <c r="G172" i="8"/>
  <c r="G173" i="8" s="1"/>
  <c r="G74" i="8"/>
  <c r="G75" i="8" s="1"/>
  <c r="G76" i="8" s="1"/>
  <c r="H74" i="8"/>
  <c r="H75" i="8" s="1"/>
  <c r="H76" i="8" s="1"/>
  <c r="H172" i="8"/>
  <c r="H173" i="8" s="1"/>
  <c r="X43" i="5"/>
  <c r="C175" i="8" s="1"/>
  <c r="X46" i="5"/>
  <c r="F175" i="8" s="1"/>
  <c r="X44" i="5"/>
  <c r="D175" i="8" s="1"/>
  <c r="X47" i="5"/>
  <c r="G175" i="8" s="1"/>
  <c r="X49" i="5"/>
  <c r="I175" i="8" s="1"/>
  <c r="X51" i="5"/>
  <c r="K175" i="8" s="1"/>
  <c r="X45" i="5"/>
  <c r="E175" i="8" s="1"/>
  <c r="X50" i="5"/>
  <c r="J175" i="8" s="1"/>
  <c r="X53" i="5"/>
  <c r="X52" i="5"/>
  <c r="L175" i="8" s="1"/>
  <c r="X54" i="5"/>
  <c r="R79" i="11"/>
  <c r="S79" i="11" s="1"/>
  <c r="H98" i="11"/>
  <c r="AX54" i="5"/>
  <c r="AX44" i="5"/>
  <c r="D227" i="8" s="1"/>
  <c r="AX49" i="5"/>
  <c r="I227" i="8" s="1"/>
  <c r="AX45" i="5"/>
  <c r="E227" i="8" s="1"/>
  <c r="AX48" i="5"/>
  <c r="H227" i="8" s="1"/>
  <c r="AX47" i="5"/>
  <c r="G227" i="8" s="1"/>
  <c r="AX50" i="5"/>
  <c r="J227" i="8" s="1"/>
  <c r="AX46" i="5"/>
  <c r="F227" i="8" s="1"/>
  <c r="AX53" i="5"/>
  <c r="AX51" i="5"/>
  <c r="K227" i="8" s="1"/>
  <c r="J172" i="8"/>
  <c r="J173" i="8" s="1"/>
  <c r="J74" i="8"/>
  <c r="J75" i="8" s="1"/>
  <c r="J76" i="8" s="1"/>
  <c r="H38" i="8"/>
  <c r="H39" i="8" s="1"/>
  <c r="H136" i="8"/>
  <c r="H137" i="8" s="1"/>
  <c r="H62" i="8"/>
  <c r="H63" i="8" s="1"/>
  <c r="H160" i="8"/>
  <c r="H161" i="8" s="1"/>
  <c r="E136" i="8"/>
  <c r="E137" i="8" s="1"/>
  <c r="E38" i="8"/>
  <c r="E39" i="8" s="1"/>
  <c r="F62" i="8"/>
  <c r="F63" i="8" s="1"/>
  <c r="F160" i="8"/>
  <c r="F161" i="8" s="1"/>
  <c r="AP54" i="5"/>
  <c r="AP47" i="5"/>
  <c r="G211" i="8" s="1"/>
  <c r="AP53" i="5"/>
  <c r="AP44" i="5"/>
  <c r="D211" i="8" s="1"/>
  <c r="AP51" i="5"/>
  <c r="K211" i="8" s="1"/>
  <c r="AP48" i="5"/>
  <c r="H211" i="8" s="1"/>
  <c r="AP50" i="5"/>
  <c r="J211" i="8" s="1"/>
  <c r="AP52" i="5"/>
  <c r="L211" i="8" s="1"/>
  <c r="AP49" i="5"/>
  <c r="I211" i="8" s="1"/>
  <c r="AP46" i="5"/>
  <c r="F211" i="8" s="1"/>
  <c r="AP45" i="5"/>
  <c r="E211" i="8" s="1"/>
  <c r="G136" i="8"/>
  <c r="G137" i="8" s="1"/>
  <c r="G38" i="8"/>
  <c r="G39" i="8" s="1"/>
  <c r="G58" i="8"/>
  <c r="G59" i="8" s="1"/>
  <c r="G156" i="8"/>
  <c r="G157" i="8" s="1"/>
  <c r="L160" i="8"/>
  <c r="L161" i="8" s="1"/>
  <c r="L62" i="8"/>
  <c r="L63" i="8" s="1"/>
  <c r="X48" i="5"/>
  <c r="H175" i="8" s="1"/>
  <c r="R53" i="5"/>
  <c r="I122" i="8"/>
  <c r="I123" i="8" s="1"/>
  <c r="I124" i="8" s="1"/>
  <c r="I220" i="8"/>
  <c r="I221" i="8" s="1"/>
  <c r="F122" i="8"/>
  <c r="F123" i="8" s="1"/>
  <c r="F124" i="8" s="1"/>
  <c r="F220" i="8"/>
  <c r="F221" i="8" s="1"/>
  <c r="Z46" i="5"/>
  <c r="F179" i="8" s="1"/>
  <c r="Z45" i="5"/>
  <c r="E179" i="8" s="1"/>
  <c r="Z54" i="5"/>
  <c r="Z48" i="5"/>
  <c r="H179" i="8" s="1"/>
  <c r="Z53" i="5"/>
  <c r="Z49" i="5"/>
  <c r="I179" i="8" s="1"/>
  <c r="Z51" i="5"/>
  <c r="K179" i="8" s="1"/>
  <c r="Z44" i="5"/>
  <c r="D179" i="8" s="1"/>
  <c r="Z43" i="5"/>
  <c r="C179" i="8" s="1"/>
  <c r="Z52" i="5"/>
  <c r="L179" i="8" s="1"/>
  <c r="Z50" i="5"/>
  <c r="J179" i="8" s="1"/>
  <c r="AH54" i="5"/>
  <c r="AH52" i="5"/>
  <c r="L195" i="8" s="1"/>
  <c r="AH49" i="5"/>
  <c r="I195" i="8" s="1"/>
  <c r="AH50" i="5"/>
  <c r="J195" i="8" s="1"/>
  <c r="AH43" i="5"/>
  <c r="C195" i="8" s="1"/>
  <c r="AH44" i="5"/>
  <c r="D195" i="8" s="1"/>
  <c r="AH46" i="5"/>
  <c r="F195" i="8" s="1"/>
  <c r="AH53" i="5"/>
  <c r="AJ54" i="5"/>
  <c r="AJ43" i="5"/>
  <c r="C199" i="8" s="1"/>
  <c r="AJ45" i="5"/>
  <c r="E199" i="8" s="1"/>
  <c r="AJ53" i="5"/>
  <c r="AJ47" i="5"/>
  <c r="G199" i="8" s="1"/>
  <c r="AJ48" i="5"/>
  <c r="H199" i="8" s="1"/>
  <c r="AJ51" i="5"/>
  <c r="K199" i="8" s="1"/>
  <c r="AJ52" i="5"/>
  <c r="L199" i="8" s="1"/>
  <c r="AJ49" i="5"/>
  <c r="I199" i="8" s="1"/>
  <c r="AJ50" i="5"/>
  <c r="J199" i="8" s="1"/>
  <c r="AJ44" i="5"/>
  <c r="D199" i="8" s="1"/>
  <c r="I74" i="8"/>
  <c r="I75" i="8" s="1"/>
  <c r="I76" i="8" s="1"/>
  <c r="I172" i="8"/>
  <c r="I173" i="8" s="1"/>
  <c r="C101" i="11"/>
  <c r="E99" i="11"/>
  <c r="L38" i="8"/>
  <c r="L39" i="8" s="1"/>
  <c r="L136" i="8"/>
  <c r="L137" i="8" s="1"/>
  <c r="Z47" i="5"/>
  <c r="G179" i="8" s="1"/>
  <c r="K156" i="8"/>
  <c r="K157" i="8" s="1"/>
  <c r="K58" i="8"/>
  <c r="K59" i="8" s="1"/>
  <c r="C114" i="8"/>
  <c r="M211" i="8"/>
  <c r="C212" i="8"/>
  <c r="C213" i="8" s="1"/>
  <c r="M213" i="8" s="1"/>
  <c r="G86" i="8"/>
  <c r="G87" i="8" s="1"/>
  <c r="G88" i="8" s="1"/>
  <c r="G184" i="8"/>
  <c r="G185" i="8" s="1"/>
  <c r="F54" i="5"/>
  <c r="F48" i="5"/>
  <c r="H139" i="8" s="1"/>
  <c r="F51" i="5"/>
  <c r="K139" i="8" s="1"/>
  <c r="F44" i="5"/>
  <c r="D139" i="8" s="1"/>
  <c r="F46" i="5"/>
  <c r="F139" i="8" s="1"/>
  <c r="F53" i="5"/>
  <c r="F49" i="5"/>
  <c r="I139" i="8" s="1"/>
  <c r="F45" i="5"/>
  <c r="E139" i="8" s="1"/>
  <c r="F50" i="5"/>
  <c r="J139" i="8" s="1"/>
  <c r="F52" i="5"/>
  <c r="L139" i="8" s="1"/>
  <c r="F47" i="5"/>
  <c r="G139" i="8" s="1"/>
  <c r="C122" i="8"/>
  <c r="M219" i="8"/>
  <c r="C220" i="8"/>
  <c r="C221" i="8" s="1"/>
  <c r="M221" i="8" s="1"/>
  <c r="AZ50" i="5"/>
  <c r="AZ52" i="5"/>
  <c r="AZ45" i="5"/>
  <c r="C74" i="8"/>
  <c r="C172" i="8"/>
  <c r="C173" i="8" s="1"/>
  <c r="AL54" i="5"/>
  <c r="AL53" i="5"/>
  <c r="AL46" i="5"/>
  <c r="F203" i="8" s="1"/>
  <c r="AL51" i="5"/>
  <c r="K203" i="8" s="1"/>
  <c r="AL49" i="5"/>
  <c r="I203" i="8" s="1"/>
  <c r="AL52" i="5"/>
  <c r="L203" i="8" s="1"/>
  <c r="AL43" i="5"/>
  <c r="C203" i="8" s="1"/>
  <c r="AL48" i="5"/>
  <c r="H203" i="8" s="1"/>
  <c r="AL44" i="5"/>
  <c r="D203" i="8" s="1"/>
  <c r="AN54" i="5"/>
  <c r="AN49" i="5"/>
  <c r="I207" i="8" s="1"/>
  <c r="AN53" i="5"/>
  <c r="AN44" i="5"/>
  <c r="D207" i="8" s="1"/>
  <c r="AN48" i="5"/>
  <c r="H207" i="8" s="1"/>
  <c r="AN47" i="5"/>
  <c r="G207" i="8" s="1"/>
  <c r="AN46" i="5"/>
  <c r="F207" i="8" s="1"/>
  <c r="AN43" i="5"/>
  <c r="C207" i="8" s="1"/>
  <c r="AN51" i="5"/>
  <c r="K207" i="8" s="1"/>
  <c r="AN50" i="5"/>
  <c r="J207" i="8" s="1"/>
  <c r="AN45" i="5"/>
  <c r="E207" i="8" s="1"/>
  <c r="I58" i="8"/>
  <c r="I59" i="8" s="1"/>
  <c r="I156" i="8"/>
  <c r="I157" i="8" s="1"/>
  <c r="AH47" i="5"/>
  <c r="G195" i="8" s="1"/>
  <c r="AR54" i="5"/>
  <c r="AR51" i="5"/>
  <c r="K215" i="8" s="1"/>
  <c r="AR43" i="5"/>
  <c r="C215" i="8" s="1"/>
  <c r="AR48" i="5"/>
  <c r="H215" i="8" s="1"/>
  <c r="AR52" i="5"/>
  <c r="L215" i="8" s="1"/>
  <c r="AR45" i="5"/>
  <c r="E215" i="8" s="1"/>
  <c r="AR53" i="5"/>
  <c r="AR47" i="5"/>
  <c r="G215" i="8" s="1"/>
  <c r="AR49" i="5"/>
  <c r="I215" i="8" s="1"/>
  <c r="AR46" i="5"/>
  <c r="F215" i="8" s="1"/>
  <c r="AR44" i="5"/>
  <c r="D215" i="8" s="1"/>
  <c r="C160" i="8"/>
  <c r="C161" i="8" s="1"/>
  <c r="C62" i="8"/>
  <c r="AN52" i="5"/>
  <c r="L207" i="8" s="1"/>
  <c r="M151" i="8"/>
  <c r="K172" i="8"/>
  <c r="K173" i="8" s="1"/>
  <c r="K74" i="8"/>
  <c r="K75" i="8" s="1"/>
  <c r="K76" i="8" s="1"/>
  <c r="T46" i="5"/>
  <c r="F167" i="8" s="1"/>
  <c r="T43" i="5"/>
  <c r="C167" i="8" s="1"/>
  <c r="T51" i="5"/>
  <c r="K167" i="8" s="1"/>
  <c r="T49" i="5"/>
  <c r="I167" i="8" s="1"/>
  <c r="T44" i="5"/>
  <c r="D167" i="8" s="1"/>
  <c r="T45" i="5"/>
  <c r="E167" i="8" s="1"/>
  <c r="T47" i="5"/>
  <c r="G167" i="8" s="1"/>
  <c r="T54" i="5"/>
  <c r="T48" i="5"/>
  <c r="H167" i="8" s="1"/>
  <c r="T52" i="5"/>
  <c r="L167" i="8" s="1"/>
  <c r="T50" i="5"/>
  <c r="J167" i="8" s="1"/>
  <c r="H152" i="8"/>
  <c r="H153" i="8" s="1"/>
  <c r="H54" i="8"/>
  <c r="H55" i="8" s="1"/>
  <c r="AX43" i="5"/>
  <c r="C227" i="8" s="1"/>
  <c r="H130" i="11"/>
  <c r="D86" i="8"/>
  <c r="D87" i="8" s="1"/>
  <c r="D88" i="8" s="1"/>
  <c r="D184" i="8"/>
  <c r="D185" i="8" s="1"/>
  <c r="L156" i="8"/>
  <c r="L157" i="8" s="1"/>
  <c r="L58" i="8"/>
  <c r="L59" i="8" s="1"/>
  <c r="J49" i="5"/>
  <c r="I147" i="8" s="1"/>
  <c r="H86" i="8"/>
  <c r="H87" i="8" s="1"/>
  <c r="H88" i="8" s="1"/>
  <c r="H184" i="8"/>
  <c r="H185" i="8" s="1"/>
  <c r="I160" i="8"/>
  <c r="I161" i="8" s="1"/>
  <c r="I62" i="8"/>
  <c r="I63" i="8" s="1"/>
  <c r="C136" i="8"/>
  <c r="C137" i="8" s="1"/>
  <c r="C38" i="8"/>
  <c r="AV46" i="5"/>
  <c r="F223" i="8" s="1"/>
  <c r="C90" i="8"/>
  <c r="C188" i="8"/>
  <c r="C189" i="8" s="1"/>
  <c r="M189" i="8" s="1"/>
  <c r="F86" i="8"/>
  <c r="F87" i="8" s="1"/>
  <c r="F88" i="8" s="1"/>
  <c r="F184" i="8"/>
  <c r="F185" i="8" s="1"/>
  <c r="I86" i="8"/>
  <c r="I87" i="8" s="1"/>
  <c r="I88" i="8" s="1"/>
  <c r="I184" i="8"/>
  <c r="I185" i="8" s="1"/>
  <c r="K62" i="8"/>
  <c r="K63" i="8" s="1"/>
  <c r="K160" i="8"/>
  <c r="K161" i="8" s="1"/>
  <c r="D122" i="8"/>
  <c r="D123" i="8" s="1"/>
  <c r="D124" i="8" s="1"/>
  <c r="D220" i="8"/>
  <c r="D221" i="8" s="1"/>
  <c r="L122" i="8"/>
  <c r="L123" i="8" s="1"/>
  <c r="L124" i="8" s="1"/>
  <c r="L220" i="8"/>
  <c r="L221" i="8" s="1"/>
  <c r="J54" i="8"/>
  <c r="J55" i="8" s="1"/>
  <c r="J152" i="8"/>
  <c r="J153" i="8" s="1"/>
  <c r="E160" i="8"/>
  <c r="E161" i="8" s="1"/>
  <c r="E62" i="8"/>
  <c r="E63" i="8" s="1"/>
  <c r="AF54" i="5"/>
  <c r="AF50" i="5"/>
  <c r="J191" i="8" s="1"/>
  <c r="AF47" i="5"/>
  <c r="G191" i="8" s="1"/>
  <c r="AF45" i="5"/>
  <c r="E191" i="8" s="1"/>
  <c r="AF49" i="5"/>
  <c r="I191" i="8" s="1"/>
  <c r="AF53" i="5"/>
  <c r="AF44" i="5"/>
  <c r="D191" i="8" s="1"/>
  <c r="AF51" i="5"/>
  <c r="K191" i="8" s="1"/>
  <c r="AF46" i="5"/>
  <c r="F191" i="8" s="1"/>
  <c r="AF52" i="5"/>
  <c r="L191" i="8" s="1"/>
  <c r="H122" i="8"/>
  <c r="H123" i="8" s="1"/>
  <c r="H124" i="8" s="1"/>
  <c r="H220" i="8"/>
  <c r="H221" i="8" s="1"/>
  <c r="M54" i="8"/>
  <c r="C55" i="8"/>
  <c r="O55" i="8" s="1"/>
  <c r="P55" i="8" s="1"/>
  <c r="L74" i="8"/>
  <c r="L75" i="8" s="1"/>
  <c r="L76" i="8" s="1"/>
  <c r="L172" i="8"/>
  <c r="L173" i="8" s="1"/>
  <c r="G106" i="8"/>
  <c r="G107" i="8" s="1"/>
  <c r="G108" i="8" s="1"/>
  <c r="G204" i="8"/>
  <c r="G205" i="8" s="1"/>
  <c r="I126" i="8"/>
  <c r="I127" i="8" s="1"/>
  <c r="I128" i="8" s="1"/>
  <c r="I224" i="8"/>
  <c r="I225" i="8" s="1"/>
  <c r="J86" i="8"/>
  <c r="J87" i="8" s="1"/>
  <c r="J88" i="8" s="1"/>
  <c r="J184" i="8"/>
  <c r="J185" i="8" s="1"/>
  <c r="E86" i="8"/>
  <c r="E87" i="8" s="1"/>
  <c r="E88" i="8" s="1"/>
  <c r="E184" i="8"/>
  <c r="E185" i="8" s="1"/>
  <c r="L130" i="8"/>
  <c r="L131" i="8" s="1"/>
  <c r="L132" i="8" s="1"/>
  <c r="L228" i="8"/>
  <c r="L229" i="8" s="1"/>
  <c r="J122" i="8"/>
  <c r="J123" i="8" s="1"/>
  <c r="J124" i="8" s="1"/>
  <c r="J220" i="8"/>
  <c r="J221" i="8" s="1"/>
  <c r="AZ49" i="5"/>
  <c r="AZ44" i="5"/>
  <c r="AZ53" i="5"/>
  <c r="AZ47" i="5"/>
  <c r="L86" i="8"/>
  <c r="L87" i="8" s="1"/>
  <c r="L88" i="8" s="1"/>
  <c r="L184" i="8"/>
  <c r="L185" i="8" s="1"/>
  <c r="F136" i="8"/>
  <c r="F137" i="8" s="1"/>
  <c r="F38" i="8"/>
  <c r="F39" i="8" s="1"/>
  <c r="H58" i="8"/>
  <c r="H59" i="8" s="1"/>
  <c r="H156" i="8"/>
  <c r="H157" i="8" s="1"/>
  <c r="AF43" i="5"/>
  <c r="C191" i="8" s="1"/>
  <c r="C86" i="8"/>
  <c r="C184" i="8"/>
  <c r="C185" i="8" s="1"/>
  <c r="M185" i="8" s="1"/>
  <c r="AF48" i="5"/>
  <c r="H191" i="8" s="1"/>
  <c r="H45" i="5"/>
  <c r="E143" i="8" s="1"/>
  <c r="M153" i="8"/>
  <c r="AH45" i="5"/>
  <c r="E195" i="8" s="1"/>
  <c r="D172" i="8"/>
  <c r="D173" i="8" s="1"/>
  <c r="D74" i="8"/>
  <c r="D75" i="8" s="1"/>
  <c r="D76" i="8" s="1"/>
  <c r="M76" i="8" s="1"/>
  <c r="G16" i="11" s="1"/>
  <c r="E122" i="8"/>
  <c r="E123" i="8" s="1"/>
  <c r="E124" i="8" s="1"/>
  <c r="E220" i="8"/>
  <c r="E221" i="8" s="1"/>
  <c r="G62" i="8"/>
  <c r="G63" i="8" s="1"/>
  <c r="G160" i="8"/>
  <c r="G161" i="8" s="1"/>
  <c r="K86" i="8"/>
  <c r="K87" i="8" s="1"/>
  <c r="K88" i="8" s="1"/>
  <c r="K184" i="8"/>
  <c r="K185" i="8" s="1"/>
  <c r="AH51" i="5"/>
  <c r="K195" i="8" s="1"/>
  <c r="AH48" i="5"/>
  <c r="H195" i="8" s="1"/>
  <c r="AL50" i="5"/>
  <c r="J203" i="8" s="1"/>
  <c r="J156" i="8"/>
  <c r="J157" i="8" s="1"/>
  <c r="J58" i="8"/>
  <c r="J59" i="8" s="1"/>
  <c r="J53" i="5"/>
  <c r="AD54" i="5"/>
  <c r="AD52" i="5"/>
  <c r="L187" i="8" s="1"/>
  <c r="AD46" i="5"/>
  <c r="F187" i="8" s="1"/>
  <c r="AD47" i="5"/>
  <c r="G187" i="8" s="1"/>
  <c r="AD53" i="5"/>
  <c r="AD49" i="5"/>
  <c r="I187" i="8" s="1"/>
  <c r="AD50" i="5"/>
  <c r="J187" i="8" s="1"/>
  <c r="AD44" i="5"/>
  <c r="D187" i="8" s="1"/>
  <c r="AD45" i="5"/>
  <c r="E187" i="8" s="1"/>
  <c r="AD51" i="5"/>
  <c r="K187" i="8" s="1"/>
  <c r="AD48" i="5"/>
  <c r="H187" i="8" s="1"/>
  <c r="J136" i="8"/>
  <c r="J137" i="8" s="1"/>
  <c r="J38" i="8"/>
  <c r="J39" i="8" s="1"/>
  <c r="D156" i="8"/>
  <c r="D157" i="8" s="1"/>
  <c r="D58" i="8"/>
  <c r="D59" i="8" s="1"/>
  <c r="F43" i="5"/>
  <c r="C139" i="8" s="1"/>
  <c r="AR50" i="5"/>
  <c r="J215" i="8" s="1"/>
  <c r="K122" i="8"/>
  <c r="K123" i="8" s="1"/>
  <c r="K124" i="8" s="1"/>
  <c r="K220" i="8"/>
  <c r="K221" i="8" s="1"/>
  <c r="G122" i="8"/>
  <c r="G123" i="8" s="1"/>
  <c r="G124" i="8" s="1"/>
  <c r="G220" i="8"/>
  <c r="G221" i="8" s="1"/>
  <c r="J118" i="8" l="1"/>
  <c r="J119" i="8" s="1"/>
  <c r="J120" i="8" s="1"/>
  <c r="J216" i="8"/>
  <c r="J217" i="8" s="1"/>
  <c r="E90" i="8"/>
  <c r="E91" i="8" s="1"/>
  <c r="E92" i="8" s="1"/>
  <c r="E188" i="8"/>
  <c r="E189" i="8" s="1"/>
  <c r="J106" i="8"/>
  <c r="J107" i="8" s="1"/>
  <c r="J108" i="8" s="1"/>
  <c r="J204" i="8"/>
  <c r="J205" i="8" s="1"/>
  <c r="N153" i="8"/>
  <c r="H11" i="11"/>
  <c r="M86" i="8"/>
  <c r="M183" i="8" s="1"/>
  <c r="C87" i="8"/>
  <c r="K94" i="8"/>
  <c r="K95" i="8" s="1"/>
  <c r="K96" i="8" s="1"/>
  <c r="K192" i="8"/>
  <c r="K193" i="8" s="1"/>
  <c r="E94" i="8"/>
  <c r="E95" i="8" s="1"/>
  <c r="E96" i="8" s="1"/>
  <c r="E192" i="8"/>
  <c r="E193" i="8" s="1"/>
  <c r="F126" i="8"/>
  <c r="F127" i="8" s="1"/>
  <c r="F128" i="8" s="1"/>
  <c r="F224" i="8"/>
  <c r="F225" i="8" s="1"/>
  <c r="J168" i="8"/>
  <c r="J169" i="8" s="1"/>
  <c r="J70" i="8"/>
  <c r="J71" i="8" s="1"/>
  <c r="J72" i="8" s="1"/>
  <c r="G70" i="8"/>
  <c r="G71" i="8" s="1"/>
  <c r="G72" i="8" s="1"/>
  <c r="G168" i="8"/>
  <c r="G169" i="8" s="1"/>
  <c r="K70" i="8"/>
  <c r="K71" i="8" s="1"/>
  <c r="K72" i="8" s="1"/>
  <c r="K168" i="8"/>
  <c r="K169" i="8" s="1"/>
  <c r="M161" i="8"/>
  <c r="G118" i="8"/>
  <c r="G119" i="8" s="1"/>
  <c r="G120" i="8" s="1"/>
  <c r="G216" i="8"/>
  <c r="G217" i="8" s="1"/>
  <c r="H118" i="8"/>
  <c r="H119" i="8" s="1"/>
  <c r="H120" i="8" s="1"/>
  <c r="H216" i="8"/>
  <c r="H217" i="8" s="1"/>
  <c r="G98" i="8"/>
  <c r="G99" i="8" s="1"/>
  <c r="G100" i="8" s="1"/>
  <c r="G196" i="8"/>
  <c r="G197" i="8" s="1"/>
  <c r="J110" i="8"/>
  <c r="J111" i="8" s="1"/>
  <c r="J112" i="8" s="1"/>
  <c r="J208" i="8"/>
  <c r="J209" i="8" s="1"/>
  <c r="G110" i="8"/>
  <c r="G111" i="8" s="1"/>
  <c r="G112" i="8" s="1"/>
  <c r="G208" i="8"/>
  <c r="G209" i="8" s="1"/>
  <c r="I110" i="8"/>
  <c r="I111" i="8" s="1"/>
  <c r="I112" i="8" s="1"/>
  <c r="I208" i="8"/>
  <c r="I209" i="8" s="1"/>
  <c r="C106" i="8"/>
  <c r="M203" i="8"/>
  <c r="C204" i="8"/>
  <c r="C205" i="8" s="1"/>
  <c r="M205" i="8" s="1"/>
  <c r="F106" i="8"/>
  <c r="F107" i="8" s="1"/>
  <c r="F108" i="8" s="1"/>
  <c r="F204" i="8"/>
  <c r="F205" i="8" s="1"/>
  <c r="M74" i="8"/>
  <c r="M171" i="8" s="1"/>
  <c r="C75" i="8"/>
  <c r="O75" i="8" s="1"/>
  <c r="P75" i="8" s="1"/>
  <c r="L42" i="8"/>
  <c r="L43" i="8" s="1"/>
  <c r="L140" i="8"/>
  <c r="L141" i="8" s="1"/>
  <c r="H42" i="8"/>
  <c r="H43" i="8" s="1"/>
  <c r="H140" i="8"/>
  <c r="H141" i="8" s="1"/>
  <c r="D102" i="8"/>
  <c r="D103" i="8" s="1"/>
  <c r="D104" i="8" s="1"/>
  <c r="D200" i="8"/>
  <c r="D201" i="8" s="1"/>
  <c r="K102" i="8"/>
  <c r="K103" i="8" s="1"/>
  <c r="K104" i="8" s="1"/>
  <c r="K200" i="8"/>
  <c r="K201" i="8" s="1"/>
  <c r="E102" i="8"/>
  <c r="E103" i="8" s="1"/>
  <c r="E104" i="8" s="1"/>
  <c r="E200" i="8"/>
  <c r="E201" i="8" s="1"/>
  <c r="F98" i="8"/>
  <c r="F99" i="8" s="1"/>
  <c r="F100" i="8" s="1"/>
  <c r="F196" i="8"/>
  <c r="F197" i="8" s="1"/>
  <c r="I98" i="8"/>
  <c r="I99" i="8" s="1"/>
  <c r="I100" i="8" s="1"/>
  <c r="I196" i="8"/>
  <c r="I197" i="8" s="1"/>
  <c r="L82" i="8"/>
  <c r="L83" i="8" s="1"/>
  <c r="L84" i="8" s="1"/>
  <c r="L180" i="8"/>
  <c r="L181" i="8" s="1"/>
  <c r="I82" i="8"/>
  <c r="I83" i="8" s="1"/>
  <c r="I84" i="8" s="1"/>
  <c r="I180" i="8"/>
  <c r="I181" i="8" s="1"/>
  <c r="E180" i="8"/>
  <c r="E181" i="8" s="1"/>
  <c r="E82" i="8"/>
  <c r="E83" i="8" s="1"/>
  <c r="E84" i="8" s="1"/>
  <c r="I114" i="8"/>
  <c r="I115" i="8" s="1"/>
  <c r="I116" i="8" s="1"/>
  <c r="I212" i="8"/>
  <c r="I213" i="8" s="1"/>
  <c r="K114" i="8"/>
  <c r="K115" i="8" s="1"/>
  <c r="K116" i="8" s="1"/>
  <c r="K212" i="8"/>
  <c r="K213" i="8" s="1"/>
  <c r="H130" i="8"/>
  <c r="H131" i="8" s="1"/>
  <c r="H132" i="8" s="1"/>
  <c r="H228" i="8"/>
  <c r="H229" i="8" s="1"/>
  <c r="L176" i="8"/>
  <c r="L177" i="8" s="1"/>
  <c r="L78" i="8"/>
  <c r="L79" i="8" s="1"/>
  <c r="L80" i="8" s="1"/>
  <c r="K176" i="8"/>
  <c r="K177" i="8" s="1"/>
  <c r="K78" i="8"/>
  <c r="K79" i="8" s="1"/>
  <c r="K80" i="8" s="1"/>
  <c r="F78" i="8"/>
  <c r="F79" i="8" s="1"/>
  <c r="F80" i="8" s="1"/>
  <c r="F176" i="8"/>
  <c r="F177" i="8" s="1"/>
  <c r="D126" i="8"/>
  <c r="D127" i="8" s="1"/>
  <c r="D128" i="8" s="1"/>
  <c r="D224" i="8"/>
  <c r="D225" i="8" s="1"/>
  <c r="E148" i="8"/>
  <c r="E149" i="8" s="1"/>
  <c r="E50" i="8"/>
  <c r="E51" i="8" s="1"/>
  <c r="C50" i="8"/>
  <c r="M147" i="8"/>
  <c r="C148" i="8"/>
  <c r="C149" i="8" s="1"/>
  <c r="G148" i="8"/>
  <c r="G149" i="8" s="1"/>
  <c r="G50" i="8"/>
  <c r="G51" i="8" s="1"/>
  <c r="C66" i="8"/>
  <c r="C164" i="8"/>
  <c r="C165" i="8" s="1"/>
  <c r="K66" i="8"/>
  <c r="K67" i="8" s="1"/>
  <c r="K68" i="8" s="1"/>
  <c r="K164" i="8"/>
  <c r="K165" i="8" s="1"/>
  <c r="C46" i="8"/>
  <c r="C144" i="8"/>
  <c r="C145" i="8" s="1"/>
  <c r="D144" i="8"/>
  <c r="D145" i="8" s="1"/>
  <c r="D46" i="8"/>
  <c r="D47" i="8" s="1"/>
  <c r="C42" i="8"/>
  <c r="C140" i="8"/>
  <c r="C141" i="8" s="1"/>
  <c r="D90" i="8"/>
  <c r="D91" i="8" s="1"/>
  <c r="D92" i="8" s="1"/>
  <c r="D188" i="8"/>
  <c r="D189" i="8" s="1"/>
  <c r="G90" i="8"/>
  <c r="G91" i="8" s="1"/>
  <c r="G92" i="8" s="1"/>
  <c r="G188" i="8"/>
  <c r="G189" i="8" s="1"/>
  <c r="H98" i="8"/>
  <c r="H99" i="8" s="1"/>
  <c r="H100" i="8" s="1"/>
  <c r="H196" i="8"/>
  <c r="H197" i="8" s="1"/>
  <c r="E46" i="8"/>
  <c r="E47" i="8" s="1"/>
  <c r="E144" i="8"/>
  <c r="E145" i="8" s="1"/>
  <c r="C94" i="8"/>
  <c r="C192" i="8"/>
  <c r="C193" i="8" s="1"/>
  <c r="M193" i="8" s="1"/>
  <c r="D94" i="8"/>
  <c r="D95" i="8" s="1"/>
  <c r="D96" i="8" s="1"/>
  <c r="D192" i="8"/>
  <c r="D193" i="8" s="1"/>
  <c r="G94" i="8"/>
  <c r="G95" i="8" s="1"/>
  <c r="G96" i="8" s="1"/>
  <c r="G192" i="8"/>
  <c r="G193" i="8" s="1"/>
  <c r="M38" i="8"/>
  <c r="M135" i="8" s="1"/>
  <c r="C39" i="8"/>
  <c r="O39" i="8" s="1"/>
  <c r="P39" i="8" s="1"/>
  <c r="C130" i="8"/>
  <c r="M227" i="8"/>
  <c r="C228" i="8"/>
  <c r="C229" i="8" s="1"/>
  <c r="M229" i="8" s="1"/>
  <c r="L70" i="8"/>
  <c r="L71" i="8" s="1"/>
  <c r="L72" i="8" s="1"/>
  <c r="L168" i="8"/>
  <c r="L169" i="8" s="1"/>
  <c r="E168" i="8"/>
  <c r="E169" i="8" s="1"/>
  <c r="E70" i="8"/>
  <c r="E71" i="8" s="1"/>
  <c r="E72" i="8" s="1"/>
  <c r="C168" i="8"/>
  <c r="C169" i="8" s="1"/>
  <c r="C70" i="8"/>
  <c r="D118" i="8"/>
  <c r="D119" i="8" s="1"/>
  <c r="D120" i="8" s="1"/>
  <c r="D216" i="8"/>
  <c r="D217" i="8" s="1"/>
  <c r="C118" i="8"/>
  <c r="C216" i="8"/>
  <c r="C217" i="8" s="1"/>
  <c r="M217" i="8" s="1"/>
  <c r="M215" i="8"/>
  <c r="K110" i="8"/>
  <c r="K111" i="8" s="1"/>
  <c r="K112" i="8" s="1"/>
  <c r="K208" i="8"/>
  <c r="K209" i="8" s="1"/>
  <c r="H110" i="8"/>
  <c r="H111" i="8" s="1"/>
  <c r="H112" i="8" s="1"/>
  <c r="H208" i="8"/>
  <c r="H209" i="8" s="1"/>
  <c r="L106" i="8"/>
  <c r="L107" i="8" s="1"/>
  <c r="L108" i="8" s="1"/>
  <c r="L204" i="8"/>
  <c r="L205" i="8" s="1"/>
  <c r="J140" i="8"/>
  <c r="J141" i="8" s="1"/>
  <c r="J42" i="8"/>
  <c r="J43" i="8" s="1"/>
  <c r="F140" i="8"/>
  <c r="F141" i="8" s="1"/>
  <c r="F42" i="8"/>
  <c r="F43" i="8" s="1"/>
  <c r="G180" i="8"/>
  <c r="G181" i="8" s="1"/>
  <c r="G82" i="8"/>
  <c r="G83" i="8" s="1"/>
  <c r="G84" i="8" s="1"/>
  <c r="B79" i="5"/>
  <c r="D101" i="11"/>
  <c r="E101" i="11" s="1"/>
  <c r="J102" i="8"/>
  <c r="J103" i="8" s="1"/>
  <c r="J104" i="8" s="1"/>
  <c r="J200" i="8"/>
  <c r="J201" i="8" s="1"/>
  <c r="H102" i="8"/>
  <c r="H103" i="8" s="1"/>
  <c r="H104" i="8" s="1"/>
  <c r="H200" i="8"/>
  <c r="H201" i="8" s="1"/>
  <c r="C102" i="8"/>
  <c r="C200" i="8"/>
  <c r="C201" i="8" s="1"/>
  <c r="M201" i="8" s="1"/>
  <c r="M199" i="8"/>
  <c r="D98" i="8"/>
  <c r="D99" i="8" s="1"/>
  <c r="D100" i="8" s="1"/>
  <c r="D196" i="8"/>
  <c r="D197" i="8" s="1"/>
  <c r="L98" i="8"/>
  <c r="L99" i="8" s="1"/>
  <c r="L100" i="8" s="1"/>
  <c r="L196" i="8"/>
  <c r="L197" i="8" s="1"/>
  <c r="C180" i="8"/>
  <c r="C181" i="8" s="1"/>
  <c r="C82" i="8"/>
  <c r="F180" i="8"/>
  <c r="F181" i="8" s="1"/>
  <c r="F82" i="8"/>
  <c r="F83" i="8" s="1"/>
  <c r="F84" i="8" s="1"/>
  <c r="L114" i="8"/>
  <c r="L115" i="8" s="1"/>
  <c r="L116" i="8" s="1"/>
  <c r="L212" i="8"/>
  <c r="L213" i="8" s="1"/>
  <c r="D114" i="8"/>
  <c r="D115" i="8" s="1"/>
  <c r="D116" i="8" s="1"/>
  <c r="D212" i="8"/>
  <c r="D213" i="8" s="1"/>
  <c r="F130" i="8"/>
  <c r="F131" i="8" s="1"/>
  <c r="F132" i="8" s="1"/>
  <c r="F228" i="8"/>
  <c r="F229" i="8" s="1"/>
  <c r="E130" i="8"/>
  <c r="E131" i="8" s="1"/>
  <c r="E132" i="8" s="1"/>
  <c r="E228" i="8"/>
  <c r="E229" i="8" s="1"/>
  <c r="H99" i="11"/>
  <c r="R98" i="11"/>
  <c r="I78" i="8"/>
  <c r="I79" i="8" s="1"/>
  <c r="I80" i="8" s="1"/>
  <c r="I176" i="8"/>
  <c r="I177" i="8" s="1"/>
  <c r="C176" i="8"/>
  <c r="C177" i="8" s="1"/>
  <c r="C78" i="8"/>
  <c r="K126" i="8"/>
  <c r="K127" i="8" s="1"/>
  <c r="K128" i="8" s="1"/>
  <c r="K224" i="8"/>
  <c r="K225" i="8" s="1"/>
  <c r="H126" i="8"/>
  <c r="H127" i="8" s="1"/>
  <c r="H128" i="8" s="1"/>
  <c r="H224" i="8"/>
  <c r="H225" i="8" s="1"/>
  <c r="K50" i="8"/>
  <c r="K51" i="8" s="1"/>
  <c r="K148" i="8"/>
  <c r="K149" i="8" s="1"/>
  <c r="F50" i="8"/>
  <c r="F51" i="8" s="1"/>
  <c r="F148" i="8"/>
  <c r="F149" i="8" s="1"/>
  <c r="I66" i="8"/>
  <c r="I67" i="8" s="1"/>
  <c r="I68" i="8" s="1"/>
  <c r="I164" i="8"/>
  <c r="I165" i="8" s="1"/>
  <c r="D66" i="8"/>
  <c r="D67" i="8" s="1"/>
  <c r="D68" i="8" s="1"/>
  <c r="D164" i="8"/>
  <c r="D165" i="8" s="1"/>
  <c r="F46" i="8"/>
  <c r="F47" i="8" s="1"/>
  <c r="F144" i="8"/>
  <c r="F145" i="8" s="1"/>
  <c r="K144" i="8"/>
  <c r="K145" i="8" s="1"/>
  <c r="K46" i="8"/>
  <c r="K47" i="8" s="1"/>
  <c r="I46" i="8"/>
  <c r="I47" i="8" s="1"/>
  <c r="I144" i="8"/>
  <c r="I145" i="8" s="1"/>
  <c r="H90" i="8"/>
  <c r="H91" i="8" s="1"/>
  <c r="H92" i="8" s="1"/>
  <c r="H188" i="8"/>
  <c r="H189" i="8" s="1"/>
  <c r="J90" i="8"/>
  <c r="J91" i="8" s="1"/>
  <c r="J92" i="8" s="1"/>
  <c r="J188" i="8"/>
  <c r="J189" i="8" s="1"/>
  <c r="F90" i="8"/>
  <c r="F91" i="8" s="1"/>
  <c r="F92" i="8" s="1"/>
  <c r="F188" i="8"/>
  <c r="F189" i="8" s="1"/>
  <c r="K98" i="8"/>
  <c r="K99" i="8" s="1"/>
  <c r="K100" i="8" s="1"/>
  <c r="K196" i="8"/>
  <c r="K197" i="8" s="1"/>
  <c r="H94" i="8"/>
  <c r="H95" i="8" s="1"/>
  <c r="H96" i="8" s="1"/>
  <c r="H192" i="8"/>
  <c r="H193" i="8" s="1"/>
  <c r="L94" i="8"/>
  <c r="L95" i="8" s="1"/>
  <c r="L96" i="8" s="1"/>
  <c r="L192" i="8"/>
  <c r="L193" i="8" s="1"/>
  <c r="J94" i="8"/>
  <c r="J95" i="8" s="1"/>
  <c r="J96" i="8" s="1"/>
  <c r="J192" i="8"/>
  <c r="J193" i="8" s="1"/>
  <c r="M137" i="8"/>
  <c r="H70" i="8"/>
  <c r="H71" i="8" s="1"/>
  <c r="H72" i="8" s="1"/>
  <c r="H168" i="8"/>
  <c r="H169" i="8" s="1"/>
  <c r="D168" i="8"/>
  <c r="D169" i="8" s="1"/>
  <c r="D70" i="8"/>
  <c r="D71" i="8" s="1"/>
  <c r="D72" i="8" s="1"/>
  <c r="F168" i="8"/>
  <c r="F169" i="8" s="1"/>
  <c r="F70" i="8"/>
  <c r="F71" i="8" s="1"/>
  <c r="F72" i="8" s="1"/>
  <c r="L110" i="8"/>
  <c r="L111" i="8" s="1"/>
  <c r="L112" i="8" s="1"/>
  <c r="L208" i="8"/>
  <c r="L209" i="8" s="1"/>
  <c r="F118" i="8"/>
  <c r="F119" i="8" s="1"/>
  <c r="F120" i="8" s="1"/>
  <c r="F216" i="8"/>
  <c r="F217" i="8" s="1"/>
  <c r="E118" i="8"/>
  <c r="E119" i="8" s="1"/>
  <c r="E120" i="8" s="1"/>
  <c r="E216" i="8"/>
  <c r="E217" i="8" s="1"/>
  <c r="K118" i="8"/>
  <c r="K119" i="8" s="1"/>
  <c r="K120" i="8" s="1"/>
  <c r="K216" i="8"/>
  <c r="K217" i="8" s="1"/>
  <c r="C110" i="8"/>
  <c r="M207" i="8"/>
  <c r="C208" i="8"/>
  <c r="C209" i="8" s="1"/>
  <c r="M209" i="8" s="1"/>
  <c r="D110" i="8"/>
  <c r="D111" i="8" s="1"/>
  <c r="D112" i="8" s="1"/>
  <c r="D208" i="8"/>
  <c r="D209" i="8" s="1"/>
  <c r="D106" i="8"/>
  <c r="D107" i="8" s="1"/>
  <c r="D108" i="8" s="1"/>
  <c r="D204" i="8"/>
  <c r="D205" i="8" s="1"/>
  <c r="I106" i="8"/>
  <c r="I107" i="8" s="1"/>
  <c r="I108" i="8" s="1"/>
  <c r="I204" i="8"/>
  <c r="I205" i="8" s="1"/>
  <c r="C123" i="8"/>
  <c r="M122" i="8"/>
  <c r="E42" i="8"/>
  <c r="E43" i="8" s="1"/>
  <c r="E140" i="8"/>
  <c r="E141" i="8" s="1"/>
  <c r="D42" i="8"/>
  <c r="D43" i="8" s="1"/>
  <c r="D140" i="8"/>
  <c r="D141" i="8" s="1"/>
  <c r="C115" i="8"/>
  <c r="M114" i="8"/>
  <c r="I102" i="8"/>
  <c r="I103" i="8" s="1"/>
  <c r="I104" i="8" s="1"/>
  <c r="I200" i="8"/>
  <c r="I201" i="8" s="1"/>
  <c r="G102" i="8"/>
  <c r="G103" i="8" s="1"/>
  <c r="G104" i="8" s="1"/>
  <c r="G200" i="8"/>
  <c r="G201" i="8" s="1"/>
  <c r="C98" i="8"/>
  <c r="M195" i="8"/>
  <c r="C196" i="8"/>
  <c r="C197" i="8" s="1"/>
  <c r="M197" i="8" s="1"/>
  <c r="D180" i="8"/>
  <c r="D181" i="8" s="1"/>
  <c r="D82" i="8"/>
  <c r="D83" i="8" s="1"/>
  <c r="D84" i="8" s="1"/>
  <c r="H82" i="8"/>
  <c r="H83" i="8" s="1"/>
  <c r="H84" i="8" s="1"/>
  <c r="H180" i="8"/>
  <c r="H181" i="8" s="1"/>
  <c r="E114" i="8"/>
  <c r="E115" i="8" s="1"/>
  <c r="E116" i="8" s="1"/>
  <c r="E212" i="8"/>
  <c r="E213" i="8" s="1"/>
  <c r="J114" i="8"/>
  <c r="J115" i="8" s="1"/>
  <c r="J116" i="8" s="1"/>
  <c r="J212" i="8"/>
  <c r="J213" i="8" s="1"/>
  <c r="J130" i="8"/>
  <c r="J131" i="8" s="1"/>
  <c r="J132" i="8" s="1"/>
  <c r="J228" i="8"/>
  <c r="J229" i="8" s="1"/>
  <c r="I130" i="8"/>
  <c r="I131" i="8" s="1"/>
  <c r="I132" i="8" s="1"/>
  <c r="I228" i="8"/>
  <c r="I229" i="8" s="1"/>
  <c r="J78" i="8"/>
  <c r="J79" i="8" s="1"/>
  <c r="J80" i="8" s="1"/>
  <c r="J176" i="8"/>
  <c r="J177" i="8" s="1"/>
  <c r="G176" i="8"/>
  <c r="G177" i="8" s="1"/>
  <c r="G78" i="8"/>
  <c r="G79" i="8" s="1"/>
  <c r="G80" i="8" s="1"/>
  <c r="J126" i="8"/>
  <c r="J127" i="8" s="1"/>
  <c r="J128" i="8" s="1"/>
  <c r="J224" i="8"/>
  <c r="J225" i="8" s="1"/>
  <c r="L126" i="8"/>
  <c r="L127" i="8" s="1"/>
  <c r="L128" i="8" s="1"/>
  <c r="L224" i="8"/>
  <c r="L225" i="8" s="1"/>
  <c r="G126" i="8"/>
  <c r="G127" i="8" s="1"/>
  <c r="G128" i="8" s="1"/>
  <c r="G224" i="8"/>
  <c r="G225" i="8" s="1"/>
  <c r="L50" i="8"/>
  <c r="L51" i="8" s="1"/>
  <c r="L148" i="8"/>
  <c r="L149" i="8" s="1"/>
  <c r="H148" i="8"/>
  <c r="H149" i="8" s="1"/>
  <c r="H50" i="8"/>
  <c r="H51" i="8" s="1"/>
  <c r="G66" i="8"/>
  <c r="G67" i="8" s="1"/>
  <c r="G68" i="8" s="1"/>
  <c r="G164" i="8"/>
  <c r="G165" i="8" s="1"/>
  <c r="H66" i="8"/>
  <c r="H67" i="8" s="1"/>
  <c r="H68" i="8" s="1"/>
  <c r="H164" i="8"/>
  <c r="H165" i="8" s="1"/>
  <c r="L66" i="8"/>
  <c r="L67" i="8" s="1"/>
  <c r="L68" i="8" s="1"/>
  <c r="L164" i="8"/>
  <c r="L165" i="8" s="1"/>
  <c r="M157" i="8"/>
  <c r="G46" i="8"/>
  <c r="G47" i="8" s="1"/>
  <c r="G144" i="8"/>
  <c r="G145" i="8" s="1"/>
  <c r="L46" i="8"/>
  <c r="L47" i="8" s="1"/>
  <c r="L144" i="8"/>
  <c r="L145" i="8" s="1"/>
  <c r="K90" i="8"/>
  <c r="K91" i="8" s="1"/>
  <c r="K92" i="8" s="1"/>
  <c r="K188" i="8"/>
  <c r="K189" i="8" s="1"/>
  <c r="I90" i="8"/>
  <c r="I91" i="8" s="1"/>
  <c r="I92" i="8" s="1"/>
  <c r="I188" i="8"/>
  <c r="I189" i="8" s="1"/>
  <c r="L90" i="8"/>
  <c r="L91" i="8" s="1"/>
  <c r="L92" i="8" s="1"/>
  <c r="L188" i="8"/>
  <c r="L189" i="8" s="1"/>
  <c r="E98" i="8"/>
  <c r="E99" i="8" s="1"/>
  <c r="E100" i="8" s="1"/>
  <c r="E196" i="8"/>
  <c r="E197" i="8" s="1"/>
  <c r="F94" i="8"/>
  <c r="F95" i="8" s="1"/>
  <c r="F96" i="8" s="1"/>
  <c r="F192" i="8"/>
  <c r="F193" i="8" s="1"/>
  <c r="I94" i="8"/>
  <c r="I95" i="8" s="1"/>
  <c r="I96" i="8" s="1"/>
  <c r="I192" i="8"/>
  <c r="I193" i="8" s="1"/>
  <c r="C91" i="8"/>
  <c r="M90" i="8"/>
  <c r="M187" i="8" s="1"/>
  <c r="I50" i="8"/>
  <c r="I51" i="8" s="1"/>
  <c r="I148" i="8"/>
  <c r="I149" i="8" s="1"/>
  <c r="I168" i="8"/>
  <c r="I169" i="8" s="1"/>
  <c r="I70" i="8"/>
  <c r="I71" i="8" s="1"/>
  <c r="I72" i="8" s="1"/>
  <c r="M62" i="8"/>
  <c r="M159" i="8" s="1"/>
  <c r="C63" i="8"/>
  <c r="O63" i="8" s="1"/>
  <c r="P63" i="8" s="1"/>
  <c r="I118" i="8"/>
  <c r="I119" i="8" s="1"/>
  <c r="I120" i="8" s="1"/>
  <c r="I216" i="8"/>
  <c r="I217" i="8" s="1"/>
  <c r="L118" i="8"/>
  <c r="L119" i="8" s="1"/>
  <c r="L120" i="8" s="1"/>
  <c r="L216" i="8"/>
  <c r="L217" i="8" s="1"/>
  <c r="E110" i="8"/>
  <c r="E111" i="8" s="1"/>
  <c r="E112" i="8" s="1"/>
  <c r="E208" i="8"/>
  <c r="E209" i="8" s="1"/>
  <c r="F110" i="8"/>
  <c r="F111" i="8" s="1"/>
  <c r="F112" i="8" s="1"/>
  <c r="F208" i="8"/>
  <c r="F209" i="8" s="1"/>
  <c r="H106" i="8"/>
  <c r="H107" i="8" s="1"/>
  <c r="H108" i="8" s="1"/>
  <c r="H204" i="8"/>
  <c r="H205" i="8" s="1"/>
  <c r="K106" i="8"/>
  <c r="K107" i="8" s="1"/>
  <c r="K108" i="8" s="1"/>
  <c r="K204" i="8"/>
  <c r="K205" i="8" s="1"/>
  <c r="M173" i="8"/>
  <c r="H16" i="11" s="1"/>
  <c r="G140" i="8"/>
  <c r="G141" i="8" s="1"/>
  <c r="G42" i="8"/>
  <c r="G43" i="8" s="1"/>
  <c r="I140" i="8"/>
  <c r="I141" i="8" s="1"/>
  <c r="I42" i="8"/>
  <c r="I43" i="8" s="1"/>
  <c r="K42" i="8"/>
  <c r="K43" i="8" s="1"/>
  <c r="K140" i="8"/>
  <c r="K141" i="8" s="1"/>
  <c r="L102" i="8"/>
  <c r="L103" i="8" s="1"/>
  <c r="L104" i="8" s="1"/>
  <c r="L200" i="8"/>
  <c r="L201" i="8" s="1"/>
  <c r="J98" i="8"/>
  <c r="J99" i="8" s="1"/>
  <c r="J100" i="8" s="1"/>
  <c r="J196" i="8"/>
  <c r="J197" i="8" s="1"/>
  <c r="J180" i="8"/>
  <c r="J181" i="8" s="1"/>
  <c r="J82" i="8"/>
  <c r="J83" i="8" s="1"/>
  <c r="J84" i="8" s="1"/>
  <c r="K180" i="8"/>
  <c r="K181" i="8" s="1"/>
  <c r="K82" i="8"/>
  <c r="K83" i="8" s="1"/>
  <c r="K84" i="8" s="1"/>
  <c r="H78" i="8"/>
  <c r="H79" i="8" s="1"/>
  <c r="H80" i="8" s="1"/>
  <c r="H176" i="8"/>
  <c r="H177" i="8" s="1"/>
  <c r="F114" i="8"/>
  <c r="F115" i="8" s="1"/>
  <c r="F116" i="8" s="1"/>
  <c r="F212" i="8"/>
  <c r="F213" i="8" s="1"/>
  <c r="H114" i="8"/>
  <c r="H115" i="8" s="1"/>
  <c r="H116" i="8" s="1"/>
  <c r="H212" i="8"/>
  <c r="H213" i="8" s="1"/>
  <c r="G114" i="8"/>
  <c r="G115" i="8" s="1"/>
  <c r="G116" i="8" s="1"/>
  <c r="G212" i="8"/>
  <c r="G213" i="8" s="1"/>
  <c r="K130" i="8"/>
  <c r="K131" i="8" s="1"/>
  <c r="K132" i="8" s="1"/>
  <c r="K228" i="8"/>
  <c r="K229" i="8" s="1"/>
  <c r="G130" i="8"/>
  <c r="G131" i="8" s="1"/>
  <c r="G132" i="8" s="1"/>
  <c r="G228" i="8"/>
  <c r="G229" i="8" s="1"/>
  <c r="D130" i="8"/>
  <c r="D131" i="8" s="1"/>
  <c r="D132" i="8" s="1"/>
  <c r="M132" i="8" s="1"/>
  <c r="D228" i="8"/>
  <c r="D229" i="8" s="1"/>
  <c r="E78" i="8"/>
  <c r="E79" i="8" s="1"/>
  <c r="E80" i="8" s="1"/>
  <c r="E176" i="8"/>
  <c r="E177" i="8" s="1"/>
  <c r="D176" i="8"/>
  <c r="D177" i="8" s="1"/>
  <c r="D78" i="8"/>
  <c r="D79" i="8" s="1"/>
  <c r="D80" i="8" s="1"/>
  <c r="E126" i="8"/>
  <c r="E127" i="8" s="1"/>
  <c r="E128" i="8" s="1"/>
  <c r="E224" i="8"/>
  <c r="E225" i="8" s="1"/>
  <c r="C126" i="8"/>
  <c r="C224" i="8"/>
  <c r="C225" i="8" s="1"/>
  <c r="M225" i="8" s="1"/>
  <c r="M223" i="8"/>
  <c r="J50" i="8"/>
  <c r="J51" i="8" s="1"/>
  <c r="J148" i="8"/>
  <c r="J149" i="8" s="1"/>
  <c r="D50" i="8"/>
  <c r="D51" i="8" s="1"/>
  <c r="D148" i="8"/>
  <c r="D149" i="8" s="1"/>
  <c r="E66" i="8"/>
  <c r="E67" i="8" s="1"/>
  <c r="E68" i="8" s="1"/>
  <c r="E164" i="8"/>
  <c r="E165" i="8" s="1"/>
  <c r="F66" i="8"/>
  <c r="F67" i="8" s="1"/>
  <c r="F68" i="8" s="1"/>
  <c r="F164" i="8"/>
  <c r="F165" i="8" s="1"/>
  <c r="M58" i="8"/>
  <c r="C59" i="8"/>
  <c r="O59" i="8" s="1"/>
  <c r="P59" i="8" s="1"/>
  <c r="H144" i="8"/>
  <c r="H145" i="8" s="1"/>
  <c r="H46" i="8"/>
  <c r="H47" i="8" s="1"/>
  <c r="J144" i="8"/>
  <c r="J145" i="8" s="1"/>
  <c r="J46" i="8"/>
  <c r="J47" i="8" s="1"/>
  <c r="N83" i="11"/>
  <c r="G44" i="11"/>
  <c r="V16" i="11"/>
  <c r="J16" i="11"/>
  <c r="L16" i="11" s="1"/>
  <c r="M80" i="8" l="1"/>
  <c r="G17" i="11" s="1"/>
  <c r="B81" i="5"/>
  <c r="AG72" i="5" s="1"/>
  <c r="C33" i="8"/>
  <c r="M66" i="5"/>
  <c r="U74" i="5"/>
  <c r="AW65" i="5"/>
  <c r="AE65" i="5"/>
  <c r="AS70" i="5"/>
  <c r="AG75" i="5"/>
  <c r="AQ70" i="5"/>
  <c r="AO68" i="5"/>
  <c r="W75" i="5"/>
  <c r="AS71" i="5"/>
  <c r="C70" i="5"/>
  <c r="E74" i="5"/>
  <c r="AU70" i="5"/>
  <c r="AM66" i="5"/>
  <c r="AK72" i="5"/>
  <c r="Q69" i="5"/>
  <c r="AE70" i="5"/>
  <c r="AE68" i="5"/>
  <c r="AU72" i="5"/>
  <c r="Y71" i="5"/>
  <c r="AC74" i="5"/>
  <c r="W70" i="5"/>
  <c r="AQ71" i="5"/>
  <c r="AE69" i="5"/>
  <c r="Q66" i="5"/>
  <c r="Q70" i="5"/>
  <c r="K67" i="5"/>
  <c r="K75" i="5"/>
  <c r="AO65" i="5"/>
  <c r="AG66" i="5"/>
  <c r="Q75" i="5"/>
  <c r="AA72" i="5"/>
  <c r="U75" i="5"/>
  <c r="AM75" i="5"/>
  <c r="C69" i="5"/>
  <c r="W73" i="5"/>
  <c r="E75" i="5"/>
  <c r="AK71" i="5"/>
  <c r="W69" i="5"/>
  <c r="M72" i="5"/>
  <c r="K70" i="5"/>
  <c r="AQ75" i="5"/>
  <c r="S74" i="5"/>
  <c r="AM67" i="5"/>
  <c r="AS72" i="5"/>
  <c r="AE71" i="5"/>
  <c r="AC71" i="5"/>
  <c r="O75" i="5"/>
  <c r="Q67" i="5"/>
  <c r="E66" i="5"/>
  <c r="AG67" i="5"/>
  <c r="AI65" i="5"/>
  <c r="AW73" i="5"/>
  <c r="AS73" i="5"/>
  <c r="O65" i="5"/>
  <c r="AI71" i="5"/>
  <c r="U73" i="5"/>
  <c r="K68" i="5"/>
  <c r="AG65" i="5"/>
  <c r="U69" i="5"/>
  <c r="AM73" i="5"/>
  <c r="AW69" i="5"/>
  <c r="K73" i="5"/>
  <c r="AI74" i="5"/>
  <c r="AA75" i="5"/>
  <c r="AO70" i="5"/>
  <c r="M74" i="5"/>
  <c r="AK66" i="5"/>
  <c r="S75" i="5"/>
  <c r="AK73" i="5"/>
  <c r="Y65" i="5"/>
  <c r="AO72" i="5"/>
  <c r="E67" i="5"/>
  <c r="AK69" i="5"/>
  <c r="K66" i="5"/>
  <c r="AA66" i="5"/>
  <c r="E72" i="5"/>
  <c r="AI66" i="5"/>
  <c r="AI69" i="5"/>
  <c r="AC70" i="5"/>
  <c r="O70" i="5"/>
  <c r="Q68" i="5"/>
  <c r="S68" i="5"/>
  <c r="I72" i="5"/>
  <c r="AS69" i="5"/>
  <c r="AO71" i="5"/>
  <c r="Y66" i="5"/>
  <c r="AS67" i="5"/>
  <c r="S72" i="5"/>
  <c r="AQ65" i="5"/>
  <c r="U70" i="5"/>
  <c r="AQ66" i="5"/>
  <c r="E71" i="5"/>
  <c r="AS74" i="5"/>
  <c r="K65" i="5"/>
  <c r="Y75" i="5"/>
  <c r="AU74" i="5"/>
  <c r="AC75" i="5"/>
  <c r="AG69" i="5"/>
  <c r="AI72" i="5"/>
  <c r="G65" i="5"/>
  <c r="M75" i="5"/>
  <c r="I69" i="5"/>
  <c r="O67" i="5"/>
  <c r="AC66" i="5"/>
  <c r="S69" i="5"/>
  <c r="C72" i="5"/>
  <c r="AU69" i="5"/>
  <c r="AU75" i="5"/>
  <c r="AI70" i="5"/>
  <c r="AS66" i="5"/>
  <c r="AW72" i="5"/>
  <c r="E69" i="5"/>
  <c r="W74" i="5"/>
  <c r="U72" i="5"/>
  <c r="M68" i="5"/>
  <c r="U68" i="5"/>
  <c r="AQ68" i="5"/>
  <c r="AI68" i="5"/>
  <c r="AO73" i="5"/>
  <c r="E73" i="5"/>
  <c r="AG71" i="5"/>
  <c r="AQ74" i="5"/>
  <c r="AM72" i="5"/>
  <c r="I70" i="5"/>
  <c r="C73" i="5"/>
  <c r="AS68" i="5"/>
  <c r="AC72" i="5"/>
  <c r="U65" i="5"/>
  <c r="AG74" i="5"/>
  <c r="C67" i="5"/>
  <c r="M69" i="5"/>
  <c r="AK75" i="5"/>
  <c r="AE73" i="5"/>
  <c r="Q65" i="5"/>
  <c r="S70" i="5"/>
  <c r="AA73" i="5"/>
  <c r="I66" i="5"/>
  <c r="AE66" i="5"/>
  <c r="Y67" i="5"/>
  <c r="G66" i="5"/>
  <c r="G71" i="5"/>
  <c r="AM69" i="5"/>
  <c r="G69" i="5"/>
  <c r="AW70" i="5"/>
  <c r="AU67" i="5"/>
  <c r="S66" i="5"/>
  <c r="G75" i="5"/>
  <c r="AU66" i="5"/>
  <c r="AQ67" i="5"/>
  <c r="AW71" i="5"/>
  <c r="G73" i="5"/>
  <c r="AG73" i="5"/>
  <c r="AI67" i="5"/>
  <c r="G67" i="5"/>
  <c r="AU65" i="5"/>
  <c r="Y73" i="5"/>
  <c r="AI75" i="5"/>
  <c r="AM74" i="5"/>
  <c r="G70" i="5"/>
  <c r="AA68" i="5"/>
  <c r="G72" i="5"/>
  <c r="I65" i="5"/>
  <c r="AE74" i="5"/>
  <c r="AA67" i="5"/>
  <c r="M73" i="5"/>
  <c r="K71" i="5"/>
  <c r="E68" i="5"/>
  <c r="Y74" i="5"/>
  <c r="AW74" i="5"/>
  <c r="O66" i="5"/>
  <c r="AO69" i="5"/>
  <c r="Q73" i="5"/>
  <c r="AA69" i="5"/>
  <c r="C66" i="5"/>
  <c r="U71" i="5"/>
  <c r="M67" i="5"/>
  <c r="C74" i="5"/>
  <c r="AM71" i="5"/>
  <c r="S65" i="5"/>
  <c r="AK70" i="5"/>
  <c r="AI73" i="5"/>
  <c r="I71" i="5"/>
  <c r="AM65" i="5"/>
  <c r="U67" i="5"/>
  <c r="O71" i="5"/>
  <c r="AA74" i="5"/>
  <c r="W71" i="5"/>
  <c r="O73" i="5"/>
  <c r="AW67" i="5"/>
  <c r="I73" i="5"/>
  <c r="Y69" i="5"/>
  <c r="AC73" i="5"/>
  <c r="W68" i="5"/>
  <c r="I68" i="5"/>
  <c r="AU68" i="5"/>
  <c r="AW68" i="5"/>
  <c r="AA71" i="5"/>
  <c r="AK67" i="5"/>
  <c r="AS75" i="5"/>
  <c r="AQ73" i="5"/>
  <c r="G74" i="5"/>
  <c r="AG68" i="5"/>
  <c r="Y68" i="5"/>
  <c r="AC65" i="5"/>
  <c r="S71" i="5"/>
  <c r="O72" i="5"/>
  <c r="AK74" i="5"/>
  <c r="I74" i="5"/>
  <c r="O69" i="5"/>
  <c r="K74" i="5"/>
  <c r="W72" i="5"/>
  <c r="K72" i="5"/>
  <c r="AK68" i="5"/>
  <c r="Q71" i="5"/>
  <c r="O68" i="5"/>
  <c r="G68" i="5"/>
  <c r="AU71" i="5"/>
  <c r="AE67" i="5"/>
  <c r="AG70" i="5"/>
  <c r="C68" i="5"/>
  <c r="M65" i="5"/>
  <c r="AW75" i="5"/>
  <c r="M71" i="5"/>
  <c r="M70" i="5"/>
  <c r="AS65" i="5"/>
  <c r="AE75" i="5"/>
  <c r="AM70" i="5"/>
  <c r="O74" i="5"/>
  <c r="Q72" i="5"/>
  <c r="S73" i="5"/>
  <c r="S67" i="5"/>
  <c r="AE72" i="5"/>
  <c r="C71" i="5"/>
  <c r="AO75" i="5"/>
  <c r="I75" i="5"/>
  <c r="Y70" i="5"/>
  <c r="AO66" i="5"/>
  <c r="Y72" i="5"/>
  <c r="AK65" i="5"/>
  <c r="AC68" i="5"/>
  <c r="Q74" i="5"/>
  <c r="E65" i="5"/>
  <c r="AA70" i="5"/>
  <c r="AO67" i="5"/>
  <c r="AU73" i="5"/>
  <c r="AA65" i="5"/>
  <c r="I67" i="5"/>
  <c r="W67" i="5"/>
  <c r="E70" i="5"/>
  <c r="AO74" i="5"/>
  <c r="AC69" i="5"/>
  <c r="AQ69" i="5"/>
  <c r="W66" i="5"/>
  <c r="C75" i="5"/>
  <c r="W65" i="5"/>
  <c r="AC67" i="5"/>
  <c r="U66" i="5"/>
  <c r="C65" i="5"/>
  <c r="AQ72" i="5"/>
  <c r="AM68" i="5"/>
  <c r="AW66" i="5"/>
  <c r="K69" i="5"/>
  <c r="M42" i="8"/>
  <c r="M139" i="8" s="1"/>
  <c r="C43" i="8"/>
  <c r="O43" i="8" s="1"/>
  <c r="P43" i="8" s="1"/>
  <c r="M46" i="8"/>
  <c r="M143" i="8" s="1"/>
  <c r="C47" i="8"/>
  <c r="O47" i="8" s="1"/>
  <c r="P47" i="8" s="1"/>
  <c r="M66" i="8"/>
  <c r="M163" i="8" s="1"/>
  <c r="C67" i="8"/>
  <c r="O67" i="8" s="1"/>
  <c r="P67" i="8" s="1"/>
  <c r="M106" i="8"/>
  <c r="C107" i="8"/>
  <c r="X11" i="11"/>
  <c r="H39" i="11"/>
  <c r="O78" i="11"/>
  <c r="V17" i="11"/>
  <c r="G45" i="11"/>
  <c r="N84" i="11"/>
  <c r="O83" i="11"/>
  <c r="H44" i="11"/>
  <c r="X16" i="11"/>
  <c r="C92" i="8"/>
  <c r="M92" i="8" s="1"/>
  <c r="O91" i="8"/>
  <c r="P91" i="8" s="1"/>
  <c r="C99" i="8"/>
  <c r="M98" i="8"/>
  <c r="O123" i="8"/>
  <c r="P123" i="8" s="1"/>
  <c r="C124" i="8"/>
  <c r="M124" i="8" s="1"/>
  <c r="M72" i="8"/>
  <c r="G15" i="11" s="1"/>
  <c r="N137" i="8"/>
  <c r="H7" i="11"/>
  <c r="M50" i="8"/>
  <c r="C51" i="8"/>
  <c r="O51" i="8" s="1"/>
  <c r="P51" i="8" s="1"/>
  <c r="H13" i="11"/>
  <c r="N161" i="8"/>
  <c r="M126" i="8"/>
  <c r="C127" i="8"/>
  <c r="N157" i="8"/>
  <c r="H12" i="11"/>
  <c r="C111" i="8"/>
  <c r="M110" i="8"/>
  <c r="C79" i="8"/>
  <c r="O79" i="8" s="1"/>
  <c r="P79" i="8" s="1"/>
  <c r="M78" i="8"/>
  <c r="M175" i="8" s="1"/>
  <c r="S98" i="11"/>
  <c r="S101" i="11" s="1"/>
  <c r="R101" i="11"/>
  <c r="C83" i="8"/>
  <c r="M82" i="8"/>
  <c r="M179" i="8" s="1"/>
  <c r="C103" i="8"/>
  <c r="M102" i="8"/>
  <c r="C71" i="8"/>
  <c r="O71" i="8" s="1"/>
  <c r="P71" i="8" s="1"/>
  <c r="M70" i="8"/>
  <c r="M167" i="8" s="1"/>
  <c r="C131" i="8"/>
  <c r="O131" i="8" s="1"/>
  <c r="P131" i="8" s="1"/>
  <c r="M130" i="8"/>
  <c r="M94" i="8"/>
  <c r="M191" i="8" s="1"/>
  <c r="C95" i="8"/>
  <c r="C88" i="8"/>
  <c r="M88" i="8" s="1"/>
  <c r="O87" i="8"/>
  <c r="P87" i="8" s="1"/>
  <c r="C116" i="8"/>
  <c r="M116" i="8" s="1"/>
  <c r="O115" i="8"/>
  <c r="P115" i="8" s="1"/>
  <c r="M68" i="8"/>
  <c r="G14" i="11" s="1"/>
  <c r="M177" i="8"/>
  <c r="H17" i="11" s="1"/>
  <c r="M181" i="8"/>
  <c r="H18" i="11" s="1"/>
  <c r="C119" i="8"/>
  <c r="M118" i="8"/>
  <c r="M169" i="8"/>
  <c r="H15" i="11" s="1"/>
  <c r="M141" i="8"/>
  <c r="M145" i="8"/>
  <c r="M165" i="8"/>
  <c r="H14" i="11" s="1"/>
  <c r="M149" i="8"/>
  <c r="N114" i="11"/>
  <c r="J44" i="11"/>
  <c r="L44" i="11" s="1"/>
  <c r="J83" i="11"/>
  <c r="L83" i="11" s="1"/>
  <c r="P83" i="11"/>
  <c r="X12" i="11" l="1"/>
  <c r="O79" i="11"/>
  <c r="H40" i="11"/>
  <c r="O74" i="11"/>
  <c r="X7" i="11"/>
  <c r="H35" i="11"/>
  <c r="J84" i="11"/>
  <c r="L84" i="11"/>
  <c r="AS76" i="5"/>
  <c r="AT76" i="5" s="1"/>
  <c r="M76" i="5"/>
  <c r="N76" i="5" s="1"/>
  <c r="N65" i="5"/>
  <c r="N75" i="5"/>
  <c r="AT74" i="5"/>
  <c r="AQ76" i="5"/>
  <c r="AR76" i="5" s="1"/>
  <c r="AT73" i="5"/>
  <c r="AT71" i="5"/>
  <c r="C120" i="8"/>
  <c r="M120" i="8" s="1"/>
  <c r="O119" i="8"/>
  <c r="P119" i="8" s="1"/>
  <c r="N141" i="8"/>
  <c r="H8" i="11"/>
  <c r="M84" i="8"/>
  <c r="G18" i="11" s="1"/>
  <c r="N85" i="11" s="1"/>
  <c r="O83" i="8"/>
  <c r="P83" i="8" s="1"/>
  <c r="X13" i="11"/>
  <c r="H41" i="11"/>
  <c r="O80" i="11"/>
  <c r="N115" i="11"/>
  <c r="O109" i="11"/>
  <c r="AD67" i="5"/>
  <c r="AR69" i="5"/>
  <c r="AD68" i="5"/>
  <c r="AY70" i="5"/>
  <c r="N70" i="5"/>
  <c r="AC76" i="5"/>
  <c r="AD76" i="5" s="1"/>
  <c r="AR73" i="5"/>
  <c r="AD73" i="5"/>
  <c r="N67" i="5"/>
  <c r="AY74" i="5"/>
  <c r="AY73" i="5"/>
  <c r="H66" i="5"/>
  <c r="U76" i="5"/>
  <c r="V76" i="5" s="1"/>
  <c r="AD66" i="5"/>
  <c r="G76" i="5"/>
  <c r="H76" i="5" s="1"/>
  <c r="H65" i="5"/>
  <c r="AT69" i="5"/>
  <c r="AT72" i="5"/>
  <c r="V75" i="5"/>
  <c r="AO76" i="5"/>
  <c r="AP76" i="5" s="1"/>
  <c r="AD74" i="5"/>
  <c r="AT70" i="5"/>
  <c r="N66" i="5"/>
  <c r="N145" i="8"/>
  <c r="H9" i="11"/>
  <c r="C96" i="8"/>
  <c r="M96" i="8" s="1"/>
  <c r="O95" i="8"/>
  <c r="P95" i="8" s="1"/>
  <c r="H10" i="11"/>
  <c r="N149" i="8"/>
  <c r="O82" i="11"/>
  <c r="J15" i="11"/>
  <c r="L15" i="11" s="1"/>
  <c r="X15" i="11"/>
  <c r="H43" i="11"/>
  <c r="X17" i="11"/>
  <c r="O84" i="11"/>
  <c r="P84" i="11" s="1"/>
  <c r="H45" i="11"/>
  <c r="J17" i="11"/>
  <c r="L17" i="11" s="1"/>
  <c r="O127" i="8"/>
  <c r="P127" i="8" s="1"/>
  <c r="C128" i="8"/>
  <c r="M128" i="8" s="1"/>
  <c r="V15" i="11"/>
  <c r="N82" i="11"/>
  <c r="J82" i="11" s="1"/>
  <c r="L82" i="11" s="1"/>
  <c r="G43" i="11"/>
  <c r="C100" i="8"/>
  <c r="M100" i="8" s="1"/>
  <c r="O99" i="8"/>
  <c r="P99" i="8" s="1"/>
  <c r="O114" i="11"/>
  <c r="AR72" i="5"/>
  <c r="W76" i="5"/>
  <c r="X75" i="5" s="1"/>
  <c r="AD69" i="5"/>
  <c r="AK76" i="5"/>
  <c r="AL76" i="5" s="1"/>
  <c r="AL65" i="5"/>
  <c r="N71" i="5"/>
  <c r="X72" i="5"/>
  <c r="AL74" i="5"/>
  <c r="AY68" i="5"/>
  <c r="AT75" i="5"/>
  <c r="AY69" i="5"/>
  <c r="AM76" i="5"/>
  <c r="AN75" i="5" s="1"/>
  <c r="T65" i="5"/>
  <c r="S76" i="5"/>
  <c r="T70" i="5" s="1"/>
  <c r="V71" i="5"/>
  <c r="AP69" i="5"/>
  <c r="H70" i="5"/>
  <c r="AU76" i="5"/>
  <c r="AV76" i="5" s="1"/>
  <c r="AV65" i="5"/>
  <c r="H73" i="5"/>
  <c r="H75" i="5"/>
  <c r="H69" i="5"/>
  <c r="AY67" i="5"/>
  <c r="N69" i="5"/>
  <c r="AD72" i="5"/>
  <c r="AN72" i="5"/>
  <c r="AP73" i="5"/>
  <c r="N68" i="5"/>
  <c r="AV69" i="5"/>
  <c r="AY75" i="5"/>
  <c r="AR66" i="5"/>
  <c r="AT67" i="5"/>
  <c r="AD70" i="5"/>
  <c r="AP72" i="5"/>
  <c r="AL66" i="5"/>
  <c r="V69" i="5"/>
  <c r="AI76" i="5"/>
  <c r="AJ76" i="5" s="1"/>
  <c r="AN67" i="5"/>
  <c r="N72" i="5"/>
  <c r="X73" i="5"/>
  <c r="AF69" i="5"/>
  <c r="AY71" i="5"/>
  <c r="AP68" i="5"/>
  <c r="AE76" i="5"/>
  <c r="AF71" i="5" s="1"/>
  <c r="C34" i="8"/>
  <c r="F64" i="8" s="1"/>
  <c r="H52" i="8"/>
  <c r="H40" i="8"/>
  <c r="J52" i="8"/>
  <c r="J40" i="8"/>
  <c r="G60" i="8"/>
  <c r="F44" i="8"/>
  <c r="F52" i="8"/>
  <c r="D56" i="8"/>
  <c r="I56" i="8"/>
  <c r="I44" i="8"/>
  <c r="K60" i="8"/>
  <c r="E48" i="8"/>
  <c r="J56" i="8"/>
  <c r="K40" i="8"/>
  <c r="D60" i="8"/>
  <c r="X14" i="11"/>
  <c r="O81" i="11"/>
  <c r="J14" i="11"/>
  <c r="L14" i="11" s="1"/>
  <c r="H42" i="11"/>
  <c r="V14" i="11"/>
  <c r="G42" i="11"/>
  <c r="N81" i="11"/>
  <c r="J81" i="11" s="1"/>
  <c r="L81" i="11" s="1"/>
  <c r="C104" i="8"/>
  <c r="M104" i="8" s="1"/>
  <c r="O103" i="8"/>
  <c r="P103" i="8" s="1"/>
  <c r="C112" i="8"/>
  <c r="M112" i="8" s="1"/>
  <c r="O111" i="8"/>
  <c r="P111" i="8" s="1"/>
  <c r="V18" i="11"/>
  <c r="G46" i="11"/>
  <c r="C108" i="8"/>
  <c r="M108" i="8" s="1"/>
  <c r="O107" i="8"/>
  <c r="P107" i="8" s="1"/>
  <c r="C76" i="5"/>
  <c r="D73" i="5" s="1"/>
  <c r="AP74" i="5"/>
  <c r="AA76" i="5"/>
  <c r="AB76" i="5" s="1"/>
  <c r="AB65" i="5"/>
  <c r="E76" i="5"/>
  <c r="F70" i="5" s="1"/>
  <c r="AY72" i="5"/>
  <c r="Z72" i="5"/>
  <c r="AP75" i="5"/>
  <c r="T73" i="5"/>
  <c r="AF75" i="5"/>
  <c r="AF67" i="5"/>
  <c r="AH68" i="5"/>
  <c r="AL67" i="5"/>
  <c r="AB74" i="5"/>
  <c r="L71" i="5"/>
  <c r="I76" i="5"/>
  <c r="J70" i="5" s="1"/>
  <c r="AN74" i="5"/>
  <c r="H67" i="5"/>
  <c r="T66" i="5"/>
  <c r="AN69" i="5"/>
  <c r="Q76" i="5"/>
  <c r="R76" i="5" s="1"/>
  <c r="AT68" i="5"/>
  <c r="AR74" i="5"/>
  <c r="AJ68" i="5"/>
  <c r="V72" i="5"/>
  <c r="AT66" i="5"/>
  <c r="D72" i="5"/>
  <c r="J69" i="5"/>
  <c r="K76" i="5"/>
  <c r="L76" i="5" s="1"/>
  <c r="L65" i="5"/>
  <c r="V70" i="5"/>
  <c r="AY66" i="5"/>
  <c r="T68" i="5"/>
  <c r="AJ69" i="5"/>
  <c r="L66" i="5"/>
  <c r="Y76" i="5"/>
  <c r="Z76" i="5" s="1"/>
  <c r="AY65" i="5"/>
  <c r="Z65" i="5"/>
  <c r="N74" i="5"/>
  <c r="L73" i="5"/>
  <c r="AG76" i="5"/>
  <c r="AH67" i="5" s="1"/>
  <c r="AH65" i="5"/>
  <c r="O76" i="5"/>
  <c r="P76" i="5" s="1"/>
  <c r="AD71" i="5"/>
  <c r="T74" i="5"/>
  <c r="X69" i="5"/>
  <c r="R75" i="5"/>
  <c r="L67" i="5"/>
  <c r="AR71" i="5"/>
  <c r="AV72" i="5"/>
  <c r="AL72" i="5"/>
  <c r="D70" i="5"/>
  <c r="AR70" i="5"/>
  <c r="AW76" i="5"/>
  <c r="AX74" i="5" s="1"/>
  <c r="AX65" i="5"/>
  <c r="AH72" i="5"/>
  <c r="P114" i="11"/>
  <c r="J114" i="11"/>
  <c r="L114" i="11" s="1"/>
  <c r="N112" i="11" l="1"/>
  <c r="J112" i="11" s="1"/>
  <c r="L112" i="11" s="1"/>
  <c r="P81" i="11"/>
  <c r="O110" i="11"/>
  <c r="F74" i="5"/>
  <c r="J72" i="5"/>
  <c r="AX72" i="5"/>
  <c r="F68" i="5"/>
  <c r="AH70" i="5"/>
  <c r="X18" i="11"/>
  <c r="H46" i="11"/>
  <c r="O85" i="11"/>
  <c r="P85" i="11" s="1"/>
  <c r="J18" i="11"/>
  <c r="L18" i="11" s="1"/>
  <c r="P82" i="11"/>
  <c r="R67" i="5"/>
  <c r="AB75" i="5"/>
  <c r="P70" i="5"/>
  <c r="F69" i="5"/>
  <c r="AX70" i="5"/>
  <c r="V67" i="5"/>
  <c r="L72" i="5"/>
  <c r="P74" i="5"/>
  <c r="AN66" i="5"/>
  <c r="AH66" i="5"/>
  <c r="AX69" i="5"/>
  <c r="AJ66" i="5"/>
  <c r="T69" i="5"/>
  <c r="AH71" i="5"/>
  <c r="J66" i="5"/>
  <c r="AJ67" i="5"/>
  <c r="P71" i="5"/>
  <c r="H74" i="5"/>
  <c r="AV71" i="5"/>
  <c r="R74" i="5"/>
  <c r="V66" i="5"/>
  <c r="J85" i="11"/>
  <c r="L85" i="11" s="1"/>
  <c r="AX75" i="5"/>
  <c r="AX76" i="5"/>
  <c r="D69" i="5"/>
  <c r="AY76" i="5"/>
  <c r="P66" i="5"/>
  <c r="J73" i="5"/>
  <c r="P72" i="5"/>
  <c r="L69" i="5"/>
  <c r="N116" i="11"/>
  <c r="J116" i="11" s="1"/>
  <c r="L116" i="11" s="1"/>
  <c r="H64" i="8"/>
  <c r="D48" i="8"/>
  <c r="J44" i="8"/>
  <c r="J60" i="8"/>
  <c r="K64" i="8"/>
  <c r="D52" i="8"/>
  <c r="E64" i="8"/>
  <c r="D64" i="8"/>
  <c r="F60" i="8"/>
  <c r="H60" i="8"/>
  <c r="G56" i="8"/>
  <c r="L56" i="8"/>
  <c r="E56" i="8"/>
  <c r="F56" i="8"/>
  <c r="H48" i="8"/>
  <c r="AF66" i="5"/>
  <c r="AF76" i="5"/>
  <c r="R69" i="5"/>
  <c r="L75" i="5"/>
  <c r="AJ71" i="5"/>
  <c r="AJ72" i="5"/>
  <c r="AN65" i="5"/>
  <c r="AV68" i="5"/>
  <c r="X65" i="5"/>
  <c r="O115" i="11"/>
  <c r="P115" i="11" s="1"/>
  <c r="J45" i="11"/>
  <c r="L45" i="11" s="1"/>
  <c r="J43" i="11"/>
  <c r="L43" i="11" s="1"/>
  <c r="O113" i="11"/>
  <c r="X9" i="11"/>
  <c r="O76" i="11"/>
  <c r="H37" i="11"/>
  <c r="R66" i="5"/>
  <c r="F75" i="5"/>
  <c r="AX73" i="5"/>
  <c r="T75" i="5"/>
  <c r="V68" i="5"/>
  <c r="AL75" i="5"/>
  <c r="AV66" i="5"/>
  <c r="AB68" i="5"/>
  <c r="R73" i="5"/>
  <c r="P73" i="5"/>
  <c r="AD65" i="5"/>
  <c r="H68" i="5"/>
  <c r="AF72" i="5"/>
  <c r="AP67" i="5"/>
  <c r="AN68" i="5"/>
  <c r="O111" i="11"/>
  <c r="X8" i="11"/>
  <c r="O75" i="11"/>
  <c r="H36" i="11"/>
  <c r="V74" i="5"/>
  <c r="AF68" i="5"/>
  <c r="F66" i="5"/>
  <c r="AP70" i="5"/>
  <c r="R68" i="5"/>
  <c r="AJ70" i="5"/>
  <c r="H71" i="5"/>
  <c r="AJ75" i="5"/>
  <c r="AB69" i="5"/>
  <c r="AX67" i="5"/>
  <c r="T71" i="5"/>
  <c r="R72" i="5"/>
  <c r="AV73" i="5"/>
  <c r="AX66" i="5"/>
  <c r="H31" i="11"/>
  <c r="D75" i="5"/>
  <c r="D76" i="5"/>
  <c r="AH69" i="5"/>
  <c r="AH76" i="5"/>
  <c r="P65" i="5"/>
  <c r="Z66" i="5"/>
  <c r="D67" i="5"/>
  <c r="J65" i="5"/>
  <c r="D66" i="5"/>
  <c r="J68" i="5"/>
  <c r="L74" i="5"/>
  <c r="F65" i="5"/>
  <c r="O112" i="11"/>
  <c r="P112" i="11" s="1"/>
  <c r="J42" i="11"/>
  <c r="L42" i="11" s="1"/>
  <c r="I52" i="8"/>
  <c r="I40" i="8"/>
  <c r="E40" i="8"/>
  <c r="L60" i="8"/>
  <c r="D44" i="8"/>
  <c r="H56" i="8"/>
  <c r="K56" i="8"/>
  <c r="G48" i="8"/>
  <c r="F48" i="8"/>
  <c r="L48" i="8"/>
  <c r="L64" i="8"/>
  <c r="J48" i="8"/>
  <c r="K48" i="8"/>
  <c r="E44" i="8"/>
  <c r="G64" i="8"/>
  <c r="AF65" i="5"/>
  <c r="Z71" i="5"/>
  <c r="AB72" i="5"/>
  <c r="P75" i="5"/>
  <c r="AB66" i="5"/>
  <c r="P67" i="5"/>
  <c r="AN71" i="5"/>
  <c r="AN76" i="5"/>
  <c r="AN70" i="5"/>
  <c r="AB70" i="5"/>
  <c r="X71" i="5"/>
  <c r="X76" i="5"/>
  <c r="O77" i="11"/>
  <c r="X10" i="11"/>
  <c r="H38" i="11"/>
  <c r="AV70" i="5"/>
  <c r="AP65" i="5"/>
  <c r="L70" i="5"/>
  <c r="V73" i="5"/>
  <c r="F67" i="5"/>
  <c r="F71" i="5"/>
  <c r="AB73" i="5"/>
  <c r="AH73" i="5"/>
  <c r="AB67" i="5"/>
  <c r="D68" i="5"/>
  <c r="Z70" i="5"/>
  <c r="X67" i="5"/>
  <c r="AH75" i="5"/>
  <c r="X70" i="5"/>
  <c r="AL71" i="5"/>
  <c r="AL73" i="5"/>
  <c r="AP71" i="5"/>
  <c r="AD75" i="5"/>
  <c r="X74" i="5"/>
  <c r="AH74" i="5"/>
  <c r="AV67" i="5"/>
  <c r="H72" i="5"/>
  <c r="D74" i="5"/>
  <c r="X68" i="5"/>
  <c r="P69" i="5"/>
  <c r="D71" i="5"/>
  <c r="O105" i="11"/>
  <c r="H59" i="11"/>
  <c r="H63" i="11" s="1"/>
  <c r="H64" i="11" s="1"/>
  <c r="AZ66" i="5"/>
  <c r="R65" i="5"/>
  <c r="AX71" i="5"/>
  <c r="J75" i="5"/>
  <c r="J76" i="5"/>
  <c r="J71" i="5"/>
  <c r="R71" i="5"/>
  <c r="F73" i="5"/>
  <c r="F76" i="5"/>
  <c r="D65" i="5"/>
  <c r="L40" i="8"/>
  <c r="G52" i="8"/>
  <c r="E60" i="8"/>
  <c r="L44" i="8"/>
  <c r="L52" i="8"/>
  <c r="H44" i="8"/>
  <c r="J64" i="8"/>
  <c r="K52" i="8"/>
  <c r="K44" i="8"/>
  <c r="I64" i="8"/>
  <c r="E52" i="8"/>
  <c r="G40" i="8"/>
  <c r="I60" i="8"/>
  <c r="I48" i="8"/>
  <c r="F40" i="8"/>
  <c r="G44" i="8"/>
  <c r="AZ71" i="5"/>
  <c r="AJ65" i="5"/>
  <c r="AJ74" i="5"/>
  <c r="Z75" i="5"/>
  <c r="Z67" i="5"/>
  <c r="AF74" i="5"/>
  <c r="T72" i="5"/>
  <c r="T76" i="5"/>
  <c r="Z69" i="5"/>
  <c r="Z68" i="5"/>
  <c r="P68" i="5"/>
  <c r="T67" i="5"/>
  <c r="J67" i="5"/>
  <c r="N113" i="11"/>
  <c r="J113" i="11" s="1"/>
  <c r="L113" i="11" s="1"/>
  <c r="AF70" i="5"/>
  <c r="AN73" i="5"/>
  <c r="F72" i="5"/>
  <c r="AV74" i="5"/>
  <c r="AV75" i="5"/>
  <c r="V65" i="5"/>
  <c r="Z73" i="5"/>
  <c r="Z74" i="5"/>
  <c r="AL70" i="5"/>
  <c r="AX68" i="5"/>
  <c r="J74" i="5"/>
  <c r="AZ70" i="5"/>
  <c r="J115" i="11"/>
  <c r="L115" i="11" s="1"/>
  <c r="R70" i="5"/>
  <c r="AR75" i="5"/>
  <c r="L68" i="5"/>
  <c r="AL69" i="5"/>
  <c r="AR65" i="5"/>
  <c r="AR68" i="5"/>
  <c r="AF73" i="5"/>
  <c r="AR67" i="5"/>
  <c r="N73" i="5"/>
  <c r="AJ73" i="5"/>
  <c r="AB71" i="5"/>
  <c r="AL68" i="5"/>
  <c r="AT65" i="5"/>
  <c r="AP66" i="5"/>
  <c r="X66" i="5"/>
  <c r="M56" i="8" l="1"/>
  <c r="G11" i="11" s="1"/>
  <c r="M60" i="8"/>
  <c r="G12" i="11" s="1"/>
  <c r="M52" i="8"/>
  <c r="M48" i="8"/>
  <c r="AZ72" i="5"/>
  <c r="AZ76" i="5"/>
  <c r="F16" i="27"/>
  <c r="O116" i="11"/>
  <c r="P116" i="11" s="1"/>
  <c r="J46" i="11"/>
  <c r="L46" i="11" s="1"/>
  <c r="AZ69" i="5"/>
  <c r="AZ75" i="5"/>
  <c r="M40" i="8"/>
  <c r="AZ74" i="5"/>
  <c r="O98" i="11"/>
  <c r="O108" i="11"/>
  <c r="P113" i="11"/>
  <c r="M64" i="8"/>
  <c r="AZ73" i="5"/>
  <c r="AZ67" i="5"/>
  <c r="M44" i="8"/>
  <c r="O106" i="11"/>
  <c r="O107" i="11"/>
  <c r="AZ65" i="5"/>
  <c r="AZ68" i="5"/>
  <c r="N60" i="8" l="1"/>
  <c r="N56" i="8"/>
  <c r="G8" i="11"/>
  <c r="N44" i="8"/>
  <c r="F17" i="27"/>
  <c r="F18" i="27" s="1"/>
  <c r="F29" i="27"/>
  <c r="N52" i="8"/>
  <c r="G10" i="11"/>
  <c r="O129" i="11"/>
  <c r="O99" i="11"/>
  <c r="N79" i="11"/>
  <c r="J12" i="11"/>
  <c r="L12" i="11" s="1"/>
  <c r="V12" i="11"/>
  <c r="G40" i="11"/>
  <c r="N64" i="8"/>
  <c r="G13" i="11"/>
  <c r="G7" i="11"/>
  <c r="N40" i="8"/>
  <c r="G9" i="11"/>
  <c r="N48" i="8"/>
  <c r="J11" i="11"/>
  <c r="L11" i="11" s="1"/>
  <c r="G39" i="11"/>
  <c r="N78" i="11"/>
  <c r="V11" i="11"/>
  <c r="P79" i="11" l="1"/>
  <c r="J79" i="11"/>
  <c r="L79" i="11" s="1"/>
  <c r="F30" i="27"/>
  <c r="F31" i="27" s="1"/>
  <c r="G33" i="27"/>
  <c r="N74" i="11"/>
  <c r="V7" i="11"/>
  <c r="G35" i="11"/>
  <c r="G31" i="11"/>
  <c r="J7" i="11"/>
  <c r="J40" i="11"/>
  <c r="L40" i="11" s="1"/>
  <c r="N110" i="11"/>
  <c r="V10" i="11"/>
  <c r="N77" i="11"/>
  <c r="G38" i="11"/>
  <c r="J10" i="11"/>
  <c r="L10" i="11" s="1"/>
  <c r="P78" i="11"/>
  <c r="J78" i="11"/>
  <c r="L78" i="11" s="1"/>
  <c r="N76" i="11"/>
  <c r="V9" i="11"/>
  <c r="G37" i="11"/>
  <c r="J9" i="11"/>
  <c r="L9" i="11" s="1"/>
  <c r="V13" i="11"/>
  <c r="J13" i="11"/>
  <c r="L13" i="11" s="1"/>
  <c r="G41" i="11"/>
  <c r="N80" i="11"/>
  <c r="J39" i="11"/>
  <c r="L39" i="11" s="1"/>
  <c r="N109" i="11"/>
  <c r="O130" i="11"/>
  <c r="G36" i="11"/>
  <c r="V8" i="11"/>
  <c r="N75" i="11"/>
  <c r="J8" i="11"/>
  <c r="L8" i="11" s="1"/>
  <c r="G37" i="27" l="1"/>
  <c r="G34" i="27"/>
  <c r="D6" i="20" s="1"/>
  <c r="F6" i="20" s="1"/>
  <c r="J75" i="11"/>
  <c r="L75" i="11" s="1"/>
  <c r="P75" i="11"/>
  <c r="N107" i="11"/>
  <c r="J37" i="11"/>
  <c r="L37" i="11" s="1"/>
  <c r="J109" i="11"/>
  <c r="L109" i="11" s="1"/>
  <c r="P109" i="11"/>
  <c r="P110" i="11"/>
  <c r="J110" i="11"/>
  <c r="L110" i="11" s="1"/>
  <c r="N105" i="11"/>
  <c r="G59" i="11"/>
  <c r="G63" i="11" s="1"/>
  <c r="G64" i="11" s="1"/>
  <c r="J35" i="11"/>
  <c r="J41" i="11"/>
  <c r="L41" i="11" s="1"/>
  <c r="N111" i="11"/>
  <c r="J76" i="11"/>
  <c r="L76" i="11" s="1"/>
  <c r="P76" i="11"/>
  <c r="N108" i="11"/>
  <c r="J38" i="11"/>
  <c r="L38" i="11" s="1"/>
  <c r="N106" i="11"/>
  <c r="J36" i="11"/>
  <c r="L36" i="11" s="1"/>
  <c r="P80" i="11"/>
  <c r="J80" i="11"/>
  <c r="L80" i="11" s="1"/>
  <c r="J77" i="11"/>
  <c r="L77" i="11" s="1"/>
  <c r="P77" i="11"/>
  <c r="L7" i="11"/>
  <c r="J31" i="11"/>
  <c r="L31" i="11" s="1"/>
  <c r="J74" i="11"/>
  <c r="L74" i="11" s="1"/>
  <c r="N98" i="11"/>
  <c r="P74" i="11"/>
  <c r="D47" i="20" l="1"/>
  <c r="F47" i="20" s="1"/>
  <c r="D10" i="20"/>
  <c r="F10" i="20" s="1"/>
  <c r="D41" i="20"/>
  <c r="F41" i="20" s="1"/>
  <c r="D14" i="20"/>
  <c r="D45" i="20"/>
  <c r="F45" i="20" s="1"/>
  <c r="D11" i="20"/>
  <c r="F11" i="20" s="1"/>
  <c r="D9" i="20"/>
  <c r="F9" i="20" s="1"/>
  <c r="D48" i="20"/>
  <c r="F48" i="20" s="1"/>
  <c r="D43" i="20"/>
  <c r="F43" i="20" s="1"/>
  <c r="D42" i="20"/>
  <c r="F42" i="20" s="1"/>
  <c r="D46" i="20"/>
  <c r="F46" i="20" s="1"/>
  <c r="D44" i="20"/>
  <c r="F44" i="20" s="1"/>
  <c r="D12" i="20"/>
  <c r="F12" i="20" s="1"/>
  <c r="D13" i="20"/>
  <c r="F13" i="20" s="1"/>
  <c r="D49" i="20"/>
  <c r="F49" i="20" s="1"/>
  <c r="P111" i="11"/>
  <c r="J111" i="11"/>
  <c r="L111" i="11" s="1"/>
  <c r="J105" i="11"/>
  <c r="N129" i="11"/>
  <c r="P105" i="11"/>
  <c r="L98" i="11"/>
  <c r="F96" i="27"/>
  <c r="J108" i="11"/>
  <c r="L108" i="11" s="1"/>
  <c r="P108" i="11"/>
  <c r="N99" i="11"/>
  <c r="P98" i="11"/>
  <c r="F57" i="27"/>
  <c r="J98" i="11"/>
  <c r="L35" i="11"/>
  <c r="J59" i="11"/>
  <c r="J107" i="11"/>
  <c r="L107" i="11" s="1"/>
  <c r="P107" i="11"/>
  <c r="G39" i="27"/>
  <c r="D7" i="20" s="1"/>
  <c r="F7" i="20" s="1"/>
  <c r="J106" i="11"/>
  <c r="L106" i="11" s="1"/>
  <c r="P106" i="11"/>
  <c r="D19" i="20" l="1"/>
  <c r="F19" i="20" s="1"/>
  <c r="D15" i="20"/>
  <c r="F15" i="20" s="1"/>
  <c r="D18" i="20"/>
  <c r="F18" i="20" s="1"/>
  <c r="F14" i="20"/>
  <c r="D17" i="20"/>
  <c r="F17" i="20" s="1"/>
  <c r="D16" i="20"/>
  <c r="F16" i="20" s="1"/>
  <c r="D20" i="20"/>
  <c r="F20" i="20" s="1"/>
  <c r="D60" i="20"/>
  <c r="F60" i="20" s="1"/>
  <c r="D58" i="20"/>
  <c r="F58" i="20" s="1"/>
  <c r="D27" i="20"/>
  <c r="F27" i="20" s="1"/>
  <c r="D26" i="20"/>
  <c r="F26" i="20" s="1"/>
  <c r="D57" i="20"/>
  <c r="F57" i="20" s="1"/>
  <c r="D28" i="20"/>
  <c r="F28" i="20" s="1"/>
  <c r="D33" i="20"/>
  <c r="F33" i="20" s="1"/>
  <c r="D30" i="20"/>
  <c r="F30" i="20" s="1"/>
  <c r="D32" i="20"/>
  <c r="F32" i="20" s="1"/>
  <c r="D56" i="20"/>
  <c r="F56" i="20" s="1"/>
  <c r="D61" i="20"/>
  <c r="F61" i="20" s="1"/>
  <c r="D24" i="20"/>
  <c r="F24" i="20" s="1"/>
  <c r="D55" i="20"/>
  <c r="F55" i="20" s="1"/>
  <c r="D35" i="20"/>
  <c r="F35" i="20" s="1"/>
  <c r="D25" i="20"/>
  <c r="F25" i="20" s="1"/>
  <c r="D29" i="20"/>
  <c r="F29" i="20" s="1"/>
  <c r="D31" i="20"/>
  <c r="F31" i="20" s="1"/>
  <c r="D54" i="20"/>
  <c r="F54" i="20" s="1"/>
  <c r="D34" i="20"/>
  <c r="F34" i="20" s="1"/>
  <c r="D59" i="20"/>
  <c r="F59" i="20" s="1"/>
  <c r="D53" i="20"/>
  <c r="F53" i="20" s="1"/>
  <c r="J129" i="11"/>
  <c r="F71" i="27"/>
  <c r="F58" i="27"/>
  <c r="F59" i="27" s="1"/>
  <c r="F64" i="27" s="1"/>
  <c r="G68" i="27" s="1"/>
  <c r="N130" i="11"/>
  <c r="P129" i="11"/>
  <c r="L59" i="11"/>
  <c r="L63" i="11" s="1"/>
  <c r="L64" i="11" s="1"/>
  <c r="J63" i="11"/>
  <c r="J64" i="11" s="1"/>
  <c r="F110" i="27"/>
  <c r="F97" i="27"/>
  <c r="F98" i="27" s="1"/>
  <c r="F103" i="27" s="1"/>
  <c r="G107" i="27" s="1"/>
  <c r="L105" i="11"/>
  <c r="L129" i="11" s="1"/>
  <c r="F111" i="27" l="1"/>
  <c r="F112" i="27" s="1"/>
  <c r="G114" i="27"/>
  <c r="G115" i="27" s="1"/>
  <c r="J6" i="20" s="1"/>
  <c r="L6" i="20" s="1"/>
  <c r="G75" i="27"/>
  <c r="G76" i="27" s="1"/>
  <c r="G6" i="20" s="1"/>
  <c r="I6" i="20" s="1"/>
  <c r="F72" i="27"/>
  <c r="F73" i="27" s="1"/>
  <c r="N7" i="20" l="1"/>
  <c r="N8" i="20" s="1"/>
  <c r="G14" i="20"/>
  <c r="G12" i="20"/>
  <c r="I12" i="20" s="1"/>
  <c r="G10" i="20"/>
  <c r="I10" i="20" s="1"/>
  <c r="G11" i="20"/>
  <c r="I11" i="20" s="1"/>
  <c r="G13" i="20"/>
  <c r="I13" i="20" s="1"/>
  <c r="G15" i="20"/>
  <c r="I15" i="20" s="1"/>
  <c r="J13" i="20"/>
  <c r="L13" i="20" s="1"/>
  <c r="O7" i="20"/>
  <c r="O8" i="20" s="1"/>
  <c r="P8" i="20" s="1"/>
  <c r="J12" i="20"/>
  <c r="L12" i="20" s="1"/>
  <c r="J15" i="20"/>
  <c r="L15" i="20" s="1"/>
  <c r="J14" i="20"/>
  <c r="G18" i="20" l="1"/>
  <c r="I18" i="20" s="1"/>
  <c r="G19" i="20"/>
  <c r="I19" i="20" s="1"/>
  <c r="G16" i="20"/>
  <c r="I16" i="20" s="1"/>
  <c r="G20" i="20"/>
  <c r="I20" i="20" s="1"/>
  <c r="I14" i="20"/>
  <c r="G17" i="20"/>
  <c r="I17" i="20" s="1"/>
  <c r="L14" i="20"/>
  <c r="J18" i="20"/>
  <c r="L18" i="20" s="1"/>
  <c r="J20" i="20"/>
  <c r="L20" i="20" s="1"/>
  <c r="J16" i="20"/>
  <c r="L16" i="20" s="1"/>
  <c r="J19" i="20"/>
  <c r="L19" i="20" s="1"/>
  <c r="J17" i="20"/>
  <c r="L17" i="20" s="1"/>
  <c r="I39" i="20" l="1"/>
  <c r="I38"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Weinstein, Mike</author>
    <author>Young, Mike (UTC)</author>
  </authors>
  <commentList>
    <comment ref="M11" authorId="0" shapeId="0" xr:uid="{00000000-0006-0000-0100-000001000000}">
      <text>
        <r>
          <rPr>
            <b/>
            <sz val="9"/>
            <color indexed="81"/>
            <rFont val="Tahoma"/>
            <family val="2"/>
          </rPr>
          <t>Weinstein, Mike:</t>
        </r>
        <r>
          <rPr>
            <sz val="9"/>
            <color indexed="81"/>
            <rFont val="Tahoma"/>
            <family val="2"/>
          </rPr>
          <t xml:space="preserve">
Projected commodity values Oct - Dec. 2017. Per prior workpapers in TG-161132</t>
        </r>
      </text>
    </comment>
    <comment ref="C12" authorId="1" shapeId="0" xr:uid="{00000000-0006-0000-0100-000002000000}">
      <text>
        <r>
          <rPr>
            <b/>
            <sz val="9"/>
            <color indexed="81"/>
            <rFont val="Tahoma"/>
            <family val="2"/>
          </rPr>
          <t>Young, Mike (UTC):</t>
        </r>
        <r>
          <rPr>
            <sz val="9"/>
            <color indexed="81"/>
            <rFont val="Tahoma"/>
            <family val="2"/>
          </rPr>
          <t xml:space="preserve">
company included Jan and Feb even though amount was suspended. Staff adjusted</t>
        </r>
      </text>
    </comment>
    <comment ref="M12" authorId="0" shapeId="0" xr:uid="{00000000-0006-0000-0100-000003000000}">
      <text>
        <r>
          <rPr>
            <b/>
            <sz val="9"/>
            <color indexed="81"/>
            <rFont val="Tahoma"/>
            <family val="2"/>
          </rPr>
          <t>Weinstein, Mike:</t>
        </r>
        <r>
          <rPr>
            <sz val="9"/>
            <color indexed="81"/>
            <rFont val="Tahoma"/>
            <family val="2"/>
          </rPr>
          <t xml:space="preserve">
Projected commodity values Jan - Sep. 2018. Per prior workpapers in TG-171132</t>
        </r>
      </text>
    </comment>
    <comment ref="E21" authorId="1" shapeId="0" xr:uid="{00000000-0006-0000-0100-000004000000}">
      <text>
        <r>
          <rPr>
            <b/>
            <sz val="9"/>
            <color indexed="81"/>
            <rFont val="Tahoma"/>
            <family val="2"/>
          </rPr>
          <t>Young, Mike (UTC):</t>
        </r>
        <r>
          <rPr>
            <sz val="9"/>
            <color indexed="81"/>
            <rFont val="Tahoma"/>
            <family val="2"/>
          </rPr>
          <t xml:space="preserve">
Staff believes the company double counted in their calculation last year, but it was accepted due to the suspension and allowed as filed.</t>
        </r>
      </text>
    </comment>
    <comment ref="M53" authorId="0" shapeId="0" xr:uid="{00000000-0006-0000-0100-000005000000}">
      <text>
        <r>
          <rPr>
            <b/>
            <sz val="9"/>
            <color indexed="81"/>
            <rFont val="Tahoma"/>
            <family val="2"/>
          </rPr>
          <t>Weinstein, Mike:</t>
        </r>
        <r>
          <rPr>
            <sz val="9"/>
            <color indexed="81"/>
            <rFont val="Tahoma"/>
            <family val="2"/>
          </rPr>
          <t xml:space="preserve">
Projected commodity values Oct - Dec. 2017. Per prior workpapers in TG-161132</t>
        </r>
      </text>
    </comment>
    <comment ref="M54" authorId="0" shapeId="0" xr:uid="{00000000-0006-0000-0100-000006000000}">
      <text>
        <r>
          <rPr>
            <b/>
            <sz val="9"/>
            <color indexed="81"/>
            <rFont val="Tahoma"/>
            <family val="2"/>
          </rPr>
          <t>Weinstein, Mike:</t>
        </r>
        <r>
          <rPr>
            <sz val="9"/>
            <color indexed="81"/>
            <rFont val="Tahoma"/>
            <family val="2"/>
          </rPr>
          <t xml:space="preserve">
Projected commodity values Jan - Sep. 2018. Per prior workpapers in TG-171132</t>
        </r>
      </text>
    </comment>
    <comment ref="M92" authorId="0" shapeId="0" xr:uid="{00000000-0006-0000-0100-000007000000}">
      <text>
        <r>
          <rPr>
            <b/>
            <sz val="9"/>
            <color indexed="81"/>
            <rFont val="Tahoma"/>
            <family val="2"/>
          </rPr>
          <t>Weinstein, Mike:</t>
        </r>
        <r>
          <rPr>
            <sz val="9"/>
            <color indexed="81"/>
            <rFont val="Tahoma"/>
            <family val="2"/>
          </rPr>
          <t xml:space="preserve">
Projected commodity values Oct - Dec. 2017. Per prior workpapers in TG-161134</t>
        </r>
      </text>
    </comment>
    <comment ref="M93" authorId="0" shapeId="0" xr:uid="{00000000-0006-0000-0100-000008000000}">
      <text>
        <r>
          <rPr>
            <b/>
            <sz val="9"/>
            <color indexed="81"/>
            <rFont val="Tahoma"/>
            <family val="2"/>
          </rPr>
          <t>Weinstein, Mike:</t>
        </r>
        <r>
          <rPr>
            <sz val="9"/>
            <color indexed="81"/>
            <rFont val="Tahoma"/>
            <family val="2"/>
          </rPr>
          <t xml:space="preserve">
Projected commodity values Jan - Sep. 2018. Per prior workpapers in TG-171131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Weinstein, Mike</author>
    <author>Young, Mike (UTC)</author>
  </authors>
  <commentList>
    <comment ref="U11" authorId="0" shapeId="0" xr:uid="{D51E68A1-E033-48C0-9F3F-B66220FFAF8C}">
      <text>
        <r>
          <rPr>
            <b/>
            <sz val="9"/>
            <color indexed="81"/>
            <rFont val="Tahoma"/>
            <family val="2"/>
          </rPr>
          <t>Weinstein, Mike:</t>
        </r>
        <r>
          <rPr>
            <sz val="9"/>
            <color indexed="81"/>
            <rFont val="Tahoma"/>
            <family val="2"/>
          </rPr>
          <t xml:space="preserve">
Projected commodity values Oct - Dec. 2017. Per prior workpapers in TG-161132</t>
        </r>
      </text>
    </comment>
    <comment ref="K12" authorId="1" shapeId="0" xr:uid="{F89C4010-3A92-475E-BE45-C75CF0EC30E8}">
      <text>
        <r>
          <rPr>
            <b/>
            <sz val="9"/>
            <color indexed="81"/>
            <rFont val="Tahoma"/>
            <family val="2"/>
          </rPr>
          <t>Young, Mike (UTC):</t>
        </r>
        <r>
          <rPr>
            <sz val="9"/>
            <color indexed="81"/>
            <rFont val="Tahoma"/>
            <family val="2"/>
          </rPr>
          <t xml:space="preserve">
company included Jan and Feb even though amount was suspended. Staff adjusted</t>
        </r>
      </text>
    </comment>
    <comment ref="U12" authorId="0" shapeId="0" xr:uid="{54754EDA-8EC9-4E60-8E3F-BB7C1242BCF7}">
      <text>
        <r>
          <rPr>
            <b/>
            <sz val="9"/>
            <color indexed="81"/>
            <rFont val="Tahoma"/>
            <family val="2"/>
          </rPr>
          <t>Weinstein, Mike:</t>
        </r>
        <r>
          <rPr>
            <sz val="9"/>
            <color indexed="81"/>
            <rFont val="Tahoma"/>
            <family val="2"/>
          </rPr>
          <t xml:space="preserve">
Projected commodity values Jan - Sep. 2018. Per prior workpapers in TG-171132</t>
        </r>
      </text>
    </comment>
    <comment ref="M21" authorId="1" shapeId="0" xr:uid="{74DAC294-9989-43C6-8093-43400B3AF232}">
      <text>
        <r>
          <rPr>
            <b/>
            <sz val="9"/>
            <color indexed="81"/>
            <rFont val="Tahoma"/>
            <family val="2"/>
          </rPr>
          <t>Young, Mike (UTC):</t>
        </r>
        <r>
          <rPr>
            <sz val="9"/>
            <color indexed="81"/>
            <rFont val="Tahoma"/>
            <family val="2"/>
          </rPr>
          <t xml:space="preserve">
true-up not collected in Jan &amp; Feb</t>
        </r>
      </text>
    </comment>
    <comment ref="U53" authorId="0" shapeId="0" xr:uid="{C75249FE-4F6F-4F8B-B47B-EBA81EBC0FFF}">
      <text>
        <r>
          <rPr>
            <b/>
            <sz val="9"/>
            <color indexed="81"/>
            <rFont val="Tahoma"/>
            <family val="2"/>
          </rPr>
          <t>Weinstein, Mike:</t>
        </r>
        <r>
          <rPr>
            <sz val="9"/>
            <color indexed="81"/>
            <rFont val="Tahoma"/>
            <family val="2"/>
          </rPr>
          <t xml:space="preserve">
Projected commodity values Oct - Dec. 2017. Per prior workpapers in TG-161132</t>
        </r>
      </text>
    </comment>
    <comment ref="U54" authorId="0" shapeId="0" xr:uid="{7E377E3B-430C-4A72-B5AE-BA3DEB84BC02}">
      <text>
        <r>
          <rPr>
            <b/>
            <sz val="9"/>
            <color indexed="81"/>
            <rFont val="Tahoma"/>
            <family val="2"/>
          </rPr>
          <t>Weinstein, Mike:</t>
        </r>
        <r>
          <rPr>
            <sz val="9"/>
            <color indexed="81"/>
            <rFont val="Tahoma"/>
            <family val="2"/>
          </rPr>
          <t xml:space="preserve">
Projected commodity values Jan - Sep. 2018. Per prior workpapers in TG-171132</t>
        </r>
      </text>
    </comment>
    <comment ref="U92" authorId="0" shapeId="0" xr:uid="{D4F1AE6D-0328-4009-AC08-801247E56EFB}">
      <text>
        <r>
          <rPr>
            <b/>
            <sz val="9"/>
            <color indexed="81"/>
            <rFont val="Tahoma"/>
            <family val="2"/>
          </rPr>
          <t>Weinstein, Mike:</t>
        </r>
        <r>
          <rPr>
            <sz val="9"/>
            <color indexed="81"/>
            <rFont val="Tahoma"/>
            <family val="2"/>
          </rPr>
          <t xml:space="preserve">
Projected commodity values Oct - Dec. 2017. Per prior workpapers in TG-161134</t>
        </r>
      </text>
    </comment>
    <comment ref="U93" authorId="0" shapeId="0" xr:uid="{E297F9F7-4CB1-43B3-A409-660B969E34F7}">
      <text>
        <r>
          <rPr>
            <b/>
            <sz val="9"/>
            <color indexed="81"/>
            <rFont val="Tahoma"/>
            <family val="2"/>
          </rPr>
          <t>Weinstein, Mike:</t>
        </r>
        <r>
          <rPr>
            <sz val="9"/>
            <color indexed="81"/>
            <rFont val="Tahoma"/>
            <family val="2"/>
          </rPr>
          <t xml:space="preserve">
Projected commodity values Jan - Sep. 2018. Per prior workpapers in TG-171131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Weinstein, Mike</author>
  </authors>
  <commentList>
    <comment ref="B37" authorId="0" shapeId="0" xr:uid="{BBBA153B-6175-4D68-BAC4-3C4591379B83}">
      <text>
        <r>
          <rPr>
            <b/>
            <sz val="9"/>
            <color indexed="81"/>
            <rFont val="Tahoma"/>
            <charset val="1"/>
          </rPr>
          <t>Weinstein, Mike:</t>
        </r>
        <r>
          <rPr>
            <sz val="9"/>
            <color indexed="81"/>
            <rFont val="Tahoma"/>
            <charset val="1"/>
          </rPr>
          <t xml:space="preserve">
Composition based on CRC mix as all  materials delivered to CRC are representative of our Puget Sound Recycling programs. However the commodity prices are based on the mix of materials sold at JMK and CRC</t>
        </r>
      </text>
    </comment>
  </commentList>
</comments>
</file>

<file path=xl/sharedStrings.xml><?xml version="1.0" encoding="utf-8"?>
<sst xmlns="http://schemas.openxmlformats.org/spreadsheetml/2006/main" count="1229" uniqueCount="285">
  <si>
    <t>Aluminum</t>
  </si>
  <si>
    <t>OCC</t>
  </si>
  <si>
    <t>Glass</t>
  </si>
  <si>
    <t>Newspaper</t>
  </si>
  <si>
    <t>Tin Cans</t>
  </si>
  <si>
    <t>Residue</t>
  </si>
  <si>
    <t>Mix Paper</t>
  </si>
  <si>
    <t>Tons</t>
  </si>
  <si>
    <t>PET</t>
  </si>
  <si>
    <t>#3 - 7</t>
  </si>
  <si>
    <t>HDPE Natl</t>
  </si>
  <si>
    <t>HDPE Col</t>
  </si>
  <si>
    <t>King County Revenue Sharing Plan Budget</t>
  </si>
  <si>
    <t xml:space="preserve">King </t>
  </si>
  <si>
    <t>Seattle/</t>
  </si>
  <si>
    <t>County</t>
  </si>
  <si>
    <t>North Sound</t>
  </si>
  <si>
    <t>South Sound</t>
  </si>
  <si>
    <t>Customer Counts:</t>
  </si>
  <si>
    <t>Residential</t>
  </si>
  <si>
    <t>Tonnage:</t>
  </si>
  <si>
    <t>Revenues:</t>
  </si>
  <si>
    <t>Total Projected Commodity Revenue (based most recent 12 months average commodity values)</t>
  </si>
  <si>
    <t>Expenditures Budget:</t>
  </si>
  <si>
    <t xml:space="preserve">Estimated Revenue Sharing retained by Company </t>
  </si>
  <si>
    <t>Detailed Expenditures:</t>
  </si>
  <si>
    <t>Labor Cost Total (see detail below)</t>
  </si>
  <si>
    <t>Tasks As Outlined In RSA</t>
  </si>
  <si>
    <t>Total RSA Task Fees (excluding capital)</t>
  </si>
  <si>
    <t>Total Budgeted Expenses</t>
  </si>
  <si>
    <t>Avg. lbs./customer/mo.</t>
  </si>
  <si>
    <t>Avg. revenue/ton</t>
  </si>
  <si>
    <t>Labor Cost Allocation</t>
  </si>
  <si>
    <t>Total Hours</t>
  </si>
  <si>
    <t>Hourly Rate</t>
  </si>
  <si>
    <t>Total 2 yrs</t>
  </si>
  <si>
    <t>Monthly Reporting (CC Team )</t>
  </si>
  <si>
    <t>Executive Management/Oversight (Mindy &amp; Mary)</t>
  </si>
  <si>
    <t xml:space="preserve">Labor Cost Totals </t>
  </si>
  <si>
    <t>Snohomish County Revenue Sharing Plan Budget</t>
  </si>
  <si>
    <t>Snohomish</t>
  </si>
  <si>
    <t>Passback Price/ton schedule</t>
  </si>
  <si>
    <t>Natural</t>
  </si>
  <si>
    <t>Colored</t>
  </si>
  <si>
    <t>Mixed</t>
  </si>
  <si>
    <t>Month</t>
  </si>
  <si>
    <t>ONP 6</t>
  </si>
  <si>
    <t>Mixed Paper</t>
  </si>
  <si>
    <t>Alum.</t>
  </si>
  <si>
    <t>Tin</t>
  </si>
  <si>
    <t>HDPE</t>
  </si>
  <si>
    <t>Plastics 3-7</t>
  </si>
  <si>
    <t>Average</t>
  </si>
  <si>
    <t>Overall Plastic Average</t>
  </si>
  <si>
    <t>King County:</t>
  </si>
  <si>
    <t>Oct</t>
  </si>
  <si>
    <t>Nov</t>
  </si>
  <si>
    <t>Dec.</t>
  </si>
  <si>
    <t>Feb.</t>
  </si>
  <si>
    <t>Mar.</t>
  </si>
  <si>
    <t>Apr.</t>
  </si>
  <si>
    <t>May</t>
  </si>
  <si>
    <t>Jun.</t>
  </si>
  <si>
    <t>Jul.</t>
  </si>
  <si>
    <t>Aug.</t>
  </si>
  <si>
    <t>Sep.</t>
  </si>
  <si>
    <t>Oct.</t>
  </si>
  <si>
    <t>Nov.</t>
  </si>
  <si>
    <t>Jun</t>
  </si>
  <si>
    <t>Jul</t>
  </si>
  <si>
    <t>Aug</t>
  </si>
  <si>
    <t>Sep</t>
  </si>
  <si>
    <t>Snohomish County:</t>
  </si>
  <si>
    <t>Dec</t>
  </si>
  <si>
    <t>WUTC</t>
  </si>
  <si>
    <t>Non-WUTC</t>
  </si>
  <si>
    <t>WM - Seattle/South Sound</t>
  </si>
  <si>
    <t>Grand</t>
  </si>
  <si>
    <t>SS</t>
  </si>
  <si>
    <t>Seattle</t>
  </si>
  <si>
    <t>Total</t>
  </si>
  <si>
    <t>Marysville</t>
  </si>
  <si>
    <t>Non-Reg</t>
  </si>
  <si>
    <t>Everett</t>
  </si>
  <si>
    <t>Feb</t>
  </si>
  <si>
    <t>Mar</t>
  </si>
  <si>
    <t>Apr</t>
  </si>
  <si>
    <t>Actual Average:</t>
  </si>
  <si>
    <t>WUTC - King County</t>
  </si>
  <si>
    <t>WUTC - Snohomish County</t>
  </si>
  <si>
    <t>Summary of Recycling Tonnages and Revenue</t>
  </si>
  <si>
    <t>Total Counties:</t>
  </si>
  <si>
    <t>King</t>
  </si>
  <si>
    <t>Single Stream Tonnage</t>
  </si>
  <si>
    <t>Single Stream Revenue</t>
  </si>
  <si>
    <t>Revenue</t>
  </si>
  <si>
    <t>per Ton</t>
  </si>
  <si>
    <t>Customers</t>
  </si>
  <si>
    <t>lbs./cust/mo.</t>
  </si>
  <si>
    <t>Regulated WUTC:</t>
  </si>
  <si>
    <t>Difference - over (under)</t>
  </si>
  <si>
    <t>Regulated WUTC (Single Family):</t>
  </si>
  <si>
    <t>% of Total</t>
  </si>
  <si>
    <t>Regulated WUTC (Multi-Family):</t>
  </si>
  <si>
    <t>Task 1 - Single Family Residential Audience Outreach &amp; Education</t>
  </si>
  <si>
    <t>Task 2 - Multifamily Residential Audience Outreach &amp; Education</t>
  </si>
  <si>
    <t>Less: Performance Incentive Earned (5% of Expenditures)</t>
  </si>
  <si>
    <t>WM - North Sound/Marysville</t>
  </si>
  <si>
    <t>King County</t>
  </si>
  <si>
    <t>King Cty</t>
  </si>
  <si>
    <t>Sno.Cty</t>
  </si>
  <si>
    <t>North Sound/</t>
  </si>
  <si>
    <t>Snohomish County</t>
  </si>
  <si>
    <t>Residential (average)</t>
  </si>
  <si>
    <t>RSA Project Manager</t>
  </si>
  <si>
    <t>Budget</t>
  </si>
  <si>
    <t>Grand Total</t>
  </si>
  <si>
    <t>%</t>
  </si>
  <si>
    <t>CRC Tonnage</t>
  </si>
  <si>
    <t>JMK Tonnage</t>
  </si>
  <si>
    <t>CRC Prices</t>
  </si>
  <si>
    <t>JMK Prices</t>
  </si>
  <si>
    <t>Weighted Average Revenue</t>
  </si>
  <si>
    <t>Weighted Average Price per ton per Commodity</t>
  </si>
  <si>
    <t>Amount Over (under) spent</t>
  </si>
  <si>
    <t xml:space="preserve">2020 - 2021 plan years </t>
  </si>
  <si>
    <t>WM North Sound (Snohomish County)</t>
  </si>
  <si>
    <t>2018 - 2019 Rebate Calculation</t>
  </si>
  <si>
    <t>Commodity</t>
  </si>
  <si>
    <t>Credit</t>
  </si>
  <si>
    <t>Credits</t>
  </si>
  <si>
    <t>Projected Revenue Oct. 2017 - Sep. 2018</t>
  </si>
  <si>
    <t>Oct. - Dec projected value without adjustment factor</t>
  </si>
  <si>
    <t>Jan. - Sep. projected value without adjustment factor</t>
  </si>
  <si>
    <t xml:space="preserve">Actual Commodity Revenue </t>
  </si>
  <si>
    <t>Owe Customer (company)</t>
  </si>
  <si>
    <t>Total Customers</t>
  </si>
  <si>
    <t>Commodity Adjustment</t>
  </si>
  <si>
    <t>Projected Revenue Oct. 2018 - Sep. 2019 (based on most recent 6 months due to "China Sword")</t>
  </si>
  <si>
    <t>Projected Value to Rebate to Customers</t>
  </si>
  <si>
    <t>Residential Commodity Adjustment</t>
  </si>
  <si>
    <t>Estimated Cost of Customer notices - per customer</t>
  </si>
  <si>
    <t>Less: Revenue Sharing Agreement (amount retained including incentive)</t>
  </si>
  <si>
    <t>WM North Sound (King County)</t>
  </si>
  <si>
    <t>WM Seattle / South Sound (King County)</t>
  </si>
  <si>
    <t>Projected Revenue Oct. 2018 - Sep. 2019</t>
  </si>
  <si>
    <t>WM-North Sound (SC)</t>
  </si>
  <si>
    <t>WM-North Sound (KC)</t>
  </si>
  <si>
    <t>WM-Seattle/South Sound</t>
  </si>
  <si>
    <t>Service</t>
  </si>
  <si>
    <t xml:space="preserve">Revised </t>
  </si>
  <si>
    <t>Current</t>
  </si>
  <si>
    <t>% Change</t>
  </si>
  <si>
    <t>NS</t>
  </si>
  <si>
    <t>Residential Recycle Credit (Charge)</t>
  </si>
  <si>
    <t>Multi-Family Containers (a):</t>
  </si>
  <si>
    <t>Mini-can</t>
  </si>
  <si>
    <t>Cans</t>
  </si>
  <si>
    <t>35 gal cart</t>
  </si>
  <si>
    <t>64 gal cart</t>
  </si>
  <si>
    <t>96 gal cart</t>
  </si>
  <si>
    <t>1 yard</t>
  </si>
  <si>
    <t>1.50 yard</t>
  </si>
  <si>
    <t>2 yard</t>
  </si>
  <si>
    <t>3 yard</t>
  </si>
  <si>
    <t>4 yard</t>
  </si>
  <si>
    <t>6 yard</t>
  </si>
  <si>
    <t>8 yard</t>
  </si>
  <si>
    <t>MF Containers(Everett) (a):</t>
  </si>
  <si>
    <t>MF Using Drop Box (a):</t>
  </si>
  <si>
    <t>Per Station</t>
  </si>
  <si>
    <t>Per Cart</t>
  </si>
  <si>
    <t>MF Using Drop Box(Everett) (a):</t>
  </si>
  <si>
    <t>(a)</t>
  </si>
  <si>
    <t xml:space="preserve">Due to the relative immateriality of MF tonnages as compared to residential tonnages, the increase or decrease in the change of the commodity rebate each year will be based on the % change in the residential recycling rebate </t>
  </si>
  <si>
    <t>2019 - 2020 Rebate Calculation</t>
  </si>
  <si>
    <t xml:space="preserve">Actual Commodity Revenue (Oct. 2018 - Sept. 2019) </t>
  </si>
  <si>
    <t>KC MF Tonnage Split</t>
  </si>
  <si>
    <t>Projected Revenue Oct. 2019 - Sep. 2020 (based on most recent 12 months)</t>
  </si>
  <si>
    <t>Residential and Multi-Family WUTC tonnage (based on most recent 12 months)</t>
  </si>
  <si>
    <t xml:space="preserve">Amount available to spend </t>
  </si>
  <si>
    <t>Task 1 - Knowledge Sharing</t>
  </si>
  <si>
    <t>Task 2 - Enhanced Multicultural Engagement</t>
  </si>
  <si>
    <t>Task 3 - Multifamily Recycling and Reduction of Contamination</t>
  </si>
  <si>
    <t>Task 4 - Community Events- Reducing Contamination &amp; Waste, and Encouraging Composting</t>
  </si>
  <si>
    <t>Task 5 - Sustainable Materials Management</t>
  </si>
  <si>
    <t>Task 6 - Focused Education for Younger Minds</t>
  </si>
  <si>
    <t>Support Staff (e.g. Public Education Team, Website Updates, Accounting)</t>
  </si>
  <si>
    <t>Intern Program (recruitement &amp; boot camp)</t>
  </si>
  <si>
    <t>Intern Program (recruitment &amp; boot camp)</t>
  </si>
  <si>
    <t>Single Stream Composition-CRC</t>
  </si>
  <si>
    <t>Single Stream Composition-JMK</t>
  </si>
  <si>
    <t>Processed</t>
  </si>
  <si>
    <t>@ CRC</t>
  </si>
  <si>
    <t>@ JMK</t>
  </si>
  <si>
    <t>Weighted Single Stream Composition-JMK (as applied to WUTC tonnage)</t>
  </si>
  <si>
    <t>% of Total processed at CRC/JMK</t>
  </si>
  <si>
    <t>CRC</t>
  </si>
  <si>
    <t>JMK</t>
  </si>
  <si>
    <t xml:space="preserve">Overall </t>
  </si>
  <si>
    <t>% of SC Recyclables processed at CRC</t>
  </si>
  <si>
    <t>% of SC Recyclables processed at JMK</t>
  </si>
  <si>
    <t>Weighted Single Stream Composition- CRC (as applied to WUTC tonnage)</t>
  </si>
  <si>
    <t>% of KC Recyclables processed at CRC</t>
  </si>
  <si>
    <t>% of KC Recyclables processed at JMK</t>
  </si>
  <si>
    <t>Net Residential Commodity Rebate (charge) - Snohomish County</t>
  </si>
  <si>
    <t>Net Residential Commodity Rebate (charge) - City of Everett</t>
  </si>
  <si>
    <t xml:space="preserve">Net Residential Commodity Rebate (charge) </t>
  </si>
  <si>
    <t>Note: The cumulative methodology historically used in filings over the past 20+ years is not sustainable going forward. With this filing we are converting to the new methodology used in most WUTC filings as reflected below carrying forward the approved rates reflected in the prior years filing. (see columns I - O)</t>
  </si>
  <si>
    <t>Less: Amount underspent during the 2018 - 2019 RSA plan</t>
  </si>
  <si>
    <t>per TG-180923</t>
  </si>
  <si>
    <t>Less: 50% retained by company</t>
  </si>
  <si>
    <t>Add: Net Suspended charges (Jan-Feb. 2019)</t>
  </si>
  <si>
    <t>Amount passed back to customers</t>
  </si>
  <si>
    <t>Net Commodity Revenue</t>
  </si>
  <si>
    <t>Total Owe Customer (Company)</t>
  </si>
  <si>
    <t>Less: 50% of amount overspent in 2018-2019 RSA</t>
  </si>
  <si>
    <t>50% of the amount overspent in the 2018-2019 RSA will be used to reduce the expenditures in the 2020-2021 RSA with remainder to be recovered in future RSA's</t>
  </si>
  <si>
    <t>Revised Rate Sheet Summary</t>
  </si>
  <si>
    <t>Less: Reduction in the Tasks above to reflect prior overspent funds</t>
  </si>
  <si>
    <t>Oct., 2019</t>
  </si>
  <si>
    <t>Jan., 2020</t>
  </si>
  <si>
    <t>Jan. 2021</t>
  </si>
  <si>
    <t>Oct.; 2019</t>
  </si>
  <si>
    <t>Jan.; 2020</t>
  </si>
  <si>
    <t>Jan., 2021</t>
  </si>
  <si>
    <t>Customer Type</t>
  </si>
  <si>
    <t>Material</t>
  </si>
  <si>
    <t>Algona</t>
  </si>
  <si>
    <t>Auburn</t>
  </si>
  <si>
    <t>Bothell</t>
  </si>
  <si>
    <t>Duvall</t>
  </si>
  <si>
    <t>Federal Way</t>
  </si>
  <si>
    <t>Kirkland</t>
  </si>
  <si>
    <t>Newcastle</t>
  </si>
  <si>
    <t>Normandy Park</t>
  </si>
  <si>
    <t>Pacific</t>
  </si>
  <si>
    <t>Redmond</t>
  </si>
  <si>
    <t>Sammamish</t>
  </si>
  <si>
    <t>Snoqualmie</t>
  </si>
  <si>
    <t>Tukwila</t>
  </si>
  <si>
    <t>UTC South Sound</t>
  </si>
  <si>
    <t>UTC Seattle</t>
  </si>
  <si>
    <t>UTC North Sound</t>
  </si>
  <si>
    <t>Woodinville</t>
  </si>
  <si>
    <t>Grand total</t>
  </si>
  <si>
    <t>October:</t>
  </si>
  <si>
    <t>Recycle</t>
  </si>
  <si>
    <t>Multifamily</t>
  </si>
  <si>
    <t>November:</t>
  </si>
  <si>
    <t>December:</t>
  </si>
  <si>
    <t>Arlington</t>
  </si>
  <si>
    <t>Edmonds</t>
  </si>
  <si>
    <t>Granite Falls</t>
  </si>
  <si>
    <t>Lake Stevens</t>
  </si>
  <si>
    <t>Lynnwood</t>
  </si>
  <si>
    <t>Mill Creek</t>
  </si>
  <si>
    <t>Mountlake Terrace</t>
  </si>
  <si>
    <t>Mukilteo</t>
  </si>
  <si>
    <t>Darrington</t>
  </si>
  <si>
    <t>Stanwood</t>
  </si>
  <si>
    <t>UTC Marysville</t>
  </si>
  <si>
    <t>December</t>
  </si>
  <si>
    <t>2020 - 2021 Pro Rata per Budget</t>
  </si>
  <si>
    <t>2020 - 2021 Total per Budget</t>
  </si>
  <si>
    <t>2020 - 2021 Budget:</t>
  </si>
  <si>
    <t>January:</t>
  </si>
  <si>
    <t>February:</t>
  </si>
  <si>
    <t>March</t>
  </si>
  <si>
    <t>April</t>
  </si>
  <si>
    <t>Oct; '19</t>
  </si>
  <si>
    <t>Jan. '20</t>
  </si>
  <si>
    <t>Jan. '21</t>
  </si>
  <si>
    <t>Processed at CRC</t>
  </si>
  <si>
    <t>Processed at JMK</t>
  </si>
  <si>
    <t>KC</t>
  </si>
  <si>
    <t>SC</t>
  </si>
  <si>
    <t>June</t>
  </si>
  <si>
    <t>July</t>
  </si>
  <si>
    <t>August</t>
  </si>
  <si>
    <t>September</t>
  </si>
  <si>
    <t>Projected Revenue Oct. 2019 - Sep. 2020</t>
  </si>
  <si>
    <t xml:space="preserve">Actual Commodity Revenue (Oct. 2019 - Sept. 2020) </t>
  </si>
  <si>
    <t>Projected Revenue Oct. 2020 - Sep. 2021 (based on most recent 12 months)</t>
  </si>
  <si>
    <t>Residential Commodity Rebate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</si>
</sst>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409]#,##0.00"/>
    <numFmt numFmtId="168" formatCode="[$$-409]#,##0"/>
  </numFmts>
  <fonts count="94">
    <font>
      <sz val="10"/>
      <name val="Arial"/>
    </font>
    <font>
      <sz val="10"/>
      <name val="Arial"/>
      <family val="2"/>
    </font>
    <font>
      <b/>
      <sz val="10"/>
      <name val="Arial"/>
      <family val="2"/>
    </font>
    <font>
      <b/>
      <i/>
      <u/>
      <sz val="10"/>
      <name val="Arial"/>
      <family val="2"/>
    </font>
    <font>
      <sz val="10"/>
      <name val="Arial"/>
      <family val="2"/>
    </font>
    <font>
      <u val="singleAccounting"/>
      <sz val="10"/>
      <name val="Arial"/>
      <family val="2"/>
    </font>
    <font>
      <u/>
      <sz val="10"/>
      <name val="Arial"/>
      <family val="2"/>
    </font>
    <font>
      <b/>
      <u val="double"/>
      <sz val="10"/>
      <name val="Arial"/>
      <family val="2"/>
    </font>
    <font>
      <sz val="10"/>
      <color indexed="10"/>
      <name val="Arial"/>
      <family val="2"/>
    </font>
    <font>
      <b/>
      <u/>
      <sz val="10"/>
      <name val="Arial"/>
      <family val="2"/>
    </font>
    <font>
      <b/>
      <u val="singleAccounting"/>
      <sz val="10"/>
      <name val="Arial"/>
      <family val="2"/>
    </font>
    <font>
      <sz val="9"/>
      <name val="Arial"/>
      <family val="2"/>
    </font>
    <font>
      <b/>
      <sz val="16"/>
      <name val="Arial"/>
      <family val="2"/>
    </font>
    <font>
      <u val="singleAccounting"/>
      <sz val="9"/>
      <name val="Arial"/>
      <family val="2"/>
    </font>
    <font>
      <b/>
      <u val="doubleAccounting"/>
      <sz val="10"/>
      <name val="Arial"/>
      <family val="2"/>
    </font>
    <font>
      <b/>
      <sz val="11"/>
      <name val="Calibri"/>
      <family val="2"/>
    </font>
    <font>
      <b/>
      <u val="singleAccounting"/>
      <sz val="11"/>
      <name val="Calibri"/>
      <family val="2"/>
    </font>
    <font>
      <sz val="11"/>
      <name val="Calibri"/>
      <family val="2"/>
    </font>
    <font>
      <u val="singleAccounting"/>
      <sz val="11"/>
      <name val="Calibri"/>
      <family val="2"/>
    </font>
    <font>
      <b/>
      <u val="doubleAccounting"/>
      <sz val="11"/>
      <name val="Calibri"/>
      <family val="2"/>
    </font>
    <font>
      <b/>
      <u val="double"/>
      <sz val="11"/>
      <name val="Calibri"/>
      <family val="2"/>
    </font>
    <font>
      <b/>
      <sz val="9"/>
      <name val="Arial"/>
      <family val="2"/>
    </font>
    <font>
      <b/>
      <sz val="14"/>
      <name val="Arial"/>
      <family val="2"/>
    </font>
    <font>
      <b/>
      <sz val="18"/>
      <name val="Arial"/>
      <family val="2"/>
    </font>
    <font>
      <sz val="12"/>
      <name val="Arial"/>
      <family val="2"/>
    </font>
    <font>
      <b/>
      <sz val="12"/>
      <name val="Arial"/>
      <family val="2"/>
    </font>
    <font>
      <b/>
      <sz val="12"/>
      <color indexed="10"/>
      <name val="Arial"/>
      <family val="2"/>
    </font>
    <font>
      <i/>
      <u/>
      <sz val="12"/>
      <name val="Arial"/>
      <family val="2"/>
    </font>
    <font>
      <b/>
      <u/>
      <sz val="12"/>
      <name val="Arial"/>
      <family val="2"/>
    </font>
    <font>
      <b/>
      <sz val="12"/>
      <color indexed="12"/>
      <name val="Arial"/>
      <family val="2"/>
    </font>
    <font>
      <u val="singleAccounting"/>
      <sz val="12"/>
      <name val="Arial"/>
      <family val="2"/>
    </font>
    <font>
      <b/>
      <u val="singleAccounting"/>
      <sz val="12"/>
      <name val="Arial"/>
      <family val="2"/>
    </font>
    <font>
      <b/>
      <u val="doubleAccounting"/>
      <sz val="12"/>
      <name val="Arial"/>
      <family val="2"/>
    </font>
    <font>
      <b/>
      <sz val="9"/>
      <color indexed="81"/>
      <name val="Tahoma"/>
      <family val="2"/>
    </font>
    <font>
      <sz val="9"/>
      <color indexed="81"/>
      <name val="Tahoma"/>
      <family val="2"/>
    </font>
    <font>
      <b/>
      <i/>
      <sz val="18"/>
      <name val="Arial MT"/>
    </font>
    <font>
      <b/>
      <sz val="12"/>
      <name val="Arial MT"/>
    </font>
    <font>
      <b/>
      <u/>
      <sz val="12"/>
      <name val="Arial MT"/>
    </font>
    <font>
      <u/>
      <sz val="12"/>
      <name val="Arial"/>
      <family val="2"/>
    </font>
    <font>
      <sz val="12"/>
      <name val="Arial MT"/>
    </font>
    <font>
      <b/>
      <u val="double"/>
      <sz val="12"/>
      <name val="Arial"/>
      <family val="2"/>
    </font>
    <font>
      <sz val="12"/>
      <color indexed="12"/>
      <name val="Arial MT"/>
    </font>
    <font>
      <sz val="10"/>
      <name val="Arial"/>
      <family val="2"/>
    </font>
    <font>
      <i/>
      <sz val="10"/>
      <name val="Arial"/>
      <family val="2"/>
    </font>
    <font>
      <u/>
      <sz val="9"/>
      <name val="Arial"/>
      <family val="2"/>
    </font>
    <font>
      <sz val="11"/>
      <color theme="1"/>
      <name val="Calibri"/>
      <family val="2"/>
      <scheme val="minor"/>
    </font>
    <font>
      <b/>
      <sz val="11"/>
      <color theme="1"/>
      <name val="Calibri"/>
      <family val="2"/>
      <scheme val="minor"/>
    </font>
    <font>
      <sz val="11"/>
      <color rgb="FFFF0000"/>
      <name val="Calibri"/>
      <family val="2"/>
      <scheme val="minor"/>
    </font>
    <font>
      <b/>
      <u/>
      <sz val="11"/>
      <color theme="1"/>
      <name val="Calibri"/>
      <family val="2"/>
      <scheme val="minor"/>
    </font>
    <font>
      <b/>
      <sz val="18"/>
      <color theme="1"/>
      <name val="Calibri"/>
      <family val="2"/>
      <scheme val="minor"/>
    </font>
    <font>
      <b/>
      <sz val="12"/>
      <name val="Calibri"/>
      <family val="2"/>
      <scheme val="minor"/>
    </font>
    <font>
      <b/>
      <sz val="11"/>
      <color rgb="FFFF0000"/>
      <name val="Calibri"/>
      <family val="2"/>
      <scheme val="minor"/>
    </font>
    <font>
      <b/>
      <u/>
      <sz val="16"/>
      <color theme="1"/>
      <name val="Calibri"/>
      <family val="2"/>
      <scheme val="minor"/>
    </font>
    <font>
      <sz val="11"/>
      <name val="Calibri"/>
      <family val="2"/>
      <scheme val="minor"/>
    </font>
    <font>
      <b/>
      <u/>
      <sz val="14"/>
      <color theme="1"/>
      <name val="Calibri"/>
      <family val="2"/>
      <scheme val="minor"/>
    </font>
    <font>
      <b/>
      <sz val="11"/>
      <name val="Calibri"/>
      <family val="2"/>
      <scheme val="minor"/>
    </font>
    <font>
      <u val="singleAccounting"/>
      <sz val="11"/>
      <color theme="1"/>
      <name val="Calibri"/>
      <family val="2"/>
      <scheme val="minor"/>
    </font>
    <font>
      <b/>
      <u val="doubleAccounting"/>
      <sz val="11"/>
      <name val="Calibri"/>
      <family val="2"/>
      <scheme val="minor"/>
    </font>
    <font>
      <b/>
      <u val="doubleAccounting"/>
      <sz val="11"/>
      <color theme="1"/>
      <name val="Calibri"/>
      <family val="2"/>
      <scheme val="minor"/>
    </font>
    <font>
      <sz val="10"/>
      <color theme="1"/>
      <name val="Arial"/>
      <family val="2"/>
    </font>
    <font>
      <b/>
      <u val="singleAccounting"/>
      <sz val="10"/>
      <color theme="1"/>
      <name val="Arial"/>
      <family val="2"/>
    </font>
    <font>
      <sz val="10"/>
      <color rgb="FFFF0000"/>
      <name val="Arial"/>
      <family val="2"/>
    </font>
    <font>
      <b/>
      <sz val="12"/>
      <color theme="1"/>
      <name val="Arial"/>
      <family val="2"/>
    </font>
    <font>
      <i/>
      <sz val="8"/>
      <color theme="1"/>
      <name val="Calibri"/>
      <family val="2"/>
      <scheme val="minor"/>
    </font>
    <font>
      <b/>
      <i/>
      <sz val="11"/>
      <color theme="1"/>
      <name val="Calibri"/>
      <family val="2"/>
      <scheme val="minor"/>
    </font>
    <font>
      <b/>
      <u val="doubleAccounting"/>
      <sz val="10"/>
      <color theme="1"/>
      <name val="Arial"/>
      <family val="2"/>
    </font>
    <font>
      <b/>
      <sz val="10"/>
      <color theme="1"/>
      <name val="Arial"/>
      <family val="2"/>
    </font>
    <font>
      <b/>
      <u/>
      <sz val="10"/>
      <color theme="1"/>
      <name val="Arial"/>
      <family val="2"/>
    </font>
    <font>
      <b/>
      <sz val="11"/>
      <color rgb="FFFF0000"/>
      <name val="Calibri"/>
      <family val="2"/>
    </font>
    <font>
      <b/>
      <u/>
      <sz val="11"/>
      <color theme="1"/>
      <name val="Calibri"/>
      <family val="2"/>
    </font>
    <font>
      <b/>
      <u val="doubleAccounting"/>
      <sz val="11"/>
      <color theme="1"/>
      <name val="Calibri"/>
      <family val="2"/>
    </font>
    <font>
      <b/>
      <i/>
      <u val="double"/>
      <sz val="11"/>
      <color theme="1"/>
      <name val="Calibri"/>
      <family val="2"/>
    </font>
    <font>
      <b/>
      <sz val="11"/>
      <color theme="1"/>
      <name val="Calibri"/>
      <family val="2"/>
    </font>
    <font>
      <sz val="11"/>
      <color rgb="FF00B050"/>
      <name val="Calibri"/>
      <family val="2"/>
    </font>
    <font>
      <b/>
      <u val="singleAccounting"/>
      <sz val="11"/>
      <color theme="1"/>
      <name val="Calibri"/>
      <family val="2"/>
    </font>
    <font>
      <b/>
      <u val="doubleAccounting"/>
      <sz val="11"/>
      <color rgb="FF00B050"/>
      <name val="Calibri"/>
      <family val="2"/>
    </font>
    <font>
      <sz val="9"/>
      <color theme="1"/>
      <name val="Arial"/>
      <family val="2"/>
    </font>
    <font>
      <b/>
      <i/>
      <u val="double"/>
      <sz val="10"/>
      <color theme="1"/>
      <name val="Arial"/>
      <family val="2"/>
    </font>
    <font>
      <u val="singleAccounting"/>
      <sz val="10"/>
      <color theme="1"/>
      <name val="Arial"/>
      <family val="2"/>
    </font>
    <font>
      <b/>
      <u val="doubleAccounting"/>
      <sz val="10"/>
      <color rgb="FFFF0000"/>
      <name val="Arial"/>
      <family val="2"/>
    </font>
    <font>
      <b/>
      <u val="double"/>
      <sz val="10"/>
      <color theme="1"/>
      <name val="Arial"/>
      <family val="2"/>
    </font>
    <font>
      <u val="singleAccounting"/>
      <sz val="10"/>
      <color rgb="FFFF0000"/>
      <name val="Arial"/>
      <family val="2"/>
    </font>
    <font>
      <b/>
      <sz val="9"/>
      <color theme="1"/>
      <name val="Arial"/>
      <family val="2"/>
    </font>
    <font>
      <sz val="11"/>
      <color theme="1"/>
      <name val="Calibri"/>
      <family val="2"/>
    </font>
    <font>
      <b/>
      <u val="double"/>
      <sz val="11"/>
      <color rgb="FFFF0000"/>
      <name val="Calibri"/>
      <family val="2"/>
    </font>
    <font>
      <sz val="12"/>
      <color theme="1"/>
      <name val="Arial"/>
      <family val="2"/>
    </font>
    <font>
      <u val="singleAccounting"/>
      <sz val="12"/>
      <color theme="1"/>
      <name val="Arial"/>
      <family val="2"/>
    </font>
    <font>
      <sz val="12"/>
      <color rgb="FFFF0000"/>
      <name val="Arial"/>
      <family val="2"/>
    </font>
    <font>
      <sz val="11"/>
      <color rgb="FFFF0000"/>
      <name val="Calibri"/>
      <family val="2"/>
    </font>
    <font>
      <b/>
      <sz val="10"/>
      <color rgb="FFFF0000"/>
      <name val="Arial"/>
      <family val="2"/>
    </font>
    <font>
      <b/>
      <i/>
      <u/>
      <sz val="11"/>
      <color theme="1"/>
      <name val="Calibri"/>
      <family val="2"/>
      <scheme val="minor"/>
    </font>
    <font>
      <b/>
      <i/>
      <u/>
      <sz val="11"/>
      <color rgb="FFFF0000"/>
      <name val="Calibri"/>
      <family val="2"/>
    </font>
    <font>
      <sz val="9"/>
      <color indexed="81"/>
      <name val="Tahoma"/>
      <charset val="1"/>
    </font>
    <font>
      <b/>
      <sz val="9"/>
      <color indexed="81"/>
      <name val="Tahoma"/>
      <charset val="1"/>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s>
  <borders count="33">
    <border>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1" fillId="0" borderId="0" applyFont="0" applyFill="0" applyBorder="0" applyAlignment="0" applyProtection="0"/>
    <xf numFmtId="9" fontId="4" fillId="0" borderId="0" applyFont="0" applyFill="0" applyBorder="0" applyAlignment="0" applyProtection="0"/>
  </cellStyleXfs>
  <cellXfs count="517">
    <xf numFmtId="0" fontId="0" fillId="0" borderId="0" xfId="0"/>
    <xf numFmtId="0" fontId="2" fillId="0" borderId="0" xfId="0" applyFont="1"/>
    <xf numFmtId="0" fontId="3" fillId="0" borderId="1" xfId="0" applyFont="1" applyBorder="1" applyAlignment="1">
      <alignment horizontal="right"/>
    </xf>
    <xf numFmtId="0" fontId="3" fillId="0" borderId="2" xfId="0" applyFont="1" applyBorder="1" applyAlignment="1">
      <alignment horizontal="right"/>
    </xf>
    <xf numFmtId="0" fontId="3" fillId="0" borderId="3" xfId="0" applyFont="1" applyBorder="1" applyAlignment="1">
      <alignment horizontal="right"/>
    </xf>
    <xf numFmtId="164" fontId="0" fillId="0" borderId="3" xfId="9" applyNumberFormat="1" applyFont="1" applyBorder="1"/>
    <xf numFmtId="0" fontId="0" fillId="0" borderId="1" xfId="0" applyBorder="1"/>
    <xf numFmtId="0" fontId="0" fillId="0" borderId="3" xfId="0" applyBorder="1"/>
    <xf numFmtId="0" fontId="0" fillId="0" borderId="4" xfId="0" applyBorder="1"/>
    <xf numFmtId="0" fontId="0" fillId="0" borderId="5" xfId="0" applyBorder="1"/>
    <xf numFmtId="17" fontId="3" fillId="0" borderId="6" xfId="0" applyNumberFormat="1" applyFont="1" applyBorder="1" applyAlignment="1">
      <alignment horizontal="right"/>
    </xf>
    <xf numFmtId="0" fontId="4" fillId="0" borderId="0" xfId="0" applyFont="1"/>
    <xf numFmtId="0" fontId="0" fillId="0" borderId="0" xfId="0" applyBorder="1"/>
    <xf numFmtId="0" fontId="46" fillId="0" borderId="0" xfId="0" applyFont="1" applyAlignment="1">
      <alignment horizontal="center"/>
    </xf>
    <xf numFmtId="0" fontId="48" fillId="0" borderId="0" xfId="0" applyFont="1" applyAlignment="1">
      <alignment horizontal="center"/>
    </xf>
    <xf numFmtId="164" fontId="4" fillId="0" borderId="3" xfId="10" applyNumberFormat="1" applyFont="1" applyBorder="1" applyAlignment="1">
      <alignment horizontal="right"/>
    </xf>
    <xf numFmtId="43" fontId="4" fillId="0" borderId="2" xfId="2" applyFont="1" applyBorder="1" applyAlignment="1">
      <alignment horizontal="right"/>
    </xf>
    <xf numFmtId="43" fontId="5" fillId="0" borderId="2" xfId="2" applyFont="1" applyBorder="1" applyAlignment="1">
      <alignment horizontal="right"/>
    </xf>
    <xf numFmtId="0" fontId="2" fillId="0" borderId="7" xfId="0" applyFont="1" applyBorder="1"/>
    <xf numFmtId="43" fontId="2" fillId="0" borderId="8" xfId="2" applyFont="1" applyBorder="1"/>
    <xf numFmtId="9" fontId="2" fillId="0" borderId="9" xfId="0" applyNumberFormat="1" applyFont="1" applyBorder="1"/>
    <xf numFmtId="0" fontId="49" fillId="0" borderId="0" xfId="0" applyFont="1" applyBorder="1"/>
    <xf numFmtId="0" fontId="0" fillId="0" borderId="0" xfId="0" applyFill="1"/>
    <xf numFmtId="0" fontId="50" fillId="0" borderId="0" xfId="0" quotePrefix="1" applyFont="1" applyAlignment="1">
      <alignment wrapText="1"/>
    </xf>
    <xf numFmtId="0" fontId="51" fillId="0" borderId="0" xfId="0" applyFont="1" applyAlignment="1">
      <alignment horizontal="right" wrapText="1"/>
    </xf>
    <xf numFmtId="0" fontId="51" fillId="0" borderId="0" xfId="0" applyFont="1" applyAlignment="1">
      <alignment horizontal="center" wrapText="1"/>
    </xf>
    <xf numFmtId="0" fontId="51" fillId="0" borderId="0" xfId="0" applyFont="1" applyAlignment="1">
      <alignment wrapText="1"/>
    </xf>
    <xf numFmtId="0" fontId="48" fillId="0" borderId="0" xfId="0" applyFont="1" applyBorder="1"/>
    <xf numFmtId="0" fontId="46" fillId="0" borderId="0" xfId="0" applyFont="1" applyFill="1" applyBorder="1"/>
    <xf numFmtId="0" fontId="0" fillId="0" borderId="0" xfId="0" applyFill="1" applyBorder="1"/>
    <xf numFmtId="0" fontId="52" fillId="0" borderId="0" xfId="0" applyFont="1" applyBorder="1"/>
    <xf numFmtId="0" fontId="46" fillId="0" borderId="0" xfId="0" applyFont="1" applyAlignment="1">
      <alignment wrapText="1"/>
    </xf>
    <xf numFmtId="0" fontId="53" fillId="0" borderId="0" xfId="0" applyFont="1" applyAlignment="1">
      <alignment horizontal="right" wrapText="1"/>
    </xf>
    <xf numFmtId="0" fontId="54" fillId="0" borderId="0" xfId="0" applyFont="1" applyBorder="1"/>
    <xf numFmtId="0" fontId="55" fillId="0" borderId="0" xfId="0" applyFont="1" applyAlignment="1">
      <alignment wrapText="1"/>
    </xf>
    <xf numFmtId="0" fontId="55" fillId="0" borderId="0" xfId="0" applyFont="1" applyAlignment="1">
      <alignment horizontal="right" wrapText="1"/>
    </xf>
    <xf numFmtId="0" fontId="48" fillId="0" borderId="0" xfId="0" applyFont="1" applyBorder="1" applyAlignment="1"/>
    <xf numFmtId="0" fontId="0" fillId="0" borderId="0" xfId="0" applyBorder="1" applyAlignment="1"/>
    <xf numFmtId="0" fontId="0" fillId="0" borderId="0" xfId="0" applyAlignment="1">
      <alignment wrapText="1"/>
    </xf>
    <xf numFmtId="0" fontId="0" fillId="0" borderId="0" xfId="0" applyAlignment="1">
      <alignment horizontal="right" wrapText="1"/>
    </xf>
    <xf numFmtId="0" fontId="47" fillId="0" borderId="0" xfId="0" applyFont="1" applyAlignment="1">
      <alignment horizontal="right" wrapText="1"/>
    </xf>
    <xf numFmtId="0" fontId="53" fillId="0" borderId="0" xfId="0" applyFont="1" applyAlignment="1">
      <alignment wrapText="1"/>
    </xf>
    <xf numFmtId="0" fontId="55" fillId="0" borderId="0" xfId="0" applyFont="1" applyBorder="1" applyAlignment="1">
      <alignment horizontal="right" wrapText="1"/>
    </xf>
    <xf numFmtId="0" fontId="51" fillId="0" borderId="0" xfId="0" applyFont="1" applyBorder="1" applyAlignment="1">
      <alignment horizontal="right" wrapText="1"/>
    </xf>
    <xf numFmtId="6" fontId="55" fillId="0" borderId="0" xfId="3" applyNumberFormat="1" applyFont="1" applyAlignment="1">
      <alignment horizontal="right" wrapText="1"/>
    </xf>
    <xf numFmtId="6" fontId="55" fillId="0" borderId="0" xfId="3" applyNumberFormat="1" applyFont="1" applyAlignment="1">
      <alignment horizontal="center" wrapText="1"/>
    </xf>
    <xf numFmtId="0" fontId="0" fillId="4" borderId="10" xfId="0" applyFill="1" applyBorder="1" applyAlignment="1">
      <alignment wrapText="1"/>
    </xf>
    <xf numFmtId="0" fontId="0" fillId="4" borderId="11" xfId="0" applyFill="1" applyBorder="1" applyAlignment="1">
      <alignment wrapText="1"/>
    </xf>
    <xf numFmtId="0" fontId="0" fillId="4" borderId="11" xfId="0" applyFill="1" applyBorder="1" applyAlignment="1">
      <alignment horizontal="right" wrapText="1"/>
    </xf>
    <xf numFmtId="0" fontId="0" fillId="4" borderId="12" xfId="0" applyFill="1" applyBorder="1" applyAlignment="1">
      <alignment horizontal="right" wrapText="1"/>
    </xf>
    <xf numFmtId="0" fontId="48" fillId="4" borderId="13" xfId="0" applyFont="1" applyFill="1" applyBorder="1" applyAlignment="1">
      <alignment wrapText="1"/>
    </xf>
    <xf numFmtId="0" fontId="48" fillId="4" borderId="0" xfId="0" applyFont="1" applyFill="1" applyBorder="1" applyAlignment="1">
      <alignment horizontal="center" wrapText="1"/>
    </xf>
    <xf numFmtId="0" fontId="48" fillId="4" borderId="0" xfId="0" applyFont="1" applyFill="1" applyBorder="1"/>
    <xf numFmtId="0" fontId="48" fillId="4" borderId="14" xfId="0" applyFont="1" applyFill="1" applyBorder="1" applyAlignment="1">
      <alignment horizontal="center"/>
    </xf>
    <xf numFmtId="0" fontId="0" fillId="4" borderId="13" xfId="0" applyFill="1" applyBorder="1" applyAlignment="1">
      <alignment wrapText="1"/>
    </xf>
    <xf numFmtId="165" fontId="45" fillId="4" borderId="0" xfId="1" applyNumberFormat="1" applyFont="1" applyFill="1" applyBorder="1" applyAlignment="1">
      <alignment horizontal="center" wrapText="1"/>
    </xf>
    <xf numFmtId="166" fontId="45" fillId="4" borderId="0" xfId="3" applyNumberFormat="1" applyFont="1" applyFill="1" applyBorder="1"/>
    <xf numFmtId="166" fontId="45" fillId="4" borderId="14" xfId="3" applyNumberFormat="1" applyFont="1" applyFill="1" applyBorder="1"/>
    <xf numFmtId="165" fontId="56" fillId="4" borderId="0" xfId="1" applyNumberFormat="1" applyFont="1" applyFill="1" applyBorder="1" applyAlignment="1">
      <alignment horizontal="center" wrapText="1"/>
    </xf>
    <xf numFmtId="166" fontId="56" fillId="4" borderId="14" xfId="3" applyNumberFormat="1" applyFont="1" applyFill="1" applyBorder="1"/>
    <xf numFmtId="0" fontId="55" fillId="4" borderId="13" xfId="0" applyFont="1" applyFill="1" applyBorder="1" applyAlignment="1">
      <alignment wrapText="1"/>
    </xf>
    <xf numFmtId="165" fontId="57" fillId="4" borderId="0" xfId="1" applyNumberFormat="1" applyFont="1" applyFill="1" applyBorder="1" applyAlignment="1">
      <alignment horizontal="center" wrapText="1"/>
    </xf>
    <xf numFmtId="166" fontId="58" fillId="4" borderId="14" xfId="3" applyNumberFormat="1" applyFont="1" applyFill="1" applyBorder="1"/>
    <xf numFmtId="0" fontId="0" fillId="4" borderId="15" xfId="0" applyFill="1" applyBorder="1" applyAlignment="1">
      <alignment wrapText="1"/>
    </xf>
    <xf numFmtId="0" fontId="0" fillId="4" borderId="16" xfId="0" applyFill="1" applyBorder="1" applyAlignment="1">
      <alignment wrapText="1"/>
    </xf>
    <xf numFmtId="0" fontId="0" fillId="4" borderId="16" xfId="0" applyFill="1" applyBorder="1" applyAlignment="1">
      <alignment horizontal="right" wrapText="1"/>
    </xf>
    <xf numFmtId="0" fontId="0" fillId="4" borderId="17" xfId="0" applyFill="1" applyBorder="1" applyAlignment="1">
      <alignment horizontal="right" wrapText="1"/>
    </xf>
    <xf numFmtId="164" fontId="51" fillId="0" borderId="0" xfId="9" applyNumberFormat="1" applyFont="1" applyAlignment="1">
      <alignment horizontal="center" wrapText="1"/>
    </xf>
    <xf numFmtId="164" fontId="2" fillId="0" borderId="9" xfId="0" applyNumberFormat="1" applyFont="1" applyBorder="1"/>
    <xf numFmtId="43" fontId="2" fillId="0" borderId="8" xfId="1" applyFont="1" applyBorder="1"/>
    <xf numFmtId="43" fontId="0" fillId="0" borderId="0" xfId="1" applyFont="1"/>
    <xf numFmtId="0" fontId="2" fillId="0" borderId="18" xfId="0" applyFont="1" applyBorder="1"/>
    <xf numFmtId="0" fontId="2" fillId="2" borderId="18" xfId="0" applyFont="1" applyFill="1" applyBorder="1"/>
    <xf numFmtId="0" fontId="2" fillId="2" borderId="18" xfId="0" applyFont="1" applyFill="1" applyBorder="1" applyAlignment="1">
      <alignment horizontal="center"/>
    </xf>
    <xf numFmtId="0" fontId="2" fillId="2" borderId="18" xfId="0" applyFont="1" applyFill="1" applyBorder="1" applyAlignment="1" applyProtection="1">
      <alignment horizontal="center"/>
    </xf>
    <xf numFmtId="0" fontId="8" fillId="0" borderId="18" xfId="0" applyFont="1" applyFill="1" applyBorder="1"/>
    <xf numFmtId="17" fontId="2" fillId="0" borderId="18" xfId="8" applyNumberFormat="1" applyFont="1" applyFill="1" applyBorder="1" applyAlignment="1">
      <alignment horizontal="right"/>
    </xf>
    <xf numFmtId="44" fontId="4" fillId="0" borderId="18" xfId="3" applyFont="1" applyFill="1" applyBorder="1"/>
    <xf numFmtId="44" fontId="4" fillId="0" borderId="18" xfId="5" applyFont="1" applyFill="1" applyBorder="1"/>
    <xf numFmtId="0" fontId="47" fillId="0" borderId="0" xfId="0" applyFont="1"/>
    <xf numFmtId="0" fontId="46" fillId="0" borderId="0" xfId="0" applyFont="1"/>
    <xf numFmtId="0" fontId="48" fillId="0" borderId="0" xfId="0" applyFont="1"/>
    <xf numFmtId="165" fontId="59" fillId="0" borderId="0" xfId="1" applyNumberFormat="1" applyFont="1"/>
    <xf numFmtId="0" fontId="9" fillId="0" borderId="0" xfId="0" applyFont="1" applyAlignment="1">
      <alignment horizontal="center"/>
    </xf>
    <xf numFmtId="165" fontId="10" fillId="0" borderId="0" xfId="2" applyNumberFormat="1" applyFont="1" applyAlignment="1">
      <alignment horizontal="center"/>
    </xf>
    <xf numFmtId="0" fontId="10" fillId="0" borderId="0" xfId="0" applyFont="1" applyAlignment="1">
      <alignment horizontal="center"/>
    </xf>
    <xf numFmtId="165" fontId="60" fillId="0" borderId="0" xfId="1" applyNumberFormat="1" applyFont="1" applyAlignment="1">
      <alignment horizontal="center"/>
    </xf>
    <xf numFmtId="165" fontId="4" fillId="0" borderId="0" xfId="1" applyNumberFormat="1" applyFont="1" applyProtection="1"/>
    <xf numFmtId="165" fontId="61" fillId="0" borderId="0" xfId="1" applyNumberFormat="1" applyFont="1"/>
    <xf numFmtId="0" fontId="7" fillId="0" borderId="0" xfId="0" applyFont="1"/>
    <xf numFmtId="165" fontId="7" fillId="0" borderId="0" xfId="2" applyNumberFormat="1" applyFont="1"/>
    <xf numFmtId="43" fontId="11" fillId="0" borderId="0" xfId="1" applyFont="1" applyBorder="1" applyAlignment="1" applyProtection="1">
      <alignment horizontal="right"/>
      <protection locked="0"/>
    </xf>
    <xf numFmtId="0" fontId="12" fillId="0" borderId="0" xfId="7" applyFont="1"/>
    <xf numFmtId="0" fontId="62" fillId="0" borderId="0" xfId="0" applyFont="1"/>
    <xf numFmtId="0" fontId="51" fillId="0" borderId="0" xfId="0" applyFont="1"/>
    <xf numFmtId="0" fontId="63" fillId="0" borderId="0" xfId="0" applyFont="1"/>
    <xf numFmtId="0" fontId="64" fillId="0" borderId="0" xfId="0" applyFont="1" applyAlignment="1">
      <alignment horizontal="left"/>
    </xf>
    <xf numFmtId="164" fontId="5" fillId="0" borderId="3" xfId="9" applyNumberFormat="1" applyFont="1" applyBorder="1"/>
    <xf numFmtId="43" fontId="13" fillId="0" borderId="0" xfId="1" applyFont="1" applyBorder="1" applyAlignment="1" applyProtection="1">
      <alignment horizontal="right"/>
      <protection locked="0"/>
    </xf>
    <xf numFmtId="43" fontId="5" fillId="0" borderId="0" xfId="0" applyNumberFormat="1" applyFont="1"/>
    <xf numFmtId="164" fontId="6" fillId="0" borderId="3" xfId="9" applyNumberFormat="1" applyFont="1" applyBorder="1"/>
    <xf numFmtId="0" fontId="53" fillId="0" borderId="0" xfId="0" applyFont="1"/>
    <xf numFmtId="165" fontId="14" fillId="0" borderId="0" xfId="0" applyNumberFormat="1" applyFont="1"/>
    <xf numFmtId="0" fontId="55" fillId="0" borderId="0" xfId="0" applyFont="1"/>
    <xf numFmtId="44" fontId="4" fillId="0" borderId="18" xfId="3" applyFont="1" applyFill="1" applyBorder="1" applyProtection="1">
      <protection locked="0"/>
    </xf>
    <xf numFmtId="44" fontId="4" fillId="0" borderId="0" xfId="3" applyFont="1" applyFill="1" applyBorder="1" applyProtection="1">
      <protection locked="0"/>
    </xf>
    <xf numFmtId="44" fontId="65" fillId="0" borderId="0" xfId="0" applyNumberFormat="1" applyFont="1"/>
    <xf numFmtId="0" fontId="66" fillId="0" borderId="0" xfId="0" applyFont="1"/>
    <xf numFmtId="0" fontId="4" fillId="0" borderId="18" xfId="0" applyFont="1" applyBorder="1"/>
    <xf numFmtId="44" fontId="4" fillId="0" borderId="0" xfId="0" applyNumberFormat="1" applyFont="1" applyFill="1" applyBorder="1"/>
    <xf numFmtId="0" fontId="4" fillId="2" borderId="18" xfId="0" applyFont="1" applyFill="1" applyBorder="1"/>
    <xf numFmtId="0" fontId="4" fillId="0" borderId="18" xfId="0" applyFont="1" applyFill="1" applyBorder="1"/>
    <xf numFmtId="0" fontId="4" fillId="0" borderId="0" xfId="0" applyFont="1" applyFill="1" applyBorder="1"/>
    <xf numFmtId="164" fontId="4" fillId="0" borderId="0" xfId="0" applyNumberFormat="1" applyFont="1"/>
    <xf numFmtId="43" fontId="4" fillId="0" borderId="0" xfId="0" applyNumberFormat="1" applyFont="1"/>
    <xf numFmtId="0" fontId="61" fillId="0" borderId="0" xfId="0" applyFont="1" applyFill="1" applyBorder="1"/>
    <xf numFmtId="0" fontId="61" fillId="0" borderId="0" xfId="0" applyFont="1"/>
    <xf numFmtId="0" fontId="67" fillId="0" borderId="0" xfId="0" applyFont="1"/>
    <xf numFmtId="164" fontId="59" fillId="0" borderId="0" xfId="9" applyNumberFormat="1" applyFont="1"/>
    <xf numFmtId="43" fontId="59" fillId="0" borderId="0" xfId="1" applyFont="1"/>
    <xf numFmtId="165" fontId="0" fillId="0" borderId="0" xfId="2" applyNumberFormat="1" applyFont="1"/>
    <xf numFmtId="43" fontId="4" fillId="0" borderId="0" xfId="1" applyFont="1" applyBorder="1" applyProtection="1">
      <protection locked="0"/>
    </xf>
    <xf numFmtId="43" fontId="5" fillId="0" borderId="0" xfId="1" applyFont="1" applyBorder="1" applyProtection="1">
      <protection locked="0"/>
    </xf>
    <xf numFmtId="44" fontId="4" fillId="0" borderId="19" xfId="3" applyFont="1" applyFill="1" applyBorder="1" applyProtection="1">
      <protection locked="0"/>
    </xf>
    <xf numFmtId="44" fontId="4" fillId="0" borderId="19" xfId="5" applyFont="1" applyFill="1" applyBorder="1"/>
    <xf numFmtId="0" fontId="0" fillId="0" borderId="0" xfId="0" quotePrefix="1"/>
    <xf numFmtId="0" fontId="0" fillId="0" borderId="0" xfId="0" quotePrefix="1" applyAlignment="1">
      <alignment horizontal="left"/>
    </xf>
    <xf numFmtId="164" fontId="4" fillId="0" borderId="3" xfId="9" applyNumberFormat="1" applyFont="1" applyBorder="1"/>
    <xf numFmtId="164" fontId="6" fillId="0" borderId="3" xfId="10" applyNumberFormat="1" applyFont="1" applyBorder="1" applyAlignment="1">
      <alignment horizontal="right"/>
    </xf>
    <xf numFmtId="43" fontId="0" fillId="0" borderId="0" xfId="1" applyNumberFormat="1" applyFont="1"/>
    <xf numFmtId="0" fontId="2" fillId="0" borderId="0" xfId="0" applyFont="1" applyAlignment="1">
      <alignment horizontal="center"/>
    </xf>
    <xf numFmtId="43" fontId="11" fillId="0" borderId="0" xfId="1" applyFont="1" applyBorder="1" applyProtection="1">
      <protection locked="0"/>
    </xf>
    <xf numFmtId="44" fontId="4" fillId="0" borderId="0" xfId="3" applyFont="1"/>
    <xf numFmtId="165" fontId="5" fillId="0" borderId="0" xfId="0" applyNumberFormat="1" applyFont="1"/>
    <xf numFmtId="164" fontId="0" fillId="0" borderId="0" xfId="9" applyNumberFormat="1" applyFont="1"/>
    <xf numFmtId="0" fontId="68" fillId="0" borderId="0" xfId="0" applyFont="1" applyAlignment="1">
      <alignment horizontal="center" wrapText="1"/>
    </xf>
    <xf numFmtId="0" fontId="17" fillId="0" borderId="0" xfId="0" applyFont="1" applyFill="1"/>
    <xf numFmtId="0" fontId="17" fillId="0" borderId="0" xfId="0" applyFont="1"/>
    <xf numFmtId="44" fontId="15" fillId="0" borderId="0" xfId="3" applyFont="1" applyAlignment="1">
      <alignment horizontal="center"/>
    </xf>
    <xf numFmtId="44" fontId="16" fillId="0" borderId="0" xfId="3" applyFont="1" applyAlignment="1">
      <alignment horizontal="center"/>
    </xf>
    <xf numFmtId="0" fontId="69" fillId="0" borderId="0" xfId="0" applyFont="1" applyBorder="1" applyAlignment="1">
      <alignment horizontal="center"/>
    </xf>
    <xf numFmtId="0" fontId="4" fillId="0" borderId="0" xfId="0" applyFont="1" applyBorder="1"/>
    <xf numFmtId="165" fontId="70" fillId="0" borderId="0" xfId="0" applyNumberFormat="1" applyFont="1" applyBorder="1" applyAlignment="1">
      <alignment horizontal="center"/>
    </xf>
    <xf numFmtId="164" fontId="71" fillId="0" borderId="0" xfId="9" applyNumberFormat="1" applyFont="1" applyAlignment="1"/>
    <xf numFmtId="165" fontId="70" fillId="0" borderId="0" xfId="0" applyNumberFormat="1" applyFont="1" applyBorder="1" applyAlignment="1"/>
    <xf numFmtId="166" fontId="70" fillId="0" borderId="0" xfId="0" applyNumberFormat="1" applyFont="1" applyAlignment="1">
      <alignment horizontal="right"/>
    </xf>
    <xf numFmtId="0" fontId="17" fillId="0" borderId="0" xfId="0" applyFont="1" applyAlignment="1">
      <alignment horizontal="right"/>
    </xf>
    <xf numFmtId="166" fontId="72" fillId="0" borderId="0" xfId="3" applyNumberFormat="1" applyFont="1" applyAlignment="1">
      <alignment horizontal="right"/>
    </xf>
    <xf numFmtId="166" fontId="73" fillId="0" borderId="0" xfId="0" applyNumberFormat="1" applyFont="1"/>
    <xf numFmtId="166" fontId="74" fillId="0" borderId="0" xfId="3" applyNumberFormat="1" applyFont="1" applyAlignment="1">
      <alignment horizontal="right"/>
    </xf>
    <xf numFmtId="166" fontId="70" fillId="0" borderId="0" xfId="3" applyNumberFormat="1" applyFont="1" applyAlignment="1">
      <alignment horizontal="right"/>
    </xf>
    <xf numFmtId="166" fontId="70" fillId="0" borderId="0" xfId="3" applyNumberFormat="1" applyFont="1" applyBorder="1" applyAlignment="1">
      <alignment horizontal="center"/>
    </xf>
    <xf numFmtId="166" fontId="17" fillId="0" borderId="0" xfId="0" applyNumberFormat="1" applyFont="1"/>
    <xf numFmtId="166" fontId="16" fillId="0" borderId="0" xfId="3" applyNumberFormat="1" applyFont="1" applyFill="1" applyAlignment="1">
      <alignment horizontal="center"/>
    </xf>
    <xf numFmtId="166" fontId="69" fillId="0" borderId="0" xfId="3" applyNumberFormat="1" applyFont="1" applyBorder="1" applyAlignment="1">
      <alignment horizontal="center"/>
    </xf>
    <xf numFmtId="166" fontId="17" fillId="0" borderId="0" xfId="0" applyNumberFormat="1" applyFont="1" applyFill="1"/>
    <xf numFmtId="166" fontId="19" fillId="0" borderId="0" xfId="3" applyNumberFormat="1" applyFont="1" applyAlignment="1">
      <alignment horizontal="right"/>
    </xf>
    <xf numFmtId="166" fontId="16" fillId="0" borderId="0" xfId="3" applyNumberFormat="1" applyFont="1" applyAlignment="1">
      <alignment horizontal="right"/>
    </xf>
    <xf numFmtId="166" fontId="20" fillId="0" borderId="0" xfId="3" applyNumberFormat="1" applyFont="1" applyAlignment="1">
      <alignment horizontal="center"/>
    </xf>
    <xf numFmtId="43" fontId="20" fillId="0" borderId="0" xfId="1" applyFont="1" applyAlignment="1">
      <alignment horizontal="center"/>
    </xf>
    <xf numFmtId="44" fontId="20" fillId="0" borderId="0" xfId="3" applyFont="1" applyAlignment="1">
      <alignment horizontal="center"/>
    </xf>
    <xf numFmtId="0" fontId="4" fillId="4" borderId="13" xfId="0" applyFont="1" applyFill="1" applyBorder="1" applyAlignment="1">
      <alignment wrapText="1"/>
    </xf>
    <xf numFmtId="9" fontId="69" fillId="0" borderId="0" xfId="9" applyFont="1" applyBorder="1" applyAlignment="1">
      <alignment horizontal="center"/>
    </xf>
    <xf numFmtId="166" fontId="75" fillId="0" borderId="0" xfId="3" applyNumberFormat="1" applyFont="1" applyAlignment="1">
      <alignment horizontal="right"/>
    </xf>
    <xf numFmtId="6" fontId="15" fillId="0" borderId="0" xfId="3" applyNumberFormat="1" applyFont="1" applyAlignment="1">
      <alignment horizontal="right"/>
    </xf>
    <xf numFmtId="164" fontId="20" fillId="0" borderId="0" xfId="9" applyNumberFormat="1" applyFont="1" applyAlignment="1">
      <alignment horizontal="center"/>
    </xf>
    <xf numFmtId="0" fontId="76" fillId="0" borderId="0" xfId="0" applyFont="1" applyBorder="1"/>
    <xf numFmtId="165" fontId="2" fillId="0" borderId="0" xfId="2" applyNumberFormat="1" applyFont="1" applyAlignment="1">
      <alignment horizontal="center"/>
    </xf>
    <xf numFmtId="43" fontId="4" fillId="0" borderId="0" xfId="1" applyFont="1"/>
    <xf numFmtId="43" fontId="5" fillId="0" borderId="0" xfId="1" applyFont="1"/>
    <xf numFmtId="165" fontId="4" fillId="0" borderId="0" xfId="0" applyNumberFormat="1" applyFont="1"/>
    <xf numFmtId="43" fontId="4" fillId="0" borderId="0" xfId="0" applyNumberFormat="1" applyFont="1" applyFill="1"/>
    <xf numFmtId="0" fontId="4" fillId="0" borderId="0" xfId="0" applyFont="1" applyFill="1"/>
    <xf numFmtId="164" fontId="77" fillId="0" borderId="0" xfId="9" applyNumberFormat="1" applyFont="1"/>
    <xf numFmtId="166" fontId="4" fillId="0" borderId="0" xfId="0" applyNumberFormat="1" applyFont="1"/>
    <xf numFmtId="165" fontId="4" fillId="0" borderId="0" xfId="0" applyNumberFormat="1" applyFont="1" applyFill="1"/>
    <xf numFmtId="166" fontId="59" fillId="0" borderId="0" xfId="3" applyNumberFormat="1" applyFont="1"/>
    <xf numFmtId="44" fontId="59" fillId="0" borderId="0" xfId="3" applyFont="1"/>
    <xf numFmtId="0" fontId="78" fillId="0" borderId="0" xfId="0" applyFont="1"/>
    <xf numFmtId="166" fontId="78" fillId="0" borderId="0" xfId="3" applyNumberFormat="1" applyFont="1"/>
    <xf numFmtId="43" fontId="78" fillId="0" borderId="0" xfId="0" applyNumberFormat="1" applyFont="1"/>
    <xf numFmtId="43" fontId="61" fillId="0" borderId="0" xfId="0" applyNumberFormat="1" applyFont="1"/>
    <xf numFmtId="44" fontId="78" fillId="0" borderId="0" xfId="3" applyFont="1"/>
    <xf numFmtId="165" fontId="78" fillId="0" borderId="0" xfId="1" applyNumberFormat="1" applyFont="1"/>
    <xf numFmtId="43" fontId="65" fillId="0" borderId="0" xfId="0" applyNumberFormat="1" applyFont="1"/>
    <xf numFmtId="166" fontId="65" fillId="0" borderId="0" xfId="3" applyNumberFormat="1" applyFont="1"/>
    <xf numFmtId="44" fontId="65" fillId="0" borderId="0" xfId="3" applyFont="1"/>
    <xf numFmtId="165" fontId="65" fillId="0" borderId="0" xfId="0" applyNumberFormat="1" applyFont="1"/>
    <xf numFmtId="166" fontId="59" fillId="0" borderId="0" xfId="3" applyNumberFormat="1" applyFont="1" applyFill="1"/>
    <xf numFmtId="0" fontId="78" fillId="0" borderId="0" xfId="0" applyFont="1" applyFill="1"/>
    <xf numFmtId="43" fontId="78" fillId="0" borderId="0" xfId="0" applyNumberFormat="1" applyFont="1" applyFill="1"/>
    <xf numFmtId="166" fontId="78" fillId="0" borderId="0" xfId="3" applyNumberFormat="1" applyFont="1" applyFill="1"/>
    <xf numFmtId="43" fontId="79" fillId="0" borderId="0" xfId="1" applyFont="1"/>
    <xf numFmtId="43" fontId="79" fillId="0" borderId="0" xfId="0" applyNumberFormat="1" applyFont="1"/>
    <xf numFmtId="166" fontId="79" fillId="0" borderId="0" xfId="3" applyNumberFormat="1" applyFont="1"/>
    <xf numFmtId="166" fontId="79" fillId="0" borderId="0" xfId="0" applyNumberFormat="1" applyFont="1"/>
    <xf numFmtId="44" fontId="79" fillId="0" borderId="0" xfId="3" applyFont="1"/>
    <xf numFmtId="165" fontId="79" fillId="0" borderId="0" xfId="1" applyNumberFormat="1" applyFont="1"/>
    <xf numFmtId="166" fontId="14" fillId="0" borderId="0" xfId="3" applyNumberFormat="1" applyFont="1"/>
    <xf numFmtId="166" fontId="14" fillId="0" borderId="0" xfId="0" applyNumberFormat="1" applyFont="1"/>
    <xf numFmtId="166" fontId="2" fillId="0" borderId="0" xfId="3" applyNumberFormat="1" applyFont="1"/>
    <xf numFmtId="0" fontId="66" fillId="0" borderId="0" xfId="0" applyFont="1" applyAlignment="1">
      <alignment horizontal="center"/>
    </xf>
    <xf numFmtId="0" fontId="67" fillId="0" borderId="0" xfId="0" applyFont="1" applyAlignment="1">
      <alignment horizontal="center"/>
    </xf>
    <xf numFmtId="43" fontId="5" fillId="0" borderId="0" xfId="0" applyNumberFormat="1" applyFont="1" applyFill="1"/>
    <xf numFmtId="43" fontId="61" fillId="0" borderId="0" xfId="0" applyNumberFormat="1" applyFont="1" applyFill="1"/>
    <xf numFmtId="166" fontId="61" fillId="0" borderId="0" xfId="3" applyNumberFormat="1" applyFont="1" applyFill="1"/>
    <xf numFmtId="164" fontId="80" fillId="0" borderId="0" xfId="9" applyNumberFormat="1" applyFont="1"/>
    <xf numFmtId="164" fontId="65" fillId="0" borderId="0" xfId="9" applyNumberFormat="1" applyFont="1"/>
    <xf numFmtId="0" fontId="67" fillId="0" borderId="0" xfId="0" applyFont="1" applyAlignment="1">
      <alignment horizontal="center"/>
    </xf>
    <xf numFmtId="165" fontId="4" fillId="0" borderId="0" xfId="2" applyNumberFormat="1" applyFont="1" applyFill="1"/>
    <xf numFmtId="165" fontId="4" fillId="0" borderId="0" xfId="2" applyNumberFormat="1" applyFont="1"/>
    <xf numFmtId="0" fontId="4" fillId="0" borderId="0" xfId="0" quotePrefix="1" applyFont="1"/>
    <xf numFmtId="165" fontId="59" fillId="0" borderId="0" xfId="2" applyNumberFormat="1" applyFont="1"/>
    <xf numFmtId="165" fontId="78" fillId="0" borderId="0" xfId="2" applyNumberFormat="1" applyFont="1"/>
    <xf numFmtId="165" fontId="5" fillId="0" borderId="0" xfId="2" applyNumberFormat="1" applyFont="1"/>
    <xf numFmtId="165" fontId="81" fillId="0" borderId="0" xfId="2" applyNumberFormat="1" applyFont="1"/>
    <xf numFmtId="0" fontId="81" fillId="0" borderId="0" xfId="0" applyFont="1"/>
    <xf numFmtId="165" fontId="78" fillId="0" borderId="0" xfId="0" applyNumberFormat="1" applyFont="1"/>
    <xf numFmtId="164" fontId="80" fillId="0" borderId="0" xfId="0" applyNumberFormat="1" applyFont="1"/>
    <xf numFmtId="165" fontId="66" fillId="0" borderId="0" xfId="0" applyNumberFormat="1" applyFont="1"/>
    <xf numFmtId="165" fontId="60" fillId="0" borderId="0" xfId="0" applyNumberFormat="1" applyFont="1"/>
    <xf numFmtId="165" fontId="66" fillId="0" borderId="0" xfId="1" applyNumberFormat="1" applyFont="1"/>
    <xf numFmtId="165" fontId="60" fillId="0" borderId="0" xfId="1" applyNumberFormat="1" applyFont="1"/>
    <xf numFmtId="0" fontId="3" fillId="0" borderId="0" xfId="0" applyFont="1" applyFill="1" applyAlignment="1">
      <alignment horizontal="center"/>
    </xf>
    <xf numFmtId="165" fontId="59" fillId="0" borderId="0" xfId="2" applyNumberFormat="1" applyFont="1" applyFill="1"/>
    <xf numFmtId="165" fontId="4" fillId="0" borderId="0" xfId="1" applyNumberFormat="1" applyFont="1" applyFill="1" applyProtection="1"/>
    <xf numFmtId="43" fontId="0" fillId="0" borderId="0" xfId="0" applyNumberFormat="1"/>
    <xf numFmtId="0" fontId="82" fillId="0" borderId="0" xfId="0" applyFont="1" applyFill="1"/>
    <xf numFmtId="0" fontId="76" fillId="0" borderId="0" xfId="0" applyFont="1"/>
    <xf numFmtId="0" fontId="21" fillId="0" borderId="20" xfId="0" applyFont="1" applyBorder="1" applyAlignment="1">
      <alignment horizontal="center"/>
    </xf>
    <xf numFmtId="10" fontId="11" fillId="0" borderId="0" xfId="9" applyNumberFormat="1" applyFont="1" applyBorder="1" applyAlignment="1">
      <alignment horizontal="right"/>
    </xf>
    <xf numFmtId="43" fontId="11" fillId="0" borderId="0" xfId="1" applyFont="1" applyBorder="1" applyAlignment="1">
      <alignment horizontal="right"/>
    </xf>
    <xf numFmtId="0" fontId="82" fillId="0" borderId="0" xfId="0" applyFont="1" applyBorder="1"/>
    <xf numFmtId="43" fontId="82" fillId="0" borderId="21" xfId="1" applyFont="1" applyBorder="1"/>
    <xf numFmtId="10" fontId="21" fillId="0" borderId="0" xfId="9" applyNumberFormat="1" applyFont="1" applyBorder="1" applyAlignment="1">
      <alignment horizontal="right"/>
    </xf>
    <xf numFmtId="43" fontId="4" fillId="0" borderId="18" xfId="1" applyFont="1" applyBorder="1"/>
    <xf numFmtId="165" fontId="4" fillId="0" borderId="18" xfId="1" applyNumberFormat="1" applyFont="1" applyBorder="1"/>
    <xf numFmtId="165" fontId="4" fillId="0" borderId="18" xfId="0" applyNumberFormat="1" applyFont="1" applyBorder="1"/>
    <xf numFmtId="0" fontId="2" fillId="2" borderId="0" xfId="0" applyFont="1" applyFill="1" applyBorder="1" applyAlignment="1">
      <alignment horizontal="center"/>
    </xf>
    <xf numFmtId="43" fontId="4" fillId="0" borderId="0" xfId="1" applyFont="1" applyBorder="1"/>
    <xf numFmtId="44" fontId="4" fillId="0" borderId="18" xfId="3" applyFont="1" applyBorder="1"/>
    <xf numFmtId="16" fontId="9" fillId="0" borderId="0" xfId="0" applyNumberFormat="1" applyFont="1" applyAlignment="1">
      <alignment horizontal="center"/>
    </xf>
    <xf numFmtId="0" fontId="2" fillId="0" borderId="0" xfId="0" quotePrefix="1" applyFont="1" applyAlignment="1">
      <alignment horizontal="center"/>
    </xf>
    <xf numFmtId="43" fontId="2" fillId="0" borderId="0" xfId="0" applyNumberFormat="1" applyFont="1"/>
    <xf numFmtId="43" fontId="61" fillId="0" borderId="18" xfId="1" applyFont="1" applyBorder="1"/>
    <xf numFmtId="0" fontId="59" fillId="0" borderId="0" xfId="1" applyNumberFormat="1" applyFont="1"/>
    <xf numFmtId="0" fontId="2" fillId="0" borderId="0" xfId="0" applyFont="1" applyBorder="1" applyAlignment="1">
      <alignment horizontal="center"/>
    </xf>
    <xf numFmtId="44" fontId="59" fillId="0" borderId="0" xfId="1" applyNumberFormat="1" applyFont="1"/>
    <xf numFmtId="165" fontId="78" fillId="0" borderId="0" xfId="2" applyNumberFormat="1" applyFont="1" applyFill="1"/>
    <xf numFmtId="0" fontId="5" fillId="0" borderId="0" xfId="0" applyFont="1"/>
    <xf numFmtId="0" fontId="72" fillId="0" borderId="0" xfId="0" applyFont="1" applyBorder="1"/>
    <xf numFmtId="0" fontId="68" fillId="0" borderId="0" xfId="0" applyFont="1" applyAlignment="1">
      <alignment horizontal="right" wrapText="1"/>
    </xf>
    <xf numFmtId="0" fontId="68" fillId="0" borderId="0" xfId="0" applyFont="1" applyAlignment="1">
      <alignment wrapText="1"/>
    </xf>
    <xf numFmtId="0" fontId="69" fillId="0" borderId="0" xfId="0" applyFont="1" applyBorder="1"/>
    <xf numFmtId="0" fontId="72" fillId="0" borderId="0" xfId="0" applyFont="1" applyFill="1" applyBorder="1"/>
    <xf numFmtId="0" fontId="72" fillId="0" borderId="0" xfId="0" applyFont="1" applyAlignment="1">
      <alignment wrapText="1"/>
    </xf>
    <xf numFmtId="0" fontId="17" fillId="0" borderId="0" xfId="0" applyFont="1" applyAlignment="1">
      <alignment horizontal="right" wrapText="1"/>
    </xf>
    <xf numFmtId="164" fontId="68" fillId="0" borderId="0" xfId="9" applyNumberFormat="1" applyFont="1" applyAlignment="1">
      <alignment horizontal="center" wrapText="1"/>
    </xf>
    <xf numFmtId="0" fontId="72" fillId="0" borderId="0" xfId="0" applyFont="1" applyBorder="1" applyAlignment="1">
      <alignment wrapText="1"/>
    </xf>
    <xf numFmtId="0" fontId="15" fillId="0" borderId="0" xfId="0" applyFont="1" applyAlignment="1">
      <alignment wrapText="1"/>
    </xf>
    <xf numFmtId="0" fontId="15" fillId="0" borderId="0" xfId="0" applyFont="1" applyAlignment="1">
      <alignment horizontal="right" wrapText="1"/>
    </xf>
    <xf numFmtId="0" fontId="69" fillId="0" borderId="0" xfId="0" applyFont="1" applyBorder="1" applyAlignment="1"/>
    <xf numFmtId="0" fontId="17" fillId="0" borderId="0" xfId="0" applyFont="1" applyAlignment="1">
      <alignment wrapText="1"/>
    </xf>
    <xf numFmtId="6" fontId="15" fillId="0" borderId="0" xfId="3" applyNumberFormat="1" applyFont="1" applyAlignment="1">
      <alignment horizontal="right" wrapText="1"/>
    </xf>
    <xf numFmtId="6" fontId="15" fillId="0" borderId="0" xfId="3" applyNumberFormat="1" applyFont="1" applyAlignment="1">
      <alignment horizontal="center" wrapText="1"/>
    </xf>
    <xf numFmtId="164" fontId="20" fillId="0" borderId="0" xfId="9" applyNumberFormat="1" applyFont="1" applyAlignment="1">
      <alignment horizontal="center" wrapText="1"/>
    </xf>
    <xf numFmtId="0" fontId="69" fillId="4" borderId="13" xfId="0" applyFont="1" applyFill="1" applyBorder="1" applyAlignment="1">
      <alignment wrapText="1"/>
    </xf>
    <xf numFmtId="0" fontId="69" fillId="4" borderId="0" xfId="0" applyFont="1" applyFill="1" applyBorder="1" applyAlignment="1">
      <alignment horizontal="center" wrapText="1"/>
    </xf>
    <xf numFmtId="0" fontId="69" fillId="4" borderId="0" xfId="0" applyFont="1" applyFill="1" applyBorder="1"/>
    <xf numFmtId="0" fontId="69" fillId="4" borderId="14" xfId="0" applyFont="1" applyFill="1" applyBorder="1" applyAlignment="1">
      <alignment horizontal="center"/>
    </xf>
    <xf numFmtId="166" fontId="83" fillId="4" borderId="0" xfId="3" applyNumberFormat="1" applyFont="1" applyFill="1" applyBorder="1"/>
    <xf numFmtId="0" fontId="15" fillId="4" borderId="13" xfId="0" applyFont="1" applyFill="1" applyBorder="1" applyAlignment="1">
      <alignment wrapText="1"/>
    </xf>
    <xf numFmtId="165" fontId="19" fillId="4" borderId="0" xfId="1" applyNumberFormat="1" applyFont="1" applyFill="1" applyBorder="1" applyAlignment="1">
      <alignment horizontal="center" wrapText="1"/>
    </xf>
    <xf numFmtId="166" fontId="70" fillId="4" borderId="14" xfId="3" applyNumberFormat="1" applyFont="1" applyFill="1" applyBorder="1"/>
    <xf numFmtId="0" fontId="17" fillId="0" borderId="0" xfId="0" applyFont="1" applyBorder="1"/>
    <xf numFmtId="0" fontId="17" fillId="0" borderId="0" xfId="0" applyFont="1" applyFill="1" applyBorder="1"/>
    <xf numFmtId="0" fontId="17" fillId="0" borderId="0" xfId="0" applyFont="1" applyBorder="1" applyAlignment="1"/>
    <xf numFmtId="0" fontId="17" fillId="4" borderId="10" xfId="0" applyFont="1" applyFill="1" applyBorder="1" applyAlignment="1">
      <alignment wrapText="1"/>
    </xf>
    <xf numFmtId="0" fontId="17" fillId="4" borderId="11" xfId="0" applyFont="1" applyFill="1" applyBorder="1" applyAlignment="1">
      <alignment wrapText="1"/>
    </xf>
    <xf numFmtId="0" fontId="17" fillId="4" borderId="11" xfId="0" applyFont="1" applyFill="1" applyBorder="1" applyAlignment="1">
      <alignment horizontal="right" wrapText="1"/>
    </xf>
    <xf numFmtId="0" fontId="17" fillId="4" borderId="12" xfId="0" applyFont="1" applyFill="1" applyBorder="1" applyAlignment="1">
      <alignment horizontal="right" wrapText="1"/>
    </xf>
    <xf numFmtId="0" fontId="17" fillId="4" borderId="15" xfId="0" applyFont="1" applyFill="1" applyBorder="1" applyAlignment="1">
      <alignment wrapText="1"/>
    </xf>
    <xf numFmtId="0" fontId="17" fillId="4" borderId="16" xfId="0" applyFont="1" applyFill="1" applyBorder="1" applyAlignment="1">
      <alignment wrapText="1"/>
    </xf>
    <xf numFmtId="0" fontId="17" fillId="4" borderId="16" xfId="0" applyFont="1" applyFill="1" applyBorder="1" applyAlignment="1">
      <alignment horizontal="right" wrapText="1"/>
    </xf>
    <xf numFmtId="0" fontId="17" fillId="4" borderId="17" xfId="0" applyFont="1" applyFill="1" applyBorder="1" applyAlignment="1">
      <alignment horizontal="right" wrapText="1"/>
    </xf>
    <xf numFmtId="166" fontId="84" fillId="0" borderId="0" xfId="3" applyNumberFormat="1" applyFont="1" applyAlignment="1">
      <alignment horizontal="center"/>
    </xf>
    <xf numFmtId="44" fontId="0" fillId="0" borderId="0" xfId="3" applyFont="1"/>
    <xf numFmtId="166" fontId="51" fillId="0" borderId="0" xfId="3" applyNumberFormat="1" applyFont="1"/>
    <xf numFmtId="9" fontId="51" fillId="0" borderId="0" xfId="0" applyNumberFormat="1" applyFont="1"/>
    <xf numFmtId="164" fontId="61" fillId="0" borderId="0" xfId="9" applyNumberFormat="1" applyFont="1"/>
    <xf numFmtId="0" fontId="23" fillId="5" borderId="10" xfId="0" applyFont="1" applyFill="1" applyBorder="1"/>
    <xf numFmtId="0" fontId="24" fillId="5" borderId="11" xfId="0" applyFont="1" applyFill="1" applyBorder="1"/>
    <xf numFmtId="0" fontId="85" fillId="5" borderId="11" xfId="0" applyFont="1" applyFill="1" applyBorder="1"/>
    <xf numFmtId="0" fontId="85" fillId="5" borderId="12" xfId="0" applyFont="1" applyFill="1" applyBorder="1"/>
    <xf numFmtId="0" fontId="25" fillId="5" borderId="13" xfId="0" applyFont="1" applyFill="1" applyBorder="1"/>
    <xf numFmtId="0" fontId="25" fillId="5" borderId="0" xfId="0" applyFont="1" applyFill="1" applyBorder="1"/>
    <xf numFmtId="0" fontId="26" fillId="5" borderId="0" xfId="0" applyFont="1" applyFill="1" applyBorder="1"/>
    <xf numFmtId="0" fontId="85" fillId="5" borderId="0" xfId="0" applyFont="1" applyFill="1" applyBorder="1"/>
    <xf numFmtId="0" fontId="85" fillId="5" borderId="14" xfId="0" applyFont="1" applyFill="1" applyBorder="1"/>
    <xf numFmtId="15" fontId="25" fillId="5" borderId="13" xfId="0" applyNumberFormat="1" applyFont="1" applyFill="1" applyBorder="1"/>
    <xf numFmtId="15" fontId="25" fillId="5" borderId="0" xfId="0" applyNumberFormat="1" applyFont="1" applyFill="1" applyBorder="1"/>
    <xf numFmtId="0" fontId="85" fillId="5" borderId="13" xfId="0" applyFont="1" applyFill="1" applyBorder="1"/>
    <xf numFmtId="0" fontId="25" fillId="5" borderId="0" xfId="0" applyFont="1" applyFill="1" applyBorder="1" applyAlignment="1">
      <alignment horizontal="center"/>
    </xf>
    <xf numFmtId="0" fontId="28" fillId="5" borderId="0" xfId="0" applyFont="1" applyFill="1" applyBorder="1" applyAlignment="1">
      <alignment horizontal="center"/>
    </xf>
    <xf numFmtId="0" fontId="25" fillId="5" borderId="22" xfId="0" applyFont="1" applyFill="1" applyBorder="1"/>
    <xf numFmtId="0" fontId="85" fillId="5" borderId="0" xfId="0" applyFont="1" applyFill="1" applyBorder="1" applyAlignment="1">
      <alignment horizontal="center"/>
    </xf>
    <xf numFmtId="41" fontId="85" fillId="5" borderId="0" xfId="0" applyNumberFormat="1" applyFont="1" applyFill="1" applyBorder="1"/>
    <xf numFmtId="44" fontId="29" fillId="5" borderId="0" xfId="4" applyFont="1" applyFill="1" applyBorder="1"/>
    <xf numFmtId="166" fontId="85" fillId="5" borderId="0" xfId="4" applyNumberFormat="1" applyFont="1" applyFill="1" applyBorder="1"/>
    <xf numFmtId="0" fontId="24" fillId="5" borderId="13" xfId="0" applyFont="1" applyFill="1" applyBorder="1"/>
    <xf numFmtId="0" fontId="24" fillId="5" borderId="0" xfId="0" applyFont="1" applyFill="1" applyBorder="1"/>
    <xf numFmtId="41" fontId="30" fillId="5" borderId="0" xfId="0" applyNumberFormat="1" applyFont="1" applyFill="1" applyBorder="1"/>
    <xf numFmtId="166" fontId="30" fillId="5" borderId="0" xfId="4" applyNumberFormat="1" applyFont="1" applyFill="1" applyBorder="1"/>
    <xf numFmtId="44" fontId="85" fillId="5" borderId="0" xfId="4" applyFont="1" applyFill="1" applyBorder="1"/>
    <xf numFmtId="166" fontId="86" fillId="5" borderId="0" xfId="4" applyNumberFormat="1" applyFont="1" applyFill="1" applyBorder="1"/>
    <xf numFmtId="44" fontId="24" fillId="5" borderId="0" xfId="4" applyFont="1" applyFill="1" applyBorder="1"/>
    <xf numFmtId="44" fontId="24" fillId="5" borderId="14" xfId="4" applyFont="1" applyFill="1" applyBorder="1"/>
    <xf numFmtId="0" fontId="28" fillId="5" borderId="13" xfId="0" applyFont="1" applyFill="1" applyBorder="1"/>
    <xf numFmtId="166" fontId="24" fillId="5" borderId="0" xfId="4" applyNumberFormat="1" applyFont="1" applyFill="1" applyBorder="1"/>
    <xf numFmtId="41" fontId="86" fillId="5" borderId="0" xfId="0" applyNumberFormat="1" applyFont="1" applyFill="1" applyBorder="1"/>
    <xf numFmtId="44" fontId="30" fillId="5" borderId="14" xfId="4" applyNumberFormat="1" applyFont="1" applyFill="1" applyBorder="1"/>
    <xf numFmtId="44" fontId="25" fillId="5" borderId="14" xfId="4" applyNumberFormat="1" applyFont="1" applyFill="1" applyBorder="1"/>
    <xf numFmtId="9" fontId="0" fillId="0" borderId="0" xfId="10" applyFont="1"/>
    <xf numFmtId="166" fontId="62" fillId="5" borderId="0" xfId="4" applyNumberFormat="1" applyFont="1" applyFill="1" applyBorder="1"/>
    <xf numFmtId="44" fontId="25" fillId="5" borderId="14" xfId="4" applyFont="1" applyFill="1" applyBorder="1"/>
    <xf numFmtId="164" fontId="87" fillId="5" borderId="0" xfId="10" applyNumberFormat="1" applyFont="1" applyFill="1" applyBorder="1"/>
    <xf numFmtId="44" fontId="31" fillId="5" borderId="14" xfId="4" applyNumberFormat="1" applyFont="1" applyFill="1" applyBorder="1"/>
    <xf numFmtId="41" fontId="0" fillId="0" borderId="0" xfId="0" applyNumberFormat="1"/>
    <xf numFmtId="9" fontId="87" fillId="5" borderId="0" xfId="10" applyFont="1" applyFill="1" applyBorder="1"/>
    <xf numFmtId="44" fontId="32" fillId="5" borderId="14" xfId="4" applyNumberFormat="1" applyFont="1" applyFill="1" applyBorder="1"/>
    <xf numFmtId="0" fontId="0" fillId="5" borderId="15" xfId="0" applyFill="1" applyBorder="1"/>
    <xf numFmtId="0" fontId="0" fillId="5" borderId="16" xfId="0" applyFill="1" applyBorder="1"/>
    <xf numFmtId="0" fontId="0" fillId="5" borderId="17" xfId="0" applyFill="1" applyBorder="1"/>
    <xf numFmtId="167" fontId="0" fillId="0" borderId="0" xfId="0" applyNumberFormat="1"/>
    <xf numFmtId="165" fontId="45" fillId="0" borderId="0" xfId="2" applyNumberFormat="1" applyFont="1"/>
    <xf numFmtId="44" fontId="45" fillId="0" borderId="0" xfId="4" applyFont="1"/>
    <xf numFmtId="167" fontId="36" fillId="3" borderId="10" xfId="0" applyNumberFormat="1" applyFont="1" applyFill="1" applyBorder="1"/>
    <xf numFmtId="167" fontId="36" fillId="3" borderId="11" xfId="0" applyNumberFormat="1" applyFont="1" applyFill="1" applyBorder="1"/>
    <xf numFmtId="167" fontId="36" fillId="3" borderId="12" xfId="0" applyNumberFormat="1" applyFont="1" applyFill="1" applyBorder="1"/>
    <xf numFmtId="167" fontId="36" fillId="0" borderId="0" xfId="0" applyNumberFormat="1" applyFont="1"/>
    <xf numFmtId="165" fontId="36" fillId="0" borderId="0" xfId="2" applyNumberFormat="1" applyFont="1"/>
    <xf numFmtId="167" fontId="36" fillId="3" borderId="17" xfId="0" applyNumberFormat="1" applyFont="1" applyFill="1" applyBorder="1" applyAlignment="1">
      <alignment horizontal="center"/>
    </xf>
    <xf numFmtId="167" fontId="36" fillId="3" borderId="23" xfId="0" applyNumberFormat="1" applyFont="1" applyFill="1" applyBorder="1" applyAlignment="1">
      <alignment horizontal="center"/>
    </xf>
    <xf numFmtId="44" fontId="36" fillId="3" borderId="23" xfId="4" applyFont="1" applyFill="1" applyBorder="1" applyAlignment="1">
      <alignment horizontal="center"/>
    </xf>
    <xf numFmtId="167" fontId="37" fillId="0" borderId="0" xfId="0" applyNumberFormat="1" applyFont="1" applyAlignment="1">
      <alignment horizontal="center"/>
    </xf>
    <xf numFmtId="167" fontId="24" fillId="0" borderId="10" xfId="0" applyNumberFormat="1" applyFont="1" applyBorder="1"/>
    <xf numFmtId="167" fontId="24" fillId="0" borderId="11" xfId="0" applyNumberFormat="1" applyFont="1" applyBorder="1"/>
    <xf numFmtId="167" fontId="24" fillId="0" borderId="12" xfId="0" applyNumberFormat="1" applyFont="1" applyBorder="1"/>
    <xf numFmtId="167" fontId="24" fillId="0" borderId="24" xfId="0" applyNumberFormat="1" applyFont="1" applyBorder="1"/>
    <xf numFmtId="44" fontId="24" fillId="0" borderId="24" xfId="4" applyFont="1" applyBorder="1"/>
    <xf numFmtId="10" fontId="24" fillId="0" borderId="24" xfId="10" applyNumberFormat="1" applyFont="1" applyBorder="1"/>
    <xf numFmtId="167" fontId="24" fillId="0" borderId="0" xfId="0" applyNumberFormat="1" applyFont="1"/>
    <xf numFmtId="165" fontId="24" fillId="0" borderId="0" xfId="2" applyNumberFormat="1" applyFont="1"/>
    <xf numFmtId="167" fontId="36" fillId="0" borderId="13" xfId="0" applyNumberFormat="1" applyFont="1" applyBorder="1"/>
    <xf numFmtId="167" fontId="24" fillId="0" borderId="0" xfId="0" applyNumberFormat="1" applyFont="1" applyBorder="1"/>
    <xf numFmtId="167" fontId="24" fillId="0" borderId="14" xfId="0" applyNumberFormat="1" applyFont="1" applyBorder="1"/>
    <xf numFmtId="44" fontId="24" fillId="6" borderId="25" xfId="4" applyFont="1" applyFill="1" applyBorder="1"/>
    <xf numFmtId="44" fontId="24" fillId="0" borderId="25" xfId="4" applyFont="1" applyBorder="1"/>
    <xf numFmtId="10" fontId="24" fillId="0" borderId="25" xfId="10" applyNumberFormat="1" applyFont="1" applyBorder="1"/>
    <xf numFmtId="7" fontId="24" fillId="0" borderId="25" xfId="4" applyNumberFormat="1" applyFont="1" applyBorder="1"/>
    <xf numFmtId="164" fontId="24" fillId="0" borderId="0" xfId="10" applyNumberFormat="1" applyFont="1"/>
    <xf numFmtId="168" fontId="24" fillId="0" borderId="0" xfId="0" applyNumberFormat="1" applyFont="1"/>
    <xf numFmtId="164" fontId="38" fillId="0" borderId="0" xfId="10" applyNumberFormat="1" applyFont="1"/>
    <xf numFmtId="167" fontId="37" fillId="0" borderId="13" xfId="0" applyNumberFormat="1" applyFont="1" applyBorder="1"/>
    <xf numFmtId="167" fontId="24" fillId="0" borderId="25" xfId="0" applyNumberFormat="1" applyFont="1" applyBorder="1"/>
    <xf numFmtId="44" fontId="39" fillId="0" borderId="25" xfId="4" applyFont="1" applyBorder="1"/>
    <xf numFmtId="164" fontId="40" fillId="0" borderId="0" xfId="10" applyNumberFormat="1" applyFont="1"/>
    <xf numFmtId="10" fontId="24" fillId="0" borderId="0" xfId="10" applyNumberFormat="1" applyFont="1"/>
    <xf numFmtId="167" fontId="24" fillId="0" borderId="13" xfId="0" applyNumberFormat="1" applyFont="1" applyBorder="1"/>
    <xf numFmtId="167" fontId="24" fillId="0" borderId="14" xfId="0" applyNumberFormat="1" applyFont="1" applyBorder="1" applyAlignment="1">
      <alignment horizontal="right"/>
    </xf>
    <xf numFmtId="44" fontId="24" fillId="0" borderId="25" xfId="4" applyFont="1" applyFill="1" applyBorder="1"/>
    <xf numFmtId="44" fontId="24" fillId="6" borderId="25" xfId="4" applyNumberFormat="1" applyFont="1" applyFill="1" applyBorder="1"/>
    <xf numFmtId="44" fontId="24" fillId="0" borderId="0" xfId="4" applyFont="1" applyBorder="1"/>
    <xf numFmtId="167" fontId="24" fillId="0" borderId="15" xfId="0" applyNumberFormat="1" applyFont="1" applyBorder="1"/>
    <xf numFmtId="167" fontId="24" fillId="0" borderId="16" xfId="0" applyNumberFormat="1" applyFont="1" applyBorder="1"/>
    <xf numFmtId="167" fontId="24" fillId="0" borderId="17" xfId="0" applyNumberFormat="1" applyFont="1" applyBorder="1"/>
    <xf numFmtId="167" fontId="24" fillId="0" borderId="26" xfId="0" applyNumberFormat="1" applyFont="1" applyBorder="1"/>
    <xf numFmtId="44" fontId="41" fillId="0" borderId="26" xfId="4" applyFont="1" applyBorder="1"/>
    <xf numFmtId="44" fontId="24" fillId="0" borderId="26" xfId="4" applyFont="1" applyBorder="1"/>
    <xf numFmtId="10" fontId="24" fillId="0" borderId="26" xfId="10" applyNumberFormat="1" applyFont="1" applyBorder="1"/>
    <xf numFmtId="44" fontId="24" fillId="0" borderId="0" xfId="4" applyFont="1"/>
    <xf numFmtId="167" fontId="25" fillId="0" borderId="0" xfId="0" applyNumberFormat="1" applyFont="1"/>
    <xf numFmtId="166" fontId="24" fillId="0" borderId="0" xfId="4" applyNumberFormat="1" applyFont="1"/>
    <xf numFmtId="165" fontId="85" fillId="5" borderId="0" xfId="1" applyNumberFormat="1" applyFont="1" applyFill="1" applyBorder="1"/>
    <xf numFmtId="44" fontId="85" fillId="5" borderId="0" xfId="0" applyNumberFormat="1" applyFont="1" applyFill="1" applyBorder="1"/>
    <xf numFmtId="166" fontId="85" fillId="5" borderId="0" xfId="0" applyNumberFormat="1" applyFont="1" applyFill="1" applyBorder="1"/>
    <xf numFmtId="166" fontId="85" fillId="5" borderId="0" xfId="3" applyNumberFormat="1" applyFont="1" applyFill="1" applyBorder="1"/>
    <xf numFmtId="43" fontId="78" fillId="0" borderId="0" xfId="1" applyFont="1"/>
    <xf numFmtId="165" fontId="0" fillId="0" borderId="0" xfId="1" applyNumberFormat="1" applyFont="1"/>
    <xf numFmtId="166" fontId="0" fillId="0" borderId="0" xfId="3" applyNumberFormat="1" applyFont="1"/>
    <xf numFmtId="166" fontId="0" fillId="0" borderId="0" xfId="0" applyNumberFormat="1"/>
    <xf numFmtId="166" fontId="5" fillId="0" borderId="0" xfId="0" applyNumberFormat="1" applyFont="1"/>
    <xf numFmtId="166" fontId="5" fillId="0" borderId="0" xfId="3" applyNumberFormat="1" applyFont="1"/>
    <xf numFmtId="44" fontId="87" fillId="0" borderId="25" xfId="4" applyFont="1" applyBorder="1"/>
    <xf numFmtId="166" fontId="42" fillId="0" borderId="0" xfId="3" applyNumberFormat="1" applyFont="1" applyFill="1"/>
    <xf numFmtId="166" fontId="19" fillId="6" borderId="0" xfId="3" applyNumberFormat="1" applyFont="1" applyFill="1" applyAlignment="1">
      <alignment horizontal="right"/>
    </xf>
    <xf numFmtId="0" fontId="72" fillId="0" borderId="0" xfId="0" applyFont="1" applyAlignment="1">
      <alignment horizontal="center" wrapText="1"/>
    </xf>
    <xf numFmtId="166" fontId="17" fillId="0" borderId="0" xfId="4" applyNumberFormat="1" applyFont="1" applyAlignment="1">
      <alignment horizontal="right"/>
    </xf>
    <xf numFmtId="166" fontId="18" fillId="0" borderId="0" xfId="4" applyNumberFormat="1" applyFont="1" applyAlignment="1">
      <alignment horizontal="right"/>
    </xf>
    <xf numFmtId="0" fontId="17" fillId="0" borderId="0" xfId="7" applyFont="1" applyAlignment="1">
      <alignment wrapText="1"/>
    </xf>
    <xf numFmtId="0" fontId="88" fillId="0" borderId="0" xfId="7" applyFont="1" applyAlignment="1">
      <alignment horizontal="right" wrapText="1"/>
    </xf>
    <xf numFmtId="0" fontId="68" fillId="0" borderId="0" xfId="7" applyFont="1" applyBorder="1" applyAlignment="1">
      <alignment horizontal="right" wrapText="1"/>
    </xf>
    <xf numFmtId="0" fontId="4" fillId="4" borderId="13" xfId="7" applyFill="1" applyBorder="1" applyAlignment="1">
      <alignment wrapText="1"/>
    </xf>
    <xf numFmtId="165" fontId="45" fillId="4" borderId="0" xfId="2" applyNumberFormat="1" applyFont="1" applyFill="1" applyBorder="1" applyAlignment="1">
      <alignment horizontal="center" wrapText="1"/>
    </xf>
    <xf numFmtId="166" fontId="45" fillId="4" borderId="0" xfId="4" applyNumberFormat="1" applyFont="1" applyFill="1" applyBorder="1"/>
    <xf numFmtId="166" fontId="45" fillId="4" borderId="14" xfId="4" applyNumberFormat="1" applyFont="1" applyFill="1" applyBorder="1"/>
    <xf numFmtId="165" fontId="56" fillId="4" borderId="0" xfId="2" applyNumberFormat="1" applyFont="1" applyFill="1" applyBorder="1" applyAlignment="1">
      <alignment horizontal="center" vertical="top" wrapText="1"/>
    </xf>
    <xf numFmtId="166" fontId="45" fillId="4" borderId="0" xfId="4" applyNumberFormat="1" applyFont="1" applyFill="1" applyBorder="1" applyAlignment="1">
      <alignment vertical="top"/>
    </xf>
    <xf numFmtId="166" fontId="56" fillId="4" borderId="14" xfId="4" applyNumberFormat="1" applyFont="1" applyFill="1" applyBorder="1" applyAlignment="1">
      <alignment vertical="top"/>
    </xf>
    <xf numFmtId="17" fontId="21" fillId="5" borderId="0" xfId="0" applyNumberFormat="1" applyFont="1" applyFill="1" applyBorder="1" applyAlignment="1">
      <alignment horizontal="center"/>
    </xf>
    <xf numFmtId="0" fontId="0" fillId="0" borderId="6" xfId="0" applyBorder="1"/>
    <xf numFmtId="0" fontId="0" fillId="0" borderId="2" xfId="0" applyBorder="1"/>
    <xf numFmtId="0" fontId="2" fillId="0" borderId="8" xfId="0" applyFont="1" applyBorder="1"/>
    <xf numFmtId="164" fontId="4" fillId="0" borderId="0" xfId="9" applyNumberFormat="1" applyFont="1"/>
    <xf numFmtId="164" fontId="89" fillId="0" borderId="0" xfId="9" applyNumberFormat="1" applyFont="1"/>
    <xf numFmtId="164" fontId="89" fillId="0" borderId="0" xfId="0" applyNumberFormat="1" applyFont="1"/>
    <xf numFmtId="164" fontId="7" fillId="0" borderId="0" xfId="9" applyNumberFormat="1" applyFont="1"/>
    <xf numFmtId="0" fontId="67" fillId="0" borderId="0" xfId="0" quotePrefix="1" applyFont="1" applyAlignment="1">
      <alignment horizontal="center"/>
    </xf>
    <xf numFmtId="164" fontId="6" fillId="0" borderId="0" xfId="9" applyNumberFormat="1" applyFont="1"/>
    <xf numFmtId="164" fontId="6" fillId="0" borderId="0" xfId="0" applyNumberFormat="1" applyFont="1"/>
    <xf numFmtId="164" fontId="7" fillId="0" borderId="0" xfId="0" applyNumberFormat="1" applyFont="1"/>
    <xf numFmtId="0" fontId="2" fillId="0" borderId="0" xfId="0" applyFont="1" applyAlignment="1">
      <alignment horizontal="right" indent="1"/>
    </xf>
    <xf numFmtId="0" fontId="4" fillId="0" borderId="0" xfId="0" applyFont="1" applyAlignment="1">
      <alignment horizontal="right" indent="1"/>
    </xf>
    <xf numFmtId="0" fontId="43" fillId="5" borderId="0" xfId="0" applyFont="1" applyFill="1" applyBorder="1" applyAlignment="1">
      <alignment vertical="top" wrapText="1"/>
    </xf>
    <xf numFmtId="0" fontId="2" fillId="0" borderId="0" xfId="0" applyFont="1" applyAlignment="1"/>
    <xf numFmtId="166" fontId="85" fillId="5" borderId="20" xfId="4" applyNumberFormat="1" applyFont="1" applyFill="1" applyBorder="1"/>
    <xf numFmtId="166" fontId="24" fillId="5" borderId="0" xfId="0" applyNumberFormat="1" applyFont="1" applyFill="1"/>
    <xf numFmtId="166" fontId="85" fillId="5" borderId="20" xfId="3" applyNumberFormat="1" applyFont="1" applyFill="1" applyBorder="1"/>
    <xf numFmtId="166" fontId="24" fillId="5" borderId="20" xfId="0" applyNumberFormat="1" applyFont="1" applyFill="1" applyBorder="1"/>
    <xf numFmtId="0" fontId="62" fillId="5" borderId="13" xfId="0" applyFont="1" applyFill="1" applyBorder="1"/>
    <xf numFmtId="0" fontId="24" fillId="5" borderId="0" xfId="0" applyFont="1" applyFill="1"/>
    <xf numFmtId="44" fontId="11" fillId="0" borderId="18" xfId="3" applyFont="1" applyFill="1" applyBorder="1" applyProtection="1">
      <protection locked="0"/>
    </xf>
    <xf numFmtId="43" fontId="11" fillId="0" borderId="2" xfId="1" applyFont="1" applyBorder="1" applyAlignment="1" applyProtection="1">
      <alignment horizontal="right"/>
      <protection locked="0"/>
    </xf>
    <xf numFmtId="43" fontId="11" fillId="0" borderId="2" xfId="1" applyFont="1" applyBorder="1" applyProtection="1">
      <protection locked="0"/>
    </xf>
    <xf numFmtId="43" fontId="13" fillId="0" borderId="2" xfId="1" applyFont="1" applyBorder="1" applyProtection="1">
      <protection locked="0"/>
    </xf>
    <xf numFmtId="43" fontId="11" fillId="0" borderId="6" xfId="1" applyFont="1" applyBorder="1" applyAlignment="1" applyProtection="1">
      <alignment horizontal="right"/>
      <protection locked="0"/>
    </xf>
    <xf numFmtId="43" fontId="11" fillId="0" borderId="8" xfId="1" applyFont="1" applyBorder="1" applyProtection="1">
      <protection locked="0"/>
    </xf>
    <xf numFmtId="43" fontId="11" fillId="0" borderId="8" xfId="1" applyFont="1" applyBorder="1" applyAlignment="1" applyProtection="1">
      <alignment horizontal="right"/>
      <protection locked="0"/>
    </xf>
    <xf numFmtId="0" fontId="21" fillId="0" borderId="8" xfId="0" applyFont="1" applyBorder="1" applyAlignment="1">
      <alignment horizontal="center"/>
    </xf>
    <xf numFmtId="4" fontId="0" fillId="0" borderId="0" xfId="0" applyNumberFormat="1"/>
    <xf numFmtId="43" fontId="13" fillId="0" borderId="0" xfId="1" applyFont="1" applyBorder="1" applyProtection="1">
      <protection locked="0"/>
    </xf>
    <xf numFmtId="10" fontId="44" fillId="0" borderId="0" xfId="9" applyNumberFormat="1" applyFont="1" applyBorder="1" applyAlignment="1">
      <alignment horizontal="right"/>
    </xf>
    <xf numFmtId="44" fontId="4" fillId="0" borderId="0" xfId="0" applyNumberFormat="1" applyFont="1"/>
    <xf numFmtId="43" fontId="11" fillId="0" borderId="18" xfId="1" applyFont="1" applyBorder="1" applyAlignment="1" applyProtection="1">
      <alignment horizontal="right"/>
      <protection locked="0"/>
    </xf>
    <xf numFmtId="17" fontId="21" fillId="5" borderId="0" xfId="0" applyNumberFormat="1" applyFont="1" applyFill="1" applyBorder="1" applyAlignment="1">
      <alignment horizontal="center"/>
    </xf>
    <xf numFmtId="43" fontId="4" fillId="0" borderId="18" xfId="1" applyFont="1" applyBorder="1" applyAlignment="1" applyProtection="1">
      <alignment horizontal="right"/>
      <protection locked="0"/>
    </xf>
    <xf numFmtId="44" fontId="4" fillId="0" borderId="0" xfId="3" applyFont="1" applyBorder="1"/>
    <xf numFmtId="0" fontId="25" fillId="5" borderId="0" xfId="0" applyFont="1" applyFill="1"/>
    <xf numFmtId="0" fontId="26" fillId="5" borderId="0" xfId="0" applyFont="1" applyFill="1"/>
    <xf numFmtId="0" fontId="85" fillId="5" borderId="0" xfId="0" applyFont="1" applyFill="1"/>
    <xf numFmtId="0" fontId="43" fillId="5" borderId="0" xfId="0" applyFont="1" applyFill="1" applyAlignment="1">
      <alignment vertical="top" wrapText="1"/>
    </xf>
    <xf numFmtId="0" fontId="25" fillId="5" borderId="0" xfId="0" applyFont="1" applyFill="1" applyAlignment="1">
      <alignment horizontal="center"/>
    </xf>
    <xf numFmtId="0" fontId="28" fillId="5" borderId="0" xfId="0" applyFont="1" applyFill="1" applyAlignment="1">
      <alignment horizontal="center"/>
    </xf>
    <xf numFmtId="0" fontId="85" fillId="5" borderId="0" xfId="0" applyFont="1" applyFill="1" applyAlignment="1">
      <alignment horizontal="center"/>
    </xf>
    <xf numFmtId="41" fontId="85" fillId="5" borderId="0" xfId="0" applyNumberFormat="1" applyFont="1" applyFill="1"/>
    <xf numFmtId="44" fontId="29" fillId="5" borderId="0" xfId="4" applyFont="1" applyFill="1"/>
    <xf numFmtId="166" fontId="85" fillId="5" borderId="0" xfId="4" applyNumberFormat="1" applyFont="1" applyFill="1"/>
    <xf numFmtId="41" fontId="30" fillId="5" borderId="0" xfId="0" applyNumberFormat="1" applyFont="1" applyFill="1"/>
    <xf numFmtId="166" fontId="30" fillId="5" borderId="0" xfId="4" applyNumberFormat="1" applyFont="1" applyFill="1"/>
    <xf numFmtId="166" fontId="85" fillId="5" borderId="0" xfId="3" applyNumberFormat="1" applyFont="1" applyFill="1"/>
    <xf numFmtId="166" fontId="85" fillId="5" borderId="0" xfId="0" applyNumberFormat="1" applyFont="1" applyFill="1"/>
    <xf numFmtId="165" fontId="85" fillId="5" borderId="0" xfId="1" applyNumberFormat="1" applyFont="1" applyFill="1"/>
    <xf numFmtId="44" fontId="85" fillId="5" borderId="0" xfId="0" applyNumberFormat="1" applyFont="1" applyFill="1"/>
    <xf numFmtId="166" fontId="86" fillId="5" borderId="0" xfId="4" applyNumberFormat="1" applyFont="1" applyFill="1"/>
    <xf numFmtId="44" fontId="85" fillId="5" borderId="0" xfId="4" applyFont="1" applyFill="1"/>
    <xf numFmtId="44" fontId="24" fillId="5" borderId="0" xfId="4" applyFont="1" applyFill="1"/>
    <xf numFmtId="166" fontId="24" fillId="5" borderId="0" xfId="4" applyNumberFormat="1" applyFont="1" applyFill="1"/>
    <xf numFmtId="41" fontId="86" fillId="5" borderId="0" xfId="0" applyNumberFormat="1" applyFont="1" applyFill="1"/>
    <xf numFmtId="44" fontId="30" fillId="5" borderId="14" xfId="4" applyFont="1" applyFill="1" applyBorder="1"/>
    <xf numFmtId="166" fontId="62" fillId="5" borderId="0" xfId="4" applyNumberFormat="1" applyFont="1" applyFill="1"/>
    <xf numFmtId="164" fontId="87" fillId="5" borderId="0" xfId="10" applyNumberFormat="1" applyFont="1" applyFill="1"/>
    <xf numFmtId="44" fontId="31" fillId="5" borderId="14" xfId="4" applyFont="1" applyFill="1" applyBorder="1"/>
    <xf numFmtId="9" fontId="87" fillId="5" borderId="0" xfId="10" applyFont="1" applyFill="1"/>
    <xf numFmtId="44" fontId="32" fillId="5" borderId="14" xfId="4" applyFont="1" applyFill="1" applyBorder="1"/>
    <xf numFmtId="15" fontId="25" fillId="5" borderId="0" xfId="0" applyNumberFormat="1" applyFont="1" applyFill="1"/>
    <xf numFmtId="0" fontId="43" fillId="5" borderId="13" xfId="0" applyFont="1" applyFill="1" applyBorder="1" applyAlignment="1">
      <alignment vertical="top" wrapText="1"/>
    </xf>
    <xf numFmtId="166" fontId="24" fillId="5" borderId="0" xfId="0" applyNumberFormat="1" applyFont="1" applyFill="1" applyBorder="1"/>
    <xf numFmtId="0" fontId="0" fillId="0" borderId="13" xfId="0" applyBorder="1"/>
    <xf numFmtId="0" fontId="0" fillId="0" borderId="14" xfId="0" applyBorder="1"/>
    <xf numFmtId="165" fontId="1" fillId="0" borderId="0" xfId="2" applyNumberFormat="1" applyFont="1" applyFill="1"/>
    <xf numFmtId="43" fontId="1" fillId="0" borderId="18" xfId="1" applyFont="1" applyBorder="1" applyAlignment="1" applyProtection="1">
      <alignment horizontal="right"/>
      <protection locked="0"/>
    </xf>
    <xf numFmtId="44" fontId="24" fillId="6" borderId="25" xfId="3" applyNumberFormat="1" applyFont="1" applyFill="1" applyBorder="1"/>
    <xf numFmtId="167" fontId="25" fillId="0" borderId="0" xfId="0" applyNumberFormat="1" applyFont="1" applyAlignment="1">
      <alignment vertical="top" wrapText="1"/>
    </xf>
    <xf numFmtId="0" fontId="46" fillId="0" borderId="0" xfId="0" applyFont="1" applyAlignment="1">
      <alignment vertical="top" wrapText="1"/>
    </xf>
    <xf numFmtId="167" fontId="37" fillId="0" borderId="0" xfId="0" applyNumberFormat="1" applyFont="1" applyAlignment="1">
      <alignment horizontal="center"/>
    </xf>
    <xf numFmtId="167" fontId="35" fillId="0" borderId="0" xfId="0" applyNumberFormat="1" applyFont="1" applyAlignment="1">
      <alignment horizontal="center"/>
    </xf>
    <xf numFmtId="167" fontId="36" fillId="3" borderId="27" xfId="0" applyNumberFormat="1" applyFont="1" applyFill="1" applyBorder="1" applyAlignment="1">
      <alignment horizontal="center"/>
    </xf>
    <xf numFmtId="167" fontId="36" fillId="3" borderId="28" xfId="0" applyNumberFormat="1" applyFont="1" applyFill="1" applyBorder="1" applyAlignment="1">
      <alignment horizontal="center"/>
    </xf>
    <xf numFmtId="167" fontId="36" fillId="3" borderId="29" xfId="0" applyNumberFormat="1" applyFont="1" applyFill="1" applyBorder="1" applyAlignment="1">
      <alignment horizontal="center"/>
    </xf>
    <xf numFmtId="167" fontId="36" fillId="3" borderId="15" xfId="0" applyNumberFormat="1" applyFont="1" applyFill="1" applyBorder="1" applyAlignment="1">
      <alignment horizontal="center"/>
    </xf>
    <xf numFmtId="167" fontId="36" fillId="3" borderId="16" xfId="0" applyNumberFormat="1" applyFont="1" applyFill="1" applyBorder="1" applyAlignment="1">
      <alignment horizontal="center"/>
    </xf>
    <xf numFmtId="167" fontId="36" fillId="3" borderId="17" xfId="0" applyNumberFormat="1" applyFont="1" applyFill="1" applyBorder="1" applyAlignment="1">
      <alignment horizontal="center"/>
    </xf>
    <xf numFmtId="0" fontId="27" fillId="5" borderId="13" xfId="0" applyFont="1" applyFill="1" applyBorder="1" applyAlignment="1">
      <alignment horizontal="center"/>
    </xf>
    <xf numFmtId="0" fontId="27" fillId="5" borderId="0" xfId="0" applyFont="1" applyFill="1" applyBorder="1" applyAlignment="1">
      <alignment horizontal="center"/>
    </xf>
    <xf numFmtId="0" fontId="27" fillId="5" borderId="14" xfId="0" applyFont="1" applyFill="1" applyBorder="1" applyAlignment="1">
      <alignment horizontal="center"/>
    </xf>
    <xf numFmtId="0" fontId="43" fillId="5" borderId="19" xfId="0" applyFont="1" applyFill="1" applyBorder="1" applyAlignment="1">
      <alignment vertical="top" wrapText="1"/>
    </xf>
    <xf numFmtId="0" fontId="4" fillId="0" borderId="30" xfId="0" applyFont="1" applyBorder="1" applyAlignment="1">
      <alignment vertical="top" wrapText="1"/>
    </xf>
    <xf numFmtId="0" fontId="4" fillId="0" borderId="31" xfId="0" applyFont="1" applyBorder="1" applyAlignment="1">
      <alignment vertical="top" wrapText="1"/>
    </xf>
    <xf numFmtId="0" fontId="43" fillId="5" borderId="0" xfId="0" applyFont="1" applyFill="1" applyBorder="1" applyAlignment="1">
      <alignment vertical="top" wrapText="1"/>
    </xf>
    <xf numFmtId="0" fontId="4" fillId="0" borderId="0" xfId="0" applyFont="1" applyBorder="1" applyAlignment="1">
      <alignment vertical="top" wrapText="1"/>
    </xf>
    <xf numFmtId="0" fontId="27" fillId="5" borderId="0" xfId="0" applyFont="1" applyFill="1" applyAlignment="1">
      <alignment horizontal="center"/>
    </xf>
    <xf numFmtId="0" fontId="43" fillId="5" borderId="32" xfId="0" applyFont="1" applyFill="1" applyBorder="1" applyAlignment="1">
      <alignment vertical="top" wrapText="1"/>
    </xf>
    <xf numFmtId="0" fontId="3" fillId="0" borderId="0" xfId="0" applyFont="1" applyFill="1" applyAlignment="1">
      <alignment horizontal="center"/>
    </xf>
    <xf numFmtId="0" fontId="9" fillId="0" borderId="0" xfId="0" applyFont="1" applyAlignment="1">
      <alignment horizontal="center"/>
    </xf>
    <xf numFmtId="0" fontId="90" fillId="0" borderId="0" xfId="0" applyFont="1" applyAlignment="1">
      <alignment horizontal="center"/>
    </xf>
    <xf numFmtId="0" fontId="67" fillId="0" borderId="0" xfId="0" applyFont="1" applyAlignment="1">
      <alignment horizontal="center"/>
    </xf>
    <xf numFmtId="0" fontId="2" fillId="0" borderId="0" xfId="0" applyFont="1" applyAlignment="1">
      <alignment vertical="top" wrapText="1"/>
    </xf>
    <xf numFmtId="0" fontId="3" fillId="0" borderId="0" xfId="0" applyFont="1" applyAlignment="1">
      <alignment horizontal="center"/>
    </xf>
    <xf numFmtId="0" fontId="22" fillId="0" borderId="0" xfId="0" applyFont="1" applyAlignment="1">
      <alignment horizontal="center"/>
    </xf>
    <xf numFmtId="0" fontId="22" fillId="0" borderId="20" xfId="0" applyFont="1" applyBorder="1" applyAlignment="1">
      <alignment horizontal="center"/>
    </xf>
    <xf numFmtId="0" fontId="2" fillId="2" borderId="19"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17" fontId="21" fillId="5" borderId="0" xfId="0" applyNumberFormat="1" applyFont="1" applyFill="1" applyBorder="1" applyAlignment="1">
      <alignment horizontal="center"/>
    </xf>
    <xf numFmtId="0" fontId="91" fillId="0" borderId="0" xfId="0" applyFont="1" applyAlignment="1">
      <alignment horizontal="center" wrapText="1"/>
    </xf>
    <xf numFmtId="0" fontId="43" fillId="0" borderId="0" xfId="0" applyFont="1" applyAlignment="1">
      <alignment vertical="top" wrapText="1"/>
    </xf>
    <xf numFmtId="0" fontId="1" fillId="0" borderId="0" xfId="0" applyFont="1"/>
  </cellXfs>
  <cellStyles count="11">
    <cellStyle name="Comma" xfId="1" builtinId="3"/>
    <cellStyle name="Comma 2" xfId="2" xr:uid="{00000000-0005-0000-0000-000001000000}"/>
    <cellStyle name="Currency" xfId="3" builtinId="4"/>
    <cellStyle name="Currency 2" xfId="4" xr:uid="{00000000-0005-0000-0000-000003000000}"/>
    <cellStyle name="Currency 5 2" xfId="5" xr:uid="{00000000-0005-0000-0000-000004000000}"/>
    <cellStyle name="Currency 6" xfId="6" xr:uid="{00000000-0005-0000-0000-000005000000}"/>
    <cellStyle name="Normal" xfId="0" builtinId="0"/>
    <cellStyle name="Normal 2" xfId="7" xr:uid="{00000000-0005-0000-0000-000007000000}"/>
    <cellStyle name="Normal 3" xfId="8" xr:uid="{00000000-0005-0000-0000-000008000000}"/>
    <cellStyle name="Percent" xfId="9" builtinId="5"/>
    <cellStyle name="Percent 2"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G-190958-staff%20work%20papers%20(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Calculation"/>
      <sheetName val="Staff Calculation (2)"/>
      <sheetName val="Rate Sheet Summary"/>
      <sheetName val="Rebate Analysis"/>
      <sheetName val="2018-2019 Recy. Tons &amp; Revenue"/>
      <sheetName val="CRC Prices &amp; Revenue"/>
      <sheetName val="Composition"/>
      <sheetName val="Customer Counts"/>
      <sheetName val="KC 2018-2019 Budget vs. Actual"/>
      <sheetName val="SC 2018-2019 Budget vs. Actual"/>
      <sheetName val="KC 2020-2021 Preliminary Budget"/>
      <sheetName val="SC 2020-2021 Preliminary Budget"/>
      <sheetName val="KC Incentive Analysis"/>
      <sheetName val="SC Incentive analysis"/>
    </sheetNames>
    <sheetDataSet>
      <sheetData sheetId="0"/>
      <sheetData sheetId="1"/>
      <sheetData sheetId="2"/>
      <sheetData sheetId="3"/>
      <sheetData sheetId="4"/>
      <sheetData sheetId="5"/>
      <sheetData sheetId="6"/>
      <sheetData sheetId="7">
        <row r="18">
          <cell r="G18">
            <v>64098</v>
          </cell>
          <cell r="H18">
            <v>35649</v>
          </cell>
        </row>
        <row r="19">
          <cell r="G19">
            <v>64174</v>
          </cell>
          <cell r="H19">
            <v>35714</v>
          </cell>
        </row>
        <row r="20">
          <cell r="G20">
            <v>64138</v>
          </cell>
          <cell r="H20">
            <v>35678</v>
          </cell>
        </row>
        <row r="21">
          <cell r="G21">
            <v>64182</v>
          </cell>
          <cell r="H21">
            <v>35683</v>
          </cell>
        </row>
        <row r="22">
          <cell r="G22">
            <v>64142</v>
          </cell>
          <cell r="H22">
            <v>35576</v>
          </cell>
        </row>
        <row r="23">
          <cell r="G23">
            <v>64325</v>
          </cell>
          <cell r="H23">
            <v>35730</v>
          </cell>
        </row>
        <row r="24">
          <cell r="G24">
            <v>64583</v>
          </cell>
          <cell r="H24">
            <v>35918</v>
          </cell>
        </row>
        <row r="25">
          <cell r="G25">
            <v>64739</v>
          </cell>
          <cell r="H25">
            <v>36074</v>
          </cell>
        </row>
        <row r="26">
          <cell r="G26">
            <v>64746</v>
          </cell>
          <cell r="H26">
            <v>36177</v>
          </cell>
        </row>
        <row r="27">
          <cell r="G27">
            <v>64930</v>
          </cell>
          <cell r="H27">
            <v>36312</v>
          </cell>
        </row>
        <row r="28">
          <cell r="G28">
            <v>65089</v>
          </cell>
          <cell r="H28">
            <v>36437</v>
          </cell>
        </row>
        <row r="29">
          <cell r="G29">
            <v>65157</v>
          </cell>
          <cell r="H29">
            <v>36405</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83"/>
  <sheetViews>
    <sheetView tabSelected="1" topLeftCell="A19" workbookViewId="0">
      <selection activeCell="J39" sqref="J39"/>
    </sheetView>
  </sheetViews>
  <sheetFormatPr defaultRowHeight="15"/>
  <cols>
    <col min="1" max="1" width="4.5703125" style="333" customWidth="1"/>
    <col min="2" max="2" width="27.28515625" style="333" customWidth="1"/>
    <col min="3" max="3" width="8.28515625" style="333" bestFit="1" customWidth="1"/>
    <col min="4" max="4" width="11.7109375" style="333" bestFit="1" customWidth="1"/>
    <col min="5" max="5" width="11.140625" style="335" bestFit="1" customWidth="1"/>
    <col min="6" max="6" width="12.7109375" style="333" bestFit="1" customWidth="1"/>
    <col min="7" max="7" width="11" style="333" bestFit="1" customWidth="1"/>
    <col min="8" max="8" width="10" style="333" bestFit="1" customWidth="1"/>
    <col min="9" max="9" width="12.7109375" style="333" bestFit="1" customWidth="1"/>
    <col min="10" max="10" width="10.7109375" style="333" bestFit="1" customWidth="1"/>
    <col min="11" max="11" width="9.5703125" style="333" bestFit="1" customWidth="1"/>
    <col min="12" max="12" width="12.7109375" style="333" bestFit="1" customWidth="1"/>
    <col min="13" max="13" width="7.7109375" style="333" customWidth="1"/>
    <col min="14" max="14" width="10.28515625" style="333" customWidth="1"/>
    <col min="15" max="15" width="9.85546875" style="333" customWidth="1"/>
    <col min="16" max="16" width="9.7109375" style="333" customWidth="1"/>
    <col min="17" max="17" width="8.85546875" style="333" customWidth="1"/>
    <col min="18" max="18" width="11" style="334" bestFit="1" customWidth="1"/>
    <col min="19" max="19" width="9.140625" style="333"/>
    <col min="20" max="20" width="14.140625" style="333" bestFit="1" customWidth="1"/>
    <col min="21" max="21" width="9.140625" style="333"/>
    <col min="22" max="22" width="12.7109375" style="333" bestFit="1" customWidth="1"/>
    <col min="23" max="23" width="9.7109375" style="333" bestFit="1" customWidth="1"/>
    <col min="24" max="16384" width="9.140625" style="333"/>
  </cols>
  <sheetData>
    <row r="1" spans="1:255" ht="23.25">
      <c r="A1" s="485" t="s">
        <v>218</v>
      </c>
      <c r="B1" s="485"/>
      <c r="C1" s="485"/>
      <c r="D1" s="485"/>
      <c r="E1" s="485"/>
      <c r="F1" s="485"/>
      <c r="G1" s="485"/>
      <c r="H1" s="485"/>
      <c r="I1" s="485"/>
      <c r="J1" s="485"/>
      <c r="K1" s="485"/>
      <c r="L1" s="485"/>
    </row>
    <row r="2" spans="1:255" ht="15.75" thickBot="1"/>
    <row r="3" spans="1:255" ht="16.5" thickBot="1">
      <c r="A3" s="336"/>
      <c r="B3" s="337"/>
      <c r="C3" s="338"/>
      <c r="D3" s="486" t="s">
        <v>146</v>
      </c>
      <c r="E3" s="487"/>
      <c r="F3" s="488"/>
      <c r="G3" s="486" t="s">
        <v>147</v>
      </c>
      <c r="H3" s="487"/>
      <c r="I3" s="488"/>
      <c r="J3" s="486" t="s">
        <v>148</v>
      </c>
      <c r="K3" s="487"/>
      <c r="L3" s="488"/>
      <c r="M3" s="339"/>
      <c r="N3" s="484" t="s">
        <v>177</v>
      </c>
      <c r="O3" s="484"/>
      <c r="P3" s="484"/>
      <c r="Q3" s="339"/>
      <c r="R3" s="340"/>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c r="AQ3" s="339"/>
      <c r="AR3" s="339"/>
      <c r="AS3" s="339"/>
      <c r="AT3" s="339"/>
      <c r="AU3" s="339"/>
      <c r="AV3" s="339"/>
      <c r="AW3" s="339"/>
      <c r="AX3" s="339"/>
      <c r="AY3" s="339"/>
      <c r="AZ3" s="339"/>
      <c r="BA3" s="339"/>
      <c r="BB3" s="339"/>
      <c r="BC3" s="339"/>
      <c r="BD3" s="339"/>
      <c r="BE3" s="339"/>
      <c r="BF3" s="339"/>
      <c r="BG3" s="339"/>
      <c r="BH3" s="339"/>
      <c r="BI3" s="339"/>
      <c r="BJ3" s="339"/>
      <c r="BK3" s="339"/>
      <c r="BL3" s="339"/>
      <c r="BM3" s="339"/>
      <c r="BN3" s="339"/>
      <c r="BO3" s="339"/>
      <c r="BP3" s="339"/>
      <c r="BQ3" s="339"/>
      <c r="BR3" s="339"/>
      <c r="BS3" s="339"/>
      <c r="BT3" s="339"/>
      <c r="BU3" s="339"/>
      <c r="BV3" s="339"/>
      <c r="BW3" s="339"/>
      <c r="BX3" s="339"/>
      <c r="BY3" s="339"/>
      <c r="BZ3" s="339"/>
      <c r="CA3" s="339"/>
      <c r="CB3" s="339"/>
      <c r="CC3" s="339"/>
      <c r="CD3" s="339"/>
      <c r="CE3" s="339"/>
      <c r="CF3" s="339"/>
      <c r="CG3" s="339"/>
      <c r="CH3" s="339"/>
      <c r="CI3" s="339"/>
      <c r="CJ3" s="339"/>
      <c r="CK3" s="339"/>
      <c r="CL3" s="339"/>
      <c r="CM3" s="339"/>
      <c r="CN3" s="339"/>
      <c r="CO3" s="339"/>
      <c r="CP3" s="339"/>
      <c r="CQ3" s="339"/>
      <c r="CR3" s="339"/>
      <c r="CS3" s="339"/>
      <c r="CT3" s="339"/>
      <c r="CU3" s="339"/>
      <c r="CV3" s="339"/>
      <c r="CW3" s="339"/>
      <c r="CX3" s="339"/>
      <c r="CY3" s="339"/>
      <c r="CZ3" s="339"/>
      <c r="DA3" s="339"/>
      <c r="DB3" s="339"/>
      <c r="DC3" s="339"/>
      <c r="DD3" s="339"/>
      <c r="DE3" s="339"/>
      <c r="DF3" s="339"/>
      <c r="DG3" s="339"/>
      <c r="DH3" s="339"/>
      <c r="DI3" s="339"/>
      <c r="DJ3" s="339"/>
      <c r="DK3" s="339"/>
      <c r="DL3" s="339"/>
      <c r="DM3" s="339"/>
      <c r="DN3" s="339"/>
      <c r="DO3" s="339"/>
      <c r="DP3" s="339"/>
      <c r="DQ3" s="339"/>
      <c r="DR3" s="339"/>
      <c r="DS3" s="339"/>
      <c r="DT3" s="339"/>
      <c r="DU3" s="339"/>
      <c r="DV3" s="339"/>
      <c r="DW3" s="339"/>
      <c r="DX3" s="339"/>
      <c r="DY3" s="339"/>
      <c r="DZ3" s="339"/>
      <c r="EA3" s="339"/>
      <c r="EB3" s="339"/>
      <c r="EC3" s="339"/>
      <c r="ED3" s="339"/>
      <c r="EE3" s="339"/>
      <c r="EF3" s="339"/>
      <c r="EG3" s="339"/>
      <c r="EH3" s="339"/>
      <c r="EI3" s="339"/>
      <c r="EJ3" s="339"/>
      <c r="EK3" s="339"/>
      <c r="EL3" s="339"/>
      <c r="EM3" s="339"/>
      <c r="EN3" s="339"/>
      <c r="EO3" s="339"/>
      <c r="EP3" s="339"/>
      <c r="EQ3" s="339"/>
      <c r="ER3" s="339"/>
      <c r="ES3" s="339"/>
      <c r="ET3" s="339"/>
      <c r="EU3" s="339"/>
      <c r="EV3" s="339"/>
      <c r="EW3" s="339"/>
      <c r="EX3" s="339"/>
      <c r="EY3" s="339"/>
      <c r="EZ3" s="339"/>
      <c r="FA3" s="339"/>
      <c r="FB3" s="339"/>
      <c r="FC3" s="339"/>
      <c r="FD3" s="339"/>
      <c r="FE3" s="339"/>
      <c r="FF3" s="339"/>
      <c r="FG3" s="339"/>
      <c r="FH3" s="339"/>
      <c r="FI3" s="339"/>
      <c r="FJ3" s="339"/>
      <c r="FK3" s="339"/>
      <c r="FL3" s="339"/>
      <c r="FM3" s="339"/>
      <c r="FN3" s="339"/>
      <c r="FO3" s="339"/>
      <c r="FP3" s="339"/>
      <c r="FQ3" s="339"/>
      <c r="FR3" s="339"/>
      <c r="FS3" s="339"/>
      <c r="FT3" s="339"/>
      <c r="FU3" s="339"/>
      <c r="FV3" s="339"/>
      <c r="FW3" s="339"/>
      <c r="FX3" s="339"/>
      <c r="FY3" s="339"/>
      <c r="FZ3" s="339"/>
      <c r="GA3" s="339"/>
      <c r="GB3" s="339"/>
      <c r="GC3" s="339"/>
      <c r="GD3" s="339"/>
      <c r="GE3" s="339"/>
      <c r="GF3" s="339"/>
      <c r="GG3" s="339"/>
      <c r="GH3" s="339"/>
      <c r="GI3" s="339"/>
      <c r="GJ3" s="339"/>
      <c r="GK3" s="339"/>
      <c r="GL3" s="339"/>
      <c r="GM3" s="339"/>
      <c r="GN3" s="339"/>
      <c r="GO3" s="339"/>
      <c r="GP3" s="339"/>
      <c r="GQ3" s="339"/>
      <c r="GR3" s="339"/>
      <c r="GS3" s="339"/>
      <c r="GT3" s="339"/>
      <c r="GU3" s="339"/>
      <c r="GV3" s="339"/>
      <c r="GW3" s="339"/>
      <c r="GX3" s="339"/>
      <c r="GY3" s="339"/>
      <c r="GZ3" s="339"/>
      <c r="HA3" s="339"/>
      <c r="HB3" s="339"/>
      <c r="HC3" s="339"/>
      <c r="HD3" s="339"/>
      <c r="HE3" s="339"/>
      <c r="HF3" s="339"/>
      <c r="HG3" s="339"/>
      <c r="HH3" s="339"/>
      <c r="HI3" s="339"/>
      <c r="HJ3" s="339"/>
      <c r="HK3" s="339"/>
      <c r="HL3" s="339"/>
      <c r="HM3" s="339"/>
      <c r="HN3" s="339"/>
      <c r="HO3" s="339"/>
      <c r="HP3" s="339"/>
      <c r="HQ3" s="339"/>
      <c r="HR3" s="339"/>
      <c r="HS3" s="339"/>
      <c r="HT3" s="339"/>
      <c r="HU3" s="339"/>
      <c r="HV3" s="339"/>
      <c r="HW3" s="339"/>
      <c r="HX3" s="339"/>
      <c r="HY3" s="339"/>
      <c r="HZ3" s="339"/>
      <c r="IA3" s="339"/>
      <c r="IB3" s="339"/>
      <c r="IC3" s="339"/>
      <c r="ID3" s="339"/>
      <c r="IE3" s="339"/>
      <c r="IF3" s="339"/>
      <c r="IG3" s="339"/>
      <c r="IH3" s="339"/>
      <c r="II3" s="339"/>
      <c r="IJ3" s="339"/>
      <c r="IK3" s="339"/>
      <c r="IL3" s="339"/>
      <c r="IM3" s="339"/>
      <c r="IN3" s="339"/>
      <c r="IO3" s="339"/>
      <c r="IP3" s="339"/>
      <c r="IQ3" s="339"/>
      <c r="IR3" s="339"/>
      <c r="IS3" s="339"/>
      <c r="IT3" s="339"/>
      <c r="IU3" s="339"/>
    </row>
    <row r="4" spans="1:255" ht="16.5" thickBot="1">
      <c r="A4" s="489" t="s">
        <v>149</v>
      </c>
      <c r="B4" s="490"/>
      <c r="C4" s="491"/>
      <c r="D4" s="342" t="s">
        <v>150</v>
      </c>
      <c r="E4" s="343" t="s">
        <v>151</v>
      </c>
      <c r="F4" s="342" t="s">
        <v>152</v>
      </c>
      <c r="G4" s="342" t="s">
        <v>150</v>
      </c>
      <c r="H4" s="342" t="s">
        <v>151</v>
      </c>
      <c r="I4" s="342" t="s">
        <v>152</v>
      </c>
      <c r="J4" s="342" t="s">
        <v>150</v>
      </c>
      <c r="K4" s="342" t="s">
        <v>151</v>
      </c>
      <c r="L4" s="341" t="s">
        <v>152</v>
      </c>
      <c r="M4" s="339"/>
      <c r="N4" s="344" t="s">
        <v>153</v>
      </c>
      <c r="O4" s="344" t="s">
        <v>78</v>
      </c>
      <c r="P4" s="344" t="s">
        <v>80</v>
      </c>
      <c r="Q4" s="339"/>
      <c r="R4" s="340"/>
      <c r="S4" s="339"/>
      <c r="T4" s="339"/>
      <c r="U4" s="339"/>
      <c r="V4" s="339"/>
      <c r="W4" s="339"/>
      <c r="X4" s="339"/>
      <c r="Y4" s="339"/>
      <c r="Z4" s="339"/>
      <c r="AA4" s="339"/>
      <c r="AB4" s="339"/>
      <c r="AC4" s="339"/>
      <c r="AD4" s="339"/>
      <c r="AE4" s="339"/>
      <c r="AF4" s="339"/>
      <c r="AG4" s="339"/>
      <c r="AH4" s="339"/>
      <c r="AI4" s="339"/>
      <c r="AJ4" s="339"/>
      <c r="AK4" s="339"/>
      <c r="AL4" s="339"/>
      <c r="AM4" s="339"/>
      <c r="AN4" s="339"/>
      <c r="AO4" s="339"/>
      <c r="AP4" s="339"/>
      <c r="AQ4" s="339"/>
      <c r="AR4" s="339"/>
      <c r="AS4" s="339"/>
      <c r="AT4" s="339"/>
      <c r="AU4" s="339"/>
      <c r="AV4" s="339"/>
      <c r="AW4" s="339"/>
      <c r="AX4" s="339"/>
      <c r="AY4" s="339"/>
      <c r="AZ4" s="339"/>
      <c r="BA4" s="339"/>
      <c r="BB4" s="339"/>
      <c r="BC4" s="339"/>
      <c r="BD4" s="339"/>
      <c r="BE4" s="339"/>
      <c r="BF4" s="339"/>
      <c r="BG4" s="339"/>
      <c r="BH4" s="339"/>
      <c r="BI4" s="339"/>
      <c r="BJ4" s="339"/>
      <c r="BK4" s="339"/>
      <c r="BL4" s="339"/>
      <c r="BM4" s="339"/>
      <c r="BN4" s="339"/>
      <c r="BO4" s="339"/>
      <c r="BP4" s="339"/>
      <c r="BQ4" s="339"/>
      <c r="BR4" s="339"/>
      <c r="BS4" s="339"/>
      <c r="BT4" s="339"/>
      <c r="BU4" s="339"/>
      <c r="BV4" s="339"/>
      <c r="BW4" s="339"/>
      <c r="BX4" s="339"/>
      <c r="BY4" s="339"/>
      <c r="BZ4" s="339"/>
      <c r="CA4" s="339"/>
      <c r="CB4" s="339"/>
      <c r="CC4" s="339"/>
      <c r="CD4" s="339"/>
      <c r="CE4" s="339"/>
      <c r="CF4" s="339"/>
      <c r="CG4" s="339"/>
      <c r="CH4" s="339"/>
      <c r="CI4" s="339"/>
      <c r="CJ4" s="339"/>
      <c r="CK4" s="339"/>
      <c r="CL4" s="339"/>
      <c r="CM4" s="339"/>
      <c r="CN4" s="339"/>
      <c r="CO4" s="339"/>
      <c r="CP4" s="339"/>
      <c r="CQ4" s="339"/>
      <c r="CR4" s="339"/>
      <c r="CS4" s="339"/>
      <c r="CT4" s="339"/>
      <c r="CU4" s="339"/>
      <c r="CV4" s="339"/>
      <c r="CW4" s="339"/>
      <c r="CX4" s="339"/>
      <c r="CY4" s="339"/>
      <c r="CZ4" s="339"/>
      <c r="DA4" s="339"/>
      <c r="DB4" s="339"/>
      <c r="DC4" s="339"/>
      <c r="DD4" s="339"/>
      <c r="DE4" s="339"/>
      <c r="DF4" s="339"/>
      <c r="DG4" s="339"/>
      <c r="DH4" s="339"/>
      <c r="DI4" s="339"/>
      <c r="DJ4" s="339"/>
      <c r="DK4" s="339"/>
      <c r="DL4" s="339"/>
      <c r="DM4" s="339"/>
      <c r="DN4" s="339"/>
      <c r="DO4" s="339"/>
      <c r="DP4" s="339"/>
      <c r="DQ4" s="339"/>
      <c r="DR4" s="339"/>
      <c r="DS4" s="339"/>
      <c r="DT4" s="339"/>
      <c r="DU4" s="339"/>
      <c r="DV4" s="339"/>
      <c r="DW4" s="339"/>
      <c r="DX4" s="339"/>
      <c r="DY4" s="339"/>
      <c r="DZ4" s="339"/>
      <c r="EA4" s="339"/>
      <c r="EB4" s="339"/>
      <c r="EC4" s="339"/>
      <c r="ED4" s="339"/>
      <c r="EE4" s="339"/>
      <c r="EF4" s="339"/>
      <c r="EG4" s="339"/>
      <c r="EH4" s="339"/>
      <c r="EI4" s="339"/>
      <c r="EJ4" s="339"/>
      <c r="EK4" s="339"/>
      <c r="EL4" s="339"/>
      <c r="EM4" s="339"/>
      <c r="EN4" s="339"/>
      <c r="EO4" s="339"/>
      <c r="EP4" s="339"/>
      <c r="EQ4" s="339"/>
      <c r="ER4" s="339"/>
      <c r="ES4" s="339"/>
      <c r="ET4" s="339"/>
      <c r="EU4" s="339"/>
      <c r="EV4" s="339"/>
      <c r="EW4" s="339"/>
      <c r="EX4" s="339"/>
      <c r="EY4" s="339"/>
      <c r="EZ4" s="339"/>
      <c r="FA4" s="339"/>
      <c r="FB4" s="339"/>
      <c r="FC4" s="339"/>
      <c r="FD4" s="339"/>
      <c r="FE4" s="339"/>
      <c r="FF4" s="339"/>
      <c r="FG4" s="339"/>
      <c r="FH4" s="339"/>
      <c r="FI4" s="339"/>
      <c r="FJ4" s="339"/>
      <c r="FK4" s="339"/>
      <c r="FL4" s="339"/>
      <c r="FM4" s="339"/>
      <c r="FN4" s="339"/>
      <c r="FO4" s="339"/>
      <c r="FP4" s="339"/>
      <c r="FQ4" s="339"/>
      <c r="FR4" s="339"/>
      <c r="FS4" s="339"/>
      <c r="FT4" s="339"/>
      <c r="FU4" s="339"/>
      <c r="FV4" s="339"/>
      <c r="FW4" s="339"/>
      <c r="FX4" s="339"/>
      <c r="FY4" s="339"/>
      <c r="FZ4" s="339"/>
      <c r="GA4" s="339"/>
      <c r="GB4" s="339"/>
      <c r="GC4" s="339"/>
      <c r="GD4" s="339"/>
      <c r="GE4" s="339"/>
      <c r="GF4" s="339"/>
      <c r="GG4" s="339"/>
      <c r="GH4" s="339"/>
      <c r="GI4" s="339"/>
      <c r="GJ4" s="339"/>
      <c r="GK4" s="339"/>
      <c r="GL4" s="339"/>
      <c r="GM4" s="339"/>
      <c r="GN4" s="339"/>
      <c r="GO4" s="339"/>
      <c r="GP4" s="339"/>
      <c r="GQ4" s="339"/>
      <c r="GR4" s="339"/>
      <c r="GS4" s="339"/>
      <c r="GT4" s="339"/>
      <c r="GU4" s="339"/>
      <c r="GV4" s="339"/>
      <c r="GW4" s="339"/>
      <c r="GX4" s="339"/>
      <c r="GY4" s="339"/>
      <c r="GZ4" s="339"/>
      <c r="HA4" s="339"/>
      <c r="HB4" s="339"/>
      <c r="HC4" s="339"/>
      <c r="HD4" s="339"/>
      <c r="HE4" s="339"/>
      <c r="HF4" s="339"/>
      <c r="HG4" s="339"/>
      <c r="HH4" s="339"/>
      <c r="HI4" s="339"/>
      <c r="HJ4" s="339"/>
      <c r="HK4" s="339"/>
      <c r="HL4" s="339"/>
      <c r="HM4" s="339"/>
      <c r="HN4" s="339"/>
      <c r="HO4" s="339"/>
      <c r="HP4" s="339"/>
      <c r="HQ4" s="339"/>
      <c r="HR4" s="339"/>
      <c r="HS4" s="339"/>
      <c r="HT4" s="339"/>
      <c r="HU4" s="339"/>
      <c r="HV4" s="339"/>
      <c r="HW4" s="339"/>
      <c r="HX4" s="339"/>
      <c r="HY4" s="339"/>
      <c r="HZ4" s="339"/>
      <c r="IA4" s="339"/>
      <c r="IB4" s="339"/>
      <c r="IC4" s="339"/>
      <c r="ID4" s="339"/>
      <c r="IE4" s="339"/>
      <c r="IF4" s="339"/>
      <c r="IG4" s="339"/>
      <c r="IH4" s="339"/>
      <c r="II4" s="339"/>
      <c r="IJ4" s="339"/>
      <c r="IK4" s="339"/>
      <c r="IL4" s="339"/>
      <c r="IM4" s="339"/>
      <c r="IN4" s="339"/>
      <c r="IO4" s="339"/>
      <c r="IP4" s="339"/>
      <c r="IQ4" s="339"/>
      <c r="IR4" s="339"/>
      <c r="IS4" s="339"/>
      <c r="IT4" s="339"/>
      <c r="IU4" s="339"/>
    </row>
    <row r="5" spans="1:255">
      <c r="A5" s="345"/>
      <c r="B5" s="346"/>
      <c r="C5" s="347"/>
      <c r="D5" s="348"/>
      <c r="E5" s="349"/>
      <c r="F5" s="348"/>
      <c r="G5" s="348"/>
      <c r="H5" s="348"/>
      <c r="I5" s="348"/>
      <c r="J5" s="348"/>
      <c r="K5" s="348"/>
      <c r="L5" s="350"/>
      <c r="M5" s="351"/>
      <c r="N5" s="351"/>
      <c r="O5" s="351"/>
      <c r="P5" s="351"/>
      <c r="Q5" s="351"/>
      <c r="R5" s="352"/>
      <c r="S5" s="351"/>
      <c r="T5" s="351"/>
      <c r="U5" s="351"/>
      <c r="V5" s="351"/>
      <c r="W5" s="351"/>
      <c r="X5" s="351"/>
      <c r="Y5" s="351"/>
      <c r="Z5" s="351"/>
      <c r="AA5" s="351"/>
      <c r="AB5" s="351"/>
      <c r="AC5" s="351"/>
      <c r="AD5" s="351"/>
      <c r="AE5" s="351"/>
      <c r="AF5" s="351"/>
      <c r="AG5" s="351"/>
      <c r="AH5" s="351"/>
      <c r="AI5" s="351"/>
      <c r="AJ5" s="351"/>
      <c r="AK5" s="351"/>
      <c r="AL5" s="351"/>
      <c r="AM5" s="351"/>
      <c r="AN5" s="351"/>
      <c r="AO5" s="351"/>
      <c r="AP5" s="351"/>
      <c r="AQ5" s="351"/>
      <c r="AR5" s="351"/>
      <c r="AS5" s="351"/>
      <c r="AT5" s="351"/>
      <c r="AU5" s="351"/>
      <c r="AV5" s="351"/>
      <c r="AW5" s="351"/>
      <c r="AX5" s="351"/>
      <c r="AY5" s="351"/>
      <c r="AZ5" s="351"/>
      <c r="BA5" s="351"/>
      <c r="BB5" s="351"/>
      <c r="BC5" s="351"/>
      <c r="BD5" s="351"/>
      <c r="BE5" s="351"/>
      <c r="BF5" s="351"/>
      <c r="BG5" s="351"/>
      <c r="BH5" s="351"/>
      <c r="BI5" s="351"/>
      <c r="BJ5" s="351"/>
      <c r="BK5" s="351"/>
      <c r="BL5" s="351"/>
      <c r="BM5" s="351"/>
      <c r="BN5" s="351"/>
      <c r="BO5" s="351"/>
      <c r="BP5" s="351"/>
      <c r="BQ5" s="351"/>
      <c r="BR5" s="351"/>
      <c r="BS5" s="351"/>
      <c r="BT5" s="351"/>
      <c r="BU5" s="351"/>
      <c r="BV5" s="351"/>
      <c r="BW5" s="351"/>
      <c r="BX5" s="351"/>
      <c r="BY5" s="351"/>
      <c r="BZ5" s="351"/>
      <c r="CA5" s="351"/>
      <c r="CB5" s="351"/>
      <c r="CC5" s="351"/>
      <c r="CD5" s="351"/>
      <c r="CE5" s="351"/>
      <c r="CF5" s="351"/>
      <c r="CG5" s="351"/>
      <c r="CH5" s="351"/>
      <c r="CI5" s="351"/>
      <c r="CJ5" s="351"/>
      <c r="CK5" s="351"/>
      <c r="CL5" s="351"/>
      <c r="CM5" s="351"/>
      <c r="CN5" s="351"/>
      <c r="CO5" s="351"/>
      <c r="CP5" s="351"/>
      <c r="CQ5" s="351"/>
      <c r="CR5" s="351"/>
      <c r="CS5" s="351"/>
      <c r="CT5" s="351"/>
      <c r="CU5" s="351"/>
      <c r="CV5" s="351"/>
      <c r="CW5" s="351"/>
      <c r="CX5" s="351"/>
      <c r="CY5" s="351"/>
      <c r="CZ5" s="351"/>
      <c r="DA5" s="351"/>
      <c r="DB5" s="351"/>
      <c r="DC5" s="351"/>
      <c r="DD5" s="351"/>
      <c r="DE5" s="351"/>
      <c r="DF5" s="351"/>
      <c r="DG5" s="351"/>
      <c r="DH5" s="351"/>
      <c r="DI5" s="351"/>
      <c r="DJ5" s="351"/>
      <c r="DK5" s="351"/>
      <c r="DL5" s="351"/>
      <c r="DM5" s="351"/>
      <c r="DN5" s="351"/>
      <c r="DO5" s="351"/>
      <c r="DP5" s="351"/>
      <c r="DQ5" s="351"/>
      <c r="DR5" s="351"/>
      <c r="DS5" s="351"/>
      <c r="DT5" s="351"/>
      <c r="DU5" s="351"/>
      <c r="DV5" s="351"/>
      <c r="DW5" s="351"/>
      <c r="DX5" s="351"/>
      <c r="DY5" s="351"/>
      <c r="DZ5" s="351"/>
      <c r="EA5" s="351"/>
      <c r="EB5" s="351"/>
      <c r="EC5" s="351"/>
      <c r="ED5" s="351"/>
      <c r="EE5" s="351"/>
      <c r="EF5" s="351"/>
      <c r="EG5" s="351"/>
      <c r="EH5" s="351"/>
      <c r="EI5" s="351"/>
      <c r="EJ5" s="351"/>
      <c r="EK5" s="351"/>
      <c r="EL5" s="351"/>
      <c r="EM5" s="351"/>
      <c r="EN5" s="351"/>
      <c r="EO5" s="351"/>
      <c r="EP5" s="351"/>
      <c r="EQ5" s="351"/>
      <c r="ER5" s="351"/>
      <c r="ES5" s="351"/>
      <c r="ET5" s="351"/>
      <c r="EU5" s="351"/>
      <c r="EV5" s="351"/>
      <c r="EW5" s="351"/>
      <c r="EX5" s="351"/>
      <c r="EY5" s="351"/>
      <c r="EZ5" s="351"/>
      <c r="FA5" s="351"/>
      <c r="FB5" s="351"/>
      <c r="FC5" s="351"/>
      <c r="FD5" s="351"/>
      <c r="FE5" s="351"/>
      <c r="FF5" s="351"/>
      <c r="FG5" s="351"/>
      <c r="FH5" s="351"/>
      <c r="FI5" s="351"/>
      <c r="FJ5" s="351"/>
      <c r="FK5" s="351"/>
      <c r="FL5" s="351"/>
      <c r="FM5" s="351"/>
      <c r="FN5" s="351"/>
      <c r="FO5" s="351"/>
      <c r="FP5" s="351"/>
      <c r="FQ5" s="351"/>
      <c r="FR5" s="351"/>
      <c r="FS5" s="351"/>
      <c r="FT5" s="351"/>
      <c r="FU5" s="351"/>
      <c r="FV5" s="351"/>
      <c r="FW5" s="351"/>
      <c r="FX5" s="351"/>
      <c r="FY5" s="351"/>
      <c r="FZ5" s="351"/>
      <c r="GA5" s="351"/>
      <c r="GB5" s="351"/>
      <c r="GC5" s="351"/>
      <c r="GD5" s="351"/>
      <c r="GE5" s="351"/>
      <c r="GF5" s="351"/>
      <c r="GG5" s="351"/>
      <c r="GH5" s="351"/>
      <c r="GI5" s="351"/>
      <c r="GJ5" s="351"/>
      <c r="GK5" s="351"/>
      <c r="GL5" s="351"/>
      <c r="GM5" s="351"/>
      <c r="GN5" s="351"/>
      <c r="GO5" s="351"/>
      <c r="GP5" s="351"/>
      <c r="GQ5" s="351"/>
      <c r="GR5" s="351"/>
      <c r="GS5" s="351"/>
      <c r="GT5" s="351"/>
      <c r="GU5" s="351"/>
      <c r="GV5" s="351"/>
      <c r="GW5" s="351"/>
      <c r="GX5" s="351"/>
      <c r="GY5" s="351"/>
      <c r="GZ5" s="351"/>
      <c r="HA5" s="351"/>
      <c r="HB5" s="351"/>
      <c r="HC5" s="351"/>
      <c r="HD5" s="351"/>
      <c r="HE5" s="351"/>
      <c r="HF5" s="351"/>
      <c r="HG5" s="351"/>
      <c r="HH5" s="351"/>
      <c r="HI5" s="351"/>
      <c r="HJ5" s="351"/>
      <c r="HK5" s="351"/>
      <c r="HL5" s="351"/>
      <c r="HM5" s="351"/>
      <c r="HN5" s="351"/>
      <c r="HO5" s="351"/>
      <c r="HP5" s="351"/>
      <c r="HQ5" s="351"/>
      <c r="HR5" s="351"/>
      <c r="HS5" s="351"/>
      <c r="HT5" s="351"/>
      <c r="HU5" s="351"/>
      <c r="HV5" s="351"/>
      <c r="HW5" s="351"/>
      <c r="HX5" s="351"/>
      <c r="HY5" s="351"/>
      <c r="HZ5" s="351"/>
      <c r="IA5" s="351"/>
      <c r="IB5" s="351"/>
      <c r="IC5" s="351"/>
      <c r="ID5" s="351"/>
      <c r="IE5" s="351"/>
      <c r="IF5" s="351"/>
      <c r="IG5" s="351"/>
      <c r="IH5" s="351"/>
      <c r="II5" s="351"/>
      <c r="IJ5" s="351"/>
      <c r="IK5" s="351"/>
      <c r="IL5" s="351"/>
      <c r="IM5" s="351"/>
      <c r="IN5" s="351"/>
      <c r="IO5" s="351"/>
      <c r="IP5" s="351"/>
      <c r="IQ5" s="351"/>
      <c r="IR5" s="351"/>
      <c r="IS5" s="351"/>
      <c r="IT5" s="351"/>
      <c r="IU5" s="351"/>
    </row>
    <row r="6" spans="1:255" ht="15.75">
      <c r="A6" s="353" t="s">
        <v>154</v>
      </c>
      <c r="B6" s="354"/>
      <c r="C6" s="355"/>
      <c r="D6" s="481">
        <f>ROUND(+'Rebate (charge) Calculation'!G34,2)</f>
        <v>-0.28000000000000003</v>
      </c>
      <c r="E6" s="357">
        <v>-0.53</v>
      </c>
      <c r="F6" s="358">
        <f>-1+D6/E6</f>
        <v>-0.47169811320754718</v>
      </c>
      <c r="G6" s="356">
        <f>ROUND(+'Rebate (charge) Calculation'!G76,2)</f>
        <v>-0.25</v>
      </c>
      <c r="H6" s="357">
        <v>-0.35</v>
      </c>
      <c r="I6" s="358">
        <f>-1+G6/H6</f>
        <v>-0.2857142857142857</v>
      </c>
      <c r="J6" s="356">
        <f>ROUND(+'Rebate (charge) Calculation'!G115,2)</f>
        <v>-0.27</v>
      </c>
      <c r="K6" s="359">
        <v>-0.13</v>
      </c>
      <c r="L6" s="358">
        <f>-1+J6/K6</f>
        <v>1.0769230769230771</v>
      </c>
      <c r="M6" s="351"/>
      <c r="N6" s="360">
        <f>+'2020-2021 Recy. Tons &amp; Revenue'!C130</f>
        <v>0.36235847201281124</v>
      </c>
      <c r="O6" s="360">
        <f>+'2020-2021 Recy. Tons &amp; Revenue'!D130</f>
        <v>0.63764152798718876</v>
      </c>
      <c r="P6" s="360">
        <f>+O6+N6</f>
        <v>1</v>
      </c>
      <c r="Q6" s="351"/>
      <c r="R6" s="352"/>
      <c r="S6" s="351"/>
      <c r="T6" s="361"/>
      <c r="U6" s="351"/>
      <c r="V6" s="361"/>
      <c r="W6" s="351"/>
      <c r="X6" s="351"/>
      <c r="Y6" s="351"/>
      <c r="Z6" s="351"/>
      <c r="AA6" s="351"/>
      <c r="AB6" s="351"/>
      <c r="AC6" s="351"/>
      <c r="AD6" s="351"/>
      <c r="AE6" s="351"/>
      <c r="AF6" s="351"/>
      <c r="AG6" s="351"/>
      <c r="AH6" s="351"/>
      <c r="AI6" s="351"/>
      <c r="AJ6" s="351"/>
      <c r="AK6" s="351"/>
      <c r="AL6" s="351"/>
      <c r="AM6" s="351"/>
      <c r="AN6" s="351"/>
      <c r="AO6" s="351"/>
      <c r="AP6" s="351"/>
      <c r="AQ6" s="351"/>
      <c r="AR6" s="351"/>
      <c r="AS6" s="351"/>
      <c r="AT6" s="351"/>
      <c r="AU6" s="351"/>
      <c r="AV6" s="351"/>
      <c r="AW6" s="351"/>
      <c r="AX6" s="351"/>
      <c r="AY6" s="351"/>
      <c r="AZ6" s="351"/>
      <c r="BA6" s="351"/>
      <c r="BB6" s="351"/>
      <c r="BC6" s="351"/>
      <c r="BD6" s="351"/>
      <c r="BE6" s="351"/>
      <c r="BF6" s="351"/>
      <c r="BG6" s="351"/>
      <c r="BH6" s="351"/>
      <c r="BI6" s="351"/>
      <c r="BJ6" s="351"/>
      <c r="BK6" s="351"/>
      <c r="BL6" s="351"/>
      <c r="BM6" s="351"/>
      <c r="BN6" s="351"/>
      <c r="BO6" s="351"/>
      <c r="BP6" s="351"/>
      <c r="BQ6" s="351"/>
      <c r="BR6" s="351"/>
      <c r="BS6" s="351"/>
      <c r="BT6" s="351"/>
      <c r="BU6" s="351"/>
      <c r="BV6" s="351"/>
      <c r="BW6" s="351"/>
      <c r="BX6" s="351"/>
      <c r="BY6" s="351"/>
      <c r="BZ6" s="351"/>
      <c r="CA6" s="351"/>
      <c r="CB6" s="351"/>
      <c r="CC6" s="351"/>
      <c r="CD6" s="351"/>
      <c r="CE6" s="351"/>
      <c r="CF6" s="351"/>
      <c r="CG6" s="351"/>
      <c r="CH6" s="351"/>
      <c r="CI6" s="351"/>
      <c r="CJ6" s="351"/>
      <c r="CK6" s="351"/>
      <c r="CL6" s="351"/>
      <c r="CM6" s="351"/>
      <c r="CN6" s="351"/>
      <c r="CO6" s="351"/>
      <c r="CP6" s="351"/>
      <c r="CQ6" s="351"/>
      <c r="CR6" s="351"/>
      <c r="CS6" s="351"/>
      <c r="CT6" s="351"/>
      <c r="CU6" s="351"/>
      <c r="CV6" s="351"/>
      <c r="CW6" s="351"/>
      <c r="CX6" s="351"/>
      <c r="CY6" s="351"/>
      <c r="CZ6" s="351"/>
      <c r="DA6" s="351"/>
      <c r="DB6" s="351"/>
      <c r="DC6" s="351"/>
      <c r="DD6" s="351"/>
      <c r="DE6" s="351"/>
      <c r="DF6" s="351"/>
      <c r="DG6" s="351"/>
      <c r="DH6" s="351"/>
      <c r="DI6" s="351"/>
      <c r="DJ6" s="351"/>
      <c r="DK6" s="351"/>
      <c r="DL6" s="351"/>
      <c r="DM6" s="351"/>
      <c r="DN6" s="351"/>
      <c r="DO6" s="351"/>
      <c r="DP6" s="351"/>
      <c r="DQ6" s="351"/>
      <c r="DR6" s="351"/>
      <c r="DS6" s="351"/>
      <c r="DT6" s="351"/>
      <c r="DU6" s="351"/>
      <c r="DV6" s="351"/>
      <c r="DW6" s="351"/>
      <c r="DX6" s="351"/>
      <c r="DY6" s="351"/>
      <c r="DZ6" s="351"/>
      <c r="EA6" s="351"/>
      <c r="EB6" s="351"/>
      <c r="EC6" s="351"/>
      <c r="ED6" s="351"/>
      <c r="EE6" s="351"/>
      <c r="EF6" s="351"/>
      <c r="EG6" s="351"/>
      <c r="EH6" s="351"/>
      <c r="EI6" s="351"/>
      <c r="EJ6" s="351"/>
      <c r="EK6" s="351"/>
      <c r="EL6" s="351"/>
      <c r="EM6" s="351"/>
      <c r="EN6" s="351"/>
      <c r="EO6" s="351"/>
      <c r="EP6" s="351"/>
      <c r="EQ6" s="351"/>
      <c r="ER6" s="351"/>
      <c r="ES6" s="351"/>
      <c r="ET6" s="351"/>
      <c r="EU6" s="351"/>
      <c r="EV6" s="351"/>
      <c r="EW6" s="351"/>
      <c r="EX6" s="351"/>
      <c r="EY6" s="351"/>
      <c r="EZ6" s="351"/>
      <c r="FA6" s="351"/>
      <c r="FB6" s="351"/>
      <c r="FC6" s="351"/>
      <c r="FD6" s="351"/>
      <c r="FE6" s="351"/>
      <c r="FF6" s="351"/>
      <c r="FG6" s="351"/>
      <c r="FH6" s="351"/>
      <c r="FI6" s="351"/>
      <c r="FJ6" s="351"/>
      <c r="FK6" s="351"/>
      <c r="FL6" s="351"/>
      <c r="FM6" s="351"/>
      <c r="FN6" s="351"/>
      <c r="FO6" s="351"/>
      <c r="FP6" s="351"/>
      <c r="FQ6" s="351"/>
      <c r="FR6" s="351"/>
      <c r="FS6" s="351"/>
      <c r="FT6" s="351"/>
      <c r="FU6" s="351"/>
      <c r="FV6" s="351"/>
      <c r="FW6" s="351"/>
      <c r="FX6" s="351"/>
      <c r="FY6" s="351"/>
      <c r="FZ6" s="351"/>
      <c r="GA6" s="351"/>
      <c r="GB6" s="351"/>
      <c r="GC6" s="351"/>
      <c r="GD6" s="351"/>
      <c r="GE6" s="351"/>
      <c r="GF6" s="351"/>
      <c r="GG6" s="351"/>
      <c r="GH6" s="351"/>
      <c r="GI6" s="351"/>
      <c r="GJ6" s="351"/>
      <c r="GK6" s="351"/>
      <c r="GL6" s="351"/>
      <c r="GM6" s="351"/>
      <c r="GN6" s="351"/>
      <c r="GO6" s="351"/>
      <c r="GP6" s="351"/>
      <c r="GQ6" s="351"/>
      <c r="GR6" s="351"/>
      <c r="GS6" s="351"/>
      <c r="GT6" s="351"/>
      <c r="GU6" s="351"/>
      <c r="GV6" s="351"/>
      <c r="GW6" s="351"/>
      <c r="GX6" s="351"/>
      <c r="GY6" s="351"/>
      <c r="GZ6" s="351"/>
      <c r="HA6" s="351"/>
      <c r="HB6" s="351"/>
      <c r="HC6" s="351"/>
      <c r="HD6" s="351"/>
      <c r="HE6" s="351"/>
      <c r="HF6" s="351"/>
      <c r="HG6" s="351"/>
      <c r="HH6" s="351"/>
      <c r="HI6" s="351"/>
      <c r="HJ6" s="351"/>
      <c r="HK6" s="351"/>
      <c r="HL6" s="351"/>
      <c r="HM6" s="351"/>
      <c r="HN6" s="351"/>
      <c r="HO6" s="351"/>
      <c r="HP6" s="351"/>
      <c r="HQ6" s="351"/>
      <c r="HR6" s="351"/>
      <c r="HS6" s="351"/>
      <c r="HT6" s="351"/>
      <c r="HU6" s="351"/>
      <c r="HV6" s="351"/>
      <c r="HW6" s="351"/>
      <c r="HX6" s="351"/>
      <c r="HY6" s="351"/>
      <c r="HZ6" s="351"/>
      <c r="IA6" s="351"/>
      <c r="IB6" s="351"/>
      <c r="IC6" s="351"/>
      <c r="ID6" s="351"/>
      <c r="IE6" s="351"/>
      <c r="IF6" s="351"/>
      <c r="IG6" s="351"/>
      <c r="IH6" s="351"/>
      <c r="II6" s="351"/>
      <c r="IJ6" s="351"/>
      <c r="IK6" s="351"/>
      <c r="IL6" s="351"/>
      <c r="IM6" s="351"/>
      <c r="IN6" s="351"/>
      <c r="IO6" s="351"/>
      <c r="IP6" s="351"/>
      <c r="IQ6" s="351"/>
      <c r="IR6" s="351"/>
      <c r="IS6" s="351"/>
      <c r="IT6" s="351"/>
      <c r="IU6" s="351"/>
    </row>
    <row r="7" spans="1:255" ht="15.75">
      <c r="A7" s="353"/>
      <c r="B7" s="354"/>
      <c r="C7" s="355" t="s">
        <v>83</v>
      </c>
      <c r="D7" s="481">
        <f>ROUND(+'Rebate (charge) Calculation'!G39,2)</f>
        <v>-0.17</v>
      </c>
      <c r="E7" s="357">
        <v>-0.31</v>
      </c>
      <c r="F7" s="358">
        <f>-1+D7/E7</f>
        <v>-0.45161290322580638</v>
      </c>
      <c r="G7" s="357"/>
      <c r="H7" s="357"/>
      <c r="I7" s="358"/>
      <c r="J7" s="357"/>
      <c r="K7" s="357"/>
      <c r="L7" s="358"/>
      <c r="M7" s="351"/>
      <c r="N7" s="362">
        <f>+I6</f>
        <v>-0.2857142857142857</v>
      </c>
      <c r="O7" s="362">
        <f>+L6</f>
        <v>1.0769230769230771</v>
      </c>
      <c r="P7" s="360"/>
      <c r="Q7" s="351"/>
      <c r="R7" s="352"/>
      <c r="S7" s="351"/>
      <c r="T7" s="361"/>
      <c r="U7" s="351"/>
      <c r="V7" s="361"/>
      <c r="W7" s="351"/>
      <c r="X7" s="351"/>
      <c r="Y7" s="351"/>
      <c r="Z7" s="351"/>
      <c r="AA7" s="351"/>
      <c r="AB7" s="351"/>
      <c r="AC7" s="351"/>
      <c r="AD7" s="351"/>
      <c r="AE7" s="351"/>
      <c r="AF7" s="351"/>
      <c r="AG7" s="351"/>
      <c r="AH7" s="351"/>
      <c r="AI7" s="351"/>
      <c r="AJ7" s="351"/>
      <c r="AK7" s="351"/>
      <c r="AL7" s="351"/>
      <c r="AM7" s="351"/>
      <c r="AN7" s="351"/>
      <c r="AO7" s="351"/>
      <c r="AP7" s="351"/>
      <c r="AQ7" s="351"/>
      <c r="AR7" s="351"/>
      <c r="AS7" s="351"/>
      <c r="AT7" s="351"/>
      <c r="AU7" s="351"/>
      <c r="AV7" s="351"/>
      <c r="AW7" s="351"/>
      <c r="AX7" s="351"/>
      <c r="AY7" s="351"/>
      <c r="AZ7" s="351"/>
      <c r="BA7" s="351"/>
      <c r="BB7" s="351"/>
      <c r="BC7" s="351"/>
      <c r="BD7" s="351"/>
      <c r="BE7" s="351"/>
      <c r="BF7" s="351"/>
      <c r="BG7" s="351"/>
      <c r="BH7" s="351"/>
      <c r="BI7" s="351"/>
      <c r="BJ7" s="351"/>
      <c r="BK7" s="351"/>
      <c r="BL7" s="351"/>
      <c r="BM7" s="351"/>
      <c r="BN7" s="351"/>
      <c r="BO7" s="351"/>
      <c r="BP7" s="351"/>
      <c r="BQ7" s="351"/>
      <c r="BR7" s="351"/>
      <c r="BS7" s="351"/>
      <c r="BT7" s="351"/>
      <c r="BU7" s="351"/>
      <c r="BV7" s="351"/>
      <c r="BW7" s="351"/>
      <c r="BX7" s="351"/>
      <c r="BY7" s="351"/>
      <c r="BZ7" s="351"/>
      <c r="CA7" s="351"/>
      <c r="CB7" s="351"/>
      <c r="CC7" s="351"/>
      <c r="CD7" s="351"/>
      <c r="CE7" s="351"/>
      <c r="CF7" s="351"/>
      <c r="CG7" s="351"/>
      <c r="CH7" s="351"/>
      <c r="CI7" s="351"/>
      <c r="CJ7" s="351"/>
      <c r="CK7" s="351"/>
      <c r="CL7" s="351"/>
      <c r="CM7" s="351"/>
      <c r="CN7" s="351"/>
      <c r="CO7" s="351"/>
      <c r="CP7" s="351"/>
      <c r="CQ7" s="351"/>
      <c r="CR7" s="351"/>
      <c r="CS7" s="351"/>
      <c r="CT7" s="351"/>
      <c r="CU7" s="351"/>
      <c r="CV7" s="351"/>
      <c r="CW7" s="351"/>
      <c r="CX7" s="351"/>
      <c r="CY7" s="351"/>
      <c r="CZ7" s="351"/>
      <c r="DA7" s="351"/>
      <c r="DB7" s="351"/>
      <c r="DC7" s="351"/>
      <c r="DD7" s="351"/>
      <c r="DE7" s="351"/>
      <c r="DF7" s="351"/>
      <c r="DG7" s="351"/>
      <c r="DH7" s="351"/>
      <c r="DI7" s="351"/>
      <c r="DJ7" s="351"/>
      <c r="DK7" s="351"/>
      <c r="DL7" s="351"/>
      <c r="DM7" s="351"/>
      <c r="DN7" s="351"/>
      <c r="DO7" s="351"/>
      <c r="DP7" s="351"/>
      <c r="DQ7" s="351"/>
      <c r="DR7" s="351"/>
      <c r="DS7" s="351"/>
      <c r="DT7" s="351"/>
      <c r="DU7" s="351"/>
      <c r="DV7" s="351"/>
      <c r="DW7" s="351"/>
      <c r="DX7" s="351"/>
      <c r="DY7" s="351"/>
      <c r="DZ7" s="351"/>
      <c r="EA7" s="351"/>
      <c r="EB7" s="351"/>
      <c r="EC7" s="351"/>
      <c r="ED7" s="351"/>
      <c r="EE7" s="351"/>
      <c r="EF7" s="351"/>
      <c r="EG7" s="351"/>
      <c r="EH7" s="351"/>
      <c r="EI7" s="351"/>
      <c r="EJ7" s="351"/>
      <c r="EK7" s="351"/>
      <c r="EL7" s="351"/>
      <c r="EM7" s="351"/>
      <c r="EN7" s="351"/>
      <c r="EO7" s="351"/>
      <c r="EP7" s="351"/>
      <c r="EQ7" s="351"/>
      <c r="ER7" s="351"/>
      <c r="ES7" s="351"/>
      <c r="ET7" s="351"/>
      <c r="EU7" s="351"/>
      <c r="EV7" s="351"/>
      <c r="EW7" s="351"/>
      <c r="EX7" s="351"/>
      <c r="EY7" s="351"/>
      <c r="EZ7" s="351"/>
      <c r="FA7" s="351"/>
      <c r="FB7" s="351"/>
      <c r="FC7" s="351"/>
      <c r="FD7" s="351"/>
      <c r="FE7" s="351"/>
      <c r="FF7" s="351"/>
      <c r="FG7" s="351"/>
      <c r="FH7" s="351"/>
      <c r="FI7" s="351"/>
      <c r="FJ7" s="351"/>
      <c r="FK7" s="351"/>
      <c r="FL7" s="351"/>
      <c r="FM7" s="351"/>
      <c r="FN7" s="351"/>
      <c r="FO7" s="351"/>
      <c r="FP7" s="351"/>
      <c r="FQ7" s="351"/>
      <c r="FR7" s="351"/>
      <c r="FS7" s="351"/>
      <c r="FT7" s="351"/>
      <c r="FU7" s="351"/>
      <c r="FV7" s="351"/>
      <c r="FW7" s="351"/>
      <c r="FX7" s="351"/>
      <c r="FY7" s="351"/>
      <c r="FZ7" s="351"/>
      <c r="GA7" s="351"/>
      <c r="GB7" s="351"/>
      <c r="GC7" s="351"/>
      <c r="GD7" s="351"/>
      <c r="GE7" s="351"/>
      <c r="GF7" s="351"/>
      <c r="GG7" s="351"/>
      <c r="GH7" s="351"/>
      <c r="GI7" s="351"/>
      <c r="GJ7" s="351"/>
      <c r="GK7" s="351"/>
      <c r="GL7" s="351"/>
      <c r="GM7" s="351"/>
      <c r="GN7" s="351"/>
      <c r="GO7" s="351"/>
      <c r="GP7" s="351"/>
      <c r="GQ7" s="351"/>
      <c r="GR7" s="351"/>
      <c r="GS7" s="351"/>
      <c r="GT7" s="351"/>
      <c r="GU7" s="351"/>
      <c r="GV7" s="351"/>
      <c r="GW7" s="351"/>
      <c r="GX7" s="351"/>
      <c r="GY7" s="351"/>
      <c r="GZ7" s="351"/>
      <c r="HA7" s="351"/>
      <c r="HB7" s="351"/>
      <c r="HC7" s="351"/>
      <c r="HD7" s="351"/>
      <c r="HE7" s="351"/>
      <c r="HF7" s="351"/>
      <c r="HG7" s="351"/>
      <c r="HH7" s="351"/>
      <c r="HI7" s="351"/>
      <c r="HJ7" s="351"/>
      <c r="HK7" s="351"/>
      <c r="HL7" s="351"/>
      <c r="HM7" s="351"/>
      <c r="HN7" s="351"/>
      <c r="HO7" s="351"/>
      <c r="HP7" s="351"/>
      <c r="HQ7" s="351"/>
      <c r="HR7" s="351"/>
      <c r="HS7" s="351"/>
      <c r="HT7" s="351"/>
      <c r="HU7" s="351"/>
      <c r="HV7" s="351"/>
      <c r="HW7" s="351"/>
      <c r="HX7" s="351"/>
      <c r="HY7" s="351"/>
      <c r="HZ7" s="351"/>
      <c r="IA7" s="351"/>
      <c r="IB7" s="351"/>
      <c r="IC7" s="351"/>
      <c r="ID7" s="351"/>
      <c r="IE7" s="351"/>
      <c r="IF7" s="351"/>
      <c r="IG7" s="351"/>
      <c r="IH7" s="351"/>
      <c r="II7" s="351"/>
      <c r="IJ7" s="351"/>
      <c r="IK7" s="351"/>
      <c r="IL7" s="351"/>
      <c r="IM7" s="351"/>
      <c r="IN7" s="351"/>
      <c r="IO7" s="351"/>
      <c r="IP7" s="351"/>
      <c r="IQ7" s="351"/>
      <c r="IR7" s="351"/>
      <c r="IS7" s="351"/>
      <c r="IT7" s="351"/>
      <c r="IU7" s="351"/>
    </row>
    <row r="8" spans="1:255" ht="15.75">
      <c r="A8" s="363" t="s">
        <v>155</v>
      </c>
      <c r="B8" s="354"/>
      <c r="C8" s="355"/>
      <c r="D8" s="364"/>
      <c r="E8" s="365"/>
      <c r="F8" s="364"/>
      <c r="G8" s="357"/>
      <c r="H8" s="357"/>
      <c r="I8" s="358"/>
      <c r="J8" s="357"/>
      <c r="K8" s="357"/>
      <c r="L8" s="358"/>
      <c r="M8" s="351"/>
      <c r="N8" s="366">
        <f>+N6*N7</f>
        <v>-0.10353099200366035</v>
      </c>
      <c r="O8" s="366">
        <f>+O6*O7</f>
        <v>0.68669087629389569</v>
      </c>
      <c r="P8" s="366">
        <f>+O8+N8</f>
        <v>0.58315988429023535</v>
      </c>
      <c r="Q8" s="351"/>
      <c r="R8" s="352"/>
      <c r="S8" s="351"/>
      <c r="T8" s="361"/>
      <c r="U8" s="351"/>
      <c r="V8" s="361"/>
      <c r="W8" s="351"/>
      <c r="X8" s="351"/>
      <c r="Y8" s="351"/>
      <c r="Z8" s="351"/>
      <c r="AA8" s="351"/>
      <c r="AB8" s="351"/>
      <c r="AC8" s="351"/>
      <c r="AD8" s="351"/>
      <c r="AE8" s="351"/>
      <c r="AF8" s="351"/>
      <c r="AG8" s="351"/>
      <c r="AH8" s="351"/>
      <c r="AI8" s="351"/>
      <c r="AJ8" s="351"/>
      <c r="AK8" s="351"/>
      <c r="AL8" s="351"/>
      <c r="AM8" s="351"/>
      <c r="AN8" s="351"/>
      <c r="AO8" s="351"/>
      <c r="AP8" s="351"/>
      <c r="AQ8" s="351"/>
      <c r="AR8" s="351"/>
      <c r="AS8" s="351"/>
      <c r="AT8" s="351"/>
      <c r="AU8" s="351"/>
      <c r="AV8" s="351"/>
      <c r="AW8" s="351"/>
      <c r="AX8" s="351"/>
      <c r="AY8" s="351"/>
      <c r="AZ8" s="351"/>
      <c r="BA8" s="351"/>
      <c r="BB8" s="351"/>
      <c r="BC8" s="351"/>
      <c r="BD8" s="351"/>
      <c r="BE8" s="351"/>
      <c r="BF8" s="351"/>
      <c r="BG8" s="351"/>
      <c r="BH8" s="351"/>
      <c r="BI8" s="351"/>
      <c r="BJ8" s="351"/>
      <c r="BK8" s="351"/>
      <c r="BL8" s="351"/>
      <c r="BM8" s="351"/>
      <c r="BN8" s="351"/>
      <c r="BO8" s="351"/>
      <c r="BP8" s="351"/>
      <c r="BQ8" s="351"/>
      <c r="BR8" s="351"/>
      <c r="BS8" s="351"/>
      <c r="BT8" s="351"/>
      <c r="BU8" s="351"/>
      <c r="BV8" s="351"/>
      <c r="BW8" s="351"/>
      <c r="BX8" s="351"/>
      <c r="BY8" s="351"/>
      <c r="BZ8" s="351"/>
      <c r="CA8" s="351"/>
      <c r="CB8" s="351"/>
      <c r="CC8" s="351"/>
      <c r="CD8" s="351"/>
      <c r="CE8" s="351"/>
      <c r="CF8" s="351"/>
      <c r="CG8" s="351"/>
      <c r="CH8" s="351"/>
      <c r="CI8" s="351"/>
      <c r="CJ8" s="351"/>
      <c r="CK8" s="351"/>
      <c r="CL8" s="351"/>
      <c r="CM8" s="351"/>
      <c r="CN8" s="351"/>
      <c r="CO8" s="351"/>
      <c r="CP8" s="351"/>
      <c r="CQ8" s="351"/>
      <c r="CR8" s="351"/>
      <c r="CS8" s="351"/>
      <c r="CT8" s="351"/>
      <c r="CU8" s="351"/>
      <c r="CV8" s="351"/>
      <c r="CW8" s="351"/>
      <c r="CX8" s="351"/>
      <c r="CY8" s="351"/>
      <c r="CZ8" s="351"/>
      <c r="DA8" s="351"/>
      <c r="DB8" s="351"/>
      <c r="DC8" s="351"/>
      <c r="DD8" s="351"/>
      <c r="DE8" s="351"/>
      <c r="DF8" s="351"/>
      <c r="DG8" s="351"/>
      <c r="DH8" s="351"/>
      <c r="DI8" s="351"/>
      <c r="DJ8" s="351"/>
      <c r="DK8" s="351"/>
      <c r="DL8" s="351"/>
      <c r="DM8" s="351"/>
      <c r="DN8" s="351"/>
      <c r="DO8" s="351"/>
      <c r="DP8" s="351"/>
      <c r="DQ8" s="351"/>
      <c r="DR8" s="351"/>
      <c r="DS8" s="351"/>
      <c r="DT8" s="351"/>
      <c r="DU8" s="351"/>
      <c r="DV8" s="351"/>
      <c r="DW8" s="351"/>
      <c r="DX8" s="351"/>
      <c r="DY8" s="351"/>
      <c r="DZ8" s="351"/>
      <c r="EA8" s="351"/>
      <c r="EB8" s="351"/>
      <c r="EC8" s="351"/>
      <c r="ED8" s="351"/>
      <c r="EE8" s="351"/>
      <c r="EF8" s="351"/>
      <c r="EG8" s="351"/>
      <c r="EH8" s="351"/>
      <c r="EI8" s="351"/>
      <c r="EJ8" s="351"/>
      <c r="EK8" s="351"/>
      <c r="EL8" s="351"/>
      <c r="EM8" s="351"/>
      <c r="EN8" s="351"/>
      <c r="EO8" s="351"/>
      <c r="EP8" s="351"/>
      <c r="EQ8" s="351"/>
      <c r="ER8" s="351"/>
      <c r="ES8" s="351"/>
      <c r="ET8" s="351"/>
      <c r="EU8" s="351"/>
      <c r="EV8" s="351"/>
      <c r="EW8" s="351"/>
      <c r="EX8" s="351"/>
      <c r="EY8" s="351"/>
      <c r="EZ8" s="351"/>
      <c r="FA8" s="351"/>
      <c r="FB8" s="351"/>
      <c r="FC8" s="351"/>
      <c r="FD8" s="351"/>
      <c r="FE8" s="351"/>
      <c r="FF8" s="351"/>
      <c r="FG8" s="351"/>
      <c r="FH8" s="351"/>
      <c r="FI8" s="351"/>
      <c r="FJ8" s="351"/>
      <c r="FK8" s="351"/>
      <c r="FL8" s="351"/>
      <c r="FM8" s="351"/>
      <c r="FN8" s="351"/>
      <c r="FO8" s="351"/>
      <c r="FP8" s="351"/>
      <c r="FQ8" s="351"/>
      <c r="FR8" s="351"/>
      <c r="FS8" s="351"/>
      <c r="FT8" s="351"/>
      <c r="FU8" s="351"/>
      <c r="FV8" s="351"/>
      <c r="FW8" s="351"/>
      <c r="FX8" s="351"/>
      <c r="FY8" s="351"/>
      <c r="FZ8" s="351"/>
      <c r="GA8" s="351"/>
      <c r="GB8" s="351"/>
      <c r="GC8" s="351"/>
      <c r="GD8" s="351"/>
      <c r="GE8" s="351"/>
      <c r="GF8" s="351"/>
      <c r="GG8" s="351"/>
      <c r="GH8" s="351"/>
      <c r="GI8" s="351"/>
      <c r="GJ8" s="351"/>
      <c r="GK8" s="351"/>
      <c r="GL8" s="351"/>
      <c r="GM8" s="351"/>
      <c r="GN8" s="351"/>
      <c r="GO8" s="351"/>
      <c r="GP8" s="351"/>
      <c r="GQ8" s="351"/>
      <c r="GR8" s="351"/>
      <c r="GS8" s="351"/>
      <c r="GT8" s="351"/>
      <c r="GU8" s="351"/>
      <c r="GV8" s="351"/>
      <c r="GW8" s="351"/>
      <c r="GX8" s="351"/>
      <c r="GY8" s="351"/>
      <c r="GZ8" s="351"/>
      <c r="HA8" s="351"/>
      <c r="HB8" s="351"/>
      <c r="HC8" s="351"/>
      <c r="HD8" s="351"/>
      <c r="HE8" s="351"/>
      <c r="HF8" s="351"/>
      <c r="HG8" s="351"/>
      <c r="HH8" s="351"/>
      <c r="HI8" s="351"/>
      <c r="HJ8" s="351"/>
      <c r="HK8" s="351"/>
      <c r="HL8" s="351"/>
      <c r="HM8" s="351"/>
      <c r="HN8" s="351"/>
      <c r="HO8" s="351"/>
      <c r="HP8" s="351"/>
      <c r="HQ8" s="351"/>
      <c r="HR8" s="351"/>
      <c r="HS8" s="351"/>
      <c r="HT8" s="351"/>
      <c r="HU8" s="351"/>
      <c r="HV8" s="351"/>
      <c r="HW8" s="351"/>
      <c r="HX8" s="351"/>
      <c r="HY8" s="351"/>
      <c r="HZ8" s="351"/>
      <c r="IA8" s="351"/>
      <c r="IB8" s="351"/>
      <c r="IC8" s="351"/>
      <c r="ID8" s="351"/>
      <c r="IE8" s="351"/>
      <c r="IF8" s="351"/>
      <c r="IG8" s="351"/>
      <c r="IH8" s="351"/>
      <c r="II8" s="351"/>
      <c r="IJ8" s="351"/>
      <c r="IK8" s="351"/>
      <c r="IL8" s="351"/>
      <c r="IM8" s="351"/>
      <c r="IN8" s="351"/>
      <c r="IO8" s="351"/>
      <c r="IP8" s="351"/>
      <c r="IQ8" s="351"/>
      <c r="IR8" s="351"/>
      <c r="IS8" s="351"/>
      <c r="IT8" s="351"/>
      <c r="IU8" s="351"/>
    </row>
    <row r="9" spans="1:255" ht="15.75">
      <c r="A9" s="363"/>
      <c r="B9" s="354" t="s">
        <v>156</v>
      </c>
      <c r="C9" s="355"/>
      <c r="D9" s="357">
        <f t="shared" ref="D9:D14" si="0">+ROUND(E9*(1+$F$6),3)</f>
        <v>-1.0999999999999999E-2</v>
      </c>
      <c r="E9" s="365">
        <v>-0.02</v>
      </c>
      <c r="F9" s="358">
        <f>-1+D9/E9</f>
        <v>-0.45000000000000007</v>
      </c>
      <c r="G9" s="357"/>
      <c r="H9" s="357"/>
      <c r="I9" s="358"/>
      <c r="J9" s="357"/>
      <c r="K9" s="357"/>
      <c r="L9" s="358"/>
      <c r="M9" s="351"/>
      <c r="N9" s="351"/>
      <c r="O9" s="351"/>
      <c r="P9" s="351"/>
      <c r="Q9" s="351"/>
      <c r="R9" s="352"/>
      <c r="S9" s="351"/>
      <c r="T9" s="361"/>
      <c r="U9" s="351"/>
      <c r="V9" s="361"/>
      <c r="W9" s="367"/>
      <c r="X9" s="351"/>
      <c r="Y9" s="351"/>
      <c r="Z9" s="351"/>
      <c r="AA9" s="351"/>
      <c r="AB9" s="351"/>
      <c r="AC9" s="351"/>
      <c r="AD9" s="351"/>
      <c r="AE9" s="351"/>
      <c r="AF9" s="351"/>
      <c r="AG9" s="351"/>
      <c r="AH9" s="351"/>
      <c r="AI9" s="351"/>
      <c r="AJ9" s="351"/>
      <c r="AK9" s="351"/>
      <c r="AL9" s="351"/>
      <c r="AM9" s="351"/>
      <c r="AN9" s="351"/>
      <c r="AO9" s="351"/>
      <c r="AP9" s="351"/>
      <c r="AQ9" s="351"/>
      <c r="AR9" s="351"/>
      <c r="AS9" s="351"/>
      <c r="AT9" s="351"/>
      <c r="AU9" s="351"/>
      <c r="AV9" s="351"/>
      <c r="AW9" s="351"/>
      <c r="AX9" s="351"/>
      <c r="AY9" s="351"/>
      <c r="AZ9" s="351"/>
      <c r="BA9" s="351"/>
      <c r="BB9" s="351"/>
      <c r="BC9" s="351"/>
      <c r="BD9" s="351"/>
      <c r="BE9" s="351"/>
      <c r="BF9" s="351"/>
      <c r="BG9" s="351"/>
      <c r="BH9" s="351"/>
      <c r="BI9" s="351"/>
      <c r="BJ9" s="351"/>
      <c r="BK9" s="351"/>
      <c r="BL9" s="351"/>
      <c r="BM9" s="351"/>
      <c r="BN9" s="351"/>
      <c r="BO9" s="351"/>
      <c r="BP9" s="351"/>
      <c r="BQ9" s="351"/>
      <c r="BR9" s="351"/>
      <c r="BS9" s="351"/>
      <c r="BT9" s="351"/>
      <c r="BU9" s="351"/>
      <c r="BV9" s="351"/>
      <c r="BW9" s="351"/>
      <c r="BX9" s="351"/>
      <c r="BY9" s="351"/>
      <c r="BZ9" s="351"/>
      <c r="CA9" s="351"/>
      <c r="CB9" s="351"/>
      <c r="CC9" s="351"/>
      <c r="CD9" s="351"/>
      <c r="CE9" s="351"/>
      <c r="CF9" s="351"/>
      <c r="CG9" s="351"/>
      <c r="CH9" s="351"/>
      <c r="CI9" s="351"/>
      <c r="CJ9" s="351"/>
      <c r="CK9" s="351"/>
      <c r="CL9" s="351"/>
      <c r="CM9" s="351"/>
      <c r="CN9" s="351"/>
      <c r="CO9" s="351"/>
      <c r="CP9" s="351"/>
      <c r="CQ9" s="351"/>
      <c r="CR9" s="351"/>
      <c r="CS9" s="351"/>
      <c r="CT9" s="351"/>
      <c r="CU9" s="351"/>
      <c r="CV9" s="351"/>
      <c r="CW9" s="351"/>
      <c r="CX9" s="351"/>
      <c r="CY9" s="351"/>
      <c r="CZ9" s="351"/>
      <c r="DA9" s="351"/>
      <c r="DB9" s="351"/>
      <c r="DC9" s="351"/>
      <c r="DD9" s="351"/>
      <c r="DE9" s="351"/>
      <c r="DF9" s="351"/>
      <c r="DG9" s="351"/>
      <c r="DH9" s="351"/>
      <c r="DI9" s="351"/>
      <c r="DJ9" s="351"/>
      <c r="DK9" s="351"/>
      <c r="DL9" s="351"/>
      <c r="DM9" s="351"/>
      <c r="DN9" s="351"/>
      <c r="DO9" s="351"/>
      <c r="DP9" s="351"/>
      <c r="DQ9" s="351"/>
      <c r="DR9" s="351"/>
      <c r="DS9" s="351"/>
      <c r="DT9" s="351"/>
      <c r="DU9" s="351"/>
      <c r="DV9" s="351"/>
      <c r="DW9" s="351"/>
      <c r="DX9" s="351"/>
      <c r="DY9" s="351"/>
      <c r="DZ9" s="351"/>
      <c r="EA9" s="351"/>
      <c r="EB9" s="351"/>
      <c r="EC9" s="351"/>
      <c r="ED9" s="351"/>
      <c r="EE9" s="351"/>
      <c r="EF9" s="351"/>
      <c r="EG9" s="351"/>
      <c r="EH9" s="351"/>
      <c r="EI9" s="351"/>
      <c r="EJ9" s="351"/>
      <c r="EK9" s="351"/>
      <c r="EL9" s="351"/>
      <c r="EM9" s="351"/>
      <c r="EN9" s="351"/>
      <c r="EO9" s="351"/>
      <c r="EP9" s="351"/>
      <c r="EQ9" s="351"/>
      <c r="ER9" s="351"/>
      <c r="ES9" s="351"/>
      <c r="ET9" s="351"/>
      <c r="EU9" s="351"/>
      <c r="EV9" s="351"/>
      <c r="EW9" s="351"/>
      <c r="EX9" s="351"/>
      <c r="EY9" s="351"/>
      <c r="EZ9" s="351"/>
      <c r="FA9" s="351"/>
      <c r="FB9" s="351"/>
      <c r="FC9" s="351"/>
      <c r="FD9" s="351"/>
      <c r="FE9" s="351"/>
      <c r="FF9" s="351"/>
      <c r="FG9" s="351"/>
      <c r="FH9" s="351"/>
      <c r="FI9" s="351"/>
      <c r="FJ9" s="351"/>
      <c r="FK9" s="351"/>
      <c r="FL9" s="351"/>
      <c r="FM9" s="351"/>
      <c r="FN9" s="351"/>
      <c r="FO9" s="351"/>
      <c r="FP9" s="351"/>
      <c r="FQ9" s="351"/>
      <c r="FR9" s="351"/>
      <c r="FS9" s="351"/>
      <c r="FT9" s="351"/>
      <c r="FU9" s="351"/>
      <c r="FV9" s="351"/>
      <c r="FW9" s="351"/>
      <c r="FX9" s="351"/>
      <c r="FY9" s="351"/>
      <c r="FZ9" s="351"/>
      <c r="GA9" s="351"/>
      <c r="GB9" s="351"/>
      <c r="GC9" s="351"/>
      <c r="GD9" s="351"/>
      <c r="GE9" s="351"/>
      <c r="GF9" s="351"/>
      <c r="GG9" s="351"/>
      <c r="GH9" s="351"/>
      <c r="GI9" s="351"/>
      <c r="GJ9" s="351"/>
      <c r="GK9" s="351"/>
      <c r="GL9" s="351"/>
      <c r="GM9" s="351"/>
      <c r="GN9" s="351"/>
      <c r="GO9" s="351"/>
      <c r="GP9" s="351"/>
      <c r="GQ9" s="351"/>
      <c r="GR9" s="351"/>
      <c r="GS9" s="351"/>
      <c r="GT9" s="351"/>
      <c r="GU9" s="351"/>
      <c r="GV9" s="351"/>
      <c r="GW9" s="351"/>
      <c r="GX9" s="351"/>
      <c r="GY9" s="351"/>
      <c r="GZ9" s="351"/>
      <c r="HA9" s="351"/>
      <c r="HB9" s="351"/>
      <c r="HC9" s="351"/>
      <c r="HD9" s="351"/>
      <c r="HE9" s="351"/>
      <c r="HF9" s="351"/>
      <c r="HG9" s="351"/>
      <c r="HH9" s="351"/>
      <c r="HI9" s="351"/>
      <c r="HJ9" s="351"/>
      <c r="HK9" s="351"/>
      <c r="HL9" s="351"/>
      <c r="HM9" s="351"/>
      <c r="HN9" s="351"/>
      <c r="HO9" s="351"/>
      <c r="HP9" s="351"/>
      <c r="HQ9" s="351"/>
      <c r="HR9" s="351"/>
      <c r="HS9" s="351"/>
      <c r="HT9" s="351"/>
      <c r="HU9" s="351"/>
      <c r="HV9" s="351"/>
      <c r="HW9" s="351"/>
      <c r="HX9" s="351"/>
      <c r="HY9" s="351"/>
      <c r="HZ9" s="351"/>
      <c r="IA9" s="351"/>
      <c r="IB9" s="351"/>
      <c r="IC9" s="351"/>
      <c r="ID9" s="351"/>
      <c r="IE9" s="351"/>
      <c r="IF9" s="351"/>
      <c r="IG9" s="351"/>
      <c r="IH9" s="351"/>
      <c r="II9" s="351"/>
      <c r="IJ9" s="351"/>
      <c r="IK9" s="351"/>
      <c r="IL9" s="351"/>
      <c r="IM9" s="351"/>
      <c r="IN9" s="351"/>
      <c r="IO9" s="351"/>
      <c r="IP9" s="351"/>
      <c r="IQ9" s="351"/>
      <c r="IR9" s="351"/>
      <c r="IS9" s="351"/>
      <c r="IT9" s="351"/>
      <c r="IU9" s="351"/>
    </row>
    <row r="10" spans="1:255">
      <c r="A10" s="368"/>
      <c r="B10" s="354" t="s">
        <v>157</v>
      </c>
      <c r="C10" s="369"/>
      <c r="D10" s="357">
        <f t="shared" si="0"/>
        <v>-1.0999999999999999E-2</v>
      </c>
      <c r="E10" s="365">
        <v>-0.02</v>
      </c>
      <c r="F10" s="358">
        <f>-1+D10/E10</f>
        <v>-0.45000000000000007</v>
      </c>
      <c r="G10" s="357">
        <f t="shared" ref="G10:G15" si="1">ROUND(+H10*(1+$I$6),2)</f>
        <v>-0.01</v>
      </c>
      <c r="H10" s="357">
        <v>-0.01</v>
      </c>
      <c r="I10" s="358">
        <f>-1+G10/H10</f>
        <v>0</v>
      </c>
      <c r="J10" s="357">
        <v>-0.01</v>
      </c>
      <c r="K10" s="357">
        <v>0</v>
      </c>
      <c r="L10" s="358"/>
      <c r="M10" s="351"/>
      <c r="N10" s="351"/>
      <c r="O10" s="351"/>
      <c r="P10" s="351"/>
      <c r="Q10" s="351"/>
      <c r="R10" s="352"/>
      <c r="S10" s="351"/>
      <c r="T10" s="351"/>
      <c r="U10" s="351"/>
      <c r="V10" s="351"/>
      <c r="W10" s="351"/>
      <c r="X10" s="351"/>
      <c r="Y10" s="351"/>
      <c r="Z10" s="351"/>
      <c r="AA10" s="351"/>
      <c r="AB10" s="351"/>
      <c r="AC10" s="351"/>
      <c r="AD10" s="351"/>
      <c r="AE10" s="351"/>
      <c r="AF10" s="351"/>
      <c r="AG10" s="351"/>
      <c r="AH10" s="351"/>
      <c r="AI10" s="351"/>
      <c r="AJ10" s="351"/>
      <c r="AK10" s="351"/>
      <c r="AL10" s="351"/>
      <c r="AM10" s="351"/>
      <c r="AN10" s="351"/>
      <c r="AO10" s="351"/>
      <c r="AP10" s="351"/>
      <c r="AQ10" s="351"/>
      <c r="AR10" s="351"/>
      <c r="AS10" s="351"/>
      <c r="AT10" s="351"/>
      <c r="AU10" s="351"/>
      <c r="AV10" s="351"/>
      <c r="AW10" s="351"/>
      <c r="AX10" s="351"/>
      <c r="AY10" s="351"/>
      <c r="AZ10" s="351"/>
      <c r="BA10" s="351"/>
      <c r="BB10" s="351"/>
      <c r="BC10" s="351"/>
      <c r="BD10" s="351"/>
      <c r="BE10" s="351"/>
      <c r="BF10" s="351"/>
      <c r="BG10" s="351"/>
      <c r="BH10" s="351"/>
      <c r="BI10" s="351"/>
      <c r="BJ10" s="351"/>
      <c r="BK10" s="351"/>
      <c r="BL10" s="351"/>
      <c r="BM10" s="351"/>
      <c r="BN10" s="351"/>
      <c r="BO10" s="351"/>
      <c r="BP10" s="351"/>
      <c r="BQ10" s="351"/>
      <c r="BR10" s="351"/>
      <c r="BS10" s="351"/>
      <c r="BT10" s="351"/>
      <c r="BU10" s="351"/>
      <c r="BV10" s="351"/>
      <c r="BW10" s="351"/>
      <c r="BX10" s="351"/>
      <c r="BY10" s="351"/>
      <c r="BZ10" s="351"/>
      <c r="CA10" s="351"/>
      <c r="CB10" s="351"/>
      <c r="CC10" s="351"/>
      <c r="CD10" s="351"/>
      <c r="CE10" s="351"/>
      <c r="CF10" s="351"/>
      <c r="CG10" s="351"/>
      <c r="CH10" s="351"/>
      <c r="CI10" s="351"/>
      <c r="CJ10" s="351"/>
      <c r="CK10" s="351"/>
      <c r="CL10" s="351"/>
      <c r="CM10" s="351"/>
      <c r="CN10" s="351"/>
      <c r="CO10" s="351"/>
      <c r="CP10" s="351"/>
      <c r="CQ10" s="351"/>
      <c r="CR10" s="351"/>
      <c r="CS10" s="351"/>
      <c r="CT10" s="351"/>
      <c r="CU10" s="351"/>
      <c r="CV10" s="351"/>
      <c r="CW10" s="351"/>
      <c r="CX10" s="351"/>
      <c r="CY10" s="351"/>
      <c r="CZ10" s="351"/>
      <c r="DA10" s="351"/>
      <c r="DB10" s="351"/>
      <c r="DC10" s="351"/>
      <c r="DD10" s="351"/>
      <c r="DE10" s="351"/>
      <c r="DF10" s="351"/>
      <c r="DG10" s="351"/>
      <c r="DH10" s="351"/>
      <c r="DI10" s="351"/>
      <c r="DJ10" s="351"/>
      <c r="DK10" s="351"/>
      <c r="DL10" s="351"/>
      <c r="DM10" s="351"/>
      <c r="DN10" s="351"/>
      <c r="DO10" s="351"/>
      <c r="DP10" s="351"/>
      <c r="DQ10" s="351"/>
      <c r="DR10" s="351"/>
      <c r="DS10" s="351"/>
      <c r="DT10" s="351"/>
      <c r="DU10" s="351"/>
      <c r="DV10" s="351"/>
      <c r="DW10" s="351"/>
      <c r="DX10" s="351"/>
      <c r="DY10" s="351"/>
      <c r="DZ10" s="351"/>
      <c r="EA10" s="351"/>
      <c r="EB10" s="351"/>
      <c r="EC10" s="351"/>
      <c r="ED10" s="351"/>
      <c r="EE10" s="351"/>
      <c r="EF10" s="351"/>
      <c r="EG10" s="351"/>
      <c r="EH10" s="351"/>
      <c r="EI10" s="351"/>
      <c r="EJ10" s="351"/>
      <c r="EK10" s="351"/>
      <c r="EL10" s="351"/>
      <c r="EM10" s="351"/>
      <c r="EN10" s="351"/>
      <c r="EO10" s="351"/>
      <c r="EP10" s="351"/>
      <c r="EQ10" s="351"/>
      <c r="ER10" s="351"/>
      <c r="ES10" s="351"/>
      <c r="ET10" s="351"/>
      <c r="EU10" s="351"/>
      <c r="EV10" s="351"/>
      <c r="EW10" s="351"/>
      <c r="EX10" s="351"/>
      <c r="EY10" s="351"/>
      <c r="EZ10" s="351"/>
      <c r="FA10" s="351"/>
      <c r="FB10" s="351"/>
      <c r="FC10" s="351"/>
      <c r="FD10" s="351"/>
      <c r="FE10" s="351"/>
      <c r="FF10" s="351"/>
      <c r="FG10" s="351"/>
      <c r="FH10" s="351"/>
      <c r="FI10" s="351"/>
      <c r="FJ10" s="351"/>
      <c r="FK10" s="351"/>
      <c r="FL10" s="351"/>
      <c r="FM10" s="351"/>
      <c r="FN10" s="351"/>
      <c r="FO10" s="351"/>
      <c r="FP10" s="351"/>
      <c r="FQ10" s="351"/>
      <c r="FR10" s="351"/>
      <c r="FS10" s="351"/>
      <c r="FT10" s="351"/>
      <c r="FU10" s="351"/>
      <c r="FV10" s="351"/>
      <c r="FW10" s="351"/>
      <c r="FX10" s="351"/>
      <c r="FY10" s="351"/>
      <c r="FZ10" s="351"/>
      <c r="GA10" s="351"/>
      <c r="GB10" s="351"/>
      <c r="GC10" s="351"/>
      <c r="GD10" s="351"/>
      <c r="GE10" s="351"/>
      <c r="GF10" s="351"/>
      <c r="GG10" s="351"/>
      <c r="GH10" s="351"/>
      <c r="GI10" s="351"/>
      <c r="GJ10" s="351"/>
      <c r="GK10" s="351"/>
      <c r="GL10" s="351"/>
      <c r="GM10" s="351"/>
      <c r="GN10" s="351"/>
      <c r="GO10" s="351"/>
      <c r="GP10" s="351"/>
      <c r="GQ10" s="351"/>
      <c r="GR10" s="351"/>
      <c r="GS10" s="351"/>
      <c r="GT10" s="351"/>
      <c r="GU10" s="351"/>
      <c r="GV10" s="351"/>
      <c r="GW10" s="351"/>
      <c r="GX10" s="351"/>
      <c r="GY10" s="351"/>
      <c r="GZ10" s="351"/>
      <c r="HA10" s="351"/>
      <c r="HB10" s="351"/>
      <c r="HC10" s="351"/>
      <c r="HD10" s="351"/>
      <c r="HE10" s="351"/>
      <c r="HF10" s="351"/>
      <c r="HG10" s="351"/>
      <c r="HH10" s="351"/>
      <c r="HI10" s="351"/>
      <c r="HJ10" s="351"/>
      <c r="HK10" s="351"/>
      <c r="HL10" s="351"/>
      <c r="HM10" s="351"/>
      <c r="HN10" s="351"/>
      <c r="HO10" s="351"/>
      <c r="HP10" s="351"/>
      <c r="HQ10" s="351"/>
      <c r="HR10" s="351"/>
      <c r="HS10" s="351"/>
      <c r="HT10" s="351"/>
      <c r="HU10" s="351"/>
      <c r="HV10" s="351"/>
      <c r="HW10" s="351"/>
      <c r="HX10" s="351"/>
      <c r="HY10" s="351"/>
      <c r="HZ10" s="351"/>
      <c r="IA10" s="351"/>
      <c r="IB10" s="351"/>
      <c r="IC10" s="351"/>
      <c r="ID10" s="351"/>
      <c r="IE10" s="351"/>
      <c r="IF10" s="351"/>
      <c r="IG10" s="351"/>
      <c r="IH10" s="351"/>
      <c r="II10" s="351"/>
      <c r="IJ10" s="351"/>
      <c r="IK10" s="351"/>
      <c r="IL10" s="351"/>
      <c r="IM10" s="351"/>
      <c r="IN10" s="351"/>
      <c r="IO10" s="351"/>
      <c r="IP10" s="351"/>
      <c r="IQ10" s="351"/>
      <c r="IR10" s="351"/>
      <c r="IS10" s="351"/>
      <c r="IT10" s="351"/>
      <c r="IU10" s="351"/>
    </row>
    <row r="11" spans="1:255">
      <c r="A11" s="368"/>
      <c r="B11" s="354" t="s">
        <v>158</v>
      </c>
      <c r="C11" s="369"/>
      <c r="D11" s="357">
        <f t="shared" si="0"/>
        <v>-1.0999999999999999E-2</v>
      </c>
      <c r="E11" s="365">
        <v>-0.02</v>
      </c>
      <c r="F11" s="358">
        <f t="shared" ref="F11:F20" si="2">-1+D11/E11</f>
        <v>-0.45000000000000007</v>
      </c>
      <c r="G11" s="357">
        <f t="shared" si="1"/>
        <v>-0.01</v>
      </c>
      <c r="H11" s="357">
        <v>-0.01</v>
      </c>
      <c r="I11" s="358">
        <f>-1+G11/H11</f>
        <v>0</v>
      </c>
      <c r="J11" s="357">
        <v>-0.01</v>
      </c>
      <c r="K11" s="357">
        <v>0</v>
      </c>
      <c r="L11" s="358"/>
      <c r="M11" s="351"/>
      <c r="N11" s="351"/>
      <c r="O11" s="351"/>
      <c r="P11" s="351"/>
      <c r="Q11" s="351"/>
      <c r="R11" s="352"/>
      <c r="S11" s="351"/>
      <c r="T11" s="351"/>
      <c r="U11" s="351"/>
      <c r="V11" s="351"/>
      <c r="W11" s="351"/>
      <c r="X11" s="351"/>
      <c r="Y11" s="351"/>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1"/>
      <c r="AV11" s="351"/>
      <c r="AW11" s="351"/>
      <c r="AX11" s="351"/>
      <c r="AY11" s="351"/>
      <c r="AZ11" s="351"/>
      <c r="BA11" s="351"/>
      <c r="BB11" s="351"/>
      <c r="BC11" s="351"/>
      <c r="BD11" s="351"/>
      <c r="BE11" s="351"/>
      <c r="BF11" s="351"/>
      <c r="BG11" s="351"/>
      <c r="BH11" s="351"/>
      <c r="BI11" s="351"/>
      <c r="BJ11" s="351"/>
      <c r="BK11" s="351"/>
      <c r="BL11" s="351"/>
      <c r="BM11" s="351"/>
      <c r="BN11" s="351"/>
      <c r="BO11" s="351"/>
      <c r="BP11" s="351"/>
      <c r="BQ11" s="351"/>
      <c r="BR11" s="351"/>
      <c r="BS11" s="351"/>
      <c r="BT11" s="351"/>
      <c r="BU11" s="351"/>
      <c r="BV11" s="351"/>
      <c r="BW11" s="351"/>
      <c r="BX11" s="351"/>
      <c r="BY11" s="351"/>
      <c r="BZ11" s="351"/>
      <c r="CA11" s="351"/>
      <c r="CB11" s="351"/>
      <c r="CC11" s="351"/>
      <c r="CD11" s="351"/>
      <c r="CE11" s="351"/>
      <c r="CF11" s="351"/>
      <c r="CG11" s="351"/>
      <c r="CH11" s="351"/>
      <c r="CI11" s="351"/>
      <c r="CJ11" s="351"/>
      <c r="CK11" s="351"/>
      <c r="CL11" s="351"/>
      <c r="CM11" s="351"/>
      <c r="CN11" s="351"/>
      <c r="CO11" s="351"/>
      <c r="CP11" s="351"/>
      <c r="CQ11" s="351"/>
      <c r="CR11" s="351"/>
      <c r="CS11" s="351"/>
      <c r="CT11" s="351"/>
      <c r="CU11" s="351"/>
      <c r="CV11" s="351"/>
      <c r="CW11" s="351"/>
      <c r="CX11" s="351"/>
      <c r="CY11" s="351"/>
      <c r="CZ11" s="351"/>
      <c r="DA11" s="351"/>
      <c r="DB11" s="351"/>
      <c r="DC11" s="351"/>
      <c r="DD11" s="351"/>
      <c r="DE11" s="351"/>
      <c r="DF11" s="351"/>
      <c r="DG11" s="351"/>
      <c r="DH11" s="351"/>
      <c r="DI11" s="351"/>
      <c r="DJ11" s="351"/>
      <c r="DK11" s="351"/>
      <c r="DL11" s="351"/>
      <c r="DM11" s="351"/>
      <c r="DN11" s="351"/>
      <c r="DO11" s="351"/>
      <c r="DP11" s="351"/>
      <c r="DQ11" s="351"/>
      <c r="DR11" s="351"/>
      <c r="DS11" s="351"/>
      <c r="DT11" s="351"/>
      <c r="DU11" s="351"/>
      <c r="DV11" s="351"/>
      <c r="DW11" s="351"/>
      <c r="DX11" s="351"/>
      <c r="DY11" s="351"/>
      <c r="DZ11" s="351"/>
      <c r="EA11" s="351"/>
      <c r="EB11" s="351"/>
      <c r="EC11" s="351"/>
      <c r="ED11" s="351"/>
      <c r="EE11" s="351"/>
      <c r="EF11" s="351"/>
      <c r="EG11" s="351"/>
      <c r="EH11" s="351"/>
      <c r="EI11" s="351"/>
      <c r="EJ11" s="351"/>
      <c r="EK11" s="351"/>
      <c r="EL11" s="351"/>
      <c r="EM11" s="351"/>
      <c r="EN11" s="351"/>
      <c r="EO11" s="351"/>
      <c r="EP11" s="351"/>
      <c r="EQ11" s="351"/>
      <c r="ER11" s="351"/>
      <c r="ES11" s="351"/>
      <c r="ET11" s="351"/>
      <c r="EU11" s="351"/>
      <c r="EV11" s="351"/>
      <c r="EW11" s="351"/>
      <c r="EX11" s="351"/>
      <c r="EY11" s="351"/>
      <c r="EZ11" s="351"/>
      <c r="FA11" s="351"/>
      <c r="FB11" s="351"/>
      <c r="FC11" s="351"/>
      <c r="FD11" s="351"/>
      <c r="FE11" s="351"/>
      <c r="FF11" s="351"/>
      <c r="FG11" s="351"/>
      <c r="FH11" s="351"/>
      <c r="FI11" s="351"/>
      <c r="FJ11" s="351"/>
      <c r="FK11" s="351"/>
      <c r="FL11" s="351"/>
      <c r="FM11" s="351"/>
      <c r="FN11" s="351"/>
      <c r="FO11" s="351"/>
      <c r="FP11" s="351"/>
      <c r="FQ11" s="351"/>
      <c r="FR11" s="351"/>
      <c r="FS11" s="351"/>
      <c r="FT11" s="351"/>
      <c r="FU11" s="351"/>
      <c r="FV11" s="351"/>
      <c r="FW11" s="351"/>
      <c r="FX11" s="351"/>
      <c r="FY11" s="351"/>
      <c r="FZ11" s="351"/>
      <c r="GA11" s="351"/>
      <c r="GB11" s="351"/>
      <c r="GC11" s="351"/>
      <c r="GD11" s="351"/>
      <c r="GE11" s="351"/>
      <c r="GF11" s="351"/>
      <c r="GG11" s="351"/>
      <c r="GH11" s="351"/>
      <c r="GI11" s="351"/>
      <c r="GJ11" s="351"/>
      <c r="GK11" s="351"/>
      <c r="GL11" s="351"/>
      <c r="GM11" s="351"/>
      <c r="GN11" s="351"/>
      <c r="GO11" s="351"/>
      <c r="GP11" s="351"/>
      <c r="GQ11" s="351"/>
      <c r="GR11" s="351"/>
      <c r="GS11" s="351"/>
      <c r="GT11" s="351"/>
      <c r="GU11" s="351"/>
      <c r="GV11" s="351"/>
      <c r="GW11" s="351"/>
      <c r="GX11" s="351"/>
      <c r="GY11" s="351"/>
      <c r="GZ11" s="351"/>
      <c r="HA11" s="351"/>
      <c r="HB11" s="351"/>
      <c r="HC11" s="351"/>
      <c r="HD11" s="351"/>
      <c r="HE11" s="351"/>
      <c r="HF11" s="351"/>
      <c r="HG11" s="351"/>
      <c r="HH11" s="351"/>
      <c r="HI11" s="351"/>
      <c r="HJ11" s="351"/>
      <c r="HK11" s="351"/>
      <c r="HL11" s="351"/>
      <c r="HM11" s="351"/>
      <c r="HN11" s="351"/>
      <c r="HO11" s="351"/>
      <c r="HP11" s="351"/>
      <c r="HQ11" s="351"/>
      <c r="HR11" s="351"/>
      <c r="HS11" s="351"/>
      <c r="HT11" s="351"/>
      <c r="HU11" s="351"/>
      <c r="HV11" s="351"/>
      <c r="HW11" s="351"/>
      <c r="HX11" s="351"/>
      <c r="HY11" s="351"/>
      <c r="HZ11" s="351"/>
      <c r="IA11" s="351"/>
      <c r="IB11" s="351"/>
      <c r="IC11" s="351"/>
      <c r="ID11" s="351"/>
      <c r="IE11" s="351"/>
      <c r="IF11" s="351"/>
      <c r="IG11" s="351"/>
      <c r="IH11" s="351"/>
      <c r="II11" s="351"/>
      <c r="IJ11" s="351"/>
      <c r="IK11" s="351"/>
      <c r="IL11" s="351"/>
      <c r="IM11" s="351"/>
      <c r="IN11" s="351"/>
      <c r="IO11" s="351"/>
      <c r="IP11" s="351"/>
      <c r="IQ11" s="351"/>
      <c r="IR11" s="351"/>
      <c r="IS11" s="351"/>
      <c r="IT11" s="351"/>
      <c r="IU11" s="351"/>
    </row>
    <row r="12" spans="1:255">
      <c r="A12" s="368"/>
      <c r="B12" s="354" t="s">
        <v>159</v>
      </c>
      <c r="C12" s="369"/>
      <c r="D12" s="357">
        <f t="shared" si="0"/>
        <v>-2.1000000000000001E-2</v>
      </c>
      <c r="E12" s="365">
        <v>-0.04</v>
      </c>
      <c r="F12" s="358">
        <f t="shared" si="2"/>
        <v>-0.47499999999999998</v>
      </c>
      <c r="G12" s="357">
        <f t="shared" si="1"/>
        <v>-0.01</v>
      </c>
      <c r="H12" s="357">
        <v>-0.02</v>
      </c>
      <c r="I12" s="358">
        <f>-1+G12/H12</f>
        <v>-0.5</v>
      </c>
      <c r="J12" s="357">
        <f t="shared" ref="J12:J15" si="3">ROUND(+K12*(1+$L$6),2)</f>
        <v>-0.02</v>
      </c>
      <c r="K12" s="357">
        <v>-0.01</v>
      </c>
      <c r="L12" s="358">
        <f>-1+J12/K12</f>
        <v>1</v>
      </c>
      <c r="M12" s="351"/>
      <c r="N12" s="351"/>
      <c r="O12" s="351"/>
      <c r="P12" s="351"/>
      <c r="Q12" s="351"/>
      <c r="R12" s="352"/>
      <c r="S12" s="351"/>
      <c r="T12" s="351"/>
      <c r="U12" s="351"/>
      <c r="V12" s="351"/>
      <c r="W12" s="351"/>
      <c r="X12" s="351"/>
      <c r="Y12" s="351"/>
      <c r="Z12" s="351"/>
      <c r="AA12" s="351"/>
      <c r="AB12" s="351"/>
      <c r="AC12" s="351"/>
      <c r="AD12" s="351"/>
      <c r="AE12" s="351"/>
      <c r="AF12" s="351"/>
      <c r="AG12" s="351"/>
      <c r="AH12" s="351"/>
      <c r="AI12" s="351"/>
      <c r="AJ12" s="351"/>
      <c r="AK12" s="351"/>
      <c r="AL12" s="351"/>
      <c r="AM12" s="351"/>
      <c r="AN12" s="351"/>
      <c r="AO12" s="351"/>
      <c r="AP12" s="351"/>
      <c r="AQ12" s="351"/>
      <c r="AR12" s="351"/>
      <c r="AS12" s="351"/>
      <c r="AT12" s="351"/>
      <c r="AU12" s="351"/>
      <c r="AV12" s="351"/>
      <c r="AW12" s="351"/>
      <c r="AX12" s="351"/>
      <c r="AY12" s="351"/>
      <c r="AZ12" s="351"/>
      <c r="BA12" s="351"/>
      <c r="BB12" s="351"/>
      <c r="BC12" s="351"/>
      <c r="BD12" s="351"/>
      <c r="BE12" s="351"/>
      <c r="BF12" s="351"/>
      <c r="BG12" s="351"/>
      <c r="BH12" s="351"/>
      <c r="BI12" s="351"/>
      <c r="BJ12" s="351"/>
      <c r="BK12" s="351"/>
      <c r="BL12" s="351"/>
      <c r="BM12" s="351"/>
      <c r="BN12" s="351"/>
      <c r="BO12" s="351"/>
      <c r="BP12" s="351"/>
      <c r="BQ12" s="351"/>
      <c r="BR12" s="351"/>
      <c r="BS12" s="351"/>
      <c r="BT12" s="351"/>
      <c r="BU12" s="351"/>
      <c r="BV12" s="351"/>
      <c r="BW12" s="351"/>
      <c r="BX12" s="351"/>
      <c r="BY12" s="351"/>
      <c r="BZ12" s="351"/>
      <c r="CA12" s="351"/>
      <c r="CB12" s="351"/>
      <c r="CC12" s="351"/>
      <c r="CD12" s="351"/>
      <c r="CE12" s="351"/>
      <c r="CF12" s="351"/>
      <c r="CG12" s="351"/>
      <c r="CH12" s="351"/>
      <c r="CI12" s="351"/>
      <c r="CJ12" s="351"/>
      <c r="CK12" s="351"/>
      <c r="CL12" s="351"/>
      <c r="CM12" s="351"/>
      <c r="CN12" s="351"/>
      <c r="CO12" s="351"/>
      <c r="CP12" s="351"/>
      <c r="CQ12" s="351"/>
      <c r="CR12" s="351"/>
      <c r="CS12" s="351"/>
      <c r="CT12" s="351"/>
      <c r="CU12" s="351"/>
      <c r="CV12" s="351"/>
      <c r="CW12" s="351"/>
      <c r="CX12" s="351"/>
      <c r="CY12" s="351"/>
      <c r="CZ12" s="351"/>
      <c r="DA12" s="351"/>
      <c r="DB12" s="351"/>
      <c r="DC12" s="351"/>
      <c r="DD12" s="351"/>
      <c r="DE12" s="351"/>
      <c r="DF12" s="351"/>
      <c r="DG12" s="351"/>
      <c r="DH12" s="351"/>
      <c r="DI12" s="351"/>
      <c r="DJ12" s="351"/>
      <c r="DK12" s="351"/>
      <c r="DL12" s="351"/>
      <c r="DM12" s="351"/>
      <c r="DN12" s="351"/>
      <c r="DO12" s="351"/>
      <c r="DP12" s="351"/>
      <c r="DQ12" s="351"/>
      <c r="DR12" s="351"/>
      <c r="DS12" s="351"/>
      <c r="DT12" s="351"/>
      <c r="DU12" s="351"/>
      <c r="DV12" s="351"/>
      <c r="DW12" s="351"/>
      <c r="DX12" s="351"/>
      <c r="DY12" s="351"/>
      <c r="DZ12" s="351"/>
      <c r="EA12" s="351"/>
      <c r="EB12" s="351"/>
      <c r="EC12" s="351"/>
      <c r="ED12" s="351"/>
      <c r="EE12" s="351"/>
      <c r="EF12" s="351"/>
      <c r="EG12" s="351"/>
      <c r="EH12" s="351"/>
      <c r="EI12" s="351"/>
      <c r="EJ12" s="351"/>
      <c r="EK12" s="351"/>
      <c r="EL12" s="351"/>
      <c r="EM12" s="351"/>
      <c r="EN12" s="351"/>
      <c r="EO12" s="351"/>
      <c r="EP12" s="351"/>
      <c r="EQ12" s="351"/>
      <c r="ER12" s="351"/>
      <c r="ES12" s="351"/>
      <c r="ET12" s="351"/>
      <c r="EU12" s="351"/>
      <c r="EV12" s="351"/>
      <c r="EW12" s="351"/>
      <c r="EX12" s="351"/>
      <c r="EY12" s="351"/>
      <c r="EZ12" s="351"/>
      <c r="FA12" s="351"/>
      <c r="FB12" s="351"/>
      <c r="FC12" s="351"/>
      <c r="FD12" s="351"/>
      <c r="FE12" s="351"/>
      <c r="FF12" s="351"/>
      <c r="FG12" s="351"/>
      <c r="FH12" s="351"/>
      <c r="FI12" s="351"/>
      <c r="FJ12" s="351"/>
      <c r="FK12" s="351"/>
      <c r="FL12" s="351"/>
      <c r="FM12" s="351"/>
      <c r="FN12" s="351"/>
      <c r="FO12" s="351"/>
      <c r="FP12" s="351"/>
      <c r="FQ12" s="351"/>
      <c r="FR12" s="351"/>
      <c r="FS12" s="351"/>
      <c r="FT12" s="351"/>
      <c r="FU12" s="351"/>
      <c r="FV12" s="351"/>
      <c r="FW12" s="351"/>
      <c r="FX12" s="351"/>
      <c r="FY12" s="351"/>
      <c r="FZ12" s="351"/>
      <c r="GA12" s="351"/>
      <c r="GB12" s="351"/>
      <c r="GC12" s="351"/>
      <c r="GD12" s="351"/>
      <c r="GE12" s="351"/>
      <c r="GF12" s="351"/>
      <c r="GG12" s="351"/>
      <c r="GH12" s="351"/>
      <c r="GI12" s="351"/>
      <c r="GJ12" s="351"/>
      <c r="GK12" s="351"/>
      <c r="GL12" s="351"/>
      <c r="GM12" s="351"/>
      <c r="GN12" s="351"/>
      <c r="GO12" s="351"/>
      <c r="GP12" s="351"/>
      <c r="GQ12" s="351"/>
      <c r="GR12" s="351"/>
      <c r="GS12" s="351"/>
      <c r="GT12" s="351"/>
      <c r="GU12" s="351"/>
      <c r="GV12" s="351"/>
      <c r="GW12" s="351"/>
      <c r="GX12" s="351"/>
      <c r="GY12" s="351"/>
      <c r="GZ12" s="351"/>
      <c r="HA12" s="351"/>
      <c r="HB12" s="351"/>
      <c r="HC12" s="351"/>
      <c r="HD12" s="351"/>
      <c r="HE12" s="351"/>
      <c r="HF12" s="351"/>
      <c r="HG12" s="351"/>
      <c r="HH12" s="351"/>
      <c r="HI12" s="351"/>
      <c r="HJ12" s="351"/>
      <c r="HK12" s="351"/>
      <c r="HL12" s="351"/>
      <c r="HM12" s="351"/>
      <c r="HN12" s="351"/>
      <c r="HO12" s="351"/>
      <c r="HP12" s="351"/>
      <c r="HQ12" s="351"/>
      <c r="HR12" s="351"/>
      <c r="HS12" s="351"/>
      <c r="HT12" s="351"/>
      <c r="HU12" s="351"/>
      <c r="HV12" s="351"/>
      <c r="HW12" s="351"/>
      <c r="HX12" s="351"/>
      <c r="HY12" s="351"/>
      <c r="HZ12" s="351"/>
      <c r="IA12" s="351"/>
      <c r="IB12" s="351"/>
      <c r="IC12" s="351"/>
      <c r="ID12" s="351"/>
      <c r="IE12" s="351"/>
      <c r="IF12" s="351"/>
      <c r="IG12" s="351"/>
      <c r="IH12" s="351"/>
      <c r="II12" s="351"/>
      <c r="IJ12" s="351"/>
      <c r="IK12" s="351"/>
      <c r="IL12" s="351"/>
      <c r="IM12" s="351"/>
      <c r="IN12" s="351"/>
      <c r="IO12" s="351"/>
      <c r="IP12" s="351"/>
      <c r="IQ12" s="351"/>
      <c r="IR12" s="351"/>
      <c r="IS12" s="351"/>
      <c r="IT12" s="351"/>
      <c r="IU12" s="351"/>
    </row>
    <row r="13" spans="1:255">
      <c r="A13" s="368"/>
      <c r="B13" s="354" t="s">
        <v>160</v>
      </c>
      <c r="C13" s="355"/>
      <c r="D13" s="357">
        <f t="shared" si="0"/>
        <v>-3.2000000000000001E-2</v>
      </c>
      <c r="E13" s="365">
        <v>-0.06</v>
      </c>
      <c r="F13" s="358">
        <f t="shared" si="2"/>
        <v>-0.46666666666666667</v>
      </c>
      <c r="G13" s="357">
        <f t="shared" si="1"/>
        <v>-0.02</v>
      </c>
      <c r="H13" s="357">
        <v>-0.03</v>
      </c>
      <c r="I13" s="358">
        <f>-1+G13/H13</f>
        <v>-0.33333333333333326</v>
      </c>
      <c r="J13" s="357">
        <f t="shared" si="3"/>
        <v>-0.02</v>
      </c>
      <c r="K13" s="357">
        <v>-0.01</v>
      </c>
      <c r="L13" s="358">
        <f>-1+J13/K13</f>
        <v>1</v>
      </c>
      <c r="M13" s="351"/>
      <c r="N13" s="351"/>
      <c r="O13" s="351"/>
      <c r="P13" s="351"/>
      <c r="Q13" s="351"/>
      <c r="R13" s="352"/>
      <c r="S13" s="351"/>
      <c r="T13" s="351"/>
      <c r="U13" s="351"/>
      <c r="V13" s="351"/>
      <c r="W13" s="351"/>
      <c r="X13" s="351"/>
      <c r="Y13" s="351"/>
      <c r="Z13" s="351"/>
      <c r="AA13" s="351"/>
      <c r="AB13" s="351"/>
      <c r="AC13" s="351"/>
      <c r="AD13" s="351"/>
      <c r="AE13" s="351"/>
      <c r="AF13" s="351"/>
      <c r="AG13" s="351"/>
      <c r="AH13" s="351"/>
      <c r="AI13" s="351"/>
      <c r="AJ13" s="351"/>
      <c r="AK13" s="351"/>
      <c r="AL13" s="351"/>
      <c r="AM13" s="351"/>
      <c r="AN13" s="351"/>
      <c r="AO13" s="351"/>
      <c r="AP13" s="351"/>
      <c r="AQ13" s="351"/>
      <c r="AR13" s="351"/>
      <c r="AS13" s="351"/>
      <c r="AT13" s="351"/>
      <c r="AU13" s="351"/>
      <c r="AV13" s="351"/>
      <c r="AW13" s="351"/>
      <c r="AX13" s="351"/>
      <c r="AY13" s="351"/>
      <c r="AZ13" s="351"/>
      <c r="BA13" s="351"/>
      <c r="BB13" s="351"/>
      <c r="BC13" s="351"/>
      <c r="BD13" s="351"/>
      <c r="BE13" s="351"/>
      <c r="BF13" s="351"/>
      <c r="BG13" s="351"/>
      <c r="BH13" s="351"/>
      <c r="BI13" s="351"/>
      <c r="BJ13" s="351"/>
      <c r="BK13" s="351"/>
      <c r="BL13" s="351"/>
      <c r="BM13" s="351"/>
      <c r="BN13" s="351"/>
      <c r="BO13" s="351"/>
      <c r="BP13" s="351"/>
      <c r="BQ13" s="351"/>
      <c r="BR13" s="351"/>
      <c r="BS13" s="351"/>
      <c r="BT13" s="351"/>
      <c r="BU13" s="351"/>
      <c r="BV13" s="351"/>
      <c r="BW13" s="351"/>
      <c r="BX13" s="351"/>
      <c r="BY13" s="351"/>
      <c r="BZ13" s="351"/>
      <c r="CA13" s="351"/>
      <c r="CB13" s="351"/>
      <c r="CC13" s="351"/>
      <c r="CD13" s="351"/>
      <c r="CE13" s="351"/>
      <c r="CF13" s="351"/>
      <c r="CG13" s="351"/>
      <c r="CH13" s="351"/>
      <c r="CI13" s="351"/>
      <c r="CJ13" s="351"/>
      <c r="CK13" s="351"/>
      <c r="CL13" s="351"/>
      <c r="CM13" s="351"/>
      <c r="CN13" s="351"/>
      <c r="CO13" s="351"/>
      <c r="CP13" s="351"/>
      <c r="CQ13" s="351"/>
      <c r="CR13" s="351"/>
      <c r="CS13" s="351"/>
      <c r="CT13" s="351"/>
      <c r="CU13" s="351"/>
      <c r="CV13" s="351"/>
      <c r="CW13" s="351"/>
      <c r="CX13" s="351"/>
      <c r="CY13" s="351"/>
      <c r="CZ13" s="351"/>
      <c r="DA13" s="351"/>
      <c r="DB13" s="351"/>
      <c r="DC13" s="351"/>
      <c r="DD13" s="351"/>
      <c r="DE13" s="351"/>
      <c r="DF13" s="351"/>
      <c r="DG13" s="351"/>
      <c r="DH13" s="351"/>
      <c r="DI13" s="351"/>
      <c r="DJ13" s="351"/>
      <c r="DK13" s="351"/>
      <c r="DL13" s="351"/>
      <c r="DM13" s="351"/>
      <c r="DN13" s="351"/>
      <c r="DO13" s="351"/>
      <c r="DP13" s="351"/>
      <c r="DQ13" s="351"/>
      <c r="DR13" s="351"/>
      <c r="DS13" s="351"/>
      <c r="DT13" s="351"/>
      <c r="DU13" s="351"/>
      <c r="DV13" s="351"/>
      <c r="DW13" s="351"/>
      <c r="DX13" s="351"/>
      <c r="DY13" s="351"/>
      <c r="DZ13" s="351"/>
      <c r="EA13" s="351"/>
      <c r="EB13" s="351"/>
      <c r="EC13" s="351"/>
      <c r="ED13" s="351"/>
      <c r="EE13" s="351"/>
      <c r="EF13" s="351"/>
      <c r="EG13" s="351"/>
      <c r="EH13" s="351"/>
      <c r="EI13" s="351"/>
      <c r="EJ13" s="351"/>
      <c r="EK13" s="351"/>
      <c r="EL13" s="351"/>
      <c r="EM13" s="351"/>
      <c r="EN13" s="351"/>
      <c r="EO13" s="351"/>
      <c r="EP13" s="351"/>
      <c r="EQ13" s="351"/>
      <c r="ER13" s="351"/>
      <c r="ES13" s="351"/>
      <c r="ET13" s="351"/>
      <c r="EU13" s="351"/>
      <c r="EV13" s="351"/>
      <c r="EW13" s="351"/>
      <c r="EX13" s="351"/>
      <c r="EY13" s="351"/>
      <c r="EZ13" s="351"/>
      <c r="FA13" s="351"/>
      <c r="FB13" s="351"/>
      <c r="FC13" s="351"/>
      <c r="FD13" s="351"/>
      <c r="FE13" s="351"/>
      <c r="FF13" s="351"/>
      <c r="FG13" s="351"/>
      <c r="FH13" s="351"/>
      <c r="FI13" s="351"/>
      <c r="FJ13" s="351"/>
      <c r="FK13" s="351"/>
      <c r="FL13" s="351"/>
      <c r="FM13" s="351"/>
      <c r="FN13" s="351"/>
      <c r="FO13" s="351"/>
      <c r="FP13" s="351"/>
      <c r="FQ13" s="351"/>
      <c r="FR13" s="351"/>
      <c r="FS13" s="351"/>
      <c r="FT13" s="351"/>
      <c r="FU13" s="351"/>
      <c r="FV13" s="351"/>
      <c r="FW13" s="351"/>
      <c r="FX13" s="351"/>
      <c r="FY13" s="351"/>
      <c r="FZ13" s="351"/>
      <c r="GA13" s="351"/>
      <c r="GB13" s="351"/>
      <c r="GC13" s="351"/>
      <c r="GD13" s="351"/>
      <c r="GE13" s="351"/>
      <c r="GF13" s="351"/>
      <c r="GG13" s="351"/>
      <c r="GH13" s="351"/>
      <c r="GI13" s="351"/>
      <c r="GJ13" s="351"/>
      <c r="GK13" s="351"/>
      <c r="GL13" s="351"/>
      <c r="GM13" s="351"/>
      <c r="GN13" s="351"/>
      <c r="GO13" s="351"/>
      <c r="GP13" s="351"/>
      <c r="GQ13" s="351"/>
      <c r="GR13" s="351"/>
      <c r="GS13" s="351"/>
      <c r="GT13" s="351"/>
      <c r="GU13" s="351"/>
      <c r="GV13" s="351"/>
      <c r="GW13" s="351"/>
      <c r="GX13" s="351"/>
      <c r="GY13" s="351"/>
      <c r="GZ13" s="351"/>
      <c r="HA13" s="351"/>
      <c r="HB13" s="351"/>
      <c r="HC13" s="351"/>
      <c r="HD13" s="351"/>
      <c r="HE13" s="351"/>
      <c r="HF13" s="351"/>
      <c r="HG13" s="351"/>
      <c r="HH13" s="351"/>
      <c r="HI13" s="351"/>
      <c r="HJ13" s="351"/>
      <c r="HK13" s="351"/>
      <c r="HL13" s="351"/>
      <c r="HM13" s="351"/>
      <c r="HN13" s="351"/>
      <c r="HO13" s="351"/>
      <c r="HP13" s="351"/>
      <c r="HQ13" s="351"/>
      <c r="HR13" s="351"/>
      <c r="HS13" s="351"/>
      <c r="HT13" s="351"/>
      <c r="HU13" s="351"/>
      <c r="HV13" s="351"/>
      <c r="HW13" s="351"/>
      <c r="HX13" s="351"/>
      <c r="HY13" s="351"/>
      <c r="HZ13" s="351"/>
      <c r="IA13" s="351"/>
      <c r="IB13" s="351"/>
      <c r="IC13" s="351"/>
      <c r="ID13" s="351"/>
      <c r="IE13" s="351"/>
      <c r="IF13" s="351"/>
      <c r="IG13" s="351"/>
      <c r="IH13" s="351"/>
      <c r="II13" s="351"/>
      <c r="IJ13" s="351"/>
      <c r="IK13" s="351"/>
      <c r="IL13" s="351"/>
      <c r="IM13" s="351"/>
      <c r="IN13" s="351"/>
      <c r="IO13" s="351"/>
      <c r="IP13" s="351"/>
      <c r="IQ13" s="351"/>
      <c r="IR13" s="351"/>
      <c r="IS13" s="351"/>
      <c r="IT13" s="351"/>
      <c r="IU13" s="351"/>
    </row>
    <row r="14" spans="1:255">
      <c r="A14" s="368"/>
      <c r="B14" s="354" t="s">
        <v>161</v>
      </c>
      <c r="C14" s="355"/>
      <c r="D14" s="357">
        <f t="shared" si="0"/>
        <v>-6.9000000000000006E-2</v>
      </c>
      <c r="E14" s="365">
        <v>-0.13</v>
      </c>
      <c r="F14" s="358">
        <f t="shared" si="2"/>
        <v>-0.46923076923076923</v>
      </c>
      <c r="G14" s="357">
        <f t="shared" si="1"/>
        <v>-0.06</v>
      </c>
      <c r="H14" s="393">
        <v>-0.08</v>
      </c>
      <c r="I14" s="358">
        <f t="shared" ref="I14:I20" si="4">-1+G14/H14</f>
        <v>-0.25</v>
      </c>
      <c r="J14" s="357">
        <f t="shared" si="3"/>
        <v>-0.06</v>
      </c>
      <c r="K14" s="393">
        <v>-0.03</v>
      </c>
      <c r="L14" s="358">
        <f t="shared" ref="L14:L20" si="5">-1+J14/K14</f>
        <v>1</v>
      </c>
      <c r="M14" s="351"/>
      <c r="N14" s="351"/>
      <c r="O14" s="351"/>
      <c r="P14" s="351"/>
      <c r="Q14" s="351"/>
      <c r="R14" s="352"/>
      <c r="S14" s="351"/>
      <c r="T14" s="351"/>
      <c r="U14" s="351"/>
      <c r="V14" s="351"/>
      <c r="W14" s="351"/>
      <c r="X14" s="351"/>
      <c r="Y14" s="351"/>
      <c r="Z14" s="351"/>
      <c r="AA14" s="351"/>
      <c r="AB14" s="351"/>
      <c r="AC14" s="351"/>
      <c r="AD14" s="351"/>
      <c r="AE14" s="351"/>
      <c r="AF14" s="351"/>
      <c r="AG14" s="351"/>
      <c r="AH14" s="351"/>
      <c r="AI14" s="351"/>
      <c r="AJ14" s="351"/>
      <c r="AK14" s="351"/>
      <c r="AL14" s="351"/>
      <c r="AM14" s="351"/>
      <c r="AN14" s="351"/>
      <c r="AO14" s="351"/>
      <c r="AP14" s="351"/>
      <c r="AQ14" s="351"/>
      <c r="AR14" s="351"/>
      <c r="AS14" s="351"/>
      <c r="AT14" s="351"/>
      <c r="AU14" s="351"/>
      <c r="AV14" s="351"/>
      <c r="AW14" s="351"/>
      <c r="AX14" s="351"/>
      <c r="AY14" s="351"/>
      <c r="AZ14" s="351"/>
      <c r="BA14" s="351"/>
      <c r="BB14" s="351"/>
      <c r="BC14" s="351"/>
      <c r="BD14" s="351"/>
      <c r="BE14" s="351"/>
      <c r="BF14" s="351"/>
      <c r="BG14" s="351"/>
      <c r="BH14" s="351"/>
      <c r="BI14" s="351"/>
      <c r="BJ14" s="351"/>
      <c r="BK14" s="351"/>
      <c r="BL14" s="351"/>
      <c r="BM14" s="351"/>
      <c r="BN14" s="351"/>
      <c r="BO14" s="351"/>
      <c r="BP14" s="351"/>
      <c r="BQ14" s="351"/>
      <c r="BR14" s="351"/>
      <c r="BS14" s="351"/>
      <c r="BT14" s="351"/>
      <c r="BU14" s="351"/>
      <c r="BV14" s="351"/>
      <c r="BW14" s="351"/>
      <c r="BX14" s="351"/>
      <c r="BY14" s="351"/>
      <c r="BZ14" s="351"/>
      <c r="CA14" s="351"/>
      <c r="CB14" s="351"/>
      <c r="CC14" s="351"/>
      <c r="CD14" s="351"/>
      <c r="CE14" s="351"/>
      <c r="CF14" s="351"/>
      <c r="CG14" s="351"/>
      <c r="CH14" s="351"/>
      <c r="CI14" s="351"/>
      <c r="CJ14" s="351"/>
      <c r="CK14" s="351"/>
      <c r="CL14" s="351"/>
      <c r="CM14" s="351"/>
      <c r="CN14" s="351"/>
      <c r="CO14" s="351"/>
      <c r="CP14" s="351"/>
      <c r="CQ14" s="351"/>
      <c r="CR14" s="351"/>
      <c r="CS14" s="351"/>
      <c r="CT14" s="351"/>
      <c r="CU14" s="351"/>
      <c r="CV14" s="351"/>
      <c r="CW14" s="351"/>
      <c r="CX14" s="351"/>
      <c r="CY14" s="351"/>
      <c r="CZ14" s="351"/>
      <c r="DA14" s="351"/>
      <c r="DB14" s="351"/>
      <c r="DC14" s="351"/>
      <c r="DD14" s="351"/>
      <c r="DE14" s="351"/>
      <c r="DF14" s="351"/>
      <c r="DG14" s="351"/>
      <c r="DH14" s="351"/>
      <c r="DI14" s="351"/>
      <c r="DJ14" s="351"/>
      <c r="DK14" s="351"/>
      <c r="DL14" s="351"/>
      <c r="DM14" s="351"/>
      <c r="DN14" s="351"/>
      <c r="DO14" s="351"/>
      <c r="DP14" s="351"/>
      <c r="DQ14" s="351"/>
      <c r="DR14" s="351"/>
      <c r="DS14" s="351"/>
      <c r="DT14" s="351"/>
      <c r="DU14" s="351"/>
      <c r="DV14" s="351"/>
      <c r="DW14" s="351"/>
      <c r="DX14" s="351"/>
      <c r="DY14" s="351"/>
      <c r="DZ14" s="351"/>
      <c r="EA14" s="351"/>
      <c r="EB14" s="351"/>
      <c r="EC14" s="351"/>
      <c r="ED14" s="351"/>
      <c r="EE14" s="351"/>
      <c r="EF14" s="351"/>
      <c r="EG14" s="351"/>
      <c r="EH14" s="351"/>
      <c r="EI14" s="351"/>
      <c r="EJ14" s="351"/>
      <c r="EK14" s="351"/>
      <c r="EL14" s="351"/>
      <c r="EM14" s="351"/>
      <c r="EN14" s="351"/>
      <c r="EO14" s="351"/>
      <c r="EP14" s="351"/>
      <c r="EQ14" s="351"/>
      <c r="ER14" s="351"/>
      <c r="ES14" s="351"/>
      <c r="ET14" s="351"/>
      <c r="EU14" s="351"/>
      <c r="EV14" s="351"/>
      <c r="EW14" s="351"/>
      <c r="EX14" s="351"/>
      <c r="EY14" s="351"/>
      <c r="EZ14" s="351"/>
      <c r="FA14" s="351"/>
      <c r="FB14" s="351"/>
      <c r="FC14" s="351"/>
      <c r="FD14" s="351"/>
      <c r="FE14" s="351"/>
      <c r="FF14" s="351"/>
      <c r="FG14" s="351"/>
      <c r="FH14" s="351"/>
      <c r="FI14" s="351"/>
      <c r="FJ14" s="351"/>
      <c r="FK14" s="351"/>
      <c r="FL14" s="351"/>
      <c r="FM14" s="351"/>
      <c r="FN14" s="351"/>
      <c r="FO14" s="351"/>
      <c r="FP14" s="351"/>
      <c r="FQ14" s="351"/>
      <c r="FR14" s="351"/>
      <c r="FS14" s="351"/>
      <c r="FT14" s="351"/>
      <c r="FU14" s="351"/>
      <c r="FV14" s="351"/>
      <c r="FW14" s="351"/>
      <c r="FX14" s="351"/>
      <c r="FY14" s="351"/>
      <c r="FZ14" s="351"/>
      <c r="GA14" s="351"/>
      <c r="GB14" s="351"/>
      <c r="GC14" s="351"/>
      <c r="GD14" s="351"/>
      <c r="GE14" s="351"/>
      <c r="GF14" s="351"/>
      <c r="GG14" s="351"/>
      <c r="GH14" s="351"/>
      <c r="GI14" s="351"/>
      <c r="GJ14" s="351"/>
      <c r="GK14" s="351"/>
      <c r="GL14" s="351"/>
      <c r="GM14" s="351"/>
      <c r="GN14" s="351"/>
      <c r="GO14" s="351"/>
      <c r="GP14" s="351"/>
      <c r="GQ14" s="351"/>
      <c r="GR14" s="351"/>
      <c r="GS14" s="351"/>
      <c r="GT14" s="351"/>
      <c r="GU14" s="351"/>
      <c r="GV14" s="351"/>
      <c r="GW14" s="351"/>
      <c r="GX14" s="351"/>
      <c r="GY14" s="351"/>
      <c r="GZ14" s="351"/>
      <c r="HA14" s="351"/>
      <c r="HB14" s="351"/>
      <c r="HC14" s="351"/>
      <c r="HD14" s="351"/>
      <c r="HE14" s="351"/>
      <c r="HF14" s="351"/>
      <c r="HG14" s="351"/>
      <c r="HH14" s="351"/>
      <c r="HI14" s="351"/>
      <c r="HJ14" s="351"/>
      <c r="HK14" s="351"/>
      <c r="HL14" s="351"/>
      <c r="HM14" s="351"/>
      <c r="HN14" s="351"/>
      <c r="HO14" s="351"/>
      <c r="HP14" s="351"/>
      <c r="HQ14" s="351"/>
      <c r="HR14" s="351"/>
      <c r="HS14" s="351"/>
      <c r="HT14" s="351"/>
      <c r="HU14" s="351"/>
      <c r="HV14" s="351"/>
      <c r="HW14" s="351"/>
      <c r="HX14" s="351"/>
      <c r="HY14" s="351"/>
      <c r="HZ14" s="351"/>
      <c r="IA14" s="351"/>
      <c r="IB14" s="351"/>
      <c r="IC14" s="351"/>
      <c r="ID14" s="351"/>
      <c r="IE14" s="351"/>
      <c r="IF14" s="351"/>
      <c r="IG14" s="351"/>
      <c r="IH14" s="351"/>
      <c r="II14" s="351"/>
      <c r="IJ14" s="351"/>
      <c r="IK14" s="351"/>
      <c r="IL14" s="351"/>
      <c r="IM14" s="351"/>
      <c r="IN14" s="351"/>
      <c r="IO14" s="351"/>
      <c r="IP14" s="351"/>
      <c r="IQ14" s="351"/>
      <c r="IR14" s="351"/>
      <c r="IS14" s="351"/>
      <c r="IT14" s="351"/>
      <c r="IU14" s="351"/>
    </row>
    <row r="15" spans="1:255">
      <c r="A15" s="368"/>
      <c r="B15" s="354" t="s">
        <v>162</v>
      </c>
      <c r="C15" s="355"/>
      <c r="D15" s="365">
        <f>+D14*1.5</f>
        <v>-0.10350000000000001</v>
      </c>
      <c r="E15" s="365">
        <v>-0.19</v>
      </c>
      <c r="F15" s="358">
        <f t="shared" si="2"/>
        <v>-0.45526315789473681</v>
      </c>
      <c r="G15" s="357">
        <f t="shared" si="1"/>
        <v>-0.08</v>
      </c>
      <c r="H15" s="357">
        <v>-0.11</v>
      </c>
      <c r="I15" s="358">
        <f t="shared" si="4"/>
        <v>-0.27272727272727271</v>
      </c>
      <c r="J15" s="357">
        <f t="shared" si="3"/>
        <v>-0.08</v>
      </c>
      <c r="K15" s="357">
        <v>-0.04</v>
      </c>
      <c r="L15" s="358">
        <f t="shared" si="5"/>
        <v>1</v>
      </c>
      <c r="M15" s="351"/>
      <c r="N15" s="351"/>
      <c r="O15" s="351"/>
      <c r="P15" s="351"/>
      <c r="Q15" s="351"/>
      <c r="R15" s="352"/>
      <c r="S15" s="351"/>
      <c r="T15" s="351"/>
      <c r="U15" s="351"/>
      <c r="V15" s="351"/>
      <c r="W15" s="351"/>
      <c r="X15" s="351"/>
      <c r="Y15" s="351"/>
      <c r="Z15" s="351"/>
      <c r="AA15" s="351"/>
      <c r="AB15" s="351"/>
      <c r="AC15" s="351"/>
      <c r="AD15" s="351"/>
      <c r="AE15" s="351"/>
      <c r="AF15" s="351"/>
      <c r="AG15" s="351"/>
      <c r="AH15" s="351"/>
      <c r="AI15" s="351"/>
      <c r="AJ15" s="351"/>
      <c r="AK15" s="351"/>
      <c r="AL15" s="351"/>
      <c r="AM15" s="351"/>
      <c r="AN15" s="351"/>
      <c r="AO15" s="351"/>
      <c r="AP15" s="351"/>
      <c r="AQ15" s="351"/>
      <c r="AR15" s="351"/>
      <c r="AS15" s="351"/>
      <c r="AT15" s="351"/>
      <c r="AU15" s="351"/>
      <c r="AV15" s="351"/>
      <c r="AW15" s="351"/>
      <c r="AX15" s="351"/>
      <c r="AY15" s="351"/>
      <c r="AZ15" s="351"/>
      <c r="BA15" s="351"/>
      <c r="BB15" s="351"/>
      <c r="BC15" s="351"/>
      <c r="BD15" s="351"/>
      <c r="BE15" s="351"/>
      <c r="BF15" s="351"/>
      <c r="BG15" s="351"/>
      <c r="BH15" s="351"/>
      <c r="BI15" s="351"/>
      <c r="BJ15" s="351"/>
      <c r="BK15" s="351"/>
      <c r="BL15" s="351"/>
      <c r="BM15" s="351"/>
      <c r="BN15" s="351"/>
      <c r="BO15" s="351"/>
      <c r="BP15" s="351"/>
      <c r="BQ15" s="351"/>
      <c r="BR15" s="351"/>
      <c r="BS15" s="351"/>
      <c r="BT15" s="351"/>
      <c r="BU15" s="351"/>
      <c r="BV15" s="351"/>
      <c r="BW15" s="351"/>
      <c r="BX15" s="351"/>
      <c r="BY15" s="351"/>
      <c r="BZ15" s="351"/>
      <c r="CA15" s="351"/>
      <c r="CB15" s="351"/>
      <c r="CC15" s="351"/>
      <c r="CD15" s="351"/>
      <c r="CE15" s="351"/>
      <c r="CF15" s="351"/>
      <c r="CG15" s="351"/>
      <c r="CH15" s="351"/>
      <c r="CI15" s="351"/>
      <c r="CJ15" s="351"/>
      <c r="CK15" s="351"/>
      <c r="CL15" s="351"/>
      <c r="CM15" s="351"/>
      <c r="CN15" s="351"/>
      <c r="CO15" s="351"/>
      <c r="CP15" s="351"/>
      <c r="CQ15" s="351"/>
      <c r="CR15" s="351"/>
      <c r="CS15" s="351"/>
      <c r="CT15" s="351"/>
      <c r="CU15" s="351"/>
      <c r="CV15" s="351"/>
      <c r="CW15" s="351"/>
      <c r="CX15" s="351"/>
      <c r="CY15" s="351"/>
      <c r="CZ15" s="351"/>
      <c r="DA15" s="351"/>
      <c r="DB15" s="351"/>
      <c r="DC15" s="351"/>
      <c r="DD15" s="351"/>
      <c r="DE15" s="351"/>
      <c r="DF15" s="351"/>
      <c r="DG15" s="351"/>
      <c r="DH15" s="351"/>
      <c r="DI15" s="351"/>
      <c r="DJ15" s="351"/>
      <c r="DK15" s="351"/>
      <c r="DL15" s="351"/>
      <c r="DM15" s="351"/>
      <c r="DN15" s="351"/>
      <c r="DO15" s="351"/>
      <c r="DP15" s="351"/>
      <c r="DQ15" s="351"/>
      <c r="DR15" s="351"/>
      <c r="DS15" s="351"/>
      <c r="DT15" s="351"/>
      <c r="DU15" s="351"/>
      <c r="DV15" s="351"/>
      <c r="DW15" s="351"/>
      <c r="DX15" s="351"/>
      <c r="DY15" s="351"/>
      <c r="DZ15" s="351"/>
      <c r="EA15" s="351"/>
      <c r="EB15" s="351"/>
      <c r="EC15" s="351"/>
      <c r="ED15" s="351"/>
      <c r="EE15" s="351"/>
      <c r="EF15" s="351"/>
      <c r="EG15" s="351"/>
      <c r="EH15" s="351"/>
      <c r="EI15" s="351"/>
      <c r="EJ15" s="351"/>
      <c r="EK15" s="351"/>
      <c r="EL15" s="351"/>
      <c r="EM15" s="351"/>
      <c r="EN15" s="351"/>
      <c r="EO15" s="351"/>
      <c r="EP15" s="351"/>
      <c r="EQ15" s="351"/>
      <c r="ER15" s="351"/>
      <c r="ES15" s="351"/>
      <c r="ET15" s="351"/>
      <c r="EU15" s="351"/>
      <c r="EV15" s="351"/>
      <c r="EW15" s="351"/>
      <c r="EX15" s="351"/>
      <c r="EY15" s="351"/>
      <c r="EZ15" s="351"/>
      <c r="FA15" s="351"/>
      <c r="FB15" s="351"/>
      <c r="FC15" s="351"/>
      <c r="FD15" s="351"/>
      <c r="FE15" s="351"/>
      <c r="FF15" s="351"/>
      <c r="FG15" s="351"/>
      <c r="FH15" s="351"/>
      <c r="FI15" s="351"/>
      <c r="FJ15" s="351"/>
      <c r="FK15" s="351"/>
      <c r="FL15" s="351"/>
      <c r="FM15" s="351"/>
      <c r="FN15" s="351"/>
      <c r="FO15" s="351"/>
      <c r="FP15" s="351"/>
      <c r="FQ15" s="351"/>
      <c r="FR15" s="351"/>
      <c r="FS15" s="351"/>
      <c r="FT15" s="351"/>
      <c r="FU15" s="351"/>
      <c r="FV15" s="351"/>
      <c r="FW15" s="351"/>
      <c r="FX15" s="351"/>
      <c r="FY15" s="351"/>
      <c r="FZ15" s="351"/>
      <c r="GA15" s="351"/>
      <c r="GB15" s="351"/>
      <c r="GC15" s="351"/>
      <c r="GD15" s="351"/>
      <c r="GE15" s="351"/>
      <c r="GF15" s="351"/>
      <c r="GG15" s="351"/>
      <c r="GH15" s="351"/>
      <c r="GI15" s="351"/>
      <c r="GJ15" s="351"/>
      <c r="GK15" s="351"/>
      <c r="GL15" s="351"/>
      <c r="GM15" s="351"/>
      <c r="GN15" s="351"/>
      <c r="GO15" s="351"/>
      <c r="GP15" s="351"/>
      <c r="GQ15" s="351"/>
      <c r="GR15" s="351"/>
      <c r="GS15" s="351"/>
      <c r="GT15" s="351"/>
      <c r="GU15" s="351"/>
      <c r="GV15" s="351"/>
      <c r="GW15" s="351"/>
      <c r="GX15" s="351"/>
      <c r="GY15" s="351"/>
      <c r="GZ15" s="351"/>
      <c r="HA15" s="351"/>
      <c r="HB15" s="351"/>
      <c r="HC15" s="351"/>
      <c r="HD15" s="351"/>
      <c r="HE15" s="351"/>
      <c r="HF15" s="351"/>
      <c r="HG15" s="351"/>
      <c r="HH15" s="351"/>
      <c r="HI15" s="351"/>
      <c r="HJ15" s="351"/>
      <c r="HK15" s="351"/>
      <c r="HL15" s="351"/>
      <c r="HM15" s="351"/>
      <c r="HN15" s="351"/>
      <c r="HO15" s="351"/>
      <c r="HP15" s="351"/>
      <c r="HQ15" s="351"/>
      <c r="HR15" s="351"/>
      <c r="HS15" s="351"/>
      <c r="HT15" s="351"/>
      <c r="HU15" s="351"/>
      <c r="HV15" s="351"/>
      <c r="HW15" s="351"/>
      <c r="HX15" s="351"/>
      <c r="HY15" s="351"/>
      <c r="HZ15" s="351"/>
      <c r="IA15" s="351"/>
      <c r="IB15" s="351"/>
      <c r="IC15" s="351"/>
      <c r="ID15" s="351"/>
      <c r="IE15" s="351"/>
      <c r="IF15" s="351"/>
      <c r="IG15" s="351"/>
      <c r="IH15" s="351"/>
      <c r="II15" s="351"/>
      <c r="IJ15" s="351"/>
      <c r="IK15" s="351"/>
      <c r="IL15" s="351"/>
      <c r="IM15" s="351"/>
      <c r="IN15" s="351"/>
      <c r="IO15" s="351"/>
      <c r="IP15" s="351"/>
      <c r="IQ15" s="351"/>
      <c r="IR15" s="351"/>
      <c r="IS15" s="351"/>
      <c r="IT15" s="351"/>
      <c r="IU15" s="351"/>
    </row>
    <row r="16" spans="1:255">
      <c r="A16" s="368"/>
      <c r="B16" s="354" t="s">
        <v>163</v>
      </c>
      <c r="C16" s="355"/>
      <c r="D16" s="365">
        <f>+D14*2</f>
        <v>-0.13800000000000001</v>
      </c>
      <c r="E16" s="365">
        <v>-0.26</v>
      </c>
      <c r="F16" s="358">
        <f t="shared" si="2"/>
        <v>-0.46923076923076923</v>
      </c>
      <c r="G16" s="357">
        <f>+G14*2</f>
        <v>-0.12</v>
      </c>
      <c r="H16" s="357">
        <v>-0.16</v>
      </c>
      <c r="I16" s="358">
        <f t="shared" si="4"/>
        <v>-0.25</v>
      </c>
      <c r="J16" s="357">
        <f>+J14*2</f>
        <v>-0.12</v>
      </c>
      <c r="K16" s="357">
        <v>-0.06</v>
      </c>
      <c r="L16" s="358">
        <f t="shared" si="5"/>
        <v>1</v>
      </c>
      <c r="M16" s="351"/>
      <c r="N16" s="351"/>
      <c r="O16" s="351"/>
      <c r="P16" s="351"/>
      <c r="Q16" s="351"/>
      <c r="R16" s="352"/>
      <c r="S16" s="351"/>
      <c r="T16" s="351"/>
      <c r="U16" s="351"/>
      <c r="V16" s="351"/>
      <c r="W16" s="351"/>
      <c r="X16" s="351"/>
      <c r="Y16" s="351"/>
      <c r="Z16" s="351"/>
      <c r="AA16" s="351"/>
      <c r="AB16" s="351"/>
      <c r="AC16" s="351"/>
      <c r="AD16" s="351"/>
      <c r="AE16" s="351"/>
      <c r="AF16" s="351"/>
      <c r="AG16" s="351"/>
      <c r="AH16" s="351"/>
      <c r="AI16" s="351"/>
      <c r="AJ16" s="351"/>
      <c r="AK16" s="351"/>
      <c r="AL16" s="351"/>
      <c r="AM16" s="351"/>
      <c r="AN16" s="351"/>
      <c r="AO16" s="351"/>
      <c r="AP16" s="351"/>
      <c r="AQ16" s="351"/>
      <c r="AR16" s="351"/>
      <c r="AS16" s="351"/>
      <c r="AT16" s="351"/>
      <c r="AU16" s="351"/>
      <c r="AV16" s="351"/>
      <c r="AW16" s="351"/>
      <c r="AX16" s="351"/>
      <c r="AY16" s="351"/>
      <c r="AZ16" s="351"/>
      <c r="BA16" s="351"/>
      <c r="BB16" s="351"/>
      <c r="BC16" s="351"/>
      <c r="BD16" s="351"/>
      <c r="BE16" s="351"/>
      <c r="BF16" s="351"/>
      <c r="BG16" s="351"/>
      <c r="BH16" s="351"/>
      <c r="BI16" s="351"/>
      <c r="BJ16" s="351"/>
      <c r="BK16" s="351"/>
      <c r="BL16" s="351"/>
      <c r="BM16" s="351"/>
      <c r="BN16" s="351"/>
      <c r="BO16" s="351"/>
      <c r="BP16" s="351"/>
      <c r="BQ16" s="351"/>
      <c r="BR16" s="351"/>
      <c r="BS16" s="351"/>
      <c r="BT16" s="351"/>
      <c r="BU16" s="351"/>
      <c r="BV16" s="351"/>
      <c r="BW16" s="351"/>
      <c r="BX16" s="351"/>
      <c r="BY16" s="351"/>
      <c r="BZ16" s="351"/>
      <c r="CA16" s="351"/>
      <c r="CB16" s="351"/>
      <c r="CC16" s="351"/>
      <c r="CD16" s="351"/>
      <c r="CE16" s="351"/>
      <c r="CF16" s="351"/>
      <c r="CG16" s="351"/>
      <c r="CH16" s="351"/>
      <c r="CI16" s="351"/>
      <c r="CJ16" s="351"/>
      <c r="CK16" s="351"/>
      <c r="CL16" s="351"/>
      <c r="CM16" s="351"/>
      <c r="CN16" s="351"/>
      <c r="CO16" s="351"/>
      <c r="CP16" s="351"/>
      <c r="CQ16" s="351"/>
      <c r="CR16" s="351"/>
      <c r="CS16" s="351"/>
      <c r="CT16" s="351"/>
      <c r="CU16" s="351"/>
      <c r="CV16" s="351"/>
      <c r="CW16" s="351"/>
      <c r="CX16" s="351"/>
      <c r="CY16" s="351"/>
      <c r="CZ16" s="351"/>
      <c r="DA16" s="351"/>
      <c r="DB16" s="351"/>
      <c r="DC16" s="351"/>
      <c r="DD16" s="351"/>
      <c r="DE16" s="351"/>
      <c r="DF16" s="351"/>
      <c r="DG16" s="351"/>
      <c r="DH16" s="351"/>
      <c r="DI16" s="351"/>
      <c r="DJ16" s="351"/>
      <c r="DK16" s="351"/>
      <c r="DL16" s="351"/>
      <c r="DM16" s="351"/>
      <c r="DN16" s="351"/>
      <c r="DO16" s="351"/>
      <c r="DP16" s="351"/>
      <c r="DQ16" s="351"/>
      <c r="DR16" s="351"/>
      <c r="DS16" s="351"/>
      <c r="DT16" s="351"/>
      <c r="DU16" s="351"/>
      <c r="DV16" s="351"/>
      <c r="DW16" s="351"/>
      <c r="DX16" s="351"/>
      <c r="DY16" s="351"/>
      <c r="DZ16" s="351"/>
      <c r="EA16" s="351"/>
      <c r="EB16" s="351"/>
      <c r="EC16" s="351"/>
      <c r="ED16" s="351"/>
      <c r="EE16" s="351"/>
      <c r="EF16" s="351"/>
      <c r="EG16" s="351"/>
      <c r="EH16" s="351"/>
      <c r="EI16" s="351"/>
      <c r="EJ16" s="351"/>
      <c r="EK16" s="351"/>
      <c r="EL16" s="351"/>
      <c r="EM16" s="351"/>
      <c r="EN16" s="351"/>
      <c r="EO16" s="351"/>
      <c r="EP16" s="351"/>
      <c r="EQ16" s="351"/>
      <c r="ER16" s="351"/>
      <c r="ES16" s="351"/>
      <c r="ET16" s="351"/>
      <c r="EU16" s="351"/>
      <c r="EV16" s="351"/>
      <c r="EW16" s="351"/>
      <c r="EX16" s="351"/>
      <c r="EY16" s="351"/>
      <c r="EZ16" s="351"/>
      <c r="FA16" s="351"/>
      <c r="FB16" s="351"/>
      <c r="FC16" s="351"/>
      <c r="FD16" s="351"/>
      <c r="FE16" s="351"/>
      <c r="FF16" s="351"/>
      <c r="FG16" s="351"/>
      <c r="FH16" s="351"/>
      <c r="FI16" s="351"/>
      <c r="FJ16" s="351"/>
      <c r="FK16" s="351"/>
      <c r="FL16" s="351"/>
      <c r="FM16" s="351"/>
      <c r="FN16" s="351"/>
      <c r="FO16" s="351"/>
      <c r="FP16" s="351"/>
      <c r="FQ16" s="351"/>
      <c r="FR16" s="351"/>
      <c r="FS16" s="351"/>
      <c r="FT16" s="351"/>
      <c r="FU16" s="351"/>
      <c r="FV16" s="351"/>
      <c r="FW16" s="351"/>
      <c r="FX16" s="351"/>
      <c r="FY16" s="351"/>
      <c r="FZ16" s="351"/>
      <c r="GA16" s="351"/>
      <c r="GB16" s="351"/>
      <c r="GC16" s="351"/>
      <c r="GD16" s="351"/>
      <c r="GE16" s="351"/>
      <c r="GF16" s="351"/>
      <c r="GG16" s="351"/>
      <c r="GH16" s="351"/>
      <c r="GI16" s="351"/>
      <c r="GJ16" s="351"/>
      <c r="GK16" s="351"/>
      <c r="GL16" s="351"/>
      <c r="GM16" s="351"/>
      <c r="GN16" s="351"/>
      <c r="GO16" s="351"/>
      <c r="GP16" s="351"/>
      <c r="GQ16" s="351"/>
      <c r="GR16" s="351"/>
      <c r="GS16" s="351"/>
      <c r="GT16" s="351"/>
      <c r="GU16" s="351"/>
      <c r="GV16" s="351"/>
      <c r="GW16" s="351"/>
      <c r="GX16" s="351"/>
      <c r="GY16" s="351"/>
      <c r="GZ16" s="351"/>
      <c r="HA16" s="351"/>
      <c r="HB16" s="351"/>
      <c r="HC16" s="351"/>
      <c r="HD16" s="351"/>
      <c r="HE16" s="351"/>
      <c r="HF16" s="351"/>
      <c r="HG16" s="351"/>
      <c r="HH16" s="351"/>
      <c r="HI16" s="351"/>
      <c r="HJ16" s="351"/>
      <c r="HK16" s="351"/>
      <c r="HL16" s="351"/>
      <c r="HM16" s="351"/>
      <c r="HN16" s="351"/>
      <c r="HO16" s="351"/>
      <c r="HP16" s="351"/>
      <c r="HQ16" s="351"/>
      <c r="HR16" s="351"/>
      <c r="HS16" s="351"/>
      <c r="HT16" s="351"/>
      <c r="HU16" s="351"/>
      <c r="HV16" s="351"/>
      <c r="HW16" s="351"/>
      <c r="HX16" s="351"/>
      <c r="HY16" s="351"/>
      <c r="HZ16" s="351"/>
      <c r="IA16" s="351"/>
      <c r="IB16" s="351"/>
      <c r="IC16" s="351"/>
      <c r="ID16" s="351"/>
      <c r="IE16" s="351"/>
      <c r="IF16" s="351"/>
      <c r="IG16" s="351"/>
      <c r="IH16" s="351"/>
      <c r="II16" s="351"/>
      <c r="IJ16" s="351"/>
      <c r="IK16" s="351"/>
      <c r="IL16" s="351"/>
      <c r="IM16" s="351"/>
      <c r="IN16" s="351"/>
      <c r="IO16" s="351"/>
      <c r="IP16" s="351"/>
      <c r="IQ16" s="351"/>
      <c r="IR16" s="351"/>
      <c r="IS16" s="351"/>
      <c r="IT16" s="351"/>
      <c r="IU16" s="351"/>
    </row>
    <row r="17" spans="1:255">
      <c r="A17" s="368"/>
      <c r="B17" s="354" t="s">
        <v>164</v>
      </c>
      <c r="C17" s="355"/>
      <c r="D17" s="365">
        <f>+D14*3</f>
        <v>-0.20700000000000002</v>
      </c>
      <c r="E17" s="365">
        <v>-0.39</v>
      </c>
      <c r="F17" s="358">
        <f t="shared" si="2"/>
        <v>-0.46923076923076923</v>
      </c>
      <c r="G17" s="357">
        <f>+G14*3</f>
        <v>-0.18</v>
      </c>
      <c r="H17" s="357">
        <v>-0.24</v>
      </c>
      <c r="I17" s="358">
        <f t="shared" si="4"/>
        <v>-0.25</v>
      </c>
      <c r="J17" s="357">
        <f>+J14*3</f>
        <v>-0.18</v>
      </c>
      <c r="K17" s="357">
        <v>-0.09</v>
      </c>
      <c r="L17" s="358">
        <f t="shared" si="5"/>
        <v>1</v>
      </c>
      <c r="M17" s="351"/>
      <c r="N17" s="351"/>
      <c r="O17" s="351"/>
      <c r="P17" s="351"/>
      <c r="Q17" s="351"/>
      <c r="R17" s="352"/>
      <c r="S17" s="351"/>
      <c r="T17" s="351"/>
      <c r="U17" s="351"/>
      <c r="V17" s="351"/>
      <c r="W17" s="351"/>
      <c r="X17" s="351"/>
      <c r="Y17" s="351"/>
      <c r="Z17" s="351"/>
      <c r="AA17" s="351"/>
      <c r="AB17" s="351"/>
      <c r="AC17" s="351"/>
      <c r="AD17" s="351"/>
      <c r="AE17" s="351"/>
      <c r="AF17" s="351"/>
      <c r="AG17" s="351"/>
      <c r="AH17" s="351"/>
      <c r="AI17" s="351"/>
      <c r="AJ17" s="351"/>
      <c r="AK17" s="351"/>
      <c r="AL17" s="351"/>
      <c r="AM17" s="351"/>
      <c r="AN17" s="351"/>
      <c r="AO17" s="351"/>
      <c r="AP17" s="351"/>
      <c r="AQ17" s="351"/>
      <c r="AR17" s="351"/>
      <c r="AS17" s="351"/>
      <c r="AT17" s="351"/>
      <c r="AU17" s="351"/>
      <c r="AV17" s="351"/>
      <c r="AW17" s="351"/>
      <c r="AX17" s="351"/>
      <c r="AY17" s="351"/>
      <c r="AZ17" s="351"/>
      <c r="BA17" s="351"/>
      <c r="BB17" s="351"/>
      <c r="BC17" s="351"/>
      <c r="BD17" s="351"/>
      <c r="BE17" s="351"/>
      <c r="BF17" s="351"/>
      <c r="BG17" s="351"/>
      <c r="BH17" s="351"/>
      <c r="BI17" s="351"/>
      <c r="BJ17" s="351"/>
      <c r="BK17" s="351"/>
      <c r="BL17" s="351"/>
      <c r="BM17" s="351"/>
      <c r="BN17" s="351"/>
      <c r="BO17" s="351"/>
      <c r="BP17" s="351"/>
      <c r="BQ17" s="351"/>
      <c r="BR17" s="351"/>
      <c r="BS17" s="351"/>
      <c r="BT17" s="351"/>
      <c r="BU17" s="351"/>
      <c r="BV17" s="351"/>
      <c r="BW17" s="351"/>
      <c r="BX17" s="351"/>
      <c r="BY17" s="351"/>
      <c r="BZ17" s="351"/>
      <c r="CA17" s="351"/>
      <c r="CB17" s="351"/>
      <c r="CC17" s="351"/>
      <c r="CD17" s="351"/>
      <c r="CE17" s="351"/>
      <c r="CF17" s="351"/>
      <c r="CG17" s="351"/>
      <c r="CH17" s="351"/>
      <c r="CI17" s="351"/>
      <c r="CJ17" s="351"/>
      <c r="CK17" s="351"/>
      <c r="CL17" s="351"/>
      <c r="CM17" s="351"/>
      <c r="CN17" s="351"/>
      <c r="CO17" s="351"/>
      <c r="CP17" s="351"/>
      <c r="CQ17" s="351"/>
      <c r="CR17" s="351"/>
      <c r="CS17" s="351"/>
      <c r="CT17" s="351"/>
      <c r="CU17" s="351"/>
      <c r="CV17" s="351"/>
      <c r="CW17" s="351"/>
      <c r="CX17" s="351"/>
      <c r="CY17" s="351"/>
      <c r="CZ17" s="351"/>
      <c r="DA17" s="351"/>
      <c r="DB17" s="351"/>
      <c r="DC17" s="351"/>
      <c r="DD17" s="351"/>
      <c r="DE17" s="351"/>
      <c r="DF17" s="351"/>
      <c r="DG17" s="351"/>
      <c r="DH17" s="351"/>
      <c r="DI17" s="351"/>
      <c r="DJ17" s="351"/>
      <c r="DK17" s="351"/>
      <c r="DL17" s="351"/>
      <c r="DM17" s="351"/>
      <c r="DN17" s="351"/>
      <c r="DO17" s="351"/>
      <c r="DP17" s="351"/>
      <c r="DQ17" s="351"/>
      <c r="DR17" s="351"/>
      <c r="DS17" s="351"/>
      <c r="DT17" s="351"/>
      <c r="DU17" s="351"/>
      <c r="DV17" s="351"/>
      <c r="DW17" s="351"/>
      <c r="DX17" s="351"/>
      <c r="DY17" s="351"/>
      <c r="DZ17" s="351"/>
      <c r="EA17" s="351"/>
      <c r="EB17" s="351"/>
      <c r="EC17" s="351"/>
      <c r="ED17" s="351"/>
      <c r="EE17" s="351"/>
      <c r="EF17" s="351"/>
      <c r="EG17" s="351"/>
      <c r="EH17" s="351"/>
      <c r="EI17" s="351"/>
      <c r="EJ17" s="351"/>
      <c r="EK17" s="351"/>
      <c r="EL17" s="351"/>
      <c r="EM17" s="351"/>
      <c r="EN17" s="351"/>
      <c r="EO17" s="351"/>
      <c r="EP17" s="351"/>
      <c r="EQ17" s="351"/>
      <c r="ER17" s="351"/>
      <c r="ES17" s="351"/>
      <c r="ET17" s="351"/>
      <c r="EU17" s="351"/>
      <c r="EV17" s="351"/>
      <c r="EW17" s="351"/>
      <c r="EX17" s="351"/>
      <c r="EY17" s="351"/>
      <c r="EZ17" s="351"/>
      <c r="FA17" s="351"/>
      <c r="FB17" s="351"/>
      <c r="FC17" s="351"/>
      <c r="FD17" s="351"/>
      <c r="FE17" s="351"/>
      <c r="FF17" s="351"/>
      <c r="FG17" s="351"/>
      <c r="FH17" s="351"/>
      <c r="FI17" s="351"/>
      <c r="FJ17" s="351"/>
      <c r="FK17" s="351"/>
      <c r="FL17" s="351"/>
      <c r="FM17" s="351"/>
      <c r="FN17" s="351"/>
      <c r="FO17" s="351"/>
      <c r="FP17" s="351"/>
      <c r="FQ17" s="351"/>
      <c r="FR17" s="351"/>
      <c r="FS17" s="351"/>
      <c r="FT17" s="351"/>
      <c r="FU17" s="351"/>
      <c r="FV17" s="351"/>
      <c r="FW17" s="351"/>
      <c r="FX17" s="351"/>
      <c r="FY17" s="351"/>
      <c r="FZ17" s="351"/>
      <c r="GA17" s="351"/>
      <c r="GB17" s="351"/>
      <c r="GC17" s="351"/>
      <c r="GD17" s="351"/>
      <c r="GE17" s="351"/>
      <c r="GF17" s="351"/>
      <c r="GG17" s="351"/>
      <c r="GH17" s="351"/>
      <c r="GI17" s="351"/>
      <c r="GJ17" s="351"/>
      <c r="GK17" s="351"/>
      <c r="GL17" s="351"/>
      <c r="GM17" s="351"/>
      <c r="GN17" s="351"/>
      <c r="GO17" s="351"/>
      <c r="GP17" s="351"/>
      <c r="GQ17" s="351"/>
      <c r="GR17" s="351"/>
      <c r="GS17" s="351"/>
      <c r="GT17" s="351"/>
      <c r="GU17" s="351"/>
      <c r="GV17" s="351"/>
      <c r="GW17" s="351"/>
      <c r="GX17" s="351"/>
      <c r="GY17" s="351"/>
      <c r="GZ17" s="351"/>
      <c r="HA17" s="351"/>
      <c r="HB17" s="351"/>
      <c r="HC17" s="351"/>
      <c r="HD17" s="351"/>
      <c r="HE17" s="351"/>
      <c r="HF17" s="351"/>
      <c r="HG17" s="351"/>
      <c r="HH17" s="351"/>
      <c r="HI17" s="351"/>
      <c r="HJ17" s="351"/>
      <c r="HK17" s="351"/>
      <c r="HL17" s="351"/>
      <c r="HM17" s="351"/>
      <c r="HN17" s="351"/>
      <c r="HO17" s="351"/>
      <c r="HP17" s="351"/>
      <c r="HQ17" s="351"/>
      <c r="HR17" s="351"/>
      <c r="HS17" s="351"/>
      <c r="HT17" s="351"/>
      <c r="HU17" s="351"/>
      <c r="HV17" s="351"/>
      <c r="HW17" s="351"/>
      <c r="HX17" s="351"/>
      <c r="HY17" s="351"/>
      <c r="HZ17" s="351"/>
      <c r="IA17" s="351"/>
      <c r="IB17" s="351"/>
      <c r="IC17" s="351"/>
      <c r="ID17" s="351"/>
      <c r="IE17" s="351"/>
      <c r="IF17" s="351"/>
      <c r="IG17" s="351"/>
      <c r="IH17" s="351"/>
      <c r="II17" s="351"/>
      <c r="IJ17" s="351"/>
      <c r="IK17" s="351"/>
      <c r="IL17" s="351"/>
      <c r="IM17" s="351"/>
      <c r="IN17" s="351"/>
      <c r="IO17" s="351"/>
      <c r="IP17" s="351"/>
      <c r="IQ17" s="351"/>
      <c r="IR17" s="351"/>
      <c r="IS17" s="351"/>
      <c r="IT17" s="351"/>
      <c r="IU17" s="351"/>
    </row>
    <row r="18" spans="1:255">
      <c r="A18" s="368"/>
      <c r="B18" s="354" t="s">
        <v>165</v>
      </c>
      <c r="C18" s="355"/>
      <c r="D18" s="365">
        <f>+D14*4</f>
        <v>-0.27600000000000002</v>
      </c>
      <c r="E18" s="365">
        <v>-0.52</v>
      </c>
      <c r="F18" s="358">
        <f t="shared" si="2"/>
        <v>-0.46923076923076923</v>
      </c>
      <c r="G18" s="357">
        <f>+G14*4</f>
        <v>-0.24</v>
      </c>
      <c r="H18" s="357">
        <v>-0.32</v>
      </c>
      <c r="I18" s="358">
        <f t="shared" si="4"/>
        <v>-0.25</v>
      </c>
      <c r="J18" s="357">
        <f>+J14*4</f>
        <v>-0.24</v>
      </c>
      <c r="K18" s="357">
        <v>-0.12</v>
      </c>
      <c r="L18" s="358">
        <f t="shared" si="5"/>
        <v>1</v>
      </c>
      <c r="M18" s="351"/>
      <c r="N18" s="351"/>
      <c r="O18" s="351"/>
      <c r="P18" s="351"/>
      <c r="Q18" s="351"/>
      <c r="R18" s="352"/>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1"/>
      <c r="AP18" s="351"/>
      <c r="AQ18" s="351"/>
      <c r="AR18" s="351"/>
      <c r="AS18" s="351"/>
      <c r="AT18" s="351"/>
      <c r="AU18" s="351"/>
      <c r="AV18" s="351"/>
      <c r="AW18" s="351"/>
      <c r="AX18" s="351"/>
      <c r="AY18" s="351"/>
      <c r="AZ18" s="351"/>
      <c r="BA18" s="351"/>
      <c r="BB18" s="351"/>
      <c r="BC18" s="351"/>
      <c r="BD18" s="351"/>
      <c r="BE18" s="351"/>
      <c r="BF18" s="351"/>
      <c r="BG18" s="351"/>
      <c r="BH18" s="351"/>
      <c r="BI18" s="351"/>
      <c r="BJ18" s="351"/>
      <c r="BK18" s="351"/>
      <c r="BL18" s="351"/>
      <c r="BM18" s="351"/>
      <c r="BN18" s="351"/>
      <c r="BO18" s="351"/>
      <c r="BP18" s="351"/>
      <c r="BQ18" s="351"/>
      <c r="BR18" s="351"/>
      <c r="BS18" s="351"/>
      <c r="BT18" s="351"/>
      <c r="BU18" s="351"/>
      <c r="BV18" s="351"/>
      <c r="BW18" s="351"/>
      <c r="BX18" s="351"/>
      <c r="BY18" s="351"/>
      <c r="BZ18" s="351"/>
      <c r="CA18" s="351"/>
      <c r="CB18" s="351"/>
      <c r="CC18" s="351"/>
      <c r="CD18" s="351"/>
      <c r="CE18" s="351"/>
      <c r="CF18" s="351"/>
      <c r="CG18" s="351"/>
      <c r="CH18" s="351"/>
      <c r="CI18" s="351"/>
      <c r="CJ18" s="351"/>
      <c r="CK18" s="351"/>
      <c r="CL18" s="351"/>
      <c r="CM18" s="351"/>
      <c r="CN18" s="351"/>
      <c r="CO18" s="351"/>
      <c r="CP18" s="351"/>
      <c r="CQ18" s="351"/>
      <c r="CR18" s="351"/>
      <c r="CS18" s="351"/>
      <c r="CT18" s="351"/>
      <c r="CU18" s="351"/>
      <c r="CV18" s="351"/>
      <c r="CW18" s="351"/>
      <c r="CX18" s="351"/>
      <c r="CY18" s="351"/>
      <c r="CZ18" s="351"/>
      <c r="DA18" s="351"/>
      <c r="DB18" s="351"/>
      <c r="DC18" s="351"/>
      <c r="DD18" s="351"/>
      <c r="DE18" s="351"/>
      <c r="DF18" s="351"/>
      <c r="DG18" s="351"/>
      <c r="DH18" s="351"/>
      <c r="DI18" s="351"/>
      <c r="DJ18" s="351"/>
      <c r="DK18" s="351"/>
      <c r="DL18" s="351"/>
      <c r="DM18" s="351"/>
      <c r="DN18" s="351"/>
      <c r="DO18" s="351"/>
      <c r="DP18" s="351"/>
      <c r="DQ18" s="351"/>
      <c r="DR18" s="351"/>
      <c r="DS18" s="351"/>
      <c r="DT18" s="351"/>
      <c r="DU18" s="351"/>
      <c r="DV18" s="351"/>
      <c r="DW18" s="351"/>
      <c r="DX18" s="351"/>
      <c r="DY18" s="351"/>
      <c r="DZ18" s="351"/>
      <c r="EA18" s="351"/>
      <c r="EB18" s="351"/>
      <c r="EC18" s="351"/>
      <c r="ED18" s="351"/>
      <c r="EE18" s="351"/>
      <c r="EF18" s="351"/>
      <c r="EG18" s="351"/>
      <c r="EH18" s="351"/>
      <c r="EI18" s="351"/>
      <c r="EJ18" s="351"/>
      <c r="EK18" s="351"/>
      <c r="EL18" s="351"/>
      <c r="EM18" s="351"/>
      <c r="EN18" s="351"/>
      <c r="EO18" s="351"/>
      <c r="EP18" s="351"/>
      <c r="EQ18" s="351"/>
      <c r="ER18" s="351"/>
      <c r="ES18" s="351"/>
      <c r="ET18" s="351"/>
      <c r="EU18" s="351"/>
      <c r="EV18" s="351"/>
      <c r="EW18" s="351"/>
      <c r="EX18" s="351"/>
      <c r="EY18" s="351"/>
      <c r="EZ18" s="351"/>
      <c r="FA18" s="351"/>
      <c r="FB18" s="351"/>
      <c r="FC18" s="351"/>
      <c r="FD18" s="351"/>
      <c r="FE18" s="351"/>
      <c r="FF18" s="351"/>
      <c r="FG18" s="351"/>
      <c r="FH18" s="351"/>
      <c r="FI18" s="351"/>
      <c r="FJ18" s="351"/>
      <c r="FK18" s="351"/>
      <c r="FL18" s="351"/>
      <c r="FM18" s="351"/>
      <c r="FN18" s="351"/>
      <c r="FO18" s="351"/>
      <c r="FP18" s="351"/>
      <c r="FQ18" s="351"/>
      <c r="FR18" s="351"/>
      <c r="FS18" s="351"/>
      <c r="FT18" s="351"/>
      <c r="FU18" s="351"/>
      <c r="FV18" s="351"/>
      <c r="FW18" s="351"/>
      <c r="FX18" s="351"/>
      <c r="FY18" s="351"/>
      <c r="FZ18" s="351"/>
      <c r="GA18" s="351"/>
      <c r="GB18" s="351"/>
      <c r="GC18" s="351"/>
      <c r="GD18" s="351"/>
      <c r="GE18" s="351"/>
      <c r="GF18" s="351"/>
      <c r="GG18" s="351"/>
      <c r="GH18" s="351"/>
      <c r="GI18" s="351"/>
      <c r="GJ18" s="351"/>
      <c r="GK18" s="351"/>
      <c r="GL18" s="351"/>
      <c r="GM18" s="351"/>
      <c r="GN18" s="351"/>
      <c r="GO18" s="351"/>
      <c r="GP18" s="351"/>
      <c r="GQ18" s="351"/>
      <c r="GR18" s="351"/>
      <c r="GS18" s="351"/>
      <c r="GT18" s="351"/>
      <c r="GU18" s="351"/>
      <c r="GV18" s="351"/>
      <c r="GW18" s="351"/>
      <c r="GX18" s="351"/>
      <c r="GY18" s="351"/>
      <c r="GZ18" s="351"/>
      <c r="HA18" s="351"/>
      <c r="HB18" s="351"/>
      <c r="HC18" s="351"/>
      <c r="HD18" s="351"/>
      <c r="HE18" s="351"/>
      <c r="HF18" s="351"/>
      <c r="HG18" s="351"/>
      <c r="HH18" s="351"/>
      <c r="HI18" s="351"/>
      <c r="HJ18" s="351"/>
      <c r="HK18" s="351"/>
      <c r="HL18" s="351"/>
      <c r="HM18" s="351"/>
      <c r="HN18" s="351"/>
      <c r="HO18" s="351"/>
      <c r="HP18" s="351"/>
      <c r="HQ18" s="351"/>
      <c r="HR18" s="351"/>
      <c r="HS18" s="351"/>
      <c r="HT18" s="351"/>
      <c r="HU18" s="351"/>
      <c r="HV18" s="351"/>
      <c r="HW18" s="351"/>
      <c r="HX18" s="351"/>
      <c r="HY18" s="351"/>
      <c r="HZ18" s="351"/>
      <c r="IA18" s="351"/>
      <c r="IB18" s="351"/>
      <c r="IC18" s="351"/>
      <c r="ID18" s="351"/>
      <c r="IE18" s="351"/>
      <c r="IF18" s="351"/>
      <c r="IG18" s="351"/>
      <c r="IH18" s="351"/>
      <c r="II18" s="351"/>
      <c r="IJ18" s="351"/>
      <c r="IK18" s="351"/>
      <c r="IL18" s="351"/>
      <c r="IM18" s="351"/>
      <c r="IN18" s="351"/>
      <c r="IO18" s="351"/>
      <c r="IP18" s="351"/>
      <c r="IQ18" s="351"/>
      <c r="IR18" s="351"/>
      <c r="IS18" s="351"/>
      <c r="IT18" s="351"/>
      <c r="IU18" s="351"/>
    </row>
    <row r="19" spans="1:255">
      <c r="A19" s="368"/>
      <c r="B19" s="354" t="s">
        <v>166</v>
      </c>
      <c r="C19" s="355"/>
      <c r="D19" s="365">
        <f>+D14*6</f>
        <v>-0.41400000000000003</v>
      </c>
      <c r="E19" s="365">
        <v>-0.77</v>
      </c>
      <c r="F19" s="358">
        <f t="shared" si="2"/>
        <v>-0.46233766233766227</v>
      </c>
      <c r="G19" s="357">
        <f>+G14*6</f>
        <v>-0.36</v>
      </c>
      <c r="H19" s="357">
        <v>-0.48</v>
      </c>
      <c r="I19" s="358">
        <f t="shared" si="4"/>
        <v>-0.25</v>
      </c>
      <c r="J19" s="357">
        <f>+J14*6</f>
        <v>-0.36</v>
      </c>
      <c r="K19" s="357">
        <v>-0.18</v>
      </c>
      <c r="L19" s="358">
        <f t="shared" si="5"/>
        <v>1</v>
      </c>
      <c r="M19" s="351"/>
      <c r="N19" s="351"/>
      <c r="O19" s="351"/>
      <c r="P19" s="351"/>
      <c r="Q19" s="351"/>
      <c r="R19" s="352"/>
      <c r="S19" s="351"/>
      <c r="T19" s="351"/>
      <c r="U19" s="351"/>
      <c r="V19" s="351"/>
      <c r="W19" s="351"/>
      <c r="X19" s="351"/>
      <c r="Y19" s="351"/>
      <c r="Z19" s="351"/>
      <c r="AA19" s="351"/>
      <c r="AB19" s="351"/>
      <c r="AC19" s="351"/>
      <c r="AD19" s="351"/>
      <c r="AE19" s="351"/>
      <c r="AF19" s="351"/>
      <c r="AG19" s="351"/>
      <c r="AH19" s="351"/>
      <c r="AI19" s="351"/>
      <c r="AJ19" s="351"/>
      <c r="AK19" s="351"/>
      <c r="AL19" s="351"/>
      <c r="AM19" s="351"/>
      <c r="AN19" s="351"/>
      <c r="AO19" s="351"/>
      <c r="AP19" s="351"/>
      <c r="AQ19" s="351"/>
      <c r="AR19" s="351"/>
      <c r="AS19" s="351"/>
      <c r="AT19" s="351"/>
      <c r="AU19" s="351"/>
      <c r="AV19" s="351"/>
      <c r="AW19" s="351"/>
      <c r="AX19" s="351"/>
      <c r="AY19" s="351"/>
      <c r="AZ19" s="351"/>
      <c r="BA19" s="351"/>
      <c r="BB19" s="351"/>
      <c r="BC19" s="351"/>
      <c r="BD19" s="351"/>
      <c r="BE19" s="351"/>
      <c r="BF19" s="351"/>
      <c r="BG19" s="351"/>
      <c r="BH19" s="351"/>
      <c r="BI19" s="351"/>
      <c r="BJ19" s="351"/>
      <c r="BK19" s="351"/>
      <c r="BL19" s="351"/>
      <c r="BM19" s="351"/>
      <c r="BN19" s="351"/>
      <c r="BO19" s="351"/>
      <c r="BP19" s="351"/>
      <c r="BQ19" s="351"/>
      <c r="BR19" s="351"/>
      <c r="BS19" s="351"/>
      <c r="BT19" s="351"/>
      <c r="BU19" s="351"/>
      <c r="BV19" s="351"/>
      <c r="BW19" s="351"/>
      <c r="BX19" s="351"/>
      <c r="BY19" s="351"/>
      <c r="BZ19" s="351"/>
      <c r="CA19" s="351"/>
      <c r="CB19" s="351"/>
      <c r="CC19" s="351"/>
      <c r="CD19" s="351"/>
      <c r="CE19" s="351"/>
      <c r="CF19" s="351"/>
      <c r="CG19" s="351"/>
      <c r="CH19" s="351"/>
      <c r="CI19" s="351"/>
      <c r="CJ19" s="351"/>
      <c r="CK19" s="351"/>
      <c r="CL19" s="351"/>
      <c r="CM19" s="351"/>
      <c r="CN19" s="351"/>
      <c r="CO19" s="351"/>
      <c r="CP19" s="351"/>
      <c r="CQ19" s="351"/>
      <c r="CR19" s="351"/>
      <c r="CS19" s="351"/>
      <c r="CT19" s="351"/>
      <c r="CU19" s="351"/>
      <c r="CV19" s="351"/>
      <c r="CW19" s="351"/>
      <c r="CX19" s="351"/>
      <c r="CY19" s="351"/>
      <c r="CZ19" s="351"/>
      <c r="DA19" s="351"/>
      <c r="DB19" s="351"/>
      <c r="DC19" s="351"/>
      <c r="DD19" s="351"/>
      <c r="DE19" s="351"/>
      <c r="DF19" s="351"/>
      <c r="DG19" s="351"/>
      <c r="DH19" s="351"/>
      <c r="DI19" s="351"/>
      <c r="DJ19" s="351"/>
      <c r="DK19" s="351"/>
      <c r="DL19" s="351"/>
      <c r="DM19" s="351"/>
      <c r="DN19" s="351"/>
      <c r="DO19" s="351"/>
      <c r="DP19" s="351"/>
      <c r="DQ19" s="351"/>
      <c r="DR19" s="351"/>
      <c r="DS19" s="351"/>
      <c r="DT19" s="351"/>
      <c r="DU19" s="351"/>
      <c r="DV19" s="351"/>
      <c r="DW19" s="351"/>
      <c r="DX19" s="351"/>
      <c r="DY19" s="351"/>
      <c r="DZ19" s="351"/>
      <c r="EA19" s="351"/>
      <c r="EB19" s="351"/>
      <c r="EC19" s="351"/>
      <c r="ED19" s="351"/>
      <c r="EE19" s="351"/>
      <c r="EF19" s="351"/>
      <c r="EG19" s="351"/>
      <c r="EH19" s="351"/>
      <c r="EI19" s="351"/>
      <c r="EJ19" s="351"/>
      <c r="EK19" s="351"/>
      <c r="EL19" s="351"/>
      <c r="EM19" s="351"/>
      <c r="EN19" s="351"/>
      <c r="EO19" s="351"/>
      <c r="EP19" s="351"/>
      <c r="EQ19" s="351"/>
      <c r="ER19" s="351"/>
      <c r="ES19" s="351"/>
      <c r="ET19" s="351"/>
      <c r="EU19" s="351"/>
      <c r="EV19" s="351"/>
      <c r="EW19" s="351"/>
      <c r="EX19" s="351"/>
      <c r="EY19" s="351"/>
      <c r="EZ19" s="351"/>
      <c r="FA19" s="351"/>
      <c r="FB19" s="351"/>
      <c r="FC19" s="351"/>
      <c r="FD19" s="351"/>
      <c r="FE19" s="351"/>
      <c r="FF19" s="351"/>
      <c r="FG19" s="351"/>
      <c r="FH19" s="351"/>
      <c r="FI19" s="351"/>
      <c r="FJ19" s="351"/>
      <c r="FK19" s="351"/>
      <c r="FL19" s="351"/>
      <c r="FM19" s="351"/>
      <c r="FN19" s="351"/>
      <c r="FO19" s="351"/>
      <c r="FP19" s="351"/>
      <c r="FQ19" s="351"/>
      <c r="FR19" s="351"/>
      <c r="FS19" s="351"/>
      <c r="FT19" s="351"/>
      <c r="FU19" s="351"/>
      <c r="FV19" s="351"/>
      <c r="FW19" s="351"/>
      <c r="FX19" s="351"/>
      <c r="FY19" s="351"/>
      <c r="FZ19" s="351"/>
      <c r="GA19" s="351"/>
      <c r="GB19" s="351"/>
      <c r="GC19" s="351"/>
      <c r="GD19" s="351"/>
      <c r="GE19" s="351"/>
      <c r="GF19" s="351"/>
      <c r="GG19" s="351"/>
      <c r="GH19" s="351"/>
      <c r="GI19" s="351"/>
      <c r="GJ19" s="351"/>
      <c r="GK19" s="351"/>
      <c r="GL19" s="351"/>
      <c r="GM19" s="351"/>
      <c r="GN19" s="351"/>
      <c r="GO19" s="351"/>
      <c r="GP19" s="351"/>
      <c r="GQ19" s="351"/>
      <c r="GR19" s="351"/>
      <c r="GS19" s="351"/>
      <c r="GT19" s="351"/>
      <c r="GU19" s="351"/>
      <c r="GV19" s="351"/>
      <c r="GW19" s="351"/>
      <c r="GX19" s="351"/>
      <c r="GY19" s="351"/>
      <c r="GZ19" s="351"/>
      <c r="HA19" s="351"/>
      <c r="HB19" s="351"/>
      <c r="HC19" s="351"/>
      <c r="HD19" s="351"/>
      <c r="HE19" s="351"/>
      <c r="HF19" s="351"/>
      <c r="HG19" s="351"/>
      <c r="HH19" s="351"/>
      <c r="HI19" s="351"/>
      <c r="HJ19" s="351"/>
      <c r="HK19" s="351"/>
      <c r="HL19" s="351"/>
      <c r="HM19" s="351"/>
      <c r="HN19" s="351"/>
      <c r="HO19" s="351"/>
      <c r="HP19" s="351"/>
      <c r="HQ19" s="351"/>
      <c r="HR19" s="351"/>
      <c r="HS19" s="351"/>
      <c r="HT19" s="351"/>
      <c r="HU19" s="351"/>
      <c r="HV19" s="351"/>
      <c r="HW19" s="351"/>
      <c r="HX19" s="351"/>
      <c r="HY19" s="351"/>
      <c r="HZ19" s="351"/>
      <c r="IA19" s="351"/>
      <c r="IB19" s="351"/>
      <c r="IC19" s="351"/>
      <c r="ID19" s="351"/>
      <c r="IE19" s="351"/>
      <c r="IF19" s="351"/>
      <c r="IG19" s="351"/>
      <c r="IH19" s="351"/>
      <c r="II19" s="351"/>
      <c r="IJ19" s="351"/>
      <c r="IK19" s="351"/>
      <c r="IL19" s="351"/>
      <c r="IM19" s="351"/>
      <c r="IN19" s="351"/>
      <c r="IO19" s="351"/>
      <c r="IP19" s="351"/>
      <c r="IQ19" s="351"/>
      <c r="IR19" s="351"/>
      <c r="IS19" s="351"/>
      <c r="IT19" s="351"/>
      <c r="IU19" s="351"/>
    </row>
    <row r="20" spans="1:255">
      <c r="A20" s="368"/>
      <c r="B20" s="354" t="s">
        <v>167</v>
      </c>
      <c r="C20" s="355"/>
      <c r="D20" s="365">
        <f>+D14*8</f>
        <v>-0.55200000000000005</v>
      </c>
      <c r="E20" s="365">
        <v>-1.03</v>
      </c>
      <c r="F20" s="358">
        <f t="shared" si="2"/>
        <v>-0.46407766990291255</v>
      </c>
      <c r="G20" s="357">
        <f>+G14*8</f>
        <v>-0.48</v>
      </c>
      <c r="H20" s="357">
        <v>-0.64</v>
      </c>
      <c r="I20" s="358">
        <f t="shared" si="4"/>
        <v>-0.25</v>
      </c>
      <c r="J20" s="357">
        <f>+J14*8</f>
        <v>-0.48</v>
      </c>
      <c r="K20" s="357">
        <v>-0.24</v>
      </c>
      <c r="L20" s="358">
        <f t="shared" si="5"/>
        <v>1</v>
      </c>
      <c r="M20" s="351"/>
      <c r="N20" s="351"/>
      <c r="O20" s="351"/>
      <c r="P20" s="351"/>
      <c r="Q20" s="351"/>
      <c r="R20" s="352"/>
      <c r="S20" s="351"/>
      <c r="T20" s="351"/>
      <c r="U20" s="351"/>
      <c r="V20" s="351"/>
      <c r="W20" s="351"/>
      <c r="X20" s="351"/>
      <c r="Y20" s="351"/>
      <c r="Z20" s="351"/>
      <c r="AA20" s="351"/>
      <c r="AB20" s="351"/>
      <c r="AC20" s="351"/>
      <c r="AD20" s="351"/>
      <c r="AE20" s="351"/>
      <c r="AF20" s="351"/>
      <c r="AG20" s="351"/>
      <c r="AH20" s="351"/>
      <c r="AI20" s="351"/>
      <c r="AJ20" s="351"/>
      <c r="AK20" s="351"/>
      <c r="AL20" s="351"/>
      <c r="AM20" s="351"/>
      <c r="AN20" s="351"/>
      <c r="AO20" s="351"/>
      <c r="AP20" s="351"/>
      <c r="AQ20" s="351"/>
      <c r="AR20" s="351"/>
      <c r="AS20" s="351"/>
      <c r="AT20" s="351"/>
      <c r="AU20" s="351"/>
      <c r="AV20" s="351"/>
      <c r="AW20" s="351"/>
      <c r="AX20" s="351"/>
      <c r="AY20" s="351"/>
      <c r="AZ20" s="351"/>
      <c r="BA20" s="351"/>
      <c r="BB20" s="351"/>
      <c r="BC20" s="351"/>
      <c r="BD20" s="351"/>
      <c r="BE20" s="351"/>
      <c r="BF20" s="351"/>
      <c r="BG20" s="351"/>
      <c r="BH20" s="351"/>
      <c r="BI20" s="351"/>
      <c r="BJ20" s="351"/>
      <c r="BK20" s="351"/>
      <c r="BL20" s="351"/>
      <c r="BM20" s="351"/>
      <c r="BN20" s="351"/>
      <c r="BO20" s="351"/>
      <c r="BP20" s="351"/>
      <c r="BQ20" s="351"/>
      <c r="BR20" s="351"/>
      <c r="BS20" s="351"/>
      <c r="BT20" s="351"/>
      <c r="BU20" s="351"/>
      <c r="BV20" s="351"/>
      <c r="BW20" s="351"/>
      <c r="BX20" s="351"/>
      <c r="BY20" s="351"/>
      <c r="BZ20" s="351"/>
      <c r="CA20" s="351"/>
      <c r="CB20" s="351"/>
      <c r="CC20" s="351"/>
      <c r="CD20" s="351"/>
      <c r="CE20" s="351"/>
      <c r="CF20" s="351"/>
      <c r="CG20" s="351"/>
      <c r="CH20" s="351"/>
      <c r="CI20" s="351"/>
      <c r="CJ20" s="351"/>
      <c r="CK20" s="351"/>
      <c r="CL20" s="351"/>
      <c r="CM20" s="351"/>
      <c r="CN20" s="351"/>
      <c r="CO20" s="351"/>
      <c r="CP20" s="351"/>
      <c r="CQ20" s="351"/>
      <c r="CR20" s="351"/>
      <c r="CS20" s="351"/>
      <c r="CT20" s="351"/>
      <c r="CU20" s="351"/>
      <c r="CV20" s="351"/>
      <c r="CW20" s="351"/>
      <c r="CX20" s="351"/>
      <c r="CY20" s="351"/>
      <c r="CZ20" s="351"/>
      <c r="DA20" s="351"/>
      <c r="DB20" s="351"/>
      <c r="DC20" s="351"/>
      <c r="DD20" s="351"/>
      <c r="DE20" s="351"/>
      <c r="DF20" s="351"/>
      <c r="DG20" s="351"/>
      <c r="DH20" s="351"/>
      <c r="DI20" s="351"/>
      <c r="DJ20" s="351"/>
      <c r="DK20" s="351"/>
      <c r="DL20" s="351"/>
      <c r="DM20" s="351"/>
      <c r="DN20" s="351"/>
      <c r="DO20" s="351"/>
      <c r="DP20" s="351"/>
      <c r="DQ20" s="351"/>
      <c r="DR20" s="351"/>
      <c r="DS20" s="351"/>
      <c r="DT20" s="351"/>
      <c r="DU20" s="351"/>
      <c r="DV20" s="351"/>
      <c r="DW20" s="351"/>
      <c r="DX20" s="351"/>
      <c r="DY20" s="351"/>
      <c r="DZ20" s="351"/>
      <c r="EA20" s="351"/>
      <c r="EB20" s="351"/>
      <c r="EC20" s="351"/>
      <c r="ED20" s="351"/>
      <c r="EE20" s="351"/>
      <c r="EF20" s="351"/>
      <c r="EG20" s="351"/>
      <c r="EH20" s="351"/>
      <c r="EI20" s="351"/>
      <c r="EJ20" s="351"/>
      <c r="EK20" s="351"/>
      <c r="EL20" s="351"/>
      <c r="EM20" s="351"/>
      <c r="EN20" s="351"/>
      <c r="EO20" s="351"/>
      <c r="EP20" s="351"/>
      <c r="EQ20" s="351"/>
      <c r="ER20" s="351"/>
      <c r="ES20" s="351"/>
      <c r="ET20" s="351"/>
      <c r="EU20" s="351"/>
      <c r="EV20" s="351"/>
      <c r="EW20" s="351"/>
      <c r="EX20" s="351"/>
      <c r="EY20" s="351"/>
      <c r="EZ20" s="351"/>
      <c r="FA20" s="351"/>
      <c r="FB20" s="351"/>
      <c r="FC20" s="351"/>
      <c r="FD20" s="351"/>
      <c r="FE20" s="351"/>
      <c r="FF20" s="351"/>
      <c r="FG20" s="351"/>
      <c r="FH20" s="351"/>
      <c r="FI20" s="351"/>
      <c r="FJ20" s="351"/>
      <c r="FK20" s="351"/>
      <c r="FL20" s="351"/>
      <c r="FM20" s="351"/>
      <c r="FN20" s="351"/>
      <c r="FO20" s="351"/>
      <c r="FP20" s="351"/>
      <c r="FQ20" s="351"/>
      <c r="FR20" s="351"/>
      <c r="FS20" s="351"/>
      <c r="FT20" s="351"/>
      <c r="FU20" s="351"/>
      <c r="FV20" s="351"/>
      <c r="FW20" s="351"/>
      <c r="FX20" s="351"/>
      <c r="FY20" s="351"/>
      <c r="FZ20" s="351"/>
      <c r="GA20" s="351"/>
      <c r="GB20" s="351"/>
      <c r="GC20" s="351"/>
      <c r="GD20" s="351"/>
      <c r="GE20" s="351"/>
      <c r="GF20" s="351"/>
      <c r="GG20" s="351"/>
      <c r="GH20" s="351"/>
      <c r="GI20" s="351"/>
      <c r="GJ20" s="351"/>
      <c r="GK20" s="351"/>
      <c r="GL20" s="351"/>
      <c r="GM20" s="351"/>
      <c r="GN20" s="351"/>
      <c r="GO20" s="351"/>
      <c r="GP20" s="351"/>
      <c r="GQ20" s="351"/>
      <c r="GR20" s="351"/>
      <c r="GS20" s="351"/>
      <c r="GT20" s="351"/>
      <c r="GU20" s="351"/>
      <c r="GV20" s="351"/>
      <c r="GW20" s="351"/>
      <c r="GX20" s="351"/>
      <c r="GY20" s="351"/>
      <c r="GZ20" s="351"/>
      <c r="HA20" s="351"/>
      <c r="HB20" s="351"/>
      <c r="HC20" s="351"/>
      <c r="HD20" s="351"/>
      <c r="HE20" s="351"/>
      <c r="HF20" s="351"/>
      <c r="HG20" s="351"/>
      <c r="HH20" s="351"/>
      <c r="HI20" s="351"/>
      <c r="HJ20" s="351"/>
      <c r="HK20" s="351"/>
      <c r="HL20" s="351"/>
      <c r="HM20" s="351"/>
      <c r="HN20" s="351"/>
      <c r="HO20" s="351"/>
      <c r="HP20" s="351"/>
      <c r="HQ20" s="351"/>
      <c r="HR20" s="351"/>
      <c r="HS20" s="351"/>
      <c r="HT20" s="351"/>
      <c r="HU20" s="351"/>
      <c r="HV20" s="351"/>
      <c r="HW20" s="351"/>
      <c r="HX20" s="351"/>
      <c r="HY20" s="351"/>
      <c r="HZ20" s="351"/>
      <c r="IA20" s="351"/>
      <c r="IB20" s="351"/>
      <c r="IC20" s="351"/>
      <c r="ID20" s="351"/>
      <c r="IE20" s="351"/>
      <c r="IF20" s="351"/>
      <c r="IG20" s="351"/>
      <c r="IH20" s="351"/>
      <c r="II20" s="351"/>
      <c r="IJ20" s="351"/>
      <c r="IK20" s="351"/>
      <c r="IL20" s="351"/>
      <c r="IM20" s="351"/>
      <c r="IN20" s="351"/>
      <c r="IO20" s="351"/>
      <c r="IP20" s="351"/>
      <c r="IQ20" s="351"/>
      <c r="IR20" s="351"/>
      <c r="IS20" s="351"/>
      <c r="IT20" s="351"/>
      <c r="IU20" s="351"/>
    </row>
    <row r="21" spans="1:255">
      <c r="A21" s="368"/>
      <c r="B21" s="354"/>
      <c r="C21" s="355"/>
      <c r="D21" s="364"/>
      <c r="E21" s="357"/>
      <c r="F21" s="364"/>
      <c r="G21" s="357"/>
      <c r="H21" s="357"/>
      <c r="I21" s="358"/>
      <c r="J21" s="357"/>
      <c r="K21" s="357"/>
      <c r="L21" s="358"/>
      <c r="M21" s="351"/>
      <c r="N21" s="351"/>
      <c r="O21" s="351"/>
      <c r="P21" s="351"/>
      <c r="Q21" s="351"/>
      <c r="R21" s="352"/>
      <c r="S21" s="351"/>
      <c r="T21" s="351"/>
      <c r="U21" s="351"/>
      <c r="V21" s="351"/>
      <c r="W21" s="351"/>
      <c r="X21" s="351"/>
      <c r="Y21" s="351"/>
      <c r="Z21" s="351"/>
      <c r="AA21" s="351"/>
      <c r="AB21" s="351"/>
      <c r="AC21" s="351"/>
      <c r="AD21" s="351"/>
      <c r="AE21" s="351"/>
      <c r="AF21" s="351"/>
      <c r="AG21" s="351"/>
      <c r="AH21" s="351"/>
      <c r="AI21" s="351"/>
      <c r="AJ21" s="351"/>
      <c r="AK21" s="351"/>
      <c r="AL21" s="351"/>
      <c r="AM21" s="351"/>
      <c r="AN21" s="351"/>
      <c r="AO21" s="351"/>
      <c r="AP21" s="351"/>
      <c r="AQ21" s="351"/>
      <c r="AR21" s="351"/>
      <c r="AS21" s="351"/>
      <c r="AT21" s="351"/>
      <c r="AU21" s="351"/>
      <c r="AV21" s="351"/>
      <c r="AW21" s="351"/>
      <c r="AX21" s="351"/>
      <c r="AY21" s="351"/>
      <c r="AZ21" s="351"/>
      <c r="BA21" s="351"/>
      <c r="BB21" s="351"/>
      <c r="BC21" s="351"/>
      <c r="BD21" s="351"/>
      <c r="BE21" s="351"/>
      <c r="BF21" s="351"/>
      <c r="BG21" s="351"/>
      <c r="BH21" s="351"/>
      <c r="BI21" s="351"/>
      <c r="BJ21" s="351"/>
      <c r="BK21" s="351"/>
      <c r="BL21" s="351"/>
      <c r="BM21" s="351"/>
      <c r="BN21" s="351"/>
      <c r="BO21" s="351"/>
      <c r="BP21" s="351"/>
      <c r="BQ21" s="351"/>
      <c r="BR21" s="351"/>
      <c r="BS21" s="351"/>
      <c r="BT21" s="351"/>
      <c r="BU21" s="351"/>
      <c r="BV21" s="351"/>
      <c r="BW21" s="351"/>
      <c r="BX21" s="351"/>
      <c r="BY21" s="351"/>
      <c r="BZ21" s="351"/>
      <c r="CA21" s="351"/>
      <c r="CB21" s="351"/>
      <c r="CC21" s="351"/>
      <c r="CD21" s="351"/>
      <c r="CE21" s="351"/>
      <c r="CF21" s="351"/>
      <c r="CG21" s="351"/>
      <c r="CH21" s="351"/>
      <c r="CI21" s="351"/>
      <c r="CJ21" s="351"/>
      <c r="CK21" s="351"/>
      <c r="CL21" s="351"/>
      <c r="CM21" s="351"/>
      <c r="CN21" s="351"/>
      <c r="CO21" s="351"/>
      <c r="CP21" s="351"/>
      <c r="CQ21" s="351"/>
      <c r="CR21" s="351"/>
      <c r="CS21" s="351"/>
      <c r="CT21" s="351"/>
      <c r="CU21" s="351"/>
      <c r="CV21" s="351"/>
      <c r="CW21" s="351"/>
      <c r="CX21" s="351"/>
      <c r="CY21" s="351"/>
      <c r="CZ21" s="351"/>
      <c r="DA21" s="351"/>
      <c r="DB21" s="351"/>
      <c r="DC21" s="351"/>
      <c r="DD21" s="351"/>
      <c r="DE21" s="351"/>
      <c r="DF21" s="351"/>
      <c r="DG21" s="351"/>
      <c r="DH21" s="351"/>
      <c r="DI21" s="351"/>
      <c r="DJ21" s="351"/>
      <c r="DK21" s="351"/>
      <c r="DL21" s="351"/>
      <c r="DM21" s="351"/>
      <c r="DN21" s="351"/>
      <c r="DO21" s="351"/>
      <c r="DP21" s="351"/>
      <c r="DQ21" s="351"/>
      <c r="DR21" s="351"/>
      <c r="DS21" s="351"/>
      <c r="DT21" s="351"/>
      <c r="DU21" s="351"/>
      <c r="DV21" s="351"/>
      <c r="DW21" s="351"/>
      <c r="DX21" s="351"/>
      <c r="DY21" s="351"/>
      <c r="DZ21" s="351"/>
      <c r="EA21" s="351"/>
      <c r="EB21" s="351"/>
      <c r="EC21" s="351"/>
      <c r="ED21" s="351"/>
      <c r="EE21" s="351"/>
      <c r="EF21" s="351"/>
      <c r="EG21" s="351"/>
      <c r="EH21" s="351"/>
      <c r="EI21" s="351"/>
      <c r="EJ21" s="351"/>
      <c r="EK21" s="351"/>
      <c r="EL21" s="351"/>
      <c r="EM21" s="351"/>
      <c r="EN21" s="351"/>
      <c r="EO21" s="351"/>
      <c r="EP21" s="351"/>
      <c r="EQ21" s="351"/>
      <c r="ER21" s="351"/>
      <c r="ES21" s="351"/>
      <c r="ET21" s="351"/>
      <c r="EU21" s="351"/>
      <c r="EV21" s="351"/>
      <c r="EW21" s="351"/>
      <c r="EX21" s="351"/>
      <c r="EY21" s="351"/>
      <c r="EZ21" s="351"/>
      <c r="FA21" s="351"/>
      <c r="FB21" s="351"/>
      <c r="FC21" s="351"/>
      <c r="FD21" s="351"/>
      <c r="FE21" s="351"/>
      <c r="FF21" s="351"/>
      <c r="FG21" s="351"/>
      <c r="FH21" s="351"/>
      <c r="FI21" s="351"/>
      <c r="FJ21" s="351"/>
      <c r="FK21" s="351"/>
      <c r="FL21" s="351"/>
      <c r="FM21" s="351"/>
      <c r="FN21" s="351"/>
      <c r="FO21" s="351"/>
      <c r="FP21" s="351"/>
      <c r="FQ21" s="351"/>
      <c r="FR21" s="351"/>
      <c r="FS21" s="351"/>
      <c r="FT21" s="351"/>
      <c r="FU21" s="351"/>
      <c r="FV21" s="351"/>
      <c r="FW21" s="351"/>
      <c r="FX21" s="351"/>
      <c r="FY21" s="351"/>
      <c r="FZ21" s="351"/>
      <c r="GA21" s="351"/>
      <c r="GB21" s="351"/>
      <c r="GC21" s="351"/>
      <c r="GD21" s="351"/>
      <c r="GE21" s="351"/>
      <c r="GF21" s="351"/>
      <c r="GG21" s="351"/>
      <c r="GH21" s="351"/>
      <c r="GI21" s="351"/>
      <c r="GJ21" s="351"/>
      <c r="GK21" s="351"/>
      <c r="GL21" s="351"/>
      <c r="GM21" s="351"/>
      <c r="GN21" s="351"/>
      <c r="GO21" s="351"/>
      <c r="GP21" s="351"/>
      <c r="GQ21" s="351"/>
      <c r="GR21" s="351"/>
      <c r="GS21" s="351"/>
      <c r="GT21" s="351"/>
      <c r="GU21" s="351"/>
      <c r="GV21" s="351"/>
      <c r="GW21" s="351"/>
      <c r="GX21" s="351"/>
      <c r="GY21" s="351"/>
      <c r="GZ21" s="351"/>
      <c r="HA21" s="351"/>
      <c r="HB21" s="351"/>
      <c r="HC21" s="351"/>
      <c r="HD21" s="351"/>
      <c r="HE21" s="351"/>
      <c r="HF21" s="351"/>
      <c r="HG21" s="351"/>
      <c r="HH21" s="351"/>
      <c r="HI21" s="351"/>
      <c r="HJ21" s="351"/>
      <c r="HK21" s="351"/>
      <c r="HL21" s="351"/>
      <c r="HM21" s="351"/>
      <c r="HN21" s="351"/>
      <c r="HO21" s="351"/>
      <c r="HP21" s="351"/>
      <c r="HQ21" s="351"/>
      <c r="HR21" s="351"/>
      <c r="HS21" s="351"/>
      <c r="HT21" s="351"/>
      <c r="HU21" s="351"/>
      <c r="HV21" s="351"/>
      <c r="HW21" s="351"/>
      <c r="HX21" s="351"/>
      <c r="HY21" s="351"/>
      <c r="HZ21" s="351"/>
      <c r="IA21" s="351"/>
      <c r="IB21" s="351"/>
      <c r="IC21" s="351"/>
      <c r="ID21" s="351"/>
      <c r="IE21" s="351"/>
      <c r="IF21" s="351"/>
      <c r="IG21" s="351"/>
      <c r="IH21" s="351"/>
      <c r="II21" s="351"/>
      <c r="IJ21" s="351"/>
      <c r="IK21" s="351"/>
      <c r="IL21" s="351"/>
      <c r="IM21" s="351"/>
      <c r="IN21" s="351"/>
      <c r="IO21" s="351"/>
      <c r="IP21" s="351"/>
      <c r="IQ21" s="351"/>
      <c r="IR21" s="351"/>
      <c r="IS21" s="351"/>
      <c r="IT21" s="351"/>
      <c r="IU21" s="351"/>
    </row>
    <row r="22" spans="1:255">
      <c r="A22" s="368"/>
      <c r="B22" s="354"/>
      <c r="C22" s="355"/>
      <c r="D22" s="364"/>
      <c r="E22" s="357"/>
      <c r="F22" s="364"/>
      <c r="G22" s="357"/>
      <c r="H22" s="357"/>
      <c r="I22" s="358"/>
      <c r="J22" s="357"/>
      <c r="K22" s="357"/>
      <c r="L22" s="358"/>
      <c r="M22" s="351"/>
      <c r="N22" s="351"/>
      <c r="O22" s="351"/>
      <c r="P22" s="351"/>
      <c r="Q22" s="351"/>
      <c r="R22" s="352"/>
      <c r="S22" s="351"/>
      <c r="T22" s="351"/>
      <c r="U22" s="351"/>
      <c r="V22" s="351"/>
      <c r="W22" s="351"/>
      <c r="X22" s="351"/>
      <c r="Y22" s="351"/>
      <c r="Z22" s="351"/>
      <c r="AA22" s="351"/>
      <c r="AB22" s="351"/>
      <c r="AC22" s="351"/>
      <c r="AD22" s="351"/>
      <c r="AE22" s="351"/>
      <c r="AF22" s="351"/>
      <c r="AG22" s="351"/>
      <c r="AH22" s="351"/>
      <c r="AI22" s="351"/>
      <c r="AJ22" s="351"/>
      <c r="AK22" s="351"/>
      <c r="AL22" s="351"/>
      <c r="AM22" s="351"/>
      <c r="AN22" s="351"/>
      <c r="AO22" s="351"/>
      <c r="AP22" s="351"/>
      <c r="AQ22" s="351"/>
      <c r="AR22" s="351"/>
      <c r="AS22" s="351"/>
      <c r="AT22" s="351"/>
      <c r="AU22" s="351"/>
      <c r="AV22" s="351"/>
      <c r="AW22" s="351"/>
      <c r="AX22" s="351"/>
      <c r="AY22" s="351"/>
      <c r="AZ22" s="351"/>
      <c r="BA22" s="351"/>
      <c r="BB22" s="351"/>
      <c r="BC22" s="351"/>
      <c r="BD22" s="351"/>
      <c r="BE22" s="351"/>
      <c r="BF22" s="351"/>
      <c r="BG22" s="351"/>
      <c r="BH22" s="351"/>
      <c r="BI22" s="351"/>
      <c r="BJ22" s="351"/>
      <c r="BK22" s="351"/>
      <c r="BL22" s="351"/>
      <c r="BM22" s="351"/>
      <c r="BN22" s="351"/>
      <c r="BO22" s="351"/>
      <c r="BP22" s="351"/>
      <c r="BQ22" s="351"/>
      <c r="BR22" s="351"/>
      <c r="BS22" s="351"/>
      <c r="BT22" s="351"/>
      <c r="BU22" s="351"/>
      <c r="BV22" s="351"/>
      <c r="BW22" s="351"/>
      <c r="BX22" s="351"/>
      <c r="BY22" s="351"/>
      <c r="BZ22" s="351"/>
      <c r="CA22" s="351"/>
      <c r="CB22" s="351"/>
      <c r="CC22" s="351"/>
      <c r="CD22" s="351"/>
      <c r="CE22" s="351"/>
      <c r="CF22" s="351"/>
      <c r="CG22" s="351"/>
      <c r="CH22" s="351"/>
      <c r="CI22" s="351"/>
      <c r="CJ22" s="351"/>
      <c r="CK22" s="351"/>
      <c r="CL22" s="351"/>
      <c r="CM22" s="351"/>
      <c r="CN22" s="351"/>
      <c r="CO22" s="351"/>
      <c r="CP22" s="351"/>
      <c r="CQ22" s="351"/>
      <c r="CR22" s="351"/>
      <c r="CS22" s="351"/>
      <c r="CT22" s="351"/>
      <c r="CU22" s="351"/>
      <c r="CV22" s="351"/>
      <c r="CW22" s="351"/>
      <c r="CX22" s="351"/>
      <c r="CY22" s="351"/>
      <c r="CZ22" s="351"/>
      <c r="DA22" s="351"/>
      <c r="DB22" s="351"/>
      <c r="DC22" s="351"/>
      <c r="DD22" s="351"/>
      <c r="DE22" s="351"/>
      <c r="DF22" s="351"/>
      <c r="DG22" s="351"/>
      <c r="DH22" s="351"/>
      <c r="DI22" s="351"/>
      <c r="DJ22" s="351"/>
      <c r="DK22" s="351"/>
      <c r="DL22" s="351"/>
      <c r="DM22" s="351"/>
      <c r="DN22" s="351"/>
      <c r="DO22" s="351"/>
      <c r="DP22" s="351"/>
      <c r="DQ22" s="351"/>
      <c r="DR22" s="351"/>
      <c r="DS22" s="351"/>
      <c r="DT22" s="351"/>
      <c r="DU22" s="351"/>
      <c r="DV22" s="351"/>
      <c r="DW22" s="351"/>
      <c r="DX22" s="351"/>
      <c r="DY22" s="351"/>
      <c r="DZ22" s="351"/>
      <c r="EA22" s="351"/>
      <c r="EB22" s="351"/>
      <c r="EC22" s="351"/>
      <c r="ED22" s="351"/>
      <c r="EE22" s="351"/>
      <c r="EF22" s="351"/>
      <c r="EG22" s="351"/>
      <c r="EH22" s="351"/>
      <c r="EI22" s="351"/>
      <c r="EJ22" s="351"/>
      <c r="EK22" s="351"/>
      <c r="EL22" s="351"/>
      <c r="EM22" s="351"/>
      <c r="EN22" s="351"/>
      <c r="EO22" s="351"/>
      <c r="EP22" s="351"/>
      <c r="EQ22" s="351"/>
      <c r="ER22" s="351"/>
      <c r="ES22" s="351"/>
      <c r="ET22" s="351"/>
      <c r="EU22" s="351"/>
      <c r="EV22" s="351"/>
      <c r="EW22" s="351"/>
      <c r="EX22" s="351"/>
      <c r="EY22" s="351"/>
      <c r="EZ22" s="351"/>
      <c r="FA22" s="351"/>
      <c r="FB22" s="351"/>
      <c r="FC22" s="351"/>
      <c r="FD22" s="351"/>
      <c r="FE22" s="351"/>
      <c r="FF22" s="351"/>
      <c r="FG22" s="351"/>
      <c r="FH22" s="351"/>
      <c r="FI22" s="351"/>
      <c r="FJ22" s="351"/>
      <c r="FK22" s="351"/>
      <c r="FL22" s="351"/>
      <c r="FM22" s="351"/>
      <c r="FN22" s="351"/>
      <c r="FO22" s="351"/>
      <c r="FP22" s="351"/>
      <c r="FQ22" s="351"/>
      <c r="FR22" s="351"/>
      <c r="FS22" s="351"/>
      <c r="FT22" s="351"/>
      <c r="FU22" s="351"/>
      <c r="FV22" s="351"/>
      <c r="FW22" s="351"/>
      <c r="FX22" s="351"/>
      <c r="FY22" s="351"/>
      <c r="FZ22" s="351"/>
      <c r="GA22" s="351"/>
      <c r="GB22" s="351"/>
      <c r="GC22" s="351"/>
      <c r="GD22" s="351"/>
      <c r="GE22" s="351"/>
      <c r="GF22" s="351"/>
      <c r="GG22" s="351"/>
      <c r="GH22" s="351"/>
      <c r="GI22" s="351"/>
      <c r="GJ22" s="351"/>
      <c r="GK22" s="351"/>
      <c r="GL22" s="351"/>
      <c r="GM22" s="351"/>
      <c r="GN22" s="351"/>
      <c r="GO22" s="351"/>
      <c r="GP22" s="351"/>
      <c r="GQ22" s="351"/>
      <c r="GR22" s="351"/>
      <c r="GS22" s="351"/>
      <c r="GT22" s="351"/>
      <c r="GU22" s="351"/>
      <c r="GV22" s="351"/>
      <c r="GW22" s="351"/>
      <c r="GX22" s="351"/>
      <c r="GY22" s="351"/>
      <c r="GZ22" s="351"/>
      <c r="HA22" s="351"/>
      <c r="HB22" s="351"/>
      <c r="HC22" s="351"/>
      <c r="HD22" s="351"/>
      <c r="HE22" s="351"/>
      <c r="HF22" s="351"/>
      <c r="HG22" s="351"/>
      <c r="HH22" s="351"/>
      <c r="HI22" s="351"/>
      <c r="HJ22" s="351"/>
      <c r="HK22" s="351"/>
      <c r="HL22" s="351"/>
      <c r="HM22" s="351"/>
      <c r="HN22" s="351"/>
      <c r="HO22" s="351"/>
      <c r="HP22" s="351"/>
      <c r="HQ22" s="351"/>
      <c r="HR22" s="351"/>
      <c r="HS22" s="351"/>
      <c r="HT22" s="351"/>
      <c r="HU22" s="351"/>
      <c r="HV22" s="351"/>
      <c r="HW22" s="351"/>
      <c r="HX22" s="351"/>
      <c r="HY22" s="351"/>
      <c r="HZ22" s="351"/>
      <c r="IA22" s="351"/>
      <c r="IB22" s="351"/>
      <c r="IC22" s="351"/>
      <c r="ID22" s="351"/>
      <c r="IE22" s="351"/>
      <c r="IF22" s="351"/>
      <c r="IG22" s="351"/>
      <c r="IH22" s="351"/>
      <c r="II22" s="351"/>
      <c r="IJ22" s="351"/>
      <c r="IK22" s="351"/>
      <c r="IL22" s="351"/>
      <c r="IM22" s="351"/>
      <c r="IN22" s="351"/>
      <c r="IO22" s="351"/>
      <c r="IP22" s="351"/>
      <c r="IQ22" s="351"/>
      <c r="IR22" s="351"/>
      <c r="IS22" s="351"/>
      <c r="IT22" s="351"/>
      <c r="IU22" s="351"/>
    </row>
    <row r="23" spans="1:255" ht="15.75">
      <c r="A23" s="363" t="s">
        <v>168</v>
      </c>
      <c r="B23" s="354"/>
      <c r="C23" s="355"/>
      <c r="D23" s="364"/>
      <c r="E23" s="357"/>
      <c r="F23" s="364"/>
      <c r="G23" s="357"/>
      <c r="H23" s="357"/>
      <c r="I23" s="358"/>
      <c r="J23" s="357"/>
      <c r="K23" s="357"/>
      <c r="L23" s="358"/>
      <c r="M23" s="351"/>
      <c r="N23" s="351"/>
      <c r="O23" s="351"/>
      <c r="P23" s="351"/>
      <c r="Q23" s="351"/>
      <c r="R23" s="352"/>
      <c r="S23" s="351"/>
      <c r="T23" s="351"/>
      <c r="U23" s="351"/>
      <c r="V23" s="351"/>
      <c r="W23" s="351"/>
      <c r="X23" s="351"/>
      <c r="Y23" s="351"/>
      <c r="Z23" s="351"/>
      <c r="AA23" s="351"/>
      <c r="AB23" s="351"/>
      <c r="AC23" s="351"/>
      <c r="AD23" s="351"/>
      <c r="AE23" s="351"/>
      <c r="AF23" s="351"/>
      <c r="AG23" s="351"/>
      <c r="AH23" s="351"/>
      <c r="AI23" s="351"/>
      <c r="AJ23" s="351"/>
      <c r="AK23" s="351"/>
      <c r="AL23" s="351"/>
      <c r="AM23" s="351"/>
      <c r="AN23" s="351"/>
      <c r="AO23" s="351"/>
      <c r="AP23" s="351"/>
      <c r="AQ23" s="351"/>
      <c r="AR23" s="351"/>
      <c r="AS23" s="351"/>
      <c r="AT23" s="351"/>
      <c r="AU23" s="351"/>
      <c r="AV23" s="351"/>
      <c r="AW23" s="351"/>
      <c r="AX23" s="351"/>
      <c r="AY23" s="351"/>
      <c r="AZ23" s="351"/>
      <c r="BA23" s="351"/>
      <c r="BB23" s="351"/>
      <c r="BC23" s="351"/>
      <c r="BD23" s="351"/>
      <c r="BE23" s="351"/>
      <c r="BF23" s="351"/>
      <c r="BG23" s="351"/>
      <c r="BH23" s="351"/>
      <c r="BI23" s="351"/>
      <c r="BJ23" s="351"/>
      <c r="BK23" s="351"/>
      <c r="BL23" s="351"/>
      <c r="BM23" s="351"/>
      <c r="BN23" s="351"/>
      <c r="BO23" s="351"/>
      <c r="BP23" s="351"/>
      <c r="BQ23" s="351"/>
      <c r="BR23" s="351"/>
      <c r="BS23" s="351"/>
      <c r="BT23" s="351"/>
      <c r="BU23" s="351"/>
      <c r="BV23" s="351"/>
      <c r="BW23" s="351"/>
      <c r="BX23" s="351"/>
      <c r="BY23" s="351"/>
      <c r="BZ23" s="351"/>
      <c r="CA23" s="351"/>
      <c r="CB23" s="351"/>
      <c r="CC23" s="351"/>
      <c r="CD23" s="351"/>
      <c r="CE23" s="351"/>
      <c r="CF23" s="351"/>
      <c r="CG23" s="351"/>
      <c r="CH23" s="351"/>
      <c r="CI23" s="351"/>
      <c r="CJ23" s="351"/>
      <c r="CK23" s="351"/>
      <c r="CL23" s="351"/>
      <c r="CM23" s="351"/>
      <c r="CN23" s="351"/>
      <c r="CO23" s="351"/>
      <c r="CP23" s="351"/>
      <c r="CQ23" s="351"/>
      <c r="CR23" s="351"/>
      <c r="CS23" s="351"/>
      <c r="CT23" s="351"/>
      <c r="CU23" s="351"/>
      <c r="CV23" s="351"/>
      <c r="CW23" s="351"/>
      <c r="CX23" s="351"/>
      <c r="CY23" s="351"/>
      <c r="CZ23" s="351"/>
      <c r="DA23" s="351"/>
      <c r="DB23" s="351"/>
      <c r="DC23" s="351"/>
      <c r="DD23" s="351"/>
      <c r="DE23" s="351"/>
      <c r="DF23" s="351"/>
      <c r="DG23" s="351"/>
      <c r="DH23" s="351"/>
      <c r="DI23" s="351"/>
      <c r="DJ23" s="351"/>
      <c r="DK23" s="351"/>
      <c r="DL23" s="351"/>
      <c r="DM23" s="351"/>
      <c r="DN23" s="351"/>
      <c r="DO23" s="351"/>
      <c r="DP23" s="351"/>
      <c r="DQ23" s="351"/>
      <c r="DR23" s="351"/>
      <c r="DS23" s="351"/>
      <c r="DT23" s="351"/>
      <c r="DU23" s="351"/>
      <c r="DV23" s="351"/>
      <c r="DW23" s="351"/>
      <c r="DX23" s="351"/>
      <c r="DY23" s="351"/>
      <c r="DZ23" s="351"/>
      <c r="EA23" s="351"/>
      <c r="EB23" s="351"/>
      <c r="EC23" s="351"/>
      <c r="ED23" s="351"/>
      <c r="EE23" s="351"/>
      <c r="EF23" s="351"/>
      <c r="EG23" s="351"/>
      <c r="EH23" s="351"/>
      <c r="EI23" s="351"/>
      <c r="EJ23" s="351"/>
      <c r="EK23" s="351"/>
      <c r="EL23" s="351"/>
      <c r="EM23" s="351"/>
      <c r="EN23" s="351"/>
      <c r="EO23" s="351"/>
      <c r="EP23" s="351"/>
      <c r="EQ23" s="351"/>
      <c r="ER23" s="351"/>
      <c r="ES23" s="351"/>
      <c r="ET23" s="351"/>
      <c r="EU23" s="351"/>
      <c r="EV23" s="351"/>
      <c r="EW23" s="351"/>
      <c r="EX23" s="351"/>
      <c r="EY23" s="351"/>
      <c r="EZ23" s="351"/>
      <c r="FA23" s="351"/>
      <c r="FB23" s="351"/>
      <c r="FC23" s="351"/>
      <c r="FD23" s="351"/>
      <c r="FE23" s="351"/>
      <c r="FF23" s="351"/>
      <c r="FG23" s="351"/>
      <c r="FH23" s="351"/>
      <c r="FI23" s="351"/>
      <c r="FJ23" s="351"/>
      <c r="FK23" s="351"/>
      <c r="FL23" s="351"/>
      <c r="FM23" s="351"/>
      <c r="FN23" s="351"/>
      <c r="FO23" s="351"/>
      <c r="FP23" s="351"/>
      <c r="FQ23" s="351"/>
      <c r="FR23" s="351"/>
      <c r="FS23" s="351"/>
      <c r="FT23" s="351"/>
      <c r="FU23" s="351"/>
      <c r="FV23" s="351"/>
      <c r="FW23" s="351"/>
      <c r="FX23" s="351"/>
      <c r="FY23" s="351"/>
      <c r="FZ23" s="351"/>
      <c r="GA23" s="351"/>
      <c r="GB23" s="351"/>
      <c r="GC23" s="351"/>
      <c r="GD23" s="351"/>
      <c r="GE23" s="351"/>
      <c r="GF23" s="351"/>
      <c r="GG23" s="351"/>
      <c r="GH23" s="351"/>
      <c r="GI23" s="351"/>
      <c r="GJ23" s="351"/>
      <c r="GK23" s="351"/>
      <c r="GL23" s="351"/>
      <c r="GM23" s="351"/>
      <c r="GN23" s="351"/>
      <c r="GO23" s="351"/>
      <c r="GP23" s="351"/>
      <c r="GQ23" s="351"/>
      <c r="GR23" s="351"/>
      <c r="GS23" s="351"/>
      <c r="GT23" s="351"/>
      <c r="GU23" s="351"/>
      <c r="GV23" s="351"/>
      <c r="GW23" s="351"/>
      <c r="GX23" s="351"/>
      <c r="GY23" s="351"/>
      <c r="GZ23" s="351"/>
      <c r="HA23" s="351"/>
      <c r="HB23" s="351"/>
      <c r="HC23" s="351"/>
      <c r="HD23" s="351"/>
      <c r="HE23" s="351"/>
      <c r="HF23" s="351"/>
      <c r="HG23" s="351"/>
      <c r="HH23" s="351"/>
      <c r="HI23" s="351"/>
      <c r="HJ23" s="351"/>
      <c r="HK23" s="351"/>
      <c r="HL23" s="351"/>
      <c r="HM23" s="351"/>
      <c r="HN23" s="351"/>
      <c r="HO23" s="351"/>
      <c r="HP23" s="351"/>
      <c r="HQ23" s="351"/>
      <c r="HR23" s="351"/>
      <c r="HS23" s="351"/>
      <c r="HT23" s="351"/>
      <c r="HU23" s="351"/>
      <c r="HV23" s="351"/>
      <c r="HW23" s="351"/>
      <c r="HX23" s="351"/>
      <c r="HY23" s="351"/>
      <c r="HZ23" s="351"/>
      <c r="IA23" s="351"/>
      <c r="IB23" s="351"/>
      <c r="IC23" s="351"/>
      <c r="ID23" s="351"/>
      <c r="IE23" s="351"/>
      <c r="IF23" s="351"/>
      <c r="IG23" s="351"/>
      <c r="IH23" s="351"/>
      <c r="II23" s="351"/>
      <c r="IJ23" s="351"/>
      <c r="IK23" s="351"/>
      <c r="IL23" s="351"/>
      <c r="IM23" s="351"/>
      <c r="IN23" s="351"/>
      <c r="IO23" s="351"/>
      <c r="IP23" s="351"/>
      <c r="IQ23" s="351"/>
      <c r="IR23" s="351"/>
      <c r="IS23" s="351"/>
      <c r="IT23" s="351"/>
      <c r="IU23" s="351"/>
    </row>
    <row r="24" spans="1:255" ht="15.75">
      <c r="A24" s="363"/>
      <c r="B24" s="354" t="s">
        <v>156</v>
      </c>
      <c r="C24" s="355"/>
      <c r="D24" s="370">
        <f>ROUND(+E24+E24*F$7,3)</f>
        <v>-5.0000000000000001E-3</v>
      </c>
      <c r="E24" s="357">
        <v>-0.01</v>
      </c>
      <c r="F24" s="358">
        <f>-1+D24/E24</f>
        <v>-0.5</v>
      </c>
      <c r="G24" s="357"/>
      <c r="H24" s="357"/>
      <c r="I24" s="358"/>
      <c r="J24" s="357"/>
      <c r="K24" s="357"/>
      <c r="L24" s="358"/>
      <c r="M24" s="351"/>
      <c r="N24" s="351"/>
      <c r="O24" s="351"/>
      <c r="P24" s="351"/>
      <c r="Q24" s="351"/>
      <c r="R24" s="352"/>
      <c r="S24" s="351"/>
      <c r="T24" s="351"/>
      <c r="U24" s="351"/>
      <c r="V24" s="351"/>
      <c r="W24" s="351"/>
      <c r="X24" s="351"/>
      <c r="Y24" s="351"/>
      <c r="Z24" s="351"/>
      <c r="AA24" s="351"/>
      <c r="AB24" s="351"/>
      <c r="AC24" s="351"/>
      <c r="AD24" s="351"/>
      <c r="AE24" s="351"/>
      <c r="AF24" s="351"/>
      <c r="AG24" s="351"/>
      <c r="AH24" s="351"/>
      <c r="AI24" s="351"/>
      <c r="AJ24" s="351"/>
      <c r="AK24" s="351"/>
      <c r="AL24" s="351"/>
      <c r="AM24" s="351"/>
      <c r="AN24" s="351"/>
      <c r="AO24" s="351"/>
      <c r="AP24" s="351"/>
      <c r="AQ24" s="351"/>
      <c r="AR24" s="351"/>
      <c r="AS24" s="351"/>
      <c r="AT24" s="351"/>
      <c r="AU24" s="351"/>
      <c r="AV24" s="351"/>
      <c r="AW24" s="351"/>
      <c r="AX24" s="351"/>
      <c r="AY24" s="351"/>
      <c r="AZ24" s="351"/>
      <c r="BA24" s="351"/>
      <c r="BB24" s="351"/>
      <c r="BC24" s="351"/>
      <c r="BD24" s="351"/>
      <c r="BE24" s="351"/>
      <c r="BF24" s="351"/>
      <c r="BG24" s="351"/>
      <c r="BH24" s="351"/>
      <c r="BI24" s="351"/>
      <c r="BJ24" s="351"/>
      <c r="BK24" s="351"/>
      <c r="BL24" s="351"/>
      <c r="BM24" s="351"/>
      <c r="BN24" s="351"/>
      <c r="BO24" s="351"/>
      <c r="BP24" s="351"/>
      <c r="BQ24" s="351"/>
      <c r="BR24" s="351"/>
      <c r="BS24" s="351"/>
      <c r="BT24" s="351"/>
      <c r="BU24" s="351"/>
      <c r="BV24" s="351"/>
      <c r="BW24" s="351"/>
      <c r="BX24" s="351"/>
      <c r="BY24" s="351"/>
      <c r="BZ24" s="351"/>
      <c r="CA24" s="351"/>
      <c r="CB24" s="351"/>
      <c r="CC24" s="351"/>
      <c r="CD24" s="351"/>
      <c r="CE24" s="351"/>
      <c r="CF24" s="351"/>
      <c r="CG24" s="351"/>
      <c r="CH24" s="351"/>
      <c r="CI24" s="351"/>
      <c r="CJ24" s="351"/>
      <c r="CK24" s="351"/>
      <c r="CL24" s="351"/>
      <c r="CM24" s="351"/>
      <c r="CN24" s="351"/>
      <c r="CO24" s="351"/>
      <c r="CP24" s="351"/>
      <c r="CQ24" s="351"/>
      <c r="CR24" s="351"/>
      <c r="CS24" s="351"/>
      <c r="CT24" s="351"/>
      <c r="CU24" s="351"/>
      <c r="CV24" s="351"/>
      <c r="CW24" s="351"/>
      <c r="CX24" s="351"/>
      <c r="CY24" s="351"/>
      <c r="CZ24" s="351"/>
      <c r="DA24" s="351"/>
      <c r="DB24" s="351"/>
      <c r="DC24" s="351"/>
      <c r="DD24" s="351"/>
      <c r="DE24" s="351"/>
      <c r="DF24" s="351"/>
      <c r="DG24" s="351"/>
      <c r="DH24" s="351"/>
      <c r="DI24" s="351"/>
      <c r="DJ24" s="351"/>
      <c r="DK24" s="351"/>
      <c r="DL24" s="351"/>
      <c r="DM24" s="351"/>
      <c r="DN24" s="351"/>
      <c r="DO24" s="351"/>
      <c r="DP24" s="351"/>
      <c r="DQ24" s="351"/>
      <c r="DR24" s="351"/>
      <c r="DS24" s="351"/>
      <c r="DT24" s="351"/>
      <c r="DU24" s="351"/>
      <c r="DV24" s="351"/>
      <c r="DW24" s="351"/>
      <c r="DX24" s="351"/>
      <c r="DY24" s="351"/>
      <c r="DZ24" s="351"/>
      <c r="EA24" s="351"/>
      <c r="EB24" s="351"/>
      <c r="EC24" s="351"/>
      <c r="ED24" s="351"/>
      <c r="EE24" s="351"/>
      <c r="EF24" s="351"/>
      <c r="EG24" s="351"/>
      <c r="EH24" s="351"/>
      <c r="EI24" s="351"/>
      <c r="EJ24" s="351"/>
      <c r="EK24" s="351"/>
      <c r="EL24" s="351"/>
      <c r="EM24" s="351"/>
      <c r="EN24" s="351"/>
      <c r="EO24" s="351"/>
      <c r="EP24" s="351"/>
      <c r="EQ24" s="351"/>
      <c r="ER24" s="351"/>
      <c r="ES24" s="351"/>
      <c r="ET24" s="351"/>
      <c r="EU24" s="351"/>
      <c r="EV24" s="351"/>
      <c r="EW24" s="351"/>
      <c r="EX24" s="351"/>
      <c r="EY24" s="351"/>
      <c r="EZ24" s="351"/>
      <c r="FA24" s="351"/>
      <c r="FB24" s="351"/>
      <c r="FC24" s="351"/>
      <c r="FD24" s="351"/>
      <c r="FE24" s="351"/>
      <c r="FF24" s="351"/>
      <c r="FG24" s="351"/>
      <c r="FH24" s="351"/>
      <c r="FI24" s="351"/>
      <c r="FJ24" s="351"/>
      <c r="FK24" s="351"/>
      <c r="FL24" s="351"/>
      <c r="FM24" s="351"/>
      <c r="FN24" s="351"/>
      <c r="FO24" s="351"/>
      <c r="FP24" s="351"/>
      <c r="FQ24" s="351"/>
      <c r="FR24" s="351"/>
      <c r="FS24" s="351"/>
      <c r="FT24" s="351"/>
      <c r="FU24" s="351"/>
      <c r="FV24" s="351"/>
      <c r="FW24" s="351"/>
      <c r="FX24" s="351"/>
      <c r="FY24" s="351"/>
      <c r="FZ24" s="351"/>
      <c r="GA24" s="351"/>
      <c r="GB24" s="351"/>
      <c r="GC24" s="351"/>
      <c r="GD24" s="351"/>
      <c r="GE24" s="351"/>
      <c r="GF24" s="351"/>
      <c r="GG24" s="351"/>
      <c r="GH24" s="351"/>
      <c r="GI24" s="351"/>
      <c r="GJ24" s="351"/>
      <c r="GK24" s="351"/>
      <c r="GL24" s="351"/>
      <c r="GM24" s="351"/>
      <c r="GN24" s="351"/>
      <c r="GO24" s="351"/>
      <c r="GP24" s="351"/>
      <c r="GQ24" s="351"/>
      <c r="GR24" s="351"/>
      <c r="GS24" s="351"/>
      <c r="GT24" s="351"/>
      <c r="GU24" s="351"/>
      <c r="GV24" s="351"/>
      <c r="GW24" s="351"/>
      <c r="GX24" s="351"/>
      <c r="GY24" s="351"/>
      <c r="GZ24" s="351"/>
      <c r="HA24" s="351"/>
      <c r="HB24" s="351"/>
      <c r="HC24" s="351"/>
      <c r="HD24" s="351"/>
      <c r="HE24" s="351"/>
      <c r="HF24" s="351"/>
      <c r="HG24" s="351"/>
      <c r="HH24" s="351"/>
      <c r="HI24" s="351"/>
      <c r="HJ24" s="351"/>
      <c r="HK24" s="351"/>
      <c r="HL24" s="351"/>
      <c r="HM24" s="351"/>
      <c r="HN24" s="351"/>
      <c r="HO24" s="351"/>
      <c r="HP24" s="351"/>
      <c r="HQ24" s="351"/>
      <c r="HR24" s="351"/>
      <c r="HS24" s="351"/>
      <c r="HT24" s="351"/>
      <c r="HU24" s="351"/>
      <c r="HV24" s="351"/>
      <c r="HW24" s="351"/>
      <c r="HX24" s="351"/>
      <c r="HY24" s="351"/>
      <c r="HZ24" s="351"/>
      <c r="IA24" s="351"/>
      <c r="IB24" s="351"/>
      <c r="IC24" s="351"/>
      <c r="ID24" s="351"/>
      <c r="IE24" s="351"/>
      <c r="IF24" s="351"/>
      <c r="IG24" s="351"/>
      <c r="IH24" s="351"/>
      <c r="II24" s="351"/>
      <c r="IJ24" s="351"/>
      <c r="IK24" s="351"/>
      <c r="IL24" s="351"/>
      <c r="IM24" s="351"/>
      <c r="IN24" s="351"/>
      <c r="IO24" s="351"/>
      <c r="IP24" s="351"/>
      <c r="IQ24" s="351"/>
      <c r="IR24" s="351"/>
      <c r="IS24" s="351"/>
      <c r="IT24" s="351"/>
      <c r="IU24" s="351"/>
    </row>
    <row r="25" spans="1:255">
      <c r="A25" s="368"/>
      <c r="B25" s="354" t="s">
        <v>157</v>
      </c>
      <c r="C25" s="369"/>
      <c r="D25" s="370">
        <f t="shared" ref="D25:D35" si="6">ROUND(+E25+E25*F$7,3)</f>
        <v>-5.0000000000000001E-3</v>
      </c>
      <c r="E25" s="357">
        <v>-0.01</v>
      </c>
      <c r="F25" s="358">
        <f>-1+D25/E25</f>
        <v>-0.5</v>
      </c>
      <c r="G25" s="357"/>
      <c r="H25" s="357"/>
      <c r="I25" s="358"/>
      <c r="J25" s="357"/>
      <c r="K25" s="357"/>
      <c r="L25" s="358"/>
      <c r="M25" s="351"/>
      <c r="N25" s="351"/>
      <c r="O25" s="351"/>
      <c r="P25" s="351"/>
      <c r="Q25" s="351"/>
      <c r="R25" s="352"/>
      <c r="S25" s="351"/>
      <c r="T25" s="351"/>
      <c r="U25" s="351"/>
      <c r="V25" s="351"/>
      <c r="W25" s="351"/>
      <c r="X25" s="351"/>
      <c r="Y25" s="351"/>
      <c r="Z25" s="351"/>
      <c r="AA25" s="351"/>
      <c r="AB25" s="351"/>
      <c r="AC25" s="351"/>
      <c r="AD25" s="351"/>
      <c r="AE25" s="351"/>
      <c r="AF25" s="351"/>
      <c r="AG25" s="351"/>
      <c r="AH25" s="351"/>
      <c r="AI25" s="351"/>
      <c r="AJ25" s="351"/>
      <c r="AK25" s="351"/>
      <c r="AL25" s="351"/>
      <c r="AM25" s="351"/>
      <c r="AN25" s="351"/>
      <c r="AO25" s="351"/>
      <c r="AP25" s="351"/>
      <c r="AQ25" s="351"/>
      <c r="AR25" s="351"/>
      <c r="AS25" s="351"/>
      <c r="AT25" s="351"/>
      <c r="AU25" s="351"/>
      <c r="AV25" s="351"/>
      <c r="AW25" s="351"/>
      <c r="AX25" s="351"/>
      <c r="AY25" s="351"/>
      <c r="AZ25" s="351"/>
      <c r="BA25" s="351"/>
      <c r="BB25" s="351"/>
      <c r="BC25" s="351"/>
      <c r="BD25" s="351"/>
      <c r="BE25" s="351"/>
      <c r="BF25" s="351"/>
      <c r="BG25" s="351"/>
      <c r="BH25" s="351"/>
      <c r="BI25" s="351"/>
      <c r="BJ25" s="351"/>
      <c r="BK25" s="351"/>
      <c r="BL25" s="351"/>
      <c r="BM25" s="351"/>
      <c r="BN25" s="351"/>
      <c r="BO25" s="351"/>
      <c r="BP25" s="351"/>
      <c r="BQ25" s="351"/>
      <c r="BR25" s="351"/>
      <c r="BS25" s="351"/>
      <c r="BT25" s="351"/>
      <c r="BU25" s="351"/>
      <c r="BV25" s="351"/>
      <c r="BW25" s="351"/>
      <c r="BX25" s="351"/>
      <c r="BY25" s="351"/>
      <c r="BZ25" s="351"/>
      <c r="CA25" s="351"/>
      <c r="CB25" s="351"/>
      <c r="CC25" s="351"/>
      <c r="CD25" s="351"/>
      <c r="CE25" s="351"/>
      <c r="CF25" s="351"/>
      <c r="CG25" s="351"/>
      <c r="CH25" s="351"/>
      <c r="CI25" s="351"/>
      <c r="CJ25" s="351"/>
      <c r="CK25" s="351"/>
      <c r="CL25" s="351"/>
      <c r="CM25" s="351"/>
      <c r="CN25" s="351"/>
      <c r="CO25" s="351"/>
      <c r="CP25" s="351"/>
      <c r="CQ25" s="351"/>
      <c r="CR25" s="351"/>
      <c r="CS25" s="351"/>
      <c r="CT25" s="351"/>
      <c r="CU25" s="351"/>
      <c r="CV25" s="351"/>
      <c r="CW25" s="351"/>
      <c r="CX25" s="351"/>
      <c r="CY25" s="351"/>
      <c r="CZ25" s="351"/>
      <c r="DA25" s="351"/>
      <c r="DB25" s="351"/>
      <c r="DC25" s="351"/>
      <c r="DD25" s="351"/>
      <c r="DE25" s="351"/>
      <c r="DF25" s="351"/>
      <c r="DG25" s="351"/>
      <c r="DH25" s="351"/>
      <c r="DI25" s="351"/>
      <c r="DJ25" s="351"/>
      <c r="DK25" s="351"/>
      <c r="DL25" s="351"/>
      <c r="DM25" s="351"/>
      <c r="DN25" s="351"/>
      <c r="DO25" s="351"/>
      <c r="DP25" s="351"/>
      <c r="DQ25" s="351"/>
      <c r="DR25" s="351"/>
      <c r="DS25" s="351"/>
      <c r="DT25" s="351"/>
      <c r="DU25" s="351"/>
      <c r="DV25" s="351"/>
      <c r="DW25" s="351"/>
      <c r="DX25" s="351"/>
      <c r="DY25" s="351"/>
      <c r="DZ25" s="351"/>
      <c r="EA25" s="351"/>
      <c r="EB25" s="351"/>
      <c r="EC25" s="351"/>
      <c r="ED25" s="351"/>
      <c r="EE25" s="351"/>
      <c r="EF25" s="351"/>
      <c r="EG25" s="351"/>
      <c r="EH25" s="351"/>
      <c r="EI25" s="351"/>
      <c r="EJ25" s="351"/>
      <c r="EK25" s="351"/>
      <c r="EL25" s="351"/>
      <c r="EM25" s="351"/>
      <c r="EN25" s="351"/>
      <c r="EO25" s="351"/>
      <c r="EP25" s="351"/>
      <c r="EQ25" s="351"/>
      <c r="ER25" s="351"/>
      <c r="ES25" s="351"/>
      <c r="ET25" s="351"/>
      <c r="EU25" s="351"/>
      <c r="EV25" s="351"/>
      <c r="EW25" s="351"/>
      <c r="EX25" s="351"/>
      <c r="EY25" s="351"/>
      <c r="EZ25" s="351"/>
      <c r="FA25" s="351"/>
      <c r="FB25" s="351"/>
      <c r="FC25" s="351"/>
      <c r="FD25" s="351"/>
      <c r="FE25" s="351"/>
      <c r="FF25" s="351"/>
      <c r="FG25" s="351"/>
      <c r="FH25" s="351"/>
      <c r="FI25" s="351"/>
      <c r="FJ25" s="351"/>
      <c r="FK25" s="351"/>
      <c r="FL25" s="351"/>
      <c r="FM25" s="351"/>
      <c r="FN25" s="351"/>
      <c r="FO25" s="351"/>
      <c r="FP25" s="351"/>
      <c r="FQ25" s="351"/>
      <c r="FR25" s="351"/>
      <c r="FS25" s="351"/>
      <c r="FT25" s="351"/>
      <c r="FU25" s="351"/>
      <c r="FV25" s="351"/>
      <c r="FW25" s="351"/>
      <c r="FX25" s="351"/>
      <c r="FY25" s="351"/>
      <c r="FZ25" s="351"/>
      <c r="GA25" s="351"/>
      <c r="GB25" s="351"/>
      <c r="GC25" s="351"/>
      <c r="GD25" s="351"/>
      <c r="GE25" s="351"/>
      <c r="GF25" s="351"/>
      <c r="GG25" s="351"/>
      <c r="GH25" s="351"/>
      <c r="GI25" s="351"/>
      <c r="GJ25" s="351"/>
      <c r="GK25" s="351"/>
      <c r="GL25" s="351"/>
      <c r="GM25" s="351"/>
      <c r="GN25" s="351"/>
      <c r="GO25" s="351"/>
      <c r="GP25" s="351"/>
      <c r="GQ25" s="351"/>
      <c r="GR25" s="351"/>
      <c r="GS25" s="351"/>
      <c r="GT25" s="351"/>
      <c r="GU25" s="351"/>
      <c r="GV25" s="351"/>
      <c r="GW25" s="351"/>
      <c r="GX25" s="351"/>
      <c r="GY25" s="351"/>
      <c r="GZ25" s="351"/>
      <c r="HA25" s="351"/>
      <c r="HB25" s="351"/>
      <c r="HC25" s="351"/>
      <c r="HD25" s="351"/>
      <c r="HE25" s="351"/>
      <c r="HF25" s="351"/>
      <c r="HG25" s="351"/>
      <c r="HH25" s="351"/>
      <c r="HI25" s="351"/>
      <c r="HJ25" s="351"/>
      <c r="HK25" s="351"/>
      <c r="HL25" s="351"/>
      <c r="HM25" s="351"/>
      <c r="HN25" s="351"/>
      <c r="HO25" s="351"/>
      <c r="HP25" s="351"/>
      <c r="HQ25" s="351"/>
      <c r="HR25" s="351"/>
      <c r="HS25" s="351"/>
      <c r="HT25" s="351"/>
      <c r="HU25" s="351"/>
      <c r="HV25" s="351"/>
      <c r="HW25" s="351"/>
      <c r="HX25" s="351"/>
      <c r="HY25" s="351"/>
      <c r="HZ25" s="351"/>
      <c r="IA25" s="351"/>
      <c r="IB25" s="351"/>
      <c r="IC25" s="351"/>
      <c r="ID25" s="351"/>
      <c r="IE25" s="351"/>
      <c r="IF25" s="351"/>
      <c r="IG25" s="351"/>
      <c r="IH25" s="351"/>
      <c r="II25" s="351"/>
      <c r="IJ25" s="351"/>
      <c r="IK25" s="351"/>
      <c r="IL25" s="351"/>
      <c r="IM25" s="351"/>
      <c r="IN25" s="351"/>
      <c r="IO25" s="351"/>
      <c r="IP25" s="351"/>
      <c r="IQ25" s="351"/>
      <c r="IR25" s="351"/>
      <c r="IS25" s="351"/>
      <c r="IT25" s="351"/>
      <c r="IU25" s="351"/>
    </row>
    <row r="26" spans="1:255">
      <c r="A26" s="368"/>
      <c r="B26" s="354" t="s">
        <v>158</v>
      </c>
      <c r="C26" s="369"/>
      <c r="D26" s="370">
        <f t="shared" si="6"/>
        <v>-5.0000000000000001E-3</v>
      </c>
      <c r="E26" s="357">
        <v>-0.01</v>
      </c>
      <c r="F26" s="358">
        <f>-1+D26/E26</f>
        <v>-0.5</v>
      </c>
      <c r="G26" s="357"/>
      <c r="H26" s="357"/>
      <c r="I26" s="358"/>
      <c r="J26" s="357"/>
      <c r="K26" s="357"/>
      <c r="L26" s="358"/>
      <c r="M26" s="351"/>
      <c r="N26" s="351"/>
      <c r="O26" s="351"/>
      <c r="P26" s="351"/>
      <c r="Q26" s="351"/>
      <c r="R26" s="352"/>
      <c r="S26" s="351"/>
      <c r="T26" s="351"/>
      <c r="U26" s="351"/>
      <c r="V26" s="351"/>
      <c r="W26" s="351"/>
      <c r="X26" s="351"/>
      <c r="Y26" s="351"/>
      <c r="Z26" s="351"/>
      <c r="AA26" s="351"/>
      <c r="AB26" s="351"/>
      <c r="AC26" s="351"/>
      <c r="AD26" s="351"/>
      <c r="AE26" s="351"/>
      <c r="AF26" s="351"/>
      <c r="AG26" s="351"/>
      <c r="AH26" s="351"/>
      <c r="AI26" s="351"/>
      <c r="AJ26" s="351"/>
      <c r="AK26" s="351"/>
      <c r="AL26" s="351"/>
      <c r="AM26" s="351"/>
      <c r="AN26" s="351"/>
      <c r="AO26" s="351"/>
      <c r="AP26" s="351"/>
      <c r="AQ26" s="351"/>
      <c r="AR26" s="351"/>
      <c r="AS26" s="351"/>
      <c r="AT26" s="351"/>
      <c r="AU26" s="351"/>
      <c r="AV26" s="351"/>
      <c r="AW26" s="351"/>
      <c r="AX26" s="351"/>
      <c r="AY26" s="351"/>
      <c r="AZ26" s="351"/>
      <c r="BA26" s="351"/>
      <c r="BB26" s="351"/>
      <c r="BC26" s="351"/>
      <c r="BD26" s="351"/>
      <c r="BE26" s="351"/>
      <c r="BF26" s="351"/>
      <c r="BG26" s="351"/>
      <c r="BH26" s="351"/>
      <c r="BI26" s="351"/>
      <c r="BJ26" s="351"/>
      <c r="BK26" s="351"/>
      <c r="BL26" s="351"/>
      <c r="BM26" s="351"/>
      <c r="BN26" s="351"/>
      <c r="BO26" s="351"/>
      <c r="BP26" s="351"/>
      <c r="BQ26" s="351"/>
      <c r="BR26" s="351"/>
      <c r="BS26" s="351"/>
      <c r="BT26" s="351"/>
      <c r="BU26" s="351"/>
      <c r="BV26" s="351"/>
      <c r="BW26" s="351"/>
      <c r="BX26" s="351"/>
      <c r="BY26" s="351"/>
      <c r="BZ26" s="351"/>
      <c r="CA26" s="351"/>
      <c r="CB26" s="351"/>
      <c r="CC26" s="351"/>
      <c r="CD26" s="351"/>
      <c r="CE26" s="351"/>
      <c r="CF26" s="351"/>
      <c r="CG26" s="351"/>
      <c r="CH26" s="351"/>
      <c r="CI26" s="351"/>
      <c r="CJ26" s="351"/>
      <c r="CK26" s="351"/>
      <c r="CL26" s="351"/>
      <c r="CM26" s="351"/>
      <c r="CN26" s="351"/>
      <c r="CO26" s="351"/>
      <c r="CP26" s="351"/>
      <c r="CQ26" s="351"/>
      <c r="CR26" s="351"/>
      <c r="CS26" s="351"/>
      <c r="CT26" s="351"/>
      <c r="CU26" s="351"/>
      <c r="CV26" s="351"/>
      <c r="CW26" s="351"/>
      <c r="CX26" s="351"/>
      <c r="CY26" s="351"/>
      <c r="CZ26" s="351"/>
      <c r="DA26" s="351"/>
      <c r="DB26" s="351"/>
      <c r="DC26" s="351"/>
      <c r="DD26" s="351"/>
      <c r="DE26" s="351"/>
      <c r="DF26" s="351"/>
      <c r="DG26" s="351"/>
      <c r="DH26" s="351"/>
      <c r="DI26" s="351"/>
      <c r="DJ26" s="351"/>
      <c r="DK26" s="351"/>
      <c r="DL26" s="351"/>
      <c r="DM26" s="351"/>
      <c r="DN26" s="351"/>
      <c r="DO26" s="351"/>
      <c r="DP26" s="351"/>
      <c r="DQ26" s="351"/>
      <c r="DR26" s="351"/>
      <c r="DS26" s="351"/>
      <c r="DT26" s="351"/>
      <c r="DU26" s="351"/>
      <c r="DV26" s="351"/>
      <c r="DW26" s="351"/>
      <c r="DX26" s="351"/>
      <c r="DY26" s="351"/>
      <c r="DZ26" s="351"/>
      <c r="EA26" s="351"/>
      <c r="EB26" s="351"/>
      <c r="EC26" s="351"/>
      <c r="ED26" s="351"/>
      <c r="EE26" s="351"/>
      <c r="EF26" s="351"/>
      <c r="EG26" s="351"/>
      <c r="EH26" s="351"/>
      <c r="EI26" s="351"/>
      <c r="EJ26" s="351"/>
      <c r="EK26" s="351"/>
      <c r="EL26" s="351"/>
      <c r="EM26" s="351"/>
      <c r="EN26" s="351"/>
      <c r="EO26" s="351"/>
      <c r="EP26" s="351"/>
      <c r="EQ26" s="351"/>
      <c r="ER26" s="351"/>
      <c r="ES26" s="351"/>
      <c r="ET26" s="351"/>
      <c r="EU26" s="351"/>
      <c r="EV26" s="351"/>
      <c r="EW26" s="351"/>
      <c r="EX26" s="351"/>
      <c r="EY26" s="351"/>
      <c r="EZ26" s="351"/>
      <c r="FA26" s="351"/>
      <c r="FB26" s="351"/>
      <c r="FC26" s="351"/>
      <c r="FD26" s="351"/>
      <c r="FE26" s="351"/>
      <c r="FF26" s="351"/>
      <c r="FG26" s="351"/>
      <c r="FH26" s="351"/>
      <c r="FI26" s="351"/>
      <c r="FJ26" s="351"/>
      <c r="FK26" s="351"/>
      <c r="FL26" s="351"/>
      <c r="FM26" s="351"/>
      <c r="FN26" s="351"/>
      <c r="FO26" s="351"/>
      <c r="FP26" s="351"/>
      <c r="FQ26" s="351"/>
      <c r="FR26" s="351"/>
      <c r="FS26" s="351"/>
      <c r="FT26" s="351"/>
      <c r="FU26" s="351"/>
      <c r="FV26" s="351"/>
      <c r="FW26" s="351"/>
      <c r="FX26" s="351"/>
      <c r="FY26" s="351"/>
      <c r="FZ26" s="351"/>
      <c r="GA26" s="351"/>
      <c r="GB26" s="351"/>
      <c r="GC26" s="351"/>
      <c r="GD26" s="351"/>
      <c r="GE26" s="351"/>
      <c r="GF26" s="351"/>
      <c r="GG26" s="351"/>
      <c r="GH26" s="351"/>
      <c r="GI26" s="351"/>
      <c r="GJ26" s="351"/>
      <c r="GK26" s="351"/>
      <c r="GL26" s="351"/>
      <c r="GM26" s="351"/>
      <c r="GN26" s="351"/>
      <c r="GO26" s="351"/>
      <c r="GP26" s="351"/>
      <c r="GQ26" s="351"/>
      <c r="GR26" s="351"/>
      <c r="GS26" s="351"/>
      <c r="GT26" s="351"/>
      <c r="GU26" s="351"/>
      <c r="GV26" s="351"/>
      <c r="GW26" s="351"/>
      <c r="GX26" s="351"/>
      <c r="GY26" s="351"/>
      <c r="GZ26" s="351"/>
      <c r="HA26" s="351"/>
      <c r="HB26" s="351"/>
      <c r="HC26" s="351"/>
      <c r="HD26" s="351"/>
      <c r="HE26" s="351"/>
      <c r="HF26" s="351"/>
      <c r="HG26" s="351"/>
      <c r="HH26" s="351"/>
      <c r="HI26" s="351"/>
      <c r="HJ26" s="351"/>
      <c r="HK26" s="351"/>
      <c r="HL26" s="351"/>
      <c r="HM26" s="351"/>
      <c r="HN26" s="351"/>
      <c r="HO26" s="351"/>
      <c r="HP26" s="351"/>
      <c r="HQ26" s="351"/>
      <c r="HR26" s="351"/>
      <c r="HS26" s="351"/>
      <c r="HT26" s="351"/>
      <c r="HU26" s="351"/>
      <c r="HV26" s="351"/>
      <c r="HW26" s="351"/>
      <c r="HX26" s="351"/>
      <c r="HY26" s="351"/>
      <c r="HZ26" s="351"/>
      <c r="IA26" s="351"/>
      <c r="IB26" s="351"/>
      <c r="IC26" s="351"/>
      <c r="ID26" s="351"/>
      <c r="IE26" s="351"/>
      <c r="IF26" s="351"/>
      <c r="IG26" s="351"/>
      <c r="IH26" s="351"/>
      <c r="II26" s="351"/>
      <c r="IJ26" s="351"/>
      <c r="IK26" s="351"/>
      <c r="IL26" s="351"/>
      <c r="IM26" s="351"/>
      <c r="IN26" s="351"/>
      <c r="IO26" s="351"/>
      <c r="IP26" s="351"/>
      <c r="IQ26" s="351"/>
      <c r="IR26" s="351"/>
      <c r="IS26" s="351"/>
      <c r="IT26" s="351"/>
      <c r="IU26" s="351"/>
    </row>
    <row r="27" spans="1:255">
      <c r="A27" s="368"/>
      <c r="B27" s="354" t="s">
        <v>159</v>
      </c>
      <c r="C27" s="369"/>
      <c r="D27" s="370">
        <f t="shared" si="6"/>
        <v>-1.0999999999999999E-2</v>
      </c>
      <c r="E27" s="357">
        <v>-0.02</v>
      </c>
      <c r="F27" s="358">
        <f>-1+D27/E27</f>
        <v>-0.45000000000000007</v>
      </c>
      <c r="G27" s="357"/>
      <c r="H27" s="357"/>
      <c r="I27" s="358"/>
      <c r="J27" s="357"/>
      <c r="K27" s="357"/>
      <c r="L27" s="358"/>
      <c r="M27" s="351"/>
      <c r="N27" s="351"/>
      <c r="O27" s="351"/>
      <c r="P27" s="351"/>
      <c r="Q27" s="351"/>
      <c r="R27" s="352"/>
      <c r="S27" s="351"/>
      <c r="T27" s="351"/>
      <c r="U27" s="351"/>
      <c r="V27" s="351"/>
      <c r="W27" s="351"/>
      <c r="X27" s="351"/>
      <c r="Y27" s="351"/>
      <c r="Z27" s="351"/>
      <c r="AA27" s="351"/>
      <c r="AB27" s="351"/>
      <c r="AC27" s="351"/>
      <c r="AD27" s="351"/>
      <c r="AE27" s="351"/>
      <c r="AF27" s="351"/>
      <c r="AG27" s="351"/>
      <c r="AH27" s="351"/>
      <c r="AI27" s="351"/>
      <c r="AJ27" s="351"/>
      <c r="AK27" s="351"/>
      <c r="AL27" s="351"/>
      <c r="AM27" s="351"/>
      <c r="AN27" s="351"/>
      <c r="AO27" s="351"/>
      <c r="AP27" s="351"/>
      <c r="AQ27" s="351"/>
      <c r="AR27" s="351"/>
      <c r="AS27" s="351"/>
      <c r="AT27" s="351"/>
      <c r="AU27" s="351"/>
      <c r="AV27" s="351"/>
      <c r="AW27" s="351"/>
      <c r="AX27" s="351"/>
      <c r="AY27" s="351"/>
      <c r="AZ27" s="351"/>
      <c r="BA27" s="351"/>
      <c r="BB27" s="351"/>
      <c r="BC27" s="351"/>
      <c r="BD27" s="351"/>
      <c r="BE27" s="351"/>
      <c r="BF27" s="351"/>
      <c r="BG27" s="351"/>
      <c r="BH27" s="351"/>
      <c r="BI27" s="351"/>
      <c r="BJ27" s="351"/>
      <c r="BK27" s="351"/>
      <c r="BL27" s="351"/>
      <c r="BM27" s="351"/>
      <c r="BN27" s="351"/>
      <c r="BO27" s="351"/>
      <c r="BP27" s="351"/>
      <c r="BQ27" s="351"/>
      <c r="BR27" s="351"/>
      <c r="BS27" s="351"/>
      <c r="BT27" s="351"/>
      <c r="BU27" s="351"/>
      <c r="BV27" s="351"/>
      <c r="BW27" s="351"/>
      <c r="BX27" s="351"/>
      <c r="BY27" s="351"/>
      <c r="BZ27" s="351"/>
      <c r="CA27" s="351"/>
      <c r="CB27" s="351"/>
      <c r="CC27" s="351"/>
      <c r="CD27" s="351"/>
      <c r="CE27" s="351"/>
      <c r="CF27" s="351"/>
      <c r="CG27" s="351"/>
      <c r="CH27" s="351"/>
      <c r="CI27" s="351"/>
      <c r="CJ27" s="351"/>
      <c r="CK27" s="351"/>
      <c r="CL27" s="351"/>
      <c r="CM27" s="351"/>
      <c r="CN27" s="351"/>
      <c r="CO27" s="351"/>
      <c r="CP27" s="351"/>
      <c r="CQ27" s="351"/>
      <c r="CR27" s="351"/>
      <c r="CS27" s="351"/>
      <c r="CT27" s="351"/>
      <c r="CU27" s="351"/>
      <c r="CV27" s="351"/>
      <c r="CW27" s="351"/>
      <c r="CX27" s="351"/>
      <c r="CY27" s="351"/>
      <c r="CZ27" s="351"/>
      <c r="DA27" s="351"/>
      <c r="DB27" s="351"/>
      <c r="DC27" s="351"/>
      <c r="DD27" s="351"/>
      <c r="DE27" s="351"/>
      <c r="DF27" s="351"/>
      <c r="DG27" s="351"/>
      <c r="DH27" s="351"/>
      <c r="DI27" s="351"/>
      <c r="DJ27" s="351"/>
      <c r="DK27" s="351"/>
      <c r="DL27" s="351"/>
      <c r="DM27" s="351"/>
      <c r="DN27" s="351"/>
      <c r="DO27" s="351"/>
      <c r="DP27" s="351"/>
      <c r="DQ27" s="351"/>
      <c r="DR27" s="351"/>
      <c r="DS27" s="351"/>
      <c r="DT27" s="351"/>
      <c r="DU27" s="351"/>
      <c r="DV27" s="351"/>
      <c r="DW27" s="351"/>
      <c r="DX27" s="351"/>
      <c r="DY27" s="351"/>
      <c r="DZ27" s="351"/>
      <c r="EA27" s="351"/>
      <c r="EB27" s="351"/>
      <c r="EC27" s="351"/>
      <c r="ED27" s="351"/>
      <c r="EE27" s="351"/>
      <c r="EF27" s="351"/>
      <c r="EG27" s="351"/>
      <c r="EH27" s="351"/>
      <c r="EI27" s="351"/>
      <c r="EJ27" s="351"/>
      <c r="EK27" s="351"/>
      <c r="EL27" s="351"/>
      <c r="EM27" s="351"/>
      <c r="EN27" s="351"/>
      <c r="EO27" s="351"/>
      <c r="EP27" s="351"/>
      <c r="EQ27" s="351"/>
      <c r="ER27" s="351"/>
      <c r="ES27" s="351"/>
      <c r="ET27" s="351"/>
      <c r="EU27" s="351"/>
      <c r="EV27" s="351"/>
      <c r="EW27" s="351"/>
      <c r="EX27" s="351"/>
      <c r="EY27" s="351"/>
      <c r="EZ27" s="351"/>
      <c r="FA27" s="351"/>
      <c r="FB27" s="351"/>
      <c r="FC27" s="351"/>
      <c r="FD27" s="351"/>
      <c r="FE27" s="351"/>
      <c r="FF27" s="351"/>
      <c r="FG27" s="351"/>
      <c r="FH27" s="351"/>
      <c r="FI27" s="351"/>
      <c r="FJ27" s="351"/>
      <c r="FK27" s="351"/>
      <c r="FL27" s="351"/>
      <c r="FM27" s="351"/>
      <c r="FN27" s="351"/>
      <c r="FO27" s="351"/>
      <c r="FP27" s="351"/>
      <c r="FQ27" s="351"/>
      <c r="FR27" s="351"/>
      <c r="FS27" s="351"/>
      <c r="FT27" s="351"/>
      <c r="FU27" s="351"/>
      <c r="FV27" s="351"/>
      <c r="FW27" s="351"/>
      <c r="FX27" s="351"/>
      <c r="FY27" s="351"/>
      <c r="FZ27" s="351"/>
      <c r="GA27" s="351"/>
      <c r="GB27" s="351"/>
      <c r="GC27" s="351"/>
      <c r="GD27" s="351"/>
      <c r="GE27" s="351"/>
      <c r="GF27" s="351"/>
      <c r="GG27" s="351"/>
      <c r="GH27" s="351"/>
      <c r="GI27" s="351"/>
      <c r="GJ27" s="351"/>
      <c r="GK27" s="351"/>
      <c r="GL27" s="351"/>
      <c r="GM27" s="351"/>
      <c r="GN27" s="351"/>
      <c r="GO27" s="351"/>
      <c r="GP27" s="351"/>
      <c r="GQ27" s="351"/>
      <c r="GR27" s="351"/>
      <c r="GS27" s="351"/>
      <c r="GT27" s="351"/>
      <c r="GU27" s="351"/>
      <c r="GV27" s="351"/>
      <c r="GW27" s="351"/>
      <c r="GX27" s="351"/>
      <c r="GY27" s="351"/>
      <c r="GZ27" s="351"/>
      <c r="HA27" s="351"/>
      <c r="HB27" s="351"/>
      <c r="HC27" s="351"/>
      <c r="HD27" s="351"/>
      <c r="HE27" s="351"/>
      <c r="HF27" s="351"/>
      <c r="HG27" s="351"/>
      <c r="HH27" s="351"/>
      <c r="HI27" s="351"/>
      <c r="HJ27" s="351"/>
      <c r="HK27" s="351"/>
      <c r="HL27" s="351"/>
      <c r="HM27" s="351"/>
      <c r="HN27" s="351"/>
      <c r="HO27" s="351"/>
      <c r="HP27" s="351"/>
      <c r="HQ27" s="351"/>
      <c r="HR27" s="351"/>
      <c r="HS27" s="351"/>
      <c r="HT27" s="351"/>
      <c r="HU27" s="351"/>
      <c r="HV27" s="351"/>
      <c r="HW27" s="351"/>
      <c r="HX27" s="351"/>
      <c r="HY27" s="351"/>
      <c r="HZ27" s="351"/>
      <c r="IA27" s="351"/>
      <c r="IB27" s="351"/>
      <c r="IC27" s="351"/>
      <c r="ID27" s="351"/>
      <c r="IE27" s="351"/>
      <c r="IF27" s="351"/>
      <c r="IG27" s="351"/>
      <c r="IH27" s="351"/>
      <c r="II27" s="351"/>
      <c r="IJ27" s="351"/>
      <c r="IK27" s="351"/>
      <c r="IL27" s="351"/>
      <c r="IM27" s="351"/>
      <c r="IN27" s="351"/>
      <c r="IO27" s="351"/>
      <c r="IP27" s="351"/>
      <c r="IQ27" s="351"/>
      <c r="IR27" s="351"/>
      <c r="IS27" s="351"/>
      <c r="IT27" s="351"/>
      <c r="IU27" s="351"/>
    </row>
    <row r="28" spans="1:255">
      <c r="A28" s="368"/>
      <c r="B28" s="354" t="s">
        <v>160</v>
      </c>
      <c r="C28" s="355"/>
      <c r="D28" s="370">
        <f t="shared" si="6"/>
        <v>-1.6E-2</v>
      </c>
      <c r="E28" s="357">
        <v>-0.03</v>
      </c>
      <c r="F28" s="358">
        <f>-1+D28/E28</f>
        <v>-0.46666666666666667</v>
      </c>
      <c r="G28" s="357"/>
      <c r="H28" s="357"/>
      <c r="I28" s="358"/>
      <c r="J28" s="357"/>
      <c r="K28" s="357"/>
      <c r="L28" s="358"/>
      <c r="M28" s="351"/>
      <c r="N28" s="351"/>
      <c r="O28" s="351"/>
      <c r="P28" s="351"/>
      <c r="Q28" s="351"/>
      <c r="R28" s="352"/>
      <c r="S28" s="351"/>
      <c r="T28" s="351"/>
      <c r="U28" s="351"/>
      <c r="V28" s="351"/>
      <c r="W28" s="351"/>
      <c r="X28" s="351"/>
      <c r="Y28" s="351"/>
      <c r="Z28" s="351"/>
      <c r="AA28" s="351"/>
      <c r="AB28" s="351"/>
      <c r="AC28" s="351"/>
      <c r="AD28" s="351"/>
      <c r="AE28" s="351"/>
      <c r="AF28" s="351"/>
      <c r="AG28" s="351"/>
      <c r="AH28" s="351"/>
      <c r="AI28" s="351"/>
      <c r="AJ28" s="351"/>
      <c r="AK28" s="351"/>
      <c r="AL28" s="351"/>
      <c r="AM28" s="351"/>
      <c r="AN28" s="351"/>
      <c r="AO28" s="351"/>
      <c r="AP28" s="351"/>
      <c r="AQ28" s="351"/>
      <c r="AR28" s="351"/>
      <c r="AS28" s="351"/>
      <c r="AT28" s="351"/>
      <c r="AU28" s="351"/>
      <c r="AV28" s="351"/>
      <c r="AW28" s="351"/>
      <c r="AX28" s="351"/>
      <c r="AY28" s="351"/>
      <c r="AZ28" s="351"/>
      <c r="BA28" s="351"/>
      <c r="BB28" s="351"/>
      <c r="BC28" s="351"/>
      <c r="BD28" s="351"/>
      <c r="BE28" s="351"/>
      <c r="BF28" s="351"/>
      <c r="BG28" s="351"/>
      <c r="BH28" s="351"/>
      <c r="BI28" s="351"/>
      <c r="BJ28" s="351"/>
      <c r="BK28" s="351"/>
      <c r="BL28" s="351"/>
      <c r="BM28" s="351"/>
      <c r="BN28" s="351"/>
      <c r="BO28" s="351"/>
      <c r="BP28" s="351"/>
      <c r="BQ28" s="351"/>
      <c r="BR28" s="351"/>
      <c r="BS28" s="351"/>
      <c r="BT28" s="351"/>
      <c r="BU28" s="351"/>
      <c r="BV28" s="351"/>
      <c r="BW28" s="351"/>
      <c r="BX28" s="351"/>
      <c r="BY28" s="351"/>
      <c r="BZ28" s="351"/>
      <c r="CA28" s="351"/>
      <c r="CB28" s="351"/>
      <c r="CC28" s="351"/>
      <c r="CD28" s="351"/>
      <c r="CE28" s="351"/>
      <c r="CF28" s="351"/>
      <c r="CG28" s="351"/>
      <c r="CH28" s="351"/>
      <c r="CI28" s="351"/>
      <c r="CJ28" s="351"/>
      <c r="CK28" s="351"/>
      <c r="CL28" s="351"/>
      <c r="CM28" s="351"/>
      <c r="CN28" s="351"/>
      <c r="CO28" s="351"/>
      <c r="CP28" s="351"/>
      <c r="CQ28" s="351"/>
      <c r="CR28" s="351"/>
      <c r="CS28" s="351"/>
      <c r="CT28" s="351"/>
      <c r="CU28" s="351"/>
      <c r="CV28" s="351"/>
      <c r="CW28" s="351"/>
      <c r="CX28" s="351"/>
      <c r="CY28" s="351"/>
      <c r="CZ28" s="351"/>
      <c r="DA28" s="351"/>
      <c r="DB28" s="351"/>
      <c r="DC28" s="351"/>
      <c r="DD28" s="351"/>
      <c r="DE28" s="351"/>
      <c r="DF28" s="351"/>
      <c r="DG28" s="351"/>
      <c r="DH28" s="351"/>
      <c r="DI28" s="351"/>
      <c r="DJ28" s="351"/>
      <c r="DK28" s="351"/>
      <c r="DL28" s="351"/>
      <c r="DM28" s="351"/>
      <c r="DN28" s="351"/>
      <c r="DO28" s="351"/>
      <c r="DP28" s="351"/>
      <c r="DQ28" s="351"/>
      <c r="DR28" s="351"/>
      <c r="DS28" s="351"/>
      <c r="DT28" s="351"/>
      <c r="DU28" s="351"/>
      <c r="DV28" s="351"/>
      <c r="DW28" s="351"/>
      <c r="DX28" s="351"/>
      <c r="DY28" s="351"/>
      <c r="DZ28" s="351"/>
      <c r="EA28" s="351"/>
      <c r="EB28" s="351"/>
      <c r="EC28" s="351"/>
      <c r="ED28" s="351"/>
      <c r="EE28" s="351"/>
      <c r="EF28" s="351"/>
      <c r="EG28" s="351"/>
      <c r="EH28" s="351"/>
      <c r="EI28" s="351"/>
      <c r="EJ28" s="351"/>
      <c r="EK28" s="351"/>
      <c r="EL28" s="351"/>
      <c r="EM28" s="351"/>
      <c r="EN28" s="351"/>
      <c r="EO28" s="351"/>
      <c r="EP28" s="351"/>
      <c r="EQ28" s="351"/>
      <c r="ER28" s="351"/>
      <c r="ES28" s="351"/>
      <c r="ET28" s="351"/>
      <c r="EU28" s="351"/>
      <c r="EV28" s="351"/>
      <c r="EW28" s="351"/>
      <c r="EX28" s="351"/>
      <c r="EY28" s="351"/>
      <c r="EZ28" s="351"/>
      <c r="FA28" s="351"/>
      <c r="FB28" s="351"/>
      <c r="FC28" s="351"/>
      <c r="FD28" s="351"/>
      <c r="FE28" s="351"/>
      <c r="FF28" s="351"/>
      <c r="FG28" s="351"/>
      <c r="FH28" s="351"/>
      <c r="FI28" s="351"/>
      <c r="FJ28" s="351"/>
      <c r="FK28" s="351"/>
      <c r="FL28" s="351"/>
      <c r="FM28" s="351"/>
      <c r="FN28" s="351"/>
      <c r="FO28" s="351"/>
      <c r="FP28" s="351"/>
      <c r="FQ28" s="351"/>
      <c r="FR28" s="351"/>
      <c r="FS28" s="351"/>
      <c r="FT28" s="351"/>
      <c r="FU28" s="351"/>
      <c r="FV28" s="351"/>
      <c r="FW28" s="351"/>
      <c r="FX28" s="351"/>
      <c r="FY28" s="351"/>
      <c r="FZ28" s="351"/>
      <c r="GA28" s="351"/>
      <c r="GB28" s="351"/>
      <c r="GC28" s="351"/>
      <c r="GD28" s="351"/>
      <c r="GE28" s="351"/>
      <c r="GF28" s="351"/>
      <c r="GG28" s="351"/>
      <c r="GH28" s="351"/>
      <c r="GI28" s="351"/>
      <c r="GJ28" s="351"/>
      <c r="GK28" s="351"/>
      <c r="GL28" s="351"/>
      <c r="GM28" s="351"/>
      <c r="GN28" s="351"/>
      <c r="GO28" s="351"/>
      <c r="GP28" s="351"/>
      <c r="GQ28" s="351"/>
      <c r="GR28" s="351"/>
      <c r="GS28" s="351"/>
      <c r="GT28" s="351"/>
      <c r="GU28" s="351"/>
      <c r="GV28" s="351"/>
      <c r="GW28" s="351"/>
      <c r="GX28" s="351"/>
      <c r="GY28" s="351"/>
      <c r="GZ28" s="351"/>
      <c r="HA28" s="351"/>
      <c r="HB28" s="351"/>
      <c r="HC28" s="351"/>
      <c r="HD28" s="351"/>
      <c r="HE28" s="351"/>
      <c r="HF28" s="351"/>
      <c r="HG28" s="351"/>
      <c r="HH28" s="351"/>
      <c r="HI28" s="351"/>
      <c r="HJ28" s="351"/>
      <c r="HK28" s="351"/>
      <c r="HL28" s="351"/>
      <c r="HM28" s="351"/>
      <c r="HN28" s="351"/>
      <c r="HO28" s="351"/>
      <c r="HP28" s="351"/>
      <c r="HQ28" s="351"/>
      <c r="HR28" s="351"/>
      <c r="HS28" s="351"/>
      <c r="HT28" s="351"/>
      <c r="HU28" s="351"/>
      <c r="HV28" s="351"/>
      <c r="HW28" s="351"/>
      <c r="HX28" s="351"/>
      <c r="HY28" s="351"/>
      <c r="HZ28" s="351"/>
      <c r="IA28" s="351"/>
      <c r="IB28" s="351"/>
      <c r="IC28" s="351"/>
      <c r="ID28" s="351"/>
      <c r="IE28" s="351"/>
      <c r="IF28" s="351"/>
      <c r="IG28" s="351"/>
      <c r="IH28" s="351"/>
      <c r="II28" s="351"/>
      <c r="IJ28" s="351"/>
      <c r="IK28" s="351"/>
      <c r="IL28" s="351"/>
      <c r="IM28" s="351"/>
      <c r="IN28" s="351"/>
      <c r="IO28" s="351"/>
      <c r="IP28" s="351"/>
      <c r="IQ28" s="351"/>
      <c r="IR28" s="351"/>
      <c r="IS28" s="351"/>
      <c r="IT28" s="351"/>
      <c r="IU28" s="351"/>
    </row>
    <row r="29" spans="1:255">
      <c r="A29" s="368"/>
      <c r="B29" s="354" t="s">
        <v>161</v>
      </c>
      <c r="C29" s="355"/>
      <c r="D29" s="370">
        <f t="shared" si="6"/>
        <v>-3.7999999999999999E-2</v>
      </c>
      <c r="E29" s="365">
        <v>-7.0000000000000007E-2</v>
      </c>
      <c r="F29" s="358">
        <f t="shared" ref="F29:F35" si="7">-1+D29/E29</f>
        <v>-0.45714285714285718</v>
      </c>
      <c r="G29" s="357"/>
      <c r="H29" s="357"/>
      <c r="I29" s="358"/>
      <c r="J29" s="357"/>
      <c r="K29" s="357"/>
      <c r="L29" s="358"/>
      <c r="M29" s="351"/>
      <c r="N29" s="351"/>
      <c r="O29" s="351"/>
      <c r="P29" s="351"/>
      <c r="Q29" s="351"/>
      <c r="R29" s="352"/>
      <c r="S29" s="351"/>
      <c r="T29" s="351"/>
      <c r="U29" s="351"/>
      <c r="V29" s="351"/>
      <c r="W29" s="351"/>
      <c r="X29" s="351"/>
      <c r="Y29" s="351"/>
      <c r="Z29" s="351"/>
      <c r="AA29" s="351"/>
      <c r="AB29" s="351"/>
      <c r="AC29" s="351"/>
      <c r="AD29" s="351"/>
      <c r="AE29" s="351"/>
      <c r="AF29" s="351"/>
      <c r="AG29" s="351"/>
      <c r="AH29" s="351"/>
      <c r="AI29" s="351"/>
      <c r="AJ29" s="351"/>
      <c r="AK29" s="351"/>
      <c r="AL29" s="351"/>
      <c r="AM29" s="351"/>
      <c r="AN29" s="351"/>
      <c r="AO29" s="351"/>
      <c r="AP29" s="351"/>
      <c r="AQ29" s="351"/>
      <c r="AR29" s="351"/>
      <c r="AS29" s="351"/>
      <c r="AT29" s="351"/>
      <c r="AU29" s="351"/>
      <c r="AV29" s="351"/>
      <c r="AW29" s="351"/>
      <c r="AX29" s="351"/>
      <c r="AY29" s="351"/>
      <c r="AZ29" s="351"/>
      <c r="BA29" s="351"/>
      <c r="BB29" s="351"/>
      <c r="BC29" s="351"/>
      <c r="BD29" s="351"/>
      <c r="BE29" s="351"/>
      <c r="BF29" s="351"/>
      <c r="BG29" s="351"/>
      <c r="BH29" s="351"/>
      <c r="BI29" s="351"/>
      <c r="BJ29" s="351"/>
      <c r="BK29" s="351"/>
      <c r="BL29" s="351"/>
      <c r="BM29" s="351"/>
      <c r="BN29" s="351"/>
      <c r="BO29" s="351"/>
      <c r="BP29" s="351"/>
      <c r="BQ29" s="351"/>
      <c r="BR29" s="351"/>
      <c r="BS29" s="351"/>
      <c r="BT29" s="351"/>
      <c r="BU29" s="351"/>
      <c r="BV29" s="351"/>
      <c r="BW29" s="351"/>
      <c r="BX29" s="351"/>
      <c r="BY29" s="351"/>
      <c r="BZ29" s="351"/>
      <c r="CA29" s="351"/>
      <c r="CB29" s="351"/>
      <c r="CC29" s="351"/>
      <c r="CD29" s="351"/>
      <c r="CE29" s="351"/>
      <c r="CF29" s="351"/>
      <c r="CG29" s="351"/>
      <c r="CH29" s="351"/>
      <c r="CI29" s="351"/>
      <c r="CJ29" s="351"/>
      <c r="CK29" s="351"/>
      <c r="CL29" s="351"/>
      <c r="CM29" s="351"/>
      <c r="CN29" s="351"/>
      <c r="CO29" s="351"/>
      <c r="CP29" s="351"/>
      <c r="CQ29" s="351"/>
      <c r="CR29" s="351"/>
      <c r="CS29" s="351"/>
      <c r="CT29" s="351"/>
      <c r="CU29" s="351"/>
      <c r="CV29" s="351"/>
      <c r="CW29" s="351"/>
      <c r="CX29" s="351"/>
      <c r="CY29" s="351"/>
      <c r="CZ29" s="351"/>
      <c r="DA29" s="351"/>
      <c r="DB29" s="351"/>
      <c r="DC29" s="351"/>
      <c r="DD29" s="351"/>
      <c r="DE29" s="351"/>
      <c r="DF29" s="351"/>
      <c r="DG29" s="351"/>
      <c r="DH29" s="351"/>
      <c r="DI29" s="351"/>
      <c r="DJ29" s="351"/>
      <c r="DK29" s="351"/>
      <c r="DL29" s="351"/>
      <c r="DM29" s="351"/>
      <c r="DN29" s="351"/>
      <c r="DO29" s="351"/>
      <c r="DP29" s="351"/>
      <c r="DQ29" s="351"/>
      <c r="DR29" s="351"/>
      <c r="DS29" s="351"/>
      <c r="DT29" s="351"/>
      <c r="DU29" s="351"/>
      <c r="DV29" s="351"/>
      <c r="DW29" s="351"/>
      <c r="DX29" s="351"/>
      <c r="DY29" s="351"/>
      <c r="DZ29" s="351"/>
      <c r="EA29" s="351"/>
      <c r="EB29" s="351"/>
      <c r="EC29" s="351"/>
      <c r="ED29" s="351"/>
      <c r="EE29" s="351"/>
      <c r="EF29" s="351"/>
      <c r="EG29" s="351"/>
      <c r="EH29" s="351"/>
      <c r="EI29" s="351"/>
      <c r="EJ29" s="351"/>
      <c r="EK29" s="351"/>
      <c r="EL29" s="351"/>
      <c r="EM29" s="351"/>
      <c r="EN29" s="351"/>
      <c r="EO29" s="351"/>
      <c r="EP29" s="351"/>
      <c r="EQ29" s="351"/>
      <c r="ER29" s="351"/>
      <c r="ES29" s="351"/>
      <c r="ET29" s="351"/>
      <c r="EU29" s="351"/>
      <c r="EV29" s="351"/>
      <c r="EW29" s="351"/>
      <c r="EX29" s="351"/>
      <c r="EY29" s="351"/>
      <c r="EZ29" s="351"/>
      <c r="FA29" s="351"/>
      <c r="FB29" s="351"/>
      <c r="FC29" s="351"/>
      <c r="FD29" s="351"/>
      <c r="FE29" s="351"/>
      <c r="FF29" s="351"/>
      <c r="FG29" s="351"/>
      <c r="FH29" s="351"/>
      <c r="FI29" s="351"/>
      <c r="FJ29" s="351"/>
      <c r="FK29" s="351"/>
      <c r="FL29" s="351"/>
      <c r="FM29" s="351"/>
      <c r="FN29" s="351"/>
      <c r="FO29" s="351"/>
      <c r="FP29" s="351"/>
      <c r="FQ29" s="351"/>
      <c r="FR29" s="351"/>
      <c r="FS29" s="351"/>
      <c r="FT29" s="351"/>
      <c r="FU29" s="351"/>
      <c r="FV29" s="351"/>
      <c r="FW29" s="351"/>
      <c r="FX29" s="351"/>
      <c r="FY29" s="351"/>
      <c r="FZ29" s="351"/>
      <c r="GA29" s="351"/>
      <c r="GB29" s="351"/>
      <c r="GC29" s="351"/>
      <c r="GD29" s="351"/>
      <c r="GE29" s="351"/>
      <c r="GF29" s="351"/>
      <c r="GG29" s="351"/>
      <c r="GH29" s="351"/>
      <c r="GI29" s="351"/>
      <c r="GJ29" s="351"/>
      <c r="GK29" s="351"/>
      <c r="GL29" s="351"/>
      <c r="GM29" s="351"/>
      <c r="GN29" s="351"/>
      <c r="GO29" s="351"/>
      <c r="GP29" s="351"/>
      <c r="GQ29" s="351"/>
      <c r="GR29" s="351"/>
      <c r="GS29" s="351"/>
      <c r="GT29" s="351"/>
      <c r="GU29" s="351"/>
      <c r="GV29" s="351"/>
      <c r="GW29" s="351"/>
      <c r="GX29" s="351"/>
      <c r="GY29" s="351"/>
      <c r="GZ29" s="351"/>
      <c r="HA29" s="351"/>
      <c r="HB29" s="351"/>
      <c r="HC29" s="351"/>
      <c r="HD29" s="351"/>
      <c r="HE29" s="351"/>
      <c r="HF29" s="351"/>
      <c r="HG29" s="351"/>
      <c r="HH29" s="351"/>
      <c r="HI29" s="351"/>
      <c r="HJ29" s="351"/>
      <c r="HK29" s="351"/>
      <c r="HL29" s="351"/>
      <c r="HM29" s="351"/>
      <c r="HN29" s="351"/>
      <c r="HO29" s="351"/>
      <c r="HP29" s="351"/>
      <c r="HQ29" s="351"/>
      <c r="HR29" s="351"/>
      <c r="HS29" s="351"/>
      <c r="HT29" s="351"/>
      <c r="HU29" s="351"/>
      <c r="HV29" s="351"/>
      <c r="HW29" s="351"/>
      <c r="HX29" s="351"/>
      <c r="HY29" s="351"/>
      <c r="HZ29" s="351"/>
      <c r="IA29" s="351"/>
      <c r="IB29" s="351"/>
      <c r="IC29" s="351"/>
      <c r="ID29" s="351"/>
      <c r="IE29" s="351"/>
      <c r="IF29" s="351"/>
      <c r="IG29" s="351"/>
      <c r="IH29" s="351"/>
      <c r="II29" s="351"/>
      <c r="IJ29" s="351"/>
      <c r="IK29" s="351"/>
      <c r="IL29" s="351"/>
      <c r="IM29" s="351"/>
      <c r="IN29" s="351"/>
      <c r="IO29" s="351"/>
      <c r="IP29" s="351"/>
      <c r="IQ29" s="351"/>
      <c r="IR29" s="351"/>
      <c r="IS29" s="351"/>
      <c r="IT29" s="351"/>
      <c r="IU29" s="351"/>
    </row>
    <row r="30" spans="1:255">
      <c r="A30" s="368"/>
      <c r="B30" s="354" t="s">
        <v>162</v>
      </c>
      <c r="C30" s="355"/>
      <c r="D30" s="370">
        <f t="shared" si="6"/>
        <v>-0.06</v>
      </c>
      <c r="E30" s="365">
        <v>-0.11</v>
      </c>
      <c r="F30" s="358">
        <f t="shared" si="7"/>
        <v>-0.45454545454545459</v>
      </c>
      <c r="G30" s="357"/>
      <c r="H30" s="357"/>
      <c r="I30" s="358"/>
      <c r="J30" s="357"/>
      <c r="K30" s="357"/>
      <c r="L30" s="358"/>
      <c r="M30" s="351"/>
      <c r="N30" s="351"/>
      <c r="O30" s="351"/>
      <c r="P30" s="351"/>
      <c r="Q30" s="351"/>
      <c r="R30" s="352"/>
      <c r="S30" s="351"/>
      <c r="T30" s="351"/>
      <c r="U30" s="351"/>
      <c r="V30" s="351"/>
      <c r="W30" s="351"/>
      <c r="X30" s="351"/>
      <c r="Y30" s="351"/>
      <c r="Z30" s="351"/>
      <c r="AA30" s="351"/>
      <c r="AB30" s="351"/>
      <c r="AC30" s="351"/>
      <c r="AD30" s="351"/>
      <c r="AE30" s="351"/>
      <c r="AF30" s="351"/>
      <c r="AG30" s="351"/>
      <c r="AH30" s="351"/>
      <c r="AI30" s="351"/>
      <c r="AJ30" s="351"/>
      <c r="AK30" s="351"/>
      <c r="AL30" s="351"/>
      <c r="AM30" s="351"/>
      <c r="AN30" s="351"/>
      <c r="AO30" s="351"/>
      <c r="AP30" s="351"/>
      <c r="AQ30" s="351"/>
      <c r="AR30" s="351"/>
      <c r="AS30" s="351"/>
      <c r="AT30" s="351"/>
      <c r="AU30" s="351"/>
      <c r="AV30" s="351"/>
      <c r="AW30" s="351"/>
      <c r="AX30" s="351"/>
      <c r="AY30" s="351"/>
      <c r="AZ30" s="351"/>
      <c r="BA30" s="351"/>
      <c r="BB30" s="351"/>
      <c r="BC30" s="351"/>
      <c r="BD30" s="351"/>
      <c r="BE30" s="351"/>
      <c r="BF30" s="351"/>
      <c r="BG30" s="351"/>
      <c r="BH30" s="351"/>
      <c r="BI30" s="351"/>
      <c r="BJ30" s="351"/>
      <c r="BK30" s="351"/>
      <c r="BL30" s="351"/>
      <c r="BM30" s="351"/>
      <c r="BN30" s="351"/>
      <c r="BO30" s="351"/>
      <c r="BP30" s="351"/>
      <c r="BQ30" s="351"/>
      <c r="BR30" s="351"/>
      <c r="BS30" s="351"/>
      <c r="BT30" s="351"/>
      <c r="BU30" s="351"/>
      <c r="BV30" s="351"/>
      <c r="BW30" s="351"/>
      <c r="BX30" s="351"/>
      <c r="BY30" s="351"/>
      <c r="BZ30" s="351"/>
      <c r="CA30" s="351"/>
      <c r="CB30" s="351"/>
      <c r="CC30" s="351"/>
      <c r="CD30" s="351"/>
      <c r="CE30" s="351"/>
      <c r="CF30" s="351"/>
      <c r="CG30" s="351"/>
      <c r="CH30" s="351"/>
      <c r="CI30" s="351"/>
      <c r="CJ30" s="351"/>
      <c r="CK30" s="351"/>
      <c r="CL30" s="351"/>
      <c r="CM30" s="351"/>
      <c r="CN30" s="351"/>
      <c r="CO30" s="351"/>
      <c r="CP30" s="351"/>
      <c r="CQ30" s="351"/>
      <c r="CR30" s="351"/>
      <c r="CS30" s="351"/>
      <c r="CT30" s="351"/>
      <c r="CU30" s="351"/>
      <c r="CV30" s="351"/>
      <c r="CW30" s="351"/>
      <c r="CX30" s="351"/>
      <c r="CY30" s="351"/>
      <c r="CZ30" s="351"/>
      <c r="DA30" s="351"/>
      <c r="DB30" s="351"/>
      <c r="DC30" s="351"/>
      <c r="DD30" s="351"/>
      <c r="DE30" s="351"/>
      <c r="DF30" s="351"/>
      <c r="DG30" s="351"/>
      <c r="DH30" s="351"/>
      <c r="DI30" s="351"/>
      <c r="DJ30" s="351"/>
      <c r="DK30" s="351"/>
      <c r="DL30" s="351"/>
      <c r="DM30" s="351"/>
      <c r="DN30" s="351"/>
      <c r="DO30" s="351"/>
      <c r="DP30" s="351"/>
      <c r="DQ30" s="351"/>
      <c r="DR30" s="351"/>
      <c r="DS30" s="351"/>
      <c r="DT30" s="351"/>
      <c r="DU30" s="351"/>
      <c r="DV30" s="351"/>
      <c r="DW30" s="351"/>
      <c r="DX30" s="351"/>
      <c r="DY30" s="351"/>
      <c r="DZ30" s="351"/>
      <c r="EA30" s="351"/>
      <c r="EB30" s="351"/>
      <c r="EC30" s="351"/>
      <c r="ED30" s="351"/>
      <c r="EE30" s="351"/>
      <c r="EF30" s="351"/>
      <c r="EG30" s="351"/>
      <c r="EH30" s="351"/>
      <c r="EI30" s="351"/>
      <c r="EJ30" s="351"/>
      <c r="EK30" s="351"/>
      <c r="EL30" s="351"/>
      <c r="EM30" s="351"/>
      <c r="EN30" s="351"/>
      <c r="EO30" s="351"/>
      <c r="EP30" s="351"/>
      <c r="EQ30" s="351"/>
      <c r="ER30" s="351"/>
      <c r="ES30" s="351"/>
      <c r="ET30" s="351"/>
      <c r="EU30" s="351"/>
      <c r="EV30" s="351"/>
      <c r="EW30" s="351"/>
      <c r="EX30" s="351"/>
      <c r="EY30" s="351"/>
      <c r="EZ30" s="351"/>
      <c r="FA30" s="351"/>
      <c r="FB30" s="351"/>
      <c r="FC30" s="351"/>
      <c r="FD30" s="351"/>
      <c r="FE30" s="351"/>
      <c r="FF30" s="351"/>
      <c r="FG30" s="351"/>
      <c r="FH30" s="351"/>
      <c r="FI30" s="351"/>
      <c r="FJ30" s="351"/>
      <c r="FK30" s="351"/>
      <c r="FL30" s="351"/>
      <c r="FM30" s="351"/>
      <c r="FN30" s="351"/>
      <c r="FO30" s="351"/>
      <c r="FP30" s="351"/>
      <c r="FQ30" s="351"/>
      <c r="FR30" s="351"/>
      <c r="FS30" s="351"/>
      <c r="FT30" s="351"/>
      <c r="FU30" s="351"/>
      <c r="FV30" s="351"/>
      <c r="FW30" s="351"/>
      <c r="FX30" s="351"/>
      <c r="FY30" s="351"/>
      <c r="FZ30" s="351"/>
      <c r="GA30" s="351"/>
      <c r="GB30" s="351"/>
      <c r="GC30" s="351"/>
      <c r="GD30" s="351"/>
      <c r="GE30" s="351"/>
      <c r="GF30" s="351"/>
      <c r="GG30" s="351"/>
      <c r="GH30" s="351"/>
      <c r="GI30" s="351"/>
      <c r="GJ30" s="351"/>
      <c r="GK30" s="351"/>
      <c r="GL30" s="351"/>
      <c r="GM30" s="351"/>
      <c r="GN30" s="351"/>
      <c r="GO30" s="351"/>
      <c r="GP30" s="351"/>
      <c r="GQ30" s="351"/>
      <c r="GR30" s="351"/>
      <c r="GS30" s="351"/>
      <c r="GT30" s="351"/>
      <c r="GU30" s="351"/>
      <c r="GV30" s="351"/>
      <c r="GW30" s="351"/>
      <c r="GX30" s="351"/>
      <c r="GY30" s="351"/>
      <c r="GZ30" s="351"/>
      <c r="HA30" s="351"/>
      <c r="HB30" s="351"/>
      <c r="HC30" s="351"/>
      <c r="HD30" s="351"/>
      <c r="HE30" s="351"/>
      <c r="HF30" s="351"/>
      <c r="HG30" s="351"/>
      <c r="HH30" s="351"/>
      <c r="HI30" s="351"/>
      <c r="HJ30" s="351"/>
      <c r="HK30" s="351"/>
      <c r="HL30" s="351"/>
      <c r="HM30" s="351"/>
      <c r="HN30" s="351"/>
      <c r="HO30" s="351"/>
      <c r="HP30" s="351"/>
      <c r="HQ30" s="351"/>
      <c r="HR30" s="351"/>
      <c r="HS30" s="351"/>
      <c r="HT30" s="351"/>
      <c r="HU30" s="351"/>
      <c r="HV30" s="351"/>
      <c r="HW30" s="351"/>
      <c r="HX30" s="351"/>
      <c r="HY30" s="351"/>
      <c r="HZ30" s="351"/>
      <c r="IA30" s="351"/>
      <c r="IB30" s="351"/>
      <c r="IC30" s="351"/>
      <c r="ID30" s="351"/>
      <c r="IE30" s="351"/>
      <c r="IF30" s="351"/>
      <c r="IG30" s="351"/>
      <c r="IH30" s="351"/>
      <c r="II30" s="351"/>
      <c r="IJ30" s="351"/>
      <c r="IK30" s="351"/>
      <c r="IL30" s="351"/>
      <c r="IM30" s="351"/>
      <c r="IN30" s="351"/>
      <c r="IO30" s="351"/>
      <c r="IP30" s="351"/>
      <c r="IQ30" s="351"/>
      <c r="IR30" s="351"/>
      <c r="IS30" s="351"/>
      <c r="IT30" s="351"/>
      <c r="IU30" s="351"/>
    </row>
    <row r="31" spans="1:255">
      <c r="A31" s="368"/>
      <c r="B31" s="354" t="s">
        <v>163</v>
      </c>
      <c r="C31" s="355"/>
      <c r="D31" s="370">
        <f t="shared" si="6"/>
        <v>-8.2000000000000003E-2</v>
      </c>
      <c r="E31" s="365">
        <v>-0.15</v>
      </c>
      <c r="F31" s="358">
        <f t="shared" si="7"/>
        <v>-0.45333333333333325</v>
      </c>
      <c r="G31" s="357"/>
      <c r="H31" s="357"/>
      <c r="I31" s="358"/>
      <c r="J31" s="357"/>
      <c r="K31" s="357"/>
      <c r="L31" s="358"/>
      <c r="M31" s="351"/>
      <c r="N31" s="351"/>
      <c r="O31" s="351"/>
      <c r="P31" s="351"/>
      <c r="Q31" s="351"/>
      <c r="R31" s="352"/>
      <c r="S31" s="351"/>
      <c r="T31" s="351"/>
      <c r="U31" s="351"/>
      <c r="V31" s="351"/>
      <c r="W31" s="351"/>
      <c r="X31" s="351"/>
      <c r="Y31" s="351"/>
      <c r="Z31" s="351"/>
      <c r="AA31" s="351"/>
      <c r="AB31" s="351"/>
      <c r="AC31" s="351"/>
      <c r="AD31" s="351"/>
      <c r="AE31" s="351"/>
      <c r="AF31" s="351"/>
      <c r="AG31" s="351"/>
      <c r="AH31" s="351"/>
      <c r="AI31" s="351"/>
      <c r="AJ31" s="351"/>
      <c r="AK31" s="351"/>
      <c r="AL31" s="351"/>
      <c r="AM31" s="351"/>
      <c r="AN31" s="351"/>
      <c r="AO31" s="351"/>
      <c r="AP31" s="351"/>
      <c r="AQ31" s="351"/>
      <c r="AR31" s="351"/>
      <c r="AS31" s="351"/>
      <c r="AT31" s="351"/>
      <c r="AU31" s="351"/>
      <c r="AV31" s="351"/>
      <c r="AW31" s="351"/>
      <c r="AX31" s="351"/>
      <c r="AY31" s="351"/>
      <c r="AZ31" s="351"/>
      <c r="BA31" s="351"/>
      <c r="BB31" s="351"/>
      <c r="BC31" s="351"/>
      <c r="BD31" s="351"/>
      <c r="BE31" s="351"/>
      <c r="BF31" s="351"/>
      <c r="BG31" s="351"/>
      <c r="BH31" s="351"/>
      <c r="BI31" s="351"/>
      <c r="BJ31" s="351"/>
      <c r="BK31" s="351"/>
      <c r="BL31" s="351"/>
      <c r="BM31" s="351"/>
      <c r="BN31" s="351"/>
      <c r="BO31" s="351"/>
      <c r="BP31" s="351"/>
      <c r="BQ31" s="351"/>
      <c r="BR31" s="351"/>
      <c r="BS31" s="351"/>
      <c r="BT31" s="351"/>
      <c r="BU31" s="351"/>
      <c r="BV31" s="351"/>
      <c r="BW31" s="351"/>
      <c r="BX31" s="351"/>
      <c r="BY31" s="351"/>
      <c r="BZ31" s="351"/>
      <c r="CA31" s="351"/>
      <c r="CB31" s="351"/>
      <c r="CC31" s="351"/>
      <c r="CD31" s="351"/>
      <c r="CE31" s="351"/>
      <c r="CF31" s="351"/>
      <c r="CG31" s="351"/>
      <c r="CH31" s="351"/>
      <c r="CI31" s="351"/>
      <c r="CJ31" s="351"/>
      <c r="CK31" s="351"/>
      <c r="CL31" s="351"/>
      <c r="CM31" s="351"/>
      <c r="CN31" s="351"/>
      <c r="CO31" s="351"/>
      <c r="CP31" s="351"/>
      <c r="CQ31" s="351"/>
      <c r="CR31" s="351"/>
      <c r="CS31" s="351"/>
      <c r="CT31" s="351"/>
      <c r="CU31" s="351"/>
      <c r="CV31" s="351"/>
      <c r="CW31" s="351"/>
      <c r="CX31" s="351"/>
      <c r="CY31" s="351"/>
      <c r="CZ31" s="351"/>
      <c r="DA31" s="351"/>
      <c r="DB31" s="351"/>
      <c r="DC31" s="351"/>
      <c r="DD31" s="351"/>
      <c r="DE31" s="351"/>
      <c r="DF31" s="351"/>
      <c r="DG31" s="351"/>
      <c r="DH31" s="351"/>
      <c r="DI31" s="351"/>
      <c r="DJ31" s="351"/>
      <c r="DK31" s="351"/>
      <c r="DL31" s="351"/>
      <c r="DM31" s="351"/>
      <c r="DN31" s="351"/>
      <c r="DO31" s="351"/>
      <c r="DP31" s="351"/>
      <c r="DQ31" s="351"/>
      <c r="DR31" s="351"/>
      <c r="DS31" s="351"/>
      <c r="DT31" s="351"/>
      <c r="DU31" s="351"/>
      <c r="DV31" s="351"/>
      <c r="DW31" s="351"/>
      <c r="DX31" s="351"/>
      <c r="DY31" s="351"/>
      <c r="DZ31" s="351"/>
      <c r="EA31" s="351"/>
      <c r="EB31" s="351"/>
      <c r="EC31" s="351"/>
      <c r="ED31" s="351"/>
      <c r="EE31" s="351"/>
      <c r="EF31" s="351"/>
      <c r="EG31" s="351"/>
      <c r="EH31" s="351"/>
      <c r="EI31" s="351"/>
      <c r="EJ31" s="351"/>
      <c r="EK31" s="351"/>
      <c r="EL31" s="351"/>
      <c r="EM31" s="351"/>
      <c r="EN31" s="351"/>
      <c r="EO31" s="351"/>
      <c r="EP31" s="351"/>
      <c r="EQ31" s="351"/>
      <c r="ER31" s="351"/>
      <c r="ES31" s="351"/>
      <c r="ET31" s="351"/>
      <c r="EU31" s="351"/>
      <c r="EV31" s="351"/>
      <c r="EW31" s="351"/>
      <c r="EX31" s="351"/>
      <c r="EY31" s="351"/>
      <c r="EZ31" s="351"/>
      <c r="FA31" s="351"/>
      <c r="FB31" s="351"/>
      <c r="FC31" s="351"/>
      <c r="FD31" s="351"/>
      <c r="FE31" s="351"/>
      <c r="FF31" s="351"/>
      <c r="FG31" s="351"/>
      <c r="FH31" s="351"/>
      <c r="FI31" s="351"/>
      <c r="FJ31" s="351"/>
      <c r="FK31" s="351"/>
      <c r="FL31" s="351"/>
      <c r="FM31" s="351"/>
      <c r="FN31" s="351"/>
      <c r="FO31" s="351"/>
      <c r="FP31" s="351"/>
      <c r="FQ31" s="351"/>
      <c r="FR31" s="351"/>
      <c r="FS31" s="351"/>
      <c r="FT31" s="351"/>
      <c r="FU31" s="351"/>
      <c r="FV31" s="351"/>
      <c r="FW31" s="351"/>
      <c r="FX31" s="351"/>
      <c r="FY31" s="351"/>
      <c r="FZ31" s="351"/>
      <c r="GA31" s="351"/>
      <c r="GB31" s="351"/>
      <c r="GC31" s="351"/>
      <c r="GD31" s="351"/>
      <c r="GE31" s="351"/>
      <c r="GF31" s="351"/>
      <c r="GG31" s="351"/>
      <c r="GH31" s="351"/>
      <c r="GI31" s="351"/>
      <c r="GJ31" s="351"/>
      <c r="GK31" s="351"/>
      <c r="GL31" s="351"/>
      <c r="GM31" s="351"/>
      <c r="GN31" s="351"/>
      <c r="GO31" s="351"/>
      <c r="GP31" s="351"/>
      <c r="GQ31" s="351"/>
      <c r="GR31" s="351"/>
      <c r="GS31" s="351"/>
      <c r="GT31" s="351"/>
      <c r="GU31" s="351"/>
      <c r="GV31" s="351"/>
      <c r="GW31" s="351"/>
      <c r="GX31" s="351"/>
      <c r="GY31" s="351"/>
      <c r="GZ31" s="351"/>
      <c r="HA31" s="351"/>
      <c r="HB31" s="351"/>
      <c r="HC31" s="351"/>
      <c r="HD31" s="351"/>
      <c r="HE31" s="351"/>
      <c r="HF31" s="351"/>
      <c r="HG31" s="351"/>
      <c r="HH31" s="351"/>
      <c r="HI31" s="351"/>
      <c r="HJ31" s="351"/>
      <c r="HK31" s="351"/>
      <c r="HL31" s="351"/>
      <c r="HM31" s="351"/>
      <c r="HN31" s="351"/>
      <c r="HO31" s="351"/>
      <c r="HP31" s="351"/>
      <c r="HQ31" s="351"/>
      <c r="HR31" s="351"/>
      <c r="HS31" s="351"/>
      <c r="HT31" s="351"/>
      <c r="HU31" s="351"/>
      <c r="HV31" s="351"/>
      <c r="HW31" s="351"/>
      <c r="HX31" s="351"/>
      <c r="HY31" s="351"/>
      <c r="HZ31" s="351"/>
      <c r="IA31" s="351"/>
      <c r="IB31" s="351"/>
      <c r="IC31" s="351"/>
      <c r="ID31" s="351"/>
      <c r="IE31" s="351"/>
      <c r="IF31" s="351"/>
      <c r="IG31" s="351"/>
      <c r="IH31" s="351"/>
      <c r="II31" s="351"/>
      <c r="IJ31" s="351"/>
      <c r="IK31" s="351"/>
      <c r="IL31" s="351"/>
      <c r="IM31" s="351"/>
      <c r="IN31" s="351"/>
      <c r="IO31" s="351"/>
      <c r="IP31" s="351"/>
      <c r="IQ31" s="351"/>
      <c r="IR31" s="351"/>
      <c r="IS31" s="351"/>
      <c r="IT31" s="351"/>
      <c r="IU31" s="351"/>
    </row>
    <row r="32" spans="1:255">
      <c r="A32" s="368"/>
      <c r="B32" s="354" t="s">
        <v>164</v>
      </c>
      <c r="C32" s="355"/>
      <c r="D32" s="370">
        <f t="shared" si="6"/>
        <v>-0.121</v>
      </c>
      <c r="E32" s="365">
        <v>-0.22</v>
      </c>
      <c r="F32" s="358">
        <f t="shared" si="7"/>
        <v>-0.45000000000000007</v>
      </c>
      <c r="G32" s="357"/>
      <c r="H32" s="357"/>
      <c r="I32" s="358"/>
      <c r="J32" s="357"/>
      <c r="K32" s="357"/>
      <c r="L32" s="358"/>
      <c r="M32" s="351"/>
      <c r="N32" s="351"/>
      <c r="O32" s="351"/>
      <c r="P32" s="351"/>
      <c r="Q32" s="351"/>
      <c r="R32" s="352"/>
      <c r="S32" s="351"/>
      <c r="T32" s="351"/>
      <c r="U32" s="351"/>
      <c r="V32" s="351"/>
      <c r="W32" s="351"/>
      <c r="X32" s="351"/>
      <c r="Y32" s="351"/>
      <c r="Z32" s="351"/>
      <c r="AA32" s="351"/>
      <c r="AB32" s="351"/>
      <c r="AC32" s="351"/>
      <c r="AD32" s="351"/>
      <c r="AE32" s="351"/>
      <c r="AF32" s="351"/>
      <c r="AG32" s="351"/>
      <c r="AH32" s="351"/>
      <c r="AI32" s="351"/>
      <c r="AJ32" s="351"/>
      <c r="AK32" s="351"/>
      <c r="AL32" s="351"/>
      <c r="AM32" s="351"/>
      <c r="AN32" s="351"/>
      <c r="AO32" s="351"/>
      <c r="AP32" s="351"/>
      <c r="AQ32" s="351"/>
      <c r="AR32" s="351"/>
      <c r="AS32" s="351"/>
      <c r="AT32" s="351"/>
      <c r="AU32" s="351"/>
      <c r="AV32" s="351"/>
      <c r="AW32" s="351"/>
      <c r="AX32" s="351"/>
      <c r="AY32" s="351"/>
      <c r="AZ32" s="351"/>
      <c r="BA32" s="351"/>
      <c r="BB32" s="351"/>
      <c r="BC32" s="351"/>
      <c r="BD32" s="351"/>
      <c r="BE32" s="351"/>
      <c r="BF32" s="351"/>
      <c r="BG32" s="351"/>
      <c r="BH32" s="351"/>
      <c r="BI32" s="351"/>
      <c r="BJ32" s="351"/>
      <c r="BK32" s="351"/>
      <c r="BL32" s="351"/>
      <c r="BM32" s="351"/>
      <c r="BN32" s="351"/>
      <c r="BO32" s="351"/>
      <c r="BP32" s="351"/>
      <c r="BQ32" s="351"/>
      <c r="BR32" s="351"/>
      <c r="BS32" s="351"/>
      <c r="BT32" s="351"/>
      <c r="BU32" s="351"/>
      <c r="BV32" s="351"/>
      <c r="BW32" s="351"/>
      <c r="BX32" s="351"/>
      <c r="BY32" s="351"/>
      <c r="BZ32" s="351"/>
      <c r="CA32" s="351"/>
      <c r="CB32" s="351"/>
      <c r="CC32" s="351"/>
      <c r="CD32" s="351"/>
      <c r="CE32" s="351"/>
      <c r="CF32" s="351"/>
      <c r="CG32" s="351"/>
      <c r="CH32" s="351"/>
      <c r="CI32" s="351"/>
      <c r="CJ32" s="351"/>
      <c r="CK32" s="351"/>
      <c r="CL32" s="351"/>
      <c r="CM32" s="351"/>
      <c r="CN32" s="351"/>
      <c r="CO32" s="351"/>
      <c r="CP32" s="351"/>
      <c r="CQ32" s="351"/>
      <c r="CR32" s="351"/>
      <c r="CS32" s="351"/>
      <c r="CT32" s="351"/>
      <c r="CU32" s="351"/>
      <c r="CV32" s="351"/>
      <c r="CW32" s="351"/>
      <c r="CX32" s="351"/>
      <c r="CY32" s="351"/>
      <c r="CZ32" s="351"/>
      <c r="DA32" s="351"/>
      <c r="DB32" s="351"/>
      <c r="DC32" s="351"/>
      <c r="DD32" s="351"/>
      <c r="DE32" s="351"/>
      <c r="DF32" s="351"/>
      <c r="DG32" s="351"/>
      <c r="DH32" s="351"/>
      <c r="DI32" s="351"/>
      <c r="DJ32" s="351"/>
      <c r="DK32" s="351"/>
      <c r="DL32" s="351"/>
      <c r="DM32" s="351"/>
      <c r="DN32" s="351"/>
      <c r="DO32" s="351"/>
      <c r="DP32" s="351"/>
      <c r="DQ32" s="351"/>
      <c r="DR32" s="351"/>
      <c r="DS32" s="351"/>
      <c r="DT32" s="351"/>
      <c r="DU32" s="351"/>
      <c r="DV32" s="351"/>
      <c r="DW32" s="351"/>
      <c r="DX32" s="351"/>
      <c r="DY32" s="351"/>
      <c r="DZ32" s="351"/>
      <c r="EA32" s="351"/>
      <c r="EB32" s="351"/>
      <c r="EC32" s="351"/>
      <c r="ED32" s="351"/>
      <c r="EE32" s="351"/>
      <c r="EF32" s="351"/>
      <c r="EG32" s="351"/>
      <c r="EH32" s="351"/>
      <c r="EI32" s="351"/>
      <c r="EJ32" s="351"/>
      <c r="EK32" s="351"/>
      <c r="EL32" s="351"/>
      <c r="EM32" s="351"/>
      <c r="EN32" s="351"/>
      <c r="EO32" s="351"/>
      <c r="EP32" s="351"/>
      <c r="EQ32" s="351"/>
      <c r="ER32" s="351"/>
      <c r="ES32" s="351"/>
      <c r="ET32" s="351"/>
      <c r="EU32" s="351"/>
      <c r="EV32" s="351"/>
      <c r="EW32" s="351"/>
      <c r="EX32" s="351"/>
      <c r="EY32" s="351"/>
      <c r="EZ32" s="351"/>
      <c r="FA32" s="351"/>
      <c r="FB32" s="351"/>
      <c r="FC32" s="351"/>
      <c r="FD32" s="351"/>
      <c r="FE32" s="351"/>
      <c r="FF32" s="351"/>
      <c r="FG32" s="351"/>
      <c r="FH32" s="351"/>
      <c r="FI32" s="351"/>
      <c r="FJ32" s="351"/>
      <c r="FK32" s="351"/>
      <c r="FL32" s="351"/>
      <c r="FM32" s="351"/>
      <c r="FN32" s="351"/>
      <c r="FO32" s="351"/>
      <c r="FP32" s="351"/>
      <c r="FQ32" s="351"/>
      <c r="FR32" s="351"/>
      <c r="FS32" s="351"/>
      <c r="FT32" s="351"/>
      <c r="FU32" s="351"/>
      <c r="FV32" s="351"/>
      <c r="FW32" s="351"/>
      <c r="FX32" s="351"/>
      <c r="FY32" s="351"/>
      <c r="FZ32" s="351"/>
      <c r="GA32" s="351"/>
      <c r="GB32" s="351"/>
      <c r="GC32" s="351"/>
      <c r="GD32" s="351"/>
      <c r="GE32" s="351"/>
      <c r="GF32" s="351"/>
      <c r="GG32" s="351"/>
      <c r="GH32" s="351"/>
      <c r="GI32" s="351"/>
      <c r="GJ32" s="351"/>
      <c r="GK32" s="351"/>
      <c r="GL32" s="351"/>
      <c r="GM32" s="351"/>
      <c r="GN32" s="351"/>
      <c r="GO32" s="351"/>
      <c r="GP32" s="351"/>
      <c r="GQ32" s="351"/>
      <c r="GR32" s="351"/>
      <c r="GS32" s="351"/>
      <c r="GT32" s="351"/>
      <c r="GU32" s="351"/>
      <c r="GV32" s="351"/>
      <c r="GW32" s="351"/>
      <c r="GX32" s="351"/>
      <c r="GY32" s="351"/>
      <c r="GZ32" s="351"/>
      <c r="HA32" s="351"/>
      <c r="HB32" s="351"/>
      <c r="HC32" s="351"/>
      <c r="HD32" s="351"/>
      <c r="HE32" s="351"/>
      <c r="HF32" s="351"/>
      <c r="HG32" s="351"/>
      <c r="HH32" s="351"/>
      <c r="HI32" s="351"/>
      <c r="HJ32" s="351"/>
      <c r="HK32" s="351"/>
      <c r="HL32" s="351"/>
      <c r="HM32" s="351"/>
      <c r="HN32" s="351"/>
      <c r="HO32" s="351"/>
      <c r="HP32" s="351"/>
      <c r="HQ32" s="351"/>
      <c r="HR32" s="351"/>
      <c r="HS32" s="351"/>
      <c r="HT32" s="351"/>
      <c r="HU32" s="351"/>
      <c r="HV32" s="351"/>
      <c r="HW32" s="351"/>
      <c r="HX32" s="351"/>
      <c r="HY32" s="351"/>
      <c r="HZ32" s="351"/>
      <c r="IA32" s="351"/>
      <c r="IB32" s="351"/>
      <c r="IC32" s="351"/>
      <c r="ID32" s="351"/>
      <c r="IE32" s="351"/>
      <c r="IF32" s="351"/>
      <c r="IG32" s="351"/>
      <c r="IH32" s="351"/>
      <c r="II32" s="351"/>
      <c r="IJ32" s="351"/>
      <c r="IK32" s="351"/>
      <c r="IL32" s="351"/>
      <c r="IM32" s="351"/>
      <c r="IN32" s="351"/>
      <c r="IO32" s="351"/>
      <c r="IP32" s="351"/>
      <c r="IQ32" s="351"/>
      <c r="IR32" s="351"/>
      <c r="IS32" s="351"/>
      <c r="IT32" s="351"/>
      <c r="IU32" s="351"/>
    </row>
    <row r="33" spans="1:255">
      <c r="A33" s="368"/>
      <c r="B33" s="354" t="s">
        <v>165</v>
      </c>
      <c r="C33" s="355"/>
      <c r="D33" s="370">
        <f t="shared" si="6"/>
        <v>-0.159</v>
      </c>
      <c r="E33" s="365">
        <v>-0.28999999999999998</v>
      </c>
      <c r="F33" s="358">
        <f t="shared" si="7"/>
        <v>-0.45172413793103439</v>
      </c>
      <c r="G33" s="357"/>
      <c r="H33" s="357"/>
      <c r="I33" s="358"/>
      <c r="J33" s="357"/>
      <c r="K33" s="357"/>
      <c r="L33" s="358"/>
      <c r="M33" s="351"/>
      <c r="N33" s="351"/>
      <c r="O33" s="351"/>
      <c r="P33" s="351"/>
      <c r="Q33" s="351"/>
      <c r="R33" s="352"/>
      <c r="S33" s="351"/>
      <c r="T33" s="351"/>
      <c r="U33" s="351"/>
      <c r="V33" s="351"/>
      <c r="W33" s="351"/>
      <c r="X33" s="351"/>
      <c r="Y33" s="351"/>
      <c r="Z33" s="351"/>
      <c r="AA33" s="351"/>
      <c r="AB33" s="351"/>
      <c r="AC33" s="351"/>
      <c r="AD33" s="351"/>
      <c r="AE33" s="351"/>
      <c r="AF33" s="351"/>
      <c r="AG33" s="351"/>
      <c r="AH33" s="351"/>
      <c r="AI33" s="351"/>
      <c r="AJ33" s="351"/>
      <c r="AK33" s="351"/>
      <c r="AL33" s="351"/>
      <c r="AM33" s="351"/>
      <c r="AN33" s="351"/>
      <c r="AO33" s="351"/>
      <c r="AP33" s="351"/>
      <c r="AQ33" s="351"/>
      <c r="AR33" s="351"/>
      <c r="AS33" s="351"/>
      <c r="AT33" s="351"/>
      <c r="AU33" s="351"/>
      <c r="AV33" s="351"/>
      <c r="AW33" s="351"/>
      <c r="AX33" s="351"/>
      <c r="AY33" s="351"/>
      <c r="AZ33" s="351"/>
      <c r="BA33" s="351"/>
      <c r="BB33" s="351"/>
      <c r="BC33" s="351"/>
      <c r="BD33" s="351"/>
      <c r="BE33" s="351"/>
      <c r="BF33" s="351"/>
      <c r="BG33" s="351"/>
      <c r="BH33" s="351"/>
      <c r="BI33" s="351"/>
      <c r="BJ33" s="351"/>
      <c r="BK33" s="351"/>
      <c r="BL33" s="351"/>
      <c r="BM33" s="351"/>
      <c r="BN33" s="351"/>
      <c r="BO33" s="351"/>
      <c r="BP33" s="351"/>
      <c r="BQ33" s="351"/>
      <c r="BR33" s="351"/>
      <c r="BS33" s="351"/>
      <c r="BT33" s="351"/>
      <c r="BU33" s="351"/>
      <c r="BV33" s="351"/>
      <c r="BW33" s="351"/>
      <c r="BX33" s="351"/>
      <c r="BY33" s="351"/>
      <c r="BZ33" s="351"/>
      <c r="CA33" s="351"/>
      <c r="CB33" s="351"/>
      <c r="CC33" s="351"/>
      <c r="CD33" s="351"/>
      <c r="CE33" s="351"/>
      <c r="CF33" s="351"/>
      <c r="CG33" s="351"/>
      <c r="CH33" s="351"/>
      <c r="CI33" s="351"/>
      <c r="CJ33" s="351"/>
      <c r="CK33" s="351"/>
      <c r="CL33" s="351"/>
      <c r="CM33" s="351"/>
      <c r="CN33" s="351"/>
      <c r="CO33" s="351"/>
      <c r="CP33" s="351"/>
      <c r="CQ33" s="351"/>
      <c r="CR33" s="351"/>
      <c r="CS33" s="351"/>
      <c r="CT33" s="351"/>
      <c r="CU33" s="351"/>
      <c r="CV33" s="351"/>
      <c r="CW33" s="351"/>
      <c r="CX33" s="351"/>
      <c r="CY33" s="351"/>
      <c r="CZ33" s="351"/>
      <c r="DA33" s="351"/>
      <c r="DB33" s="351"/>
      <c r="DC33" s="351"/>
      <c r="DD33" s="351"/>
      <c r="DE33" s="351"/>
      <c r="DF33" s="351"/>
      <c r="DG33" s="351"/>
      <c r="DH33" s="351"/>
      <c r="DI33" s="351"/>
      <c r="DJ33" s="351"/>
      <c r="DK33" s="351"/>
      <c r="DL33" s="351"/>
      <c r="DM33" s="351"/>
      <c r="DN33" s="351"/>
      <c r="DO33" s="351"/>
      <c r="DP33" s="351"/>
      <c r="DQ33" s="351"/>
      <c r="DR33" s="351"/>
      <c r="DS33" s="351"/>
      <c r="DT33" s="351"/>
      <c r="DU33" s="351"/>
      <c r="DV33" s="351"/>
      <c r="DW33" s="351"/>
      <c r="DX33" s="351"/>
      <c r="DY33" s="351"/>
      <c r="DZ33" s="351"/>
      <c r="EA33" s="351"/>
      <c r="EB33" s="351"/>
      <c r="EC33" s="351"/>
      <c r="ED33" s="351"/>
      <c r="EE33" s="351"/>
      <c r="EF33" s="351"/>
      <c r="EG33" s="351"/>
      <c r="EH33" s="351"/>
      <c r="EI33" s="351"/>
      <c r="EJ33" s="351"/>
      <c r="EK33" s="351"/>
      <c r="EL33" s="351"/>
      <c r="EM33" s="351"/>
      <c r="EN33" s="351"/>
      <c r="EO33" s="351"/>
      <c r="EP33" s="351"/>
      <c r="EQ33" s="351"/>
      <c r="ER33" s="351"/>
      <c r="ES33" s="351"/>
      <c r="ET33" s="351"/>
      <c r="EU33" s="351"/>
      <c r="EV33" s="351"/>
      <c r="EW33" s="351"/>
      <c r="EX33" s="351"/>
      <c r="EY33" s="351"/>
      <c r="EZ33" s="351"/>
      <c r="FA33" s="351"/>
      <c r="FB33" s="351"/>
      <c r="FC33" s="351"/>
      <c r="FD33" s="351"/>
      <c r="FE33" s="351"/>
      <c r="FF33" s="351"/>
      <c r="FG33" s="351"/>
      <c r="FH33" s="351"/>
      <c r="FI33" s="351"/>
      <c r="FJ33" s="351"/>
      <c r="FK33" s="351"/>
      <c r="FL33" s="351"/>
      <c r="FM33" s="351"/>
      <c r="FN33" s="351"/>
      <c r="FO33" s="351"/>
      <c r="FP33" s="351"/>
      <c r="FQ33" s="351"/>
      <c r="FR33" s="351"/>
      <c r="FS33" s="351"/>
      <c r="FT33" s="351"/>
      <c r="FU33" s="351"/>
      <c r="FV33" s="351"/>
      <c r="FW33" s="351"/>
      <c r="FX33" s="351"/>
      <c r="FY33" s="351"/>
      <c r="FZ33" s="351"/>
      <c r="GA33" s="351"/>
      <c r="GB33" s="351"/>
      <c r="GC33" s="351"/>
      <c r="GD33" s="351"/>
      <c r="GE33" s="351"/>
      <c r="GF33" s="351"/>
      <c r="GG33" s="351"/>
      <c r="GH33" s="351"/>
      <c r="GI33" s="351"/>
      <c r="GJ33" s="351"/>
      <c r="GK33" s="351"/>
      <c r="GL33" s="351"/>
      <c r="GM33" s="351"/>
      <c r="GN33" s="351"/>
      <c r="GO33" s="351"/>
      <c r="GP33" s="351"/>
      <c r="GQ33" s="351"/>
      <c r="GR33" s="351"/>
      <c r="GS33" s="351"/>
      <c r="GT33" s="351"/>
      <c r="GU33" s="351"/>
      <c r="GV33" s="351"/>
      <c r="GW33" s="351"/>
      <c r="GX33" s="351"/>
      <c r="GY33" s="351"/>
      <c r="GZ33" s="351"/>
      <c r="HA33" s="351"/>
      <c r="HB33" s="351"/>
      <c r="HC33" s="351"/>
      <c r="HD33" s="351"/>
      <c r="HE33" s="351"/>
      <c r="HF33" s="351"/>
      <c r="HG33" s="351"/>
      <c r="HH33" s="351"/>
      <c r="HI33" s="351"/>
      <c r="HJ33" s="351"/>
      <c r="HK33" s="351"/>
      <c r="HL33" s="351"/>
      <c r="HM33" s="351"/>
      <c r="HN33" s="351"/>
      <c r="HO33" s="351"/>
      <c r="HP33" s="351"/>
      <c r="HQ33" s="351"/>
      <c r="HR33" s="351"/>
      <c r="HS33" s="351"/>
      <c r="HT33" s="351"/>
      <c r="HU33" s="351"/>
      <c r="HV33" s="351"/>
      <c r="HW33" s="351"/>
      <c r="HX33" s="351"/>
      <c r="HY33" s="351"/>
      <c r="HZ33" s="351"/>
      <c r="IA33" s="351"/>
      <c r="IB33" s="351"/>
      <c r="IC33" s="351"/>
      <c r="ID33" s="351"/>
      <c r="IE33" s="351"/>
      <c r="IF33" s="351"/>
      <c r="IG33" s="351"/>
      <c r="IH33" s="351"/>
      <c r="II33" s="351"/>
      <c r="IJ33" s="351"/>
      <c r="IK33" s="351"/>
      <c r="IL33" s="351"/>
      <c r="IM33" s="351"/>
      <c r="IN33" s="351"/>
      <c r="IO33" s="351"/>
      <c r="IP33" s="351"/>
      <c r="IQ33" s="351"/>
      <c r="IR33" s="351"/>
      <c r="IS33" s="351"/>
      <c r="IT33" s="351"/>
      <c r="IU33" s="351"/>
    </row>
    <row r="34" spans="1:255">
      <c r="A34" s="368"/>
      <c r="B34" s="354" t="s">
        <v>166</v>
      </c>
      <c r="C34" s="355"/>
      <c r="D34" s="370">
        <f t="shared" si="6"/>
        <v>-0.24099999999999999</v>
      </c>
      <c r="E34" s="365">
        <v>-0.44</v>
      </c>
      <c r="F34" s="358">
        <f t="shared" si="7"/>
        <v>-0.45227272727272727</v>
      </c>
      <c r="G34" s="357"/>
      <c r="H34" s="357"/>
      <c r="I34" s="358"/>
      <c r="J34" s="357"/>
      <c r="K34" s="357"/>
      <c r="L34" s="358"/>
      <c r="M34" s="351"/>
      <c r="N34" s="351"/>
      <c r="O34" s="351"/>
      <c r="P34" s="351"/>
      <c r="Q34" s="351"/>
      <c r="R34" s="352"/>
      <c r="S34" s="351"/>
      <c r="T34" s="351"/>
      <c r="U34" s="351"/>
      <c r="V34" s="351"/>
      <c r="W34" s="351"/>
      <c r="X34" s="351"/>
      <c r="Y34" s="351"/>
      <c r="Z34" s="351"/>
      <c r="AA34" s="351"/>
      <c r="AB34" s="351"/>
      <c r="AC34" s="351"/>
      <c r="AD34" s="351"/>
      <c r="AE34" s="351"/>
      <c r="AF34" s="351"/>
      <c r="AG34" s="351"/>
      <c r="AH34" s="351"/>
      <c r="AI34" s="351"/>
      <c r="AJ34" s="351"/>
      <c r="AK34" s="351"/>
      <c r="AL34" s="351"/>
      <c r="AM34" s="351"/>
      <c r="AN34" s="351"/>
      <c r="AO34" s="351"/>
      <c r="AP34" s="351"/>
      <c r="AQ34" s="351"/>
      <c r="AR34" s="351"/>
      <c r="AS34" s="351"/>
      <c r="AT34" s="351"/>
      <c r="AU34" s="351"/>
      <c r="AV34" s="351"/>
      <c r="AW34" s="351"/>
      <c r="AX34" s="351"/>
      <c r="AY34" s="351"/>
      <c r="AZ34" s="351"/>
      <c r="BA34" s="351"/>
      <c r="BB34" s="351"/>
      <c r="BC34" s="351"/>
      <c r="BD34" s="351"/>
      <c r="BE34" s="351"/>
      <c r="BF34" s="351"/>
      <c r="BG34" s="351"/>
      <c r="BH34" s="351"/>
      <c r="BI34" s="351"/>
      <c r="BJ34" s="351"/>
      <c r="BK34" s="351"/>
      <c r="BL34" s="351"/>
      <c r="BM34" s="351"/>
      <c r="BN34" s="351"/>
      <c r="BO34" s="351"/>
      <c r="BP34" s="351"/>
      <c r="BQ34" s="351"/>
      <c r="BR34" s="351"/>
      <c r="BS34" s="351"/>
      <c r="BT34" s="351"/>
      <c r="BU34" s="351"/>
      <c r="BV34" s="351"/>
      <c r="BW34" s="351"/>
      <c r="BX34" s="351"/>
      <c r="BY34" s="351"/>
      <c r="BZ34" s="351"/>
      <c r="CA34" s="351"/>
      <c r="CB34" s="351"/>
      <c r="CC34" s="351"/>
      <c r="CD34" s="351"/>
      <c r="CE34" s="351"/>
      <c r="CF34" s="351"/>
      <c r="CG34" s="351"/>
      <c r="CH34" s="351"/>
      <c r="CI34" s="351"/>
      <c r="CJ34" s="351"/>
      <c r="CK34" s="351"/>
      <c r="CL34" s="351"/>
      <c r="CM34" s="351"/>
      <c r="CN34" s="351"/>
      <c r="CO34" s="351"/>
      <c r="CP34" s="351"/>
      <c r="CQ34" s="351"/>
      <c r="CR34" s="351"/>
      <c r="CS34" s="351"/>
      <c r="CT34" s="351"/>
      <c r="CU34" s="351"/>
      <c r="CV34" s="351"/>
      <c r="CW34" s="351"/>
      <c r="CX34" s="351"/>
      <c r="CY34" s="351"/>
      <c r="CZ34" s="351"/>
      <c r="DA34" s="351"/>
      <c r="DB34" s="351"/>
      <c r="DC34" s="351"/>
      <c r="DD34" s="351"/>
      <c r="DE34" s="351"/>
      <c r="DF34" s="351"/>
      <c r="DG34" s="351"/>
      <c r="DH34" s="351"/>
      <c r="DI34" s="351"/>
      <c r="DJ34" s="351"/>
      <c r="DK34" s="351"/>
      <c r="DL34" s="351"/>
      <c r="DM34" s="351"/>
      <c r="DN34" s="351"/>
      <c r="DO34" s="351"/>
      <c r="DP34" s="351"/>
      <c r="DQ34" s="351"/>
      <c r="DR34" s="351"/>
      <c r="DS34" s="351"/>
      <c r="DT34" s="351"/>
      <c r="DU34" s="351"/>
      <c r="DV34" s="351"/>
      <c r="DW34" s="351"/>
      <c r="DX34" s="351"/>
      <c r="DY34" s="351"/>
      <c r="DZ34" s="351"/>
      <c r="EA34" s="351"/>
      <c r="EB34" s="351"/>
      <c r="EC34" s="351"/>
      <c r="ED34" s="351"/>
      <c r="EE34" s="351"/>
      <c r="EF34" s="351"/>
      <c r="EG34" s="351"/>
      <c r="EH34" s="351"/>
      <c r="EI34" s="351"/>
      <c r="EJ34" s="351"/>
      <c r="EK34" s="351"/>
      <c r="EL34" s="351"/>
      <c r="EM34" s="351"/>
      <c r="EN34" s="351"/>
      <c r="EO34" s="351"/>
      <c r="EP34" s="351"/>
      <c r="EQ34" s="351"/>
      <c r="ER34" s="351"/>
      <c r="ES34" s="351"/>
      <c r="ET34" s="351"/>
      <c r="EU34" s="351"/>
      <c r="EV34" s="351"/>
      <c r="EW34" s="351"/>
      <c r="EX34" s="351"/>
      <c r="EY34" s="351"/>
      <c r="EZ34" s="351"/>
      <c r="FA34" s="351"/>
      <c r="FB34" s="351"/>
      <c r="FC34" s="351"/>
      <c r="FD34" s="351"/>
      <c r="FE34" s="351"/>
      <c r="FF34" s="351"/>
      <c r="FG34" s="351"/>
      <c r="FH34" s="351"/>
      <c r="FI34" s="351"/>
      <c r="FJ34" s="351"/>
      <c r="FK34" s="351"/>
      <c r="FL34" s="351"/>
      <c r="FM34" s="351"/>
      <c r="FN34" s="351"/>
      <c r="FO34" s="351"/>
      <c r="FP34" s="351"/>
      <c r="FQ34" s="351"/>
      <c r="FR34" s="351"/>
      <c r="FS34" s="351"/>
      <c r="FT34" s="351"/>
      <c r="FU34" s="351"/>
      <c r="FV34" s="351"/>
      <c r="FW34" s="351"/>
      <c r="FX34" s="351"/>
      <c r="FY34" s="351"/>
      <c r="FZ34" s="351"/>
      <c r="GA34" s="351"/>
      <c r="GB34" s="351"/>
      <c r="GC34" s="351"/>
      <c r="GD34" s="351"/>
      <c r="GE34" s="351"/>
      <c r="GF34" s="351"/>
      <c r="GG34" s="351"/>
      <c r="GH34" s="351"/>
      <c r="GI34" s="351"/>
      <c r="GJ34" s="351"/>
      <c r="GK34" s="351"/>
      <c r="GL34" s="351"/>
      <c r="GM34" s="351"/>
      <c r="GN34" s="351"/>
      <c r="GO34" s="351"/>
      <c r="GP34" s="351"/>
      <c r="GQ34" s="351"/>
      <c r="GR34" s="351"/>
      <c r="GS34" s="351"/>
      <c r="GT34" s="351"/>
      <c r="GU34" s="351"/>
      <c r="GV34" s="351"/>
      <c r="GW34" s="351"/>
      <c r="GX34" s="351"/>
      <c r="GY34" s="351"/>
      <c r="GZ34" s="351"/>
      <c r="HA34" s="351"/>
      <c r="HB34" s="351"/>
      <c r="HC34" s="351"/>
      <c r="HD34" s="351"/>
      <c r="HE34" s="351"/>
      <c r="HF34" s="351"/>
      <c r="HG34" s="351"/>
      <c r="HH34" s="351"/>
      <c r="HI34" s="351"/>
      <c r="HJ34" s="351"/>
      <c r="HK34" s="351"/>
      <c r="HL34" s="351"/>
      <c r="HM34" s="351"/>
      <c r="HN34" s="351"/>
      <c r="HO34" s="351"/>
      <c r="HP34" s="351"/>
      <c r="HQ34" s="351"/>
      <c r="HR34" s="351"/>
      <c r="HS34" s="351"/>
      <c r="HT34" s="351"/>
      <c r="HU34" s="351"/>
      <c r="HV34" s="351"/>
      <c r="HW34" s="351"/>
      <c r="HX34" s="351"/>
      <c r="HY34" s="351"/>
      <c r="HZ34" s="351"/>
      <c r="IA34" s="351"/>
      <c r="IB34" s="351"/>
      <c r="IC34" s="351"/>
      <c r="ID34" s="351"/>
      <c r="IE34" s="351"/>
      <c r="IF34" s="351"/>
      <c r="IG34" s="351"/>
      <c r="IH34" s="351"/>
      <c r="II34" s="351"/>
      <c r="IJ34" s="351"/>
      <c r="IK34" s="351"/>
      <c r="IL34" s="351"/>
      <c r="IM34" s="351"/>
      <c r="IN34" s="351"/>
      <c r="IO34" s="351"/>
      <c r="IP34" s="351"/>
      <c r="IQ34" s="351"/>
      <c r="IR34" s="351"/>
      <c r="IS34" s="351"/>
      <c r="IT34" s="351"/>
      <c r="IU34" s="351"/>
    </row>
    <row r="35" spans="1:255">
      <c r="A35" s="368"/>
      <c r="B35" s="354" t="s">
        <v>167</v>
      </c>
      <c r="C35" s="355"/>
      <c r="D35" s="370">
        <f t="shared" si="6"/>
        <v>-0.318</v>
      </c>
      <c r="E35" s="365">
        <v>-0.57999999999999996</v>
      </c>
      <c r="F35" s="358">
        <f t="shared" si="7"/>
        <v>-0.45172413793103439</v>
      </c>
      <c r="G35" s="357"/>
      <c r="H35" s="357"/>
      <c r="I35" s="358"/>
      <c r="J35" s="357"/>
      <c r="K35" s="357"/>
      <c r="L35" s="358"/>
      <c r="M35" s="351"/>
      <c r="N35" s="351"/>
      <c r="O35" s="351"/>
      <c r="P35" s="351"/>
      <c r="Q35" s="351"/>
      <c r="R35" s="352"/>
      <c r="S35" s="351"/>
      <c r="T35" s="351"/>
      <c r="U35" s="351"/>
      <c r="V35" s="351"/>
      <c r="W35" s="351"/>
      <c r="X35" s="351"/>
      <c r="Y35" s="351"/>
      <c r="Z35" s="351"/>
      <c r="AA35" s="351"/>
      <c r="AB35" s="351"/>
      <c r="AC35" s="351"/>
      <c r="AD35" s="351"/>
      <c r="AE35" s="351"/>
      <c r="AF35" s="351"/>
      <c r="AG35" s="351"/>
      <c r="AH35" s="351"/>
      <c r="AI35" s="351"/>
      <c r="AJ35" s="351"/>
      <c r="AK35" s="351"/>
      <c r="AL35" s="351"/>
      <c r="AM35" s="351"/>
      <c r="AN35" s="351"/>
      <c r="AO35" s="351"/>
      <c r="AP35" s="351"/>
      <c r="AQ35" s="351"/>
      <c r="AR35" s="351"/>
      <c r="AS35" s="351"/>
      <c r="AT35" s="351"/>
      <c r="AU35" s="351"/>
      <c r="AV35" s="351"/>
      <c r="AW35" s="351"/>
      <c r="AX35" s="351"/>
      <c r="AY35" s="351"/>
      <c r="AZ35" s="351"/>
      <c r="BA35" s="351"/>
      <c r="BB35" s="351"/>
      <c r="BC35" s="351"/>
      <c r="BD35" s="351"/>
      <c r="BE35" s="351"/>
      <c r="BF35" s="351"/>
      <c r="BG35" s="351"/>
      <c r="BH35" s="351"/>
      <c r="BI35" s="351"/>
      <c r="BJ35" s="351"/>
      <c r="BK35" s="351"/>
      <c r="BL35" s="351"/>
      <c r="BM35" s="351"/>
      <c r="BN35" s="351"/>
      <c r="BO35" s="351"/>
      <c r="BP35" s="351"/>
      <c r="BQ35" s="351"/>
      <c r="BR35" s="351"/>
      <c r="BS35" s="351"/>
      <c r="BT35" s="351"/>
      <c r="BU35" s="351"/>
      <c r="BV35" s="351"/>
      <c r="BW35" s="351"/>
      <c r="BX35" s="351"/>
      <c r="BY35" s="351"/>
      <c r="BZ35" s="351"/>
      <c r="CA35" s="351"/>
      <c r="CB35" s="351"/>
      <c r="CC35" s="351"/>
      <c r="CD35" s="351"/>
      <c r="CE35" s="351"/>
      <c r="CF35" s="351"/>
      <c r="CG35" s="351"/>
      <c r="CH35" s="351"/>
      <c r="CI35" s="351"/>
      <c r="CJ35" s="351"/>
      <c r="CK35" s="351"/>
      <c r="CL35" s="351"/>
      <c r="CM35" s="351"/>
      <c r="CN35" s="351"/>
      <c r="CO35" s="351"/>
      <c r="CP35" s="351"/>
      <c r="CQ35" s="351"/>
      <c r="CR35" s="351"/>
      <c r="CS35" s="351"/>
      <c r="CT35" s="351"/>
      <c r="CU35" s="351"/>
      <c r="CV35" s="351"/>
      <c r="CW35" s="351"/>
      <c r="CX35" s="351"/>
      <c r="CY35" s="351"/>
      <c r="CZ35" s="351"/>
      <c r="DA35" s="351"/>
      <c r="DB35" s="351"/>
      <c r="DC35" s="351"/>
      <c r="DD35" s="351"/>
      <c r="DE35" s="351"/>
      <c r="DF35" s="351"/>
      <c r="DG35" s="351"/>
      <c r="DH35" s="351"/>
      <c r="DI35" s="351"/>
      <c r="DJ35" s="351"/>
      <c r="DK35" s="351"/>
      <c r="DL35" s="351"/>
      <c r="DM35" s="351"/>
      <c r="DN35" s="351"/>
      <c r="DO35" s="351"/>
      <c r="DP35" s="351"/>
      <c r="DQ35" s="351"/>
      <c r="DR35" s="351"/>
      <c r="DS35" s="351"/>
      <c r="DT35" s="351"/>
      <c r="DU35" s="351"/>
      <c r="DV35" s="351"/>
      <c r="DW35" s="351"/>
      <c r="DX35" s="351"/>
      <c r="DY35" s="351"/>
      <c r="DZ35" s="351"/>
      <c r="EA35" s="351"/>
      <c r="EB35" s="351"/>
      <c r="EC35" s="351"/>
      <c r="ED35" s="351"/>
      <c r="EE35" s="351"/>
      <c r="EF35" s="351"/>
      <c r="EG35" s="351"/>
      <c r="EH35" s="351"/>
      <c r="EI35" s="351"/>
      <c r="EJ35" s="351"/>
      <c r="EK35" s="351"/>
      <c r="EL35" s="351"/>
      <c r="EM35" s="351"/>
      <c r="EN35" s="351"/>
      <c r="EO35" s="351"/>
      <c r="EP35" s="351"/>
      <c r="EQ35" s="351"/>
      <c r="ER35" s="351"/>
      <c r="ES35" s="351"/>
      <c r="ET35" s="351"/>
      <c r="EU35" s="351"/>
      <c r="EV35" s="351"/>
      <c r="EW35" s="351"/>
      <c r="EX35" s="351"/>
      <c r="EY35" s="351"/>
      <c r="EZ35" s="351"/>
      <c r="FA35" s="351"/>
      <c r="FB35" s="351"/>
      <c r="FC35" s="351"/>
      <c r="FD35" s="351"/>
      <c r="FE35" s="351"/>
      <c r="FF35" s="351"/>
      <c r="FG35" s="351"/>
      <c r="FH35" s="351"/>
      <c r="FI35" s="351"/>
      <c r="FJ35" s="351"/>
      <c r="FK35" s="351"/>
      <c r="FL35" s="351"/>
      <c r="FM35" s="351"/>
      <c r="FN35" s="351"/>
      <c r="FO35" s="351"/>
      <c r="FP35" s="351"/>
      <c r="FQ35" s="351"/>
      <c r="FR35" s="351"/>
      <c r="FS35" s="351"/>
      <c r="FT35" s="351"/>
      <c r="FU35" s="351"/>
      <c r="FV35" s="351"/>
      <c r="FW35" s="351"/>
      <c r="FX35" s="351"/>
      <c r="FY35" s="351"/>
      <c r="FZ35" s="351"/>
      <c r="GA35" s="351"/>
      <c r="GB35" s="351"/>
      <c r="GC35" s="351"/>
      <c r="GD35" s="351"/>
      <c r="GE35" s="351"/>
      <c r="GF35" s="351"/>
      <c r="GG35" s="351"/>
      <c r="GH35" s="351"/>
      <c r="GI35" s="351"/>
      <c r="GJ35" s="351"/>
      <c r="GK35" s="351"/>
      <c r="GL35" s="351"/>
      <c r="GM35" s="351"/>
      <c r="GN35" s="351"/>
      <c r="GO35" s="351"/>
      <c r="GP35" s="351"/>
      <c r="GQ35" s="351"/>
      <c r="GR35" s="351"/>
      <c r="GS35" s="351"/>
      <c r="GT35" s="351"/>
      <c r="GU35" s="351"/>
      <c r="GV35" s="351"/>
      <c r="GW35" s="351"/>
      <c r="GX35" s="351"/>
      <c r="GY35" s="351"/>
      <c r="GZ35" s="351"/>
      <c r="HA35" s="351"/>
      <c r="HB35" s="351"/>
      <c r="HC35" s="351"/>
      <c r="HD35" s="351"/>
      <c r="HE35" s="351"/>
      <c r="HF35" s="351"/>
      <c r="HG35" s="351"/>
      <c r="HH35" s="351"/>
      <c r="HI35" s="351"/>
      <c r="HJ35" s="351"/>
      <c r="HK35" s="351"/>
      <c r="HL35" s="351"/>
      <c r="HM35" s="351"/>
      <c r="HN35" s="351"/>
      <c r="HO35" s="351"/>
      <c r="HP35" s="351"/>
      <c r="HQ35" s="351"/>
      <c r="HR35" s="351"/>
      <c r="HS35" s="351"/>
      <c r="HT35" s="351"/>
      <c r="HU35" s="351"/>
      <c r="HV35" s="351"/>
      <c r="HW35" s="351"/>
      <c r="HX35" s="351"/>
      <c r="HY35" s="351"/>
      <c r="HZ35" s="351"/>
      <c r="IA35" s="351"/>
      <c r="IB35" s="351"/>
      <c r="IC35" s="351"/>
      <c r="ID35" s="351"/>
      <c r="IE35" s="351"/>
      <c r="IF35" s="351"/>
      <c r="IG35" s="351"/>
      <c r="IH35" s="351"/>
      <c r="II35" s="351"/>
      <c r="IJ35" s="351"/>
      <c r="IK35" s="351"/>
      <c r="IL35" s="351"/>
      <c r="IM35" s="351"/>
      <c r="IN35" s="351"/>
      <c r="IO35" s="351"/>
      <c r="IP35" s="351"/>
      <c r="IQ35" s="351"/>
      <c r="IR35" s="351"/>
      <c r="IS35" s="351"/>
      <c r="IT35" s="351"/>
      <c r="IU35" s="351"/>
    </row>
    <row r="36" spans="1:255">
      <c r="A36" s="368"/>
      <c r="B36" s="354"/>
      <c r="C36" s="355"/>
      <c r="D36" s="364"/>
      <c r="E36" s="357"/>
      <c r="F36" s="364"/>
      <c r="G36" s="357"/>
      <c r="H36" s="365"/>
      <c r="I36" s="358"/>
      <c r="J36" s="357"/>
      <c r="K36" s="365"/>
      <c r="L36" s="358"/>
      <c r="M36" s="351"/>
      <c r="N36" s="351"/>
      <c r="O36" s="351"/>
      <c r="P36" s="351"/>
      <c r="Q36" s="351"/>
      <c r="R36" s="352"/>
      <c r="S36" s="351"/>
      <c r="T36" s="351"/>
      <c r="U36" s="351"/>
      <c r="V36" s="351"/>
      <c r="W36" s="351"/>
      <c r="X36" s="351"/>
      <c r="Y36" s="351"/>
      <c r="Z36" s="351"/>
      <c r="AA36" s="351"/>
      <c r="AB36" s="351"/>
      <c r="AC36" s="351"/>
      <c r="AD36" s="351"/>
      <c r="AE36" s="351"/>
      <c r="AF36" s="351"/>
      <c r="AG36" s="351"/>
      <c r="AH36" s="351"/>
      <c r="AI36" s="351"/>
      <c r="AJ36" s="351"/>
      <c r="AK36" s="351"/>
      <c r="AL36" s="351"/>
      <c r="AM36" s="351"/>
      <c r="AN36" s="351"/>
      <c r="AO36" s="351"/>
      <c r="AP36" s="351"/>
      <c r="AQ36" s="351"/>
      <c r="AR36" s="351"/>
      <c r="AS36" s="351"/>
      <c r="AT36" s="351"/>
      <c r="AU36" s="351"/>
      <c r="AV36" s="351"/>
      <c r="AW36" s="351"/>
      <c r="AX36" s="351"/>
      <c r="AY36" s="351"/>
      <c r="AZ36" s="351"/>
      <c r="BA36" s="351"/>
      <c r="BB36" s="351"/>
      <c r="BC36" s="351"/>
      <c r="BD36" s="351"/>
      <c r="BE36" s="351"/>
      <c r="BF36" s="351"/>
      <c r="BG36" s="351"/>
      <c r="BH36" s="351"/>
      <c r="BI36" s="351"/>
      <c r="BJ36" s="351"/>
      <c r="BK36" s="351"/>
      <c r="BL36" s="351"/>
      <c r="BM36" s="351"/>
      <c r="BN36" s="351"/>
      <c r="BO36" s="351"/>
      <c r="BP36" s="351"/>
      <c r="BQ36" s="351"/>
      <c r="BR36" s="351"/>
      <c r="BS36" s="351"/>
      <c r="BT36" s="351"/>
      <c r="BU36" s="351"/>
      <c r="BV36" s="351"/>
      <c r="BW36" s="351"/>
      <c r="BX36" s="351"/>
      <c r="BY36" s="351"/>
      <c r="BZ36" s="351"/>
      <c r="CA36" s="351"/>
      <c r="CB36" s="351"/>
      <c r="CC36" s="351"/>
      <c r="CD36" s="351"/>
      <c r="CE36" s="351"/>
      <c r="CF36" s="351"/>
      <c r="CG36" s="351"/>
      <c r="CH36" s="351"/>
      <c r="CI36" s="351"/>
      <c r="CJ36" s="351"/>
      <c r="CK36" s="351"/>
      <c r="CL36" s="351"/>
      <c r="CM36" s="351"/>
      <c r="CN36" s="351"/>
      <c r="CO36" s="351"/>
      <c r="CP36" s="351"/>
      <c r="CQ36" s="351"/>
      <c r="CR36" s="351"/>
      <c r="CS36" s="351"/>
      <c r="CT36" s="351"/>
      <c r="CU36" s="351"/>
      <c r="CV36" s="351"/>
      <c r="CW36" s="351"/>
      <c r="CX36" s="351"/>
      <c r="CY36" s="351"/>
      <c r="CZ36" s="351"/>
      <c r="DA36" s="351"/>
      <c r="DB36" s="351"/>
      <c r="DC36" s="351"/>
      <c r="DD36" s="351"/>
      <c r="DE36" s="351"/>
      <c r="DF36" s="351"/>
      <c r="DG36" s="351"/>
      <c r="DH36" s="351"/>
      <c r="DI36" s="351"/>
      <c r="DJ36" s="351"/>
      <c r="DK36" s="351"/>
      <c r="DL36" s="351"/>
      <c r="DM36" s="351"/>
      <c r="DN36" s="351"/>
      <c r="DO36" s="351"/>
      <c r="DP36" s="351"/>
      <c r="DQ36" s="351"/>
      <c r="DR36" s="351"/>
      <c r="DS36" s="351"/>
      <c r="DT36" s="351"/>
      <c r="DU36" s="351"/>
      <c r="DV36" s="351"/>
      <c r="DW36" s="351"/>
      <c r="DX36" s="351"/>
      <c r="DY36" s="351"/>
      <c r="DZ36" s="351"/>
      <c r="EA36" s="351"/>
      <c r="EB36" s="351"/>
      <c r="EC36" s="351"/>
      <c r="ED36" s="351"/>
      <c r="EE36" s="351"/>
      <c r="EF36" s="351"/>
      <c r="EG36" s="351"/>
      <c r="EH36" s="351"/>
      <c r="EI36" s="351"/>
      <c r="EJ36" s="351"/>
      <c r="EK36" s="351"/>
      <c r="EL36" s="351"/>
      <c r="EM36" s="351"/>
      <c r="EN36" s="351"/>
      <c r="EO36" s="351"/>
      <c r="EP36" s="351"/>
      <c r="EQ36" s="351"/>
      <c r="ER36" s="351"/>
      <c r="ES36" s="351"/>
      <c r="ET36" s="351"/>
      <c r="EU36" s="351"/>
      <c r="EV36" s="351"/>
      <c r="EW36" s="351"/>
      <c r="EX36" s="351"/>
      <c r="EY36" s="351"/>
      <c r="EZ36" s="351"/>
      <c r="FA36" s="351"/>
      <c r="FB36" s="351"/>
      <c r="FC36" s="351"/>
      <c r="FD36" s="351"/>
      <c r="FE36" s="351"/>
      <c r="FF36" s="351"/>
      <c r="FG36" s="351"/>
      <c r="FH36" s="351"/>
      <c r="FI36" s="351"/>
      <c r="FJ36" s="351"/>
      <c r="FK36" s="351"/>
      <c r="FL36" s="351"/>
      <c r="FM36" s="351"/>
      <c r="FN36" s="351"/>
      <c r="FO36" s="351"/>
      <c r="FP36" s="351"/>
      <c r="FQ36" s="351"/>
      <c r="FR36" s="351"/>
      <c r="FS36" s="351"/>
      <c r="FT36" s="351"/>
      <c r="FU36" s="351"/>
      <c r="FV36" s="351"/>
      <c r="FW36" s="351"/>
      <c r="FX36" s="351"/>
      <c r="FY36" s="351"/>
      <c r="FZ36" s="351"/>
      <c r="GA36" s="351"/>
      <c r="GB36" s="351"/>
      <c r="GC36" s="351"/>
      <c r="GD36" s="351"/>
      <c r="GE36" s="351"/>
      <c r="GF36" s="351"/>
      <c r="GG36" s="351"/>
      <c r="GH36" s="351"/>
      <c r="GI36" s="351"/>
      <c r="GJ36" s="351"/>
      <c r="GK36" s="351"/>
      <c r="GL36" s="351"/>
      <c r="GM36" s="351"/>
      <c r="GN36" s="351"/>
      <c r="GO36" s="351"/>
      <c r="GP36" s="351"/>
      <c r="GQ36" s="351"/>
      <c r="GR36" s="351"/>
      <c r="GS36" s="351"/>
      <c r="GT36" s="351"/>
      <c r="GU36" s="351"/>
      <c r="GV36" s="351"/>
      <c r="GW36" s="351"/>
      <c r="GX36" s="351"/>
      <c r="GY36" s="351"/>
      <c r="GZ36" s="351"/>
      <c r="HA36" s="351"/>
      <c r="HB36" s="351"/>
      <c r="HC36" s="351"/>
      <c r="HD36" s="351"/>
      <c r="HE36" s="351"/>
      <c r="HF36" s="351"/>
      <c r="HG36" s="351"/>
      <c r="HH36" s="351"/>
      <c r="HI36" s="351"/>
      <c r="HJ36" s="351"/>
      <c r="HK36" s="351"/>
      <c r="HL36" s="351"/>
      <c r="HM36" s="351"/>
      <c r="HN36" s="351"/>
      <c r="HO36" s="351"/>
      <c r="HP36" s="351"/>
      <c r="HQ36" s="351"/>
      <c r="HR36" s="351"/>
      <c r="HS36" s="351"/>
      <c r="HT36" s="351"/>
      <c r="HU36" s="351"/>
      <c r="HV36" s="351"/>
      <c r="HW36" s="351"/>
      <c r="HX36" s="351"/>
      <c r="HY36" s="351"/>
      <c r="HZ36" s="351"/>
      <c r="IA36" s="351"/>
      <c r="IB36" s="351"/>
      <c r="IC36" s="351"/>
      <c r="ID36" s="351"/>
      <c r="IE36" s="351"/>
      <c r="IF36" s="351"/>
      <c r="IG36" s="351"/>
      <c r="IH36" s="351"/>
      <c r="II36" s="351"/>
      <c r="IJ36" s="351"/>
      <c r="IK36" s="351"/>
      <c r="IL36" s="351"/>
      <c r="IM36" s="351"/>
      <c r="IN36" s="351"/>
      <c r="IO36" s="351"/>
      <c r="IP36" s="351"/>
      <c r="IQ36" s="351"/>
      <c r="IR36" s="351"/>
      <c r="IS36" s="351"/>
      <c r="IT36" s="351"/>
      <c r="IU36" s="351"/>
    </row>
    <row r="37" spans="1:255" ht="15.75">
      <c r="A37" s="363" t="s">
        <v>169</v>
      </c>
      <c r="B37" s="354"/>
      <c r="C37" s="355"/>
      <c r="D37" s="364"/>
      <c r="E37" s="357"/>
      <c r="F37" s="364"/>
      <c r="G37" s="357"/>
      <c r="H37" s="365"/>
      <c r="I37" s="358"/>
      <c r="J37" s="357"/>
      <c r="K37" s="365"/>
      <c r="L37" s="358"/>
      <c r="M37" s="351"/>
      <c r="N37" s="351"/>
      <c r="O37" s="351"/>
      <c r="P37" s="351"/>
      <c r="Q37" s="351"/>
      <c r="R37" s="352"/>
      <c r="S37" s="351"/>
      <c r="T37" s="351"/>
      <c r="U37" s="351"/>
      <c r="V37" s="351"/>
      <c r="W37" s="351"/>
      <c r="X37" s="351"/>
      <c r="Y37" s="351"/>
      <c r="Z37" s="351"/>
      <c r="AA37" s="351"/>
      <c r="AB37" s="351"/>
      <c r="AC37" s="351"/>
      <c r="AD37" s="351"/>
      <c r="AE37" s="351"/>
      <c r="AF37" s="351"/>
      <c r="AG37" s="351"/>
      <c r="AH37" s="351"/>
      <c r="AI37" s="351"/>
      <c r="AJ37" s="351"/>
      <c r="AK37" s="351"/>
      <c r="AL37" s="351"/>
      <c r="AM37" s="351"/>
      <c r="AN37" s="351"/>
      <c r="AO37" s="351"/>
      <c r="AP37" s="351"/>
      <c r="AQ37" s="351"/>
      <c r="AR37" s="351"/>
      <c r="AS37" s="351"/>
      <c r="AT37" s="351"/>
      <c r="AU37" s="351"/>
      <c r="AV37" s="351"/>
      <c r="AW37" s="351"/>
      <c r="AX37" s="351"/>
      <c r="AY37" s="351"/>
      <c r="AZ37" s="351"/>
      <c r="BA37" s="351"/>
      <c r="BB37" s="351"/>
      <c r="BC37" s="351"/>
      <c r="BD37" s="351"/>
      <c r="BE37" s="351"/>
      <c r="BF37" s="351"/>
      <c r="BG37" s="351"/>
      <c r="BH37" s="351"/>
      <c r="BI37" s="351"/>
      <c r="BJ37" s="351"/>
      <c r="BK37" s="351"/>
      <c r="BL37" s="351"/>
      <c r="BM37" s="351"/>
      <c r="BN37" s="351"/>
      <c r="BO37" s="351"/>
      <c r="BP37" s="351"/>
      <c r="BQ37" s="351"/>
      <c r="BR37" s="351"/>
      <c r="BS37" s="351"/>
      <c r="BT37" s="351"/>
      <c r="BU37" s="351"/>
      <c r="BV37" s="351"/>
      <c r="BW37" s="351"/>
      <c r="BX37" s="351"/>
      <c r="BY37" s="351"/>
      <c r="BZ37" s="351"/>
      <c r="CA37" s="351"/>
      <c r="CB37" s="351"/>
      <c r="CC37" s="351"/>
      <c r="CD37" s="351"/>
      <c r="CE37" s="351"/>
      <c r="CF37" s="351"/>
      <c r="CG37" s="351"/>
      <c r="CH37" s="351"/>
      <c r="CI37" s="351"/>
      <c r="CJ37" s="351"/>
      <c r="CK37" s="351"/>
      <c r="CL37" s="351"/>
      <c r="CM37" s="351"/>
      <c r="CN37" s="351"/>
      <c r="CO37" s="351"/>
      <c r="CP37" s="351"/>
      <c r="CQ37" s="351"/>
      <c r="CR37" s="351"/>
      <c r="CS37" s="351"/>
      <c r="CT37" s="351"/>
      <c r="CU37" s="351"/>
      <c r="CV37" s="351"/>
      <c r="CW37" s="351"/>
      <c r="CX37" s="351"/>
      <c r="CY37" s="351"/>
      <c r="CZ37" s="351"/>
      <c r="DA37" s="351"/>
      <c r="DB37" s="351"/>
      <c r="DC37" s="351"/>
      <c r="DD37" s="351"/>
      <c r="DE37" s="351"/>
      <c r="DF37" s="351"/>
      <c r="DG37" s="351"/>
      <c r="DH37" s="351"/>
      <c r="DI37" s="351"/>
      <c r="DJ37" s="351"/>
      <c r="DK37" s="351"/>
      <c r="DL37" s="351"/>
      <c r="DM37" s="351"/>
      <c r="DN37" s="351"/>
      <c r="DO37" s="351"/>
      <c r="DP37" s="351"/>
      <c r="DQ37" s="351"/>
      <c r="DR37" s="351"/>
      <c r="DS37" s="351"/>
      <c r="DT37" s="351"/>
      <c r="DU37" s="351"/>
      <c r="DV37" s="351"/>
      <c r="DW37" s="351"/>
      <c r="DX37" s="351"/>
      <c r="DY37" s="351"/>
      <c r="DZ37" s="351"/>
      <c r="EA37" s="351"/>
      <c r="EB37" s="351"/>
      <c r="EC37" s="351"/>
      <c r="ED37" s="351"/>
      <c r="EE37" s="351"/>
      <c r="EF37" s="351"/>
      <c r="EG37" s="351"/>
      <c r="EH37" s="351"/>
      <c r="EI37" s="351"/>
      <c r="EJ37" s="351"/>
      <c r="EK37" s="351"/>
      <c r="EL37" s="351"/>
      <c r="EM37" s="351"/>
      <c r="EN37" s="351"/>
      <c r="EO37" s="351"/>
      <c r="EP37" s="351"/>
      <c r="EQ37" s="351"/>
      <c r="ER37" s="351"/>
      <c r="ES37" s="351"/>
      <c r="ET37" s="351"/>
      <c r="EU37" s="351"/>
      <c r="EV37" s="351"/>
      <c r="EW37" s="351"/>
      <c r="EX37" s="351"/>
      <c r="EY37" s="351"/>
      <c r="EZ37" s="351"/>
      <c r="FA37" s="351"/>
      <c r="FB37" s="351"/>
      <c r="FC37" s="351"/>
      <c r="FD37" s="351"/>
      <c r="FE37" s="351"/>
      <c r="FF37" s="351"/>
      <c r="FG37" s="351"/>
      <c r="FH37" s="351"/>
      <c r="FI37" s="351"/>
      <c r="FJ37" s="351"/>
      <c r="FK37" s="351"/>
      <c r="FL37" s="351"/>
      <c r="FM37" s="351"/>
      <c r="FN37" s="351"/>
      <c r="FO37" s="351"/>
      <c r="FP37" s="351"/>
      <c r="FQ37" s="351"/>
      <c r="FR37" s="351"/>
      <c r="FS37" s="351"/>
      <c r="FT37" s="351"/>
      <c r="FU37" s="351"/>
      <c r="FV37" s="351"/>
      <c r="FW37" s="351"/>
      <c r="FX37" s="351"/>
      <c r="FY37" s="351"/>
      <c r="FZ37" s="351"/>
      <c r="GA37" s="351"/>
      <c r="GB37" s="351"/>
      <c r="GC37" s="351"/>
      <c r="GD37" s="351"/>
      <c r="GE37" s="351"/>
      <c r="GF37" s="351"/>
      <c r="GG37" s="351"/>
      <c r="GH37" s="351"/>
      <c r="GI37" s="351"/>
      <c r="GJ37" s="351"/>
      <c r="GK37" s="351"/>
      <c r="GL37" s="351"/>
      <c r="GM37" s="351"/>
      <c r="GN37" s="351"/>
      <c r="GO37" s="351"/>
      <c r="GP37" s="351"/>
      <c r="GQ37" s="351"/>
      <c r="GR37" s="351"/>
      <c r="GS37" s="351"/>
      <c r="GT37" s="351"/>
      <c r="GU37" s="351"/>
      <c r="GV37" s="351"/>
      <c r="GW37" s="351"/>
      <c r="GX37" s="351"/>
      <c r="GY37" s="351"/>
      <c r="GZ37" s="351"/>
      <c r="HA37" s="351"/>
      <c r="HB37" s="351"/>
      <c r="HC37" s="351"/>
      <c r="HD37" s="351"/>
      <c r="HE37" s="351"/>
      <c r="HF37" s="351"/>
      <c r="HG37" s="351"/>
      <c r="HH37" s="351"/>
      <c r="HI37" s="351"/>
      <c r="HJ37" s="351"/>
      <c r="HK37" s="351"/>
      <c r="HL37" s="351"/>
      <c r="HM37" s="351"/>
      <c r="HN37" s="351"/>
      <c r="HO37" s="351"/>
      <c r="HP37" s="351"/>
      <c r="HQ37" s="351"/>
      <c r="HR37" s="351"/>
      <c r="HS37" s="351"/>
      <c r="HT37" s="351"/>
      <c r="HU37" s="351"/>
      <c r="HV37" s="351"/>
      <c r="HW37" s="351"/>
      <c r="HX37" s="351"/>
      <c r="HY37" s="351"/>
      <c r="HZ37" s="351"/>
      <c r="IA37" s="351"/>
      <c r="IB37" s="351"/>
      <c r="IC37" s="351"/>
      <c r="ID37" s="351"/>
      <c r="IE37" s="351"/>
      <c r="IF37" s="351"/>
      <c r="IG37" s="351"/>
      <c r="IH37" s="351"/>
      <c r="II37" s="351"/>
      <c r="IJ37" s="351"/>
      <c r="IK37" s="351"/>
      <c r="IL37" s="351"/>
      <c r="IM37" s="351"/>
      <c r="IN37" s="351"/>
      <c r="IO37" s="351"/>
      <c r="IP37" s="351"/>
      <c r="IQ37" s="351"/>
      <c r="IR37" s="351"/>
      <c r="IS37" s="351"/>
      <c r="IT37" s="351"/>
      <c r="IU37" s="351"/>
    </row>
    <row r="38" spans="1:255">
      <c r="A38" s="368"/>
      <c r="B38" s="354" t="s">
        <v>170</v>
      </c>
      <c r="C38" s="355"/>
      <c r="D38" s="364"/>
      <c r="E38" s="357"/>
      <c r="F38" s="364"/>
      <c r="G38" s="371">
        <f>+H38</f>
        <v>-0.01</v>
      </c>
      <c r="H38" s="365">
        <v>-0.01</v>
      </c>
      <c r="I38" s="358">
        <f>-1+G38/H38</f>
        <v>0</v>
      </c>
      <c r="J38" s="356">
        <v>-0.02</v>
      </c>
      <c r="K38" s="357">
        <v>-0.01</v>
      </c>
      <c r="L38" s="358">
        <v>1</v>
      </c>
      <c r="M38" s="351"/>
      <c r="N38" s="351"/>
      <c r="O38" s="351"/>
      <c r="P38" s="351"/>
      <c r="Q38" s="351"/>
      <c r="R38" s="352"/>
      <c r="S38" s="351"/>
      <c r="T38" s="351"/>
      <c r="U38" s="351"/>
      <c r="V38" s="351"/>
      <c r="W38" s="351"/>
      <c r="X38" s="351"/>
      <c r="Y38" s="351"/>
      <c r="Z38" s="351"/>
      <c r="AA38" s="351"/>
      <c r="AB38" s="351"/>
      <c r="AC38" s="351"/>
      <c r="AD38" s="351"/>
      <c r="AE38" s="351"/>
      <c r="AF38" s="351"/>
      <c r="AG38" s="351"/>
      <c r="AH38" s="351"/>
      <c r="AI38" s="351"/>
      <c r="AJ38" s="351"/>
      <c r="AK38" s="351"/>
      <c r="AL38" s="351"/>
      <c r="AM38" s="351"/>
      <c r="AN38" s="351"/>
      <c r="AO38" s="351"/>
      <c r="AP38" s="351"/>
      <c r="AQ38" s="351"/>
      <c r="AR38" s="351"/>
      <c r="AS38" s="351"/>
      <c r="AT38" s="351"/>
      <c r="AU38" s="351"/>
      <c r="AV38" s="351"/>
      <c r="AW38" s="351"/>
      <c r="AX38" s="351"/>
      <c r="AY38" s="351"/>
      <c r="AZ38" s="351"/>
      <c r="BA38" s="351"/>
      <c r="BB38" s="351"/>
      <c r="BC38" s="351"/>
      <c r="BD38" s="351"/>
      <c r="BE38" s="351"/>
      <c r="BF38" s="351"/>
      <c r="BG38" s="351"/>
      <c r="BH38" s="351"/>
      <c r="BI38" s="351"/>
      <c r="BJ38" s="351"/>
      <c r="BK38" s="351"/>
      <c r="BL38" s="351"/>
      <c r="BM38" s="351"/>
      <c r="BN38" s="351"/>
      <c r="BO38" s="351"/>
      <c r="BP38" s="351"/>
      <c r="BQ38" s="351"/>
      <c r="BR38" s="351"/>
      <c r="BS38" s="351"/>
      <c r="BT38" s="351"/>
      <c r="BU38" s="351"/>
      <c r="BV38" s="351"/>
      <c r="BW38" s="351"/>
      <c r="BX38" s="351"/>
      <c r="BY38" s="351"/>
      <c r="BZ38" s="351"/>
      <c r="CA38" s="351"/>
      <c r="CB38" s="351"/>
      <c r="CC38" s="351"/>
      <c r="CD38" s="351"/>
      <c r="CE38" s="351"/>
      <c r="CF38" s="351"/>
      <c r="CG38" s="351"/>
      <c r="CH38" s="351"/>
      <c r="CI38" s="351"/>
      <c r="CJ38" s="351"/>
      <c r="CK38" s="351"/>
      <c r="CL38" s="351"/>
      <c r="CM38" s="351"/>
      <c r="CN38" s="351"/>
      <c r="CO38" s="351"/>
      <c r="CP38" s="351"/>
      <c r="CQ38" s="351"/>
      <c r="CR38" s="351"/>
      <c r="CS38" s="351"/>
      <c r="CT38" s="351"/>
      <c r="CU38" s="351"/>
      <c r="CV38" s="351"/>
      <c r="CW38" s="351"/>
      <c r="CX38" s="351"/>
      <c r="CY38" s="351"/>
      <c r="CZ38" s="351"/>
      <c r="DA38" s="351"/>
      <c r="DB38" s="351"/>
      <c r="DC38" s="351"/>
      <c r="DD38" s="351"/>
      <c r="DE38" s="351"/>
      <c r="DF38" s="351"/>
      <c r="DG38" s="351"/>
      <c r="DH38" s="351"/>
      <c r="DI38" s="351"/>
      <c r="DJ38" s="351"/>
      <c r="DK38" s="351"/>
      <c r="DL38" s="351"/>
      <c r="DM38" s="351"/>
      <c r="DN38" s="351"/>
      <c r="DO38" s="351"/>
      <c r="DP38" s="351"/>
      <c r="DQ38" s="351"/>
      <c r="DR38" s="351"/>
      <c r="DS38" s="351"/>
      <c r="DT38" s="351"/>
      <c r="DU38" s="351"/>
      <c r="DV38" s="351"/>
      <c r="DW38" s="351"/>
      <c r="DX38" s="351"/>
      <c r="DY38" s="351"/>
      <c r="DZ38" s="351"/>
      <c r="EA38" s="351"/>
      <c r="EB38" s="351"/>
      <c r="EC38" s="351"/>
      <c r="ED38" s="351"/>
      <c r="EE38" s="351"/>
      <c r="EF38" s="351"/>
      <c r="EG38" s="351"/>
      <c r="EH38" s="351"/>
      <c r="EI38" s="351"/>
      <c r="EJ38" s="351"/>
      <c r="EK38" s="351"/>
      <c r="EL38" s="351"/>
      <c r="EM38" s="351"/>
      <c r="EN38" s="351"/>
      <c r="EO38" s="351"/>
      <c r="EP38" s="351"/>
      <c r="EQ38" s="351"/>
      <c r="ER38" s="351"/>
      <c r="ES38" s="351"/>
      <c r="ET38" s="351"/>
      <c r="EU38" s="351"/>
      <c r="EV38" s="351"/>
      <c r="EW38" s="351"/>
      <c r="EX38" s="351"/>
      <c r="EY38" s="351"/>
      <c r="EZ38" s="351"/>
      <c r="FA38" s="351"/>
      <c r="FB38" s="351"/>
      <c r="FC38" s="351"/>
      <c r="FD38" s="351"/>
      <c r="FE38" s="351"/>
      <c r="FF38" s="351"/>
      <c r="FG38" s="351"/>
      <c r="FH38" s="351"/>
      <c r="FI38" s="351"/>
      <c r="FJ38" s="351"/>
      <c r="FK38" s="351"/>
      <c r="FL38" s="351"/>
      <c r="FM38" s="351"/>
      <c r="FN38" s="351"/>
      <c r="FO38" s="351"/>
      <c r="FP38" s="351"/>
      <c r="FQ38" s="351"/>
      <c r="FR38" s="351"/>
      <c r="FS38" s="351"/>
      <c r="FT38" s="351"/>
      <c r="FU38" s="351"/>
      <c r="FV38" s="351"/>
      <c r="FW38" s="351"/>
      <c r="FX38" s="351"/>
      <c r="FY38" s="351"/>
      <c r="FZ38" s="351"/>
      <c r="GA38" s="351"/>
      <c r="GB38" s="351"/>
      <c r="GC38" s="351"/>
      <c r="GD38" s="351"/>
      <c r="GE38" s="351"/>
      <c r="GF38" s="351"/>
      <c r="GG38" s="351"/>
      <c r="GH38" s="351"/>
      <c r="GI38" s="351"/>
      <c r="GJ38" s="351"/>
      <c r="GK38" s="351"/>
      <c r="GL38" s="351"/>
      <c r="GM38" s="351"/>
      <c r="GN38" s="351"/>
      <c r="GO38" s="351"/>
      <c r="GP38" s="351"/>
      <c r="GQ38" s="351"/>
      <c r="GR38" s="351"/>
      <c r="GS38" s="351"/>
      <c r="GT38" s="351"/>
      <c r="GU38" s="351"/>
      <c r="GV38" s="351"/>
      <c r="GW38" s="351"/>
      <c r="GX38" s="351"/>
      <c r="GY38" s="351"/>
      <c r="GZ38" s="351"/>
      <c r="HA38" s="351"/>
      <c r="HB38" s="351"/>
      <c r="HC38" s="351"/>
      <c r="HD38" s="351"/>
      <c r="HE38" s="351"/>
      <c r="HF38" s="351"/>
      <c r="HG38" s="351"/>
      <c r="HH38" s="351"/>
      <c r="HI38" s="351"/>
      <c r="HJ38" s="351"/>
      <c r="HK38" s="351"/>
      <c r="HL38" s="351"/>
      <c r="HM38" s="351"/>
      <c r="HN38" s="351"/>
      <c r="HO38" s="351"/>
      <c r="HP38" s="351"/>
      <c r="HQ38" s="351"/>
      <c r="HR38" s="351"/>
      <c r="HS38" s="351"/>
      <c r="HT38" s="351"/>
      <c r="HU38" s="351"/>
      <c r="HV38" s="351"/>
      <c r="HW38" s="351"/>
      <c r="HX38" s="351"/>
      <c r="HY38" s="351"/>
      <c r="HZ38" s="351"/>
      <c r="IA38" s="351"/>
      <c r="IB38" s="351"/>
      <c r="IC38" s="351"/>
      <c r="ID38" s="351"/>
      <c r="IE38" s="351"/>
      <c r="IF38" s="351"/>
      <c r="IG38" s="351"/>
      <c r="IH38" s="351"/>
      <c r="II38" s="351"/>
      <c r="IJ38" s="351"/>
      <c r="IK38" s="351"/>
      <c r="IL38" s="351"/>
      <c r="IM38" s="351"/>
      <c r="IN38" s="351"/>
      <c r="IO38" s="351"/>
      <c r="IP38" s="351"/>
      <c r="IQ38" s="351"/>
      <c r="IR38" s="351"/>
      <c r="IS38" s="351"/>
      <c r="IT38" s="351"/>
      <c r="IU38" s="351"/>
    </row>
    <row r="39" spans="1:255">
      <c r="A39" s="368"/>
      <c r="B39" s="354" t="s">
        <v>171</v>
      </c>
      <c r="C39" s="355"/>
      <c r="D39" s="364"/>
      <c r="E39" s="357"/>
      <c r="F39" s="364"/>
      <c r="G39" s="371">
        <f>+H39</f>
        <v>-0.01</v>
      </c>
      <c r="H39" s="365">
        <v>-0.01</v>
      </c>
      <c r="I39" s="358">
        <f>-1+G39/H39</f>
        <v>0</v>
      </c>
      <c r="J39" s="356">
        <f>+J38</f>
        <v>-0.02</v>
      </c>
      <c r="K39" s="357">
        <v>-0.01</v>
      </c>
      <c r="L39" s="358">
        <v>1</v>
      </c>
      <c r="M39" s="351"/>
      <c r="N39" s="351"/>
      <c r="O39" s="351"/>
      <c r="P39" s="351"/>
      <c r="Q39" s="351"/>
      <c r="R39" s="352"/>
      <c r="S39" s="351"/>
      <c r="T39" s="351"/>
      <c r="U39" s="351"/>
      <c r="V39" s="351"/>
      <c r="W39" s="351"/>
      <c r="X39" s="351"/>
      <c r="Y39" s="351"/>
      <c r="Z39" s="351"/>
      <c r="AA39" s="351"/>
      <c r="AB39" s="351"/>
      <c r="AC39" s="351"/>
      <c r="AD39" s="351"/>
      <c r="AE39" s="351"/>
      <c r="AF39" s="351"/>
      <c r="AG39" s="351"/>
      <c r="AH39" s="351"/>
      <c r="AI39" s="351"/>
      <c r="AJ39" s="351"/>
      <c r="AK39" s="351"/>
      <c r="AL39" s="351"/>
      <c r="AM39" s="351"/>
      <c r="AN39" s="351"/>
      <c r="AO39" s="351"/>
      <c r="AP39" s="351"/>
      <c r="AQ39" s="351"/>
      <c r="AR39" s="351"/>
      <c r="AS39" s="351"/>
      <c r="AT39" s="351"/>
      <c r="AU39" s="351"/>
      <c r="AV39" s="351"/>
      <c r="AW39" s="351"/>
      <c r="AX39" s="351"/>
      <c r="AY39" s="351"/>
      <c r="AZ39" s="351"/>
      <c r="BA39" s="351"/>
      <c r="BB39" s="351"/>
      <c r="BC39" s="351"/>
      <c r="BD39" s="351"/>
      <c r="BE39" s="351"/>
      <c r="BF39" s="351"/>
      <c r="BG39" s="351"/>
      <c r="BH39" s="351"/>
      <c r="BI39" s="351"/>
      <c r="BJ39" s="351"/>
      <c r="BK39" s="351"/>
      <c r="BL39" s="351"/>
      <c r="BM39" s="351"/>
      <c r="BN39" s="351"/>
      <c r="BO39" s="351"/>
      <c r="BP39" s="351"/>
      <c r="BQ39" s="351"/>
      <c r="BR39" s="351"/>
      <c r="BS39" s="351"/>
      <c r="BT39" s="351"/>
      <c r="BU39" s="351"/>
      <c r="BV39" s="351"/>
      <c r="BW39" s="351"/>
      <c r="BX39" s="351"/>
      <c r="BY39" s="351"/>
      <c r="BZ39" s="351"/>
      <c r="CA39" s="351"/>
      <c r="CB39" s="351"/>
      <c r="CC39" s="351"/>
      <c r="CD39" s="351"/>
      <c r="CE39" s="351"/>
      <c r="CF39" s="351"/>
      <c r="CG39" s="351"/>
      <c r="CH39" s="351"/>
      <c r="CI39" s="351"/>
      <c r="CJ39" s="351"/>
      <c r="CK39" s="351"/>
      <c r="CL39" s="351"/>
      <c r="CM39" s="351"/>
      <c r="CN39" s="351"/>
      <c r="CO39" s="351"/>
      <c r="CP39" s="351"/>
      <c r="CQ39" s="351"/>
      <c r="CR39" s="351"/>
      <c r="CS39" s="351"/>
      <c r="CT39" s="351"/>
      <c r="CU39" s="351"/>
      <c r="CV39" s="351"/>
      <c r="CW39" s="351"/>
      <c r="CX39" s="351"/>
      <c r="CY39" s="351"/>
      <c r="CZ39" s="351"/>
      <c r="DA39" s="351"/>
      <c r="DB39" s="351"/>
      <c r="DC39" s="351"/>
      <c r="DD39" s="351"/>
      <c r="DE39" s="351"/>
      <c r="DF39" s="351"/>
      <c r="DG39" s="351"/>
      <c r="DH39" s="351"/>
      <c r="DI39" s="351"/>
      <c r="DJ39" s="351"/>
      <c r="DK39" s="351"/>
      <c r="DL39" s="351"/>
      <c r="DM39" s="351"/>
      <c r="DN39" s="351"/>
      <c r="DO39" s="351"/>
      <c r="DP39" s="351"/>
      <c r="DQ39" s="351"/>
      <c r="DR39" s="351"/>
      <c r="DS39" s="351"/>
      <c r="DT39" s="351"/>
      <c r="DU39" s="351"/>
      <c r="DV39" s="351"/>
      <c r="DW39" s="351"/>
      <c r="DX39" s="351"/>
      <c r="DY39" s="351"/>
      <c r="DZ39" s="351"/>
      <c r="EA39" s="351"/>
      <c r="EB39" s="351"/>
      <c r="EC39" s="351"/>
      <c r="ED39" s="351"/>
      <c r="EE39" s="351"/>
      <c r="EF39" s="351"/>
      <c r="EG39" s="351"/>
      <c r="EH39" s="351"/>
      <c r="EI39" s="351"/>
      <c r="EJ39" s="351"/>
      <c r="EK39" s="351"/>
      <c r="EL39" s="351"/>
      <c r="EM39" s="351"/>
      <c r="EN39" s="351"/>
      <c r="EO39" s="351"/>
      <c r="EP39" s="351"/>
      <c r="EQ39" s="351"/>
      <c r="ER39" s="351"/>
      <c r="ES39" s="351"/>
      <c r="ET39" s="351"/>
      <c r="EU39" s="351"/>
      <c r="EV39" s="351"/>
      <c r="EW39" s="351"/>
      <c r="EX39" s="351"/>
      <c r="EY39" s="351"/>
      <c r="EZ39" s="351"/>
      <c r="FA39" s="351"/>
      <c r="FB39" s="351"/>
      <c r="FC39" s="351"/>
      <c r="FD39" s="351"/>
      <c r="FE39" s="351"/>
      <c r="FF39" s="351"/>
      <c r="FG39" s="351"/>
      <c r="FH39" s="351"/>
      <c r="FI39" s="351"/>
      <c r="FJ39" s="351"/>
      <c r="FK39" s="351"/>
      <c r="FL39" s="351"/>
      <c r="FM39" s="351"/>
      <c r="FN39" s="351"/>
      <c r="FO39" s="351"/>
      <c r="FP39" s="351"/>
      <c r="FQ39" s="351"/>
      <c r="FR39" s="351"/>
      <c r="FS39" s="351"/>
      <c r="FT39" s="351"/>
      <c r="FU39" s="351"/>
      <c r="FV39" s="351"/>
      <c r="FW39" s="351"/>
      <c r="FX39" s="351"/>
      <c r="FY39" s="351"/>
      <c r="FZ39" s="351"/>
      <c r="GA39" s="351"/>
      <c r="GB39" s="351"/>
      <c r="GC39" s="351"/>
      <c r="GD39" s="351"/>
      <c r="GE39" s="351"/>
      <c r="GF39" s="351"/>
      <c r="GG39" s="351"/>
      <c r="GH39" s="351"/>
      <c r="GI39" s="351"/>
      <c r="GJ39" s="351"/>
      <c r="GK39" s="351"/>
      <c r="GL39" s="351"/>
      <c r="GM39" s="351"/>
      <c r="GN39" s="351"/>
      <c r="GO39" s="351"/>
      <c r="GP39" s="351"/>
      <c r="GQ39" s="351"/>
      <c r="GR39" s="351"/>
      <c r="GS39" s="351"/>
      <c r="GT39" s="351"/>
      <c r="GU39" s="351"/>
      <c r="GV39" s="351"/>
      <c r="GW39" s="351"/>
      <c r="GX39" s="351"/>
      <c r="GY39" s="351"/>
      <c r="GZ39" s="351"/>
      <c r="HA39" s="351"/>
      <c r="HB39" s="351"/>
      <c r="HC39" s="351"/>
      <c r="HD39" s="351"/>
      <c r="HE39" s="351"/>
      <c r="HF39" s="351"/>
      <c r="HG39" s="351"/>
      <c r="HH39" s="351"/>
      <c r="HI39" s="351"/>
      <c r="HJ39" s="351"/>
      <c r="HK39" s="351"/>
      <c r="HL39" s="351"/>
      <c r="HM39" s="351"/>
      <c r="HN39" s="351"/>
      <c r="HO39" s="351"/>
      <c r="HP39" s="351"/>
      <c r="HQ39" s="351"/>
      <c r="HR39" s="351"/>
      <c r="HS39" s="351"/>
      <c r="HT39" s="351"/>
      <c r="HU39" s="351"/>
      <c r="HV39" s="351"/>
      <c r="HW39" s="351"/>
      <c r="HX39" s="351"/>
      <c r="HY39" s="351"/>
      <c r="HZ39" s="351"/>
      <c r="IA39" s="351"/>
      <c r="IB39" s="351"/>
      <c r="IC39" s="351"/>
      <c r="ID39" s="351"/>
      <c r="IE39" s="351"/>
      <c r="IF39" s="351"/>
      <c r="IG39" s="351"/>
      <c r="IH39" s="351"/>
      <c r="II39" s="351"/>
      <c r="IJ39" s="351"/>
      <c r="IK39" s="351"/>
      <c r="IL39" s="351"/>
      <c r="IM39" s="351"/>
      <c r="IN39" s="351"/>
      <c r="IO39" s="351"/>
      <c r="IP39" s="351"/>
      <c r="IQ39" s="351"/>
      <c r="IR39" s="351"/>
      <c r="IS39" s="351"/>
      <c r="IT39" s="351"/>
      <c r="IU39" s="351"/>
    </row>
    <row r="40" spans="1:255">
      <c r="A40" s="368"/>
      <c r="B40" s="354"/>
      <c r="C40" s="355"/>
      <c r="D40" s="364"/>
      <c r="E40" s="357"/>
      <c r="F40" s="364"/>
      <c r="G40" s="357"/>
      <c r="H40" s="357"/>
      <c r="I40" s="358"/>
      <c r="J40" s="357"/>
      <c r="K40" s="372"/>
      <c r="L40" s="358"/>
      <c r="M40" s="351"/>
      <c r="N40" s="351"/>
      <c r="O40" s="351"/>
      <c r="P40" s="351"/>
      <c r="Q40" s="351"/>
      <c r="R40" s="352"/>
      <c r="S40" s="351"/>
      <c r="T40" s="351"/>
      <c r="U40" s="351"/>
      <c r="V40" s="351"/>
      <c r="W40" s="351"/>
      <c r="X40" s="351"/>
      <c r="Y40" s="351"/>
      <c r="Z40" s="351"/>
      <c r="AA40" s="351"/>
      <c r="AB40" s="351"/>
      <c r="AC40" s="351"/>
      <c r="AD40" s="351"/>
      <c r="AE40" s="351"/>
      <c r="AF40" s="351"/>
      <c r="AG40" s="351"/>
      <c r="AH40" s="351"/>
      <c r="AI40" s="351"/>
      <c r="AJ40" s="351"/>
      <c r="AK40" s="351"/>
      <c r="AL40" s="351"/>
      <c r="AM40" s="351"/>
      <c r="AN40" s="351"/>
      <c r="AO40" s="351"/>
      <c r="AP40" s="351"/>
      <c r="AQ40" s="351"/>
      <c r="AR40" s="351"/>
      <c r="AS40" s="351"/>
      <c r="AT40" s="351"/>
      <c r="AU40" s="351"/>
      <c r="AV40" s="351"/>
      <c r="AW40" s="351"/>
      <c r="AX40" s="351"/>
      <c r="AY40" s="351"/>
      <c r="AZ40" s="351"/>
      <c r="BA40" s="351"/>
      <c r="BB40" s="351"/>
      <c r="BC40" s="351"/>
      <c r="BD40" s="351"/>
      <c r="BE40" s="351"/>
      <c r="BF40" s="351"/>
      <c r="BG40" s="351"/>
      <c r="BH40" s="351"/>
      <c r="BI40" s="351"/>
      <c r="BJ40" s="351"/>
      <c r="BK40" s="351"/>
      <c r="BL40" s="351"/>
      <c r="BM40" s="351"/>
      <c r="BN40" s="351"/>
      <c r="BO40" s="351"/>
      <c r="BP40" s="351"/>
      <c r="BQ40" s="351"/>
      <c r="BR40" s="351"/>
      <c r="BS40" s="351"/>
      <c r="BT40" s="351"/>
      <c r="BU40" s="351"/>
      <c r="BV40" s="351"/>
      <c r="BW40" s="351"/>
      <c r="BX40" s="351"/>
      <c r="BY40" s="351"/>
      <c r="BZ40" s="351"/>
      <c r="CA40" s="351"/>
      <c r="CB40" s="351"/>
      <c r="CC40" s="351"/>
      <c r="CD40" s="351"/>
      <c r="CE40" s="351"/>
      <c r="CF40" s="351"/>
      <c r="CG40" s="351"/>
      <c r="CH40" s="351"/>
      <c r="CI40" s="351"/>
      <c r="CJ40" s="351"/>
      <c r="CK40" s="351"/>
      <c r="CL40" s="351"/>
      <c r="CM40" s="351"/>
      <c r="CN40" s="351"/>
      <c r="CO40" s="351"/>
      <c r="CP40" s="351"/>
      <c r="CQ40" s="351"/>
      <c r="CR40" s="351"/>
      <c r="CS40" s="351"/>
      <c r="CT40" s="351"/>
      <c r="CU40" s="351"/>
      <c r="CV40" s="351"/>
      <c r="CW40" s="351"/>
      <c r="CX40" s="351"/>
      <c r="CY40" s="351"/>
      <c r="CZ40" s="351"/>
      <c r="DA40" s="351"/>
      <c r="DB40" s="351"/>
      <c r="DC40" s="351"/>
      <c r="DD40" s="351"/>
      <c r="DE40" s="351"/>
      <c r="DF40" s="351"/>
      <c r="DG40" s="351"/>
      <c r="DH40" s="351"/>
      <c r="DI40" s="351"/>
      <c r="DJ40" s="351"/>
      <c r="DK40" s="351"/>
      <c r="DL40" s="351"/>
      <c r="DM40" s="351"/>
      <c r="DN40" s="351"/>
      <c r="DO40" s="351"/>
      <c r="DP40" s="351"/>
      <c r="DQ40" s="351"/>
      <c r="DR40" s="351"/>
      <c r="DS40" s="351"/>
      <c r="DT40" s="351"/>
      <c r="DU40" s="351"/>
      <c r="DV40" s="351"/>
      <c r="DW40" s="351"/>
      <c r="DX40" s="351"/>
      <c r="DY40" s="351"/>
      <c r="DZ40" s="351"/>
      <c r="EA40" s="351"/>
      <c r="EB40" s="351"/>
      <c r="EC40" s="351"/>
      <c r="ED40" s="351"/>
      <c r="EE40" s="351"/>
      <c r="EF40" s="351"/>
      <c r="EG40" s="351"/>
      <c r="EH40" s="351"/>
      <c r="EI40" s="351"/>
      <c r="EJ40" s="351"/>
      <c r="EK40" s="351"/>
      <c r="EL40" s="351"/>
      <c r="EM40" s="351"/>
      <c r="EN40" s="351"/>
      <c r="EO40" s="351"/>
      <c r="EP40" s="351"/>
      <c r="EQ40" s="351"/>
      <c r="ER40" s="351"/>
      <c r="ES40" s="351"/>
      <c r="ET40" s="351"/>
      <c r="EU40" s="351"/>
      <c r="EV40" s="351"/>
      <c r="EW40" s="351"/>
      <c r="EX40" s="351"/>
      <c r="EY40" s="351"/>
      <c r="EZ40" s="351"/>
      <c r="FA40" s="351"/>
      <c r="FB40" s="351"/>
      <c r="FC40" s="351"/>
      <c r="FD40" s="351"/>
      <c r="FE40" s="351"/>
      <c r="FF40" s="351"/>
      <c r="FG40" s="351"/>
      <c r="FH40" s="351"/>
      <c r="FI40" s="351"/>
      <c r="FJ40" s="351"/>
      <c r="FK40" s="351"/>
      <c r="FL40" s="351"/>
      <c r="FM40" s="351"/>
      <c r="FN40" s="351"/>
      <c r="FO40" s="351"/>
      <c r="FP40" s="351"/>
      <c r="FQ40" s="351"/>
      <c r="FR40" s="351"/>
      <c r="FS40" s="351"/>
      <c r="FT40" s="351"/>
      <c r="FU40" s="351"/>
      <c r="FV40" s="351"/>
      <c r="FW40" s="351"/>
      <c r="FX40" s="351"/>
      <c r="FY40" s="351"/>
      <c r="FZ40" s="351"/>
      <c r="GA40" s="351"/>
      <c r="GB40" s="351"/>
      <c r="GC40" s="351"/>
      <c r="GD40" s="351"/>
      <c r="GE40" s="351"/>
      <c r="GF40" s="351"/>
      <c r="GG40" s="351"/>
      <c r="GH40" s="351"/>
      <c r="GI40" s="351"/>
      <c r="GJ40" s="351"/>
      <c r="GK40" s="351"/>
      <c r="GL40" s="351"/>
      <c r="GM40" s="351"/>
      <c r="GN40" s="351"/>
      <c r="GO40" s="351"/>
      <c r="GP40" s="351"/>
      <c r="GQ40" s="351"/>
      <c r="GR40" s="351"/>
      <c r="GS40" s="351"/>
      <c r="GT40" s="351"/>
      <c r="GU40" s="351"/>
      <c r="GV40" s="351"/>
      <c r="GW40" s="351"/>
      <c r="GX40" s="351"/>
      <c r="GY40" s="351"/>
      <c r="GZ40" s="351"/>
      <c r="HA40" s="351"/>
      <c r="HB40" s="351"/>
      <c r="HC40" s="351"/>
      <c r="HD40" s="351"/>
      <c r="HE40" s="351"/>
      <c r="HF40" s="351"/>
      <c r="HG40" s="351"/>
      <c r="HH40" s="351"/>
      <c r="HI40" s="351"/>
      <c r="HJ40" s="351"/>
      <c r="HK40" s="351"/>
      <c r="HL40" s="351"/>
      <c r="HM40" s="351"/>
      <c r="HN40" s="351"/>
      <c r="HO40" s="351"/>
      <c r="HP40" s="351"/>
      <c r="HQ40" s="351"/>
      <c r="HR40" s="351"/>
      <c r="HS40" s="351"/>
      <c r="HT40" s="351"/>
      <c r="HU40" s="351"/>
      <c r="HV40" s="351"/>
      <c r="HW40" s="351"/>
      <c r="HX40" s="351"/>
      <c r="HY40" s="351"/>
      <c r="HZ40" s="351"/>
      <c r="IA40" s="351"/>
      <c r="IB40" s="351"/>
      <c r="IC40" s="351"/>
      <c r="ID40" s="351"/>
      <c r="IE40" s="351"/>
      <c r="IF40" s="351"/>
      <c r="IG40" s="351"/>
      <c r="IH40" s="351"/>
      <c r="II40" s="351"/>
      <c r="IJ40" s="351"/>
      <c r="IK40" s="351"/>
      <c r="IL40" s="351"/>
      <c r="IM40" s="351"/>
      <c r="IN40" s="351"/>
      <c r="IO40" s="351"/>
      <c r="IP40" s="351"/>
      <c r="IQ40" s="351"/>
      <c r="IR40" s="351"/>
      <c r="IS40" s="351"/>
      <c r="IT40" s="351"/>
      <c r="IU40" s="351"/>
    </row>
    <row r="41" spans="1:255">
      <c r="A41" s="368"/>
      <c r="B41" s="354" t="s">
        <v>159</v>
      </c>
      <c r="C41" s="355"/>
      <c r="D41" s="370">
        <f>ROUND(+E41+E41*F$6,3)</f>
        <v>-3.2000000000000001E-2</v>
      </c>
      <c r="E41" s="365">
        <v>-0.06</v>
      </c>
      <c r="F41" s="358">
        <f t="shared" ref="F41:F49" si="8">-1+D41/E41</f>
        <v>-0.46666666666666667</v>
      </c>
      <c r="G41" s="357"/>
      <c r="H41" s="357"/>
      <c r="I41" s="358"/>
      <c r="J41" s="357"/>
      <c r="K41" s="372"/>
      <c r="L41" s="358"/>
      <c r="M41" s="351"/>
      <c r="N41" s="351"/>
      <c r="O41" s="351"/>
      <c r="P41" s="351"/>
      <c r="Q41" s="351"/>
      <c r="R41" s="352"/>
      <c r="S41" s="351"/>
      <c r="T41" s="351"/>
      <c r="U41" s="351"/>
      <c r="V41" s="351"/>
      <c r="W41" s="351"/>
      <c r="X41" s="351"/>
      <c r="Y41" s="351"/>
      <c r="Z41" s="351"/>
      <c r="AA41" s="351"/>
      <c r="AB41" s="351"/>
      <c r="AC41" s="351"/>
      <c r="AD41" s="351"/>
      <c r="AE41" s="351"/>
      <c r="AF41" s="351"/>
      <c r="AG41" s="351"/>
      <c r="AH41" s="351"/>
      <c r="AI41" s="351"/>
      <c r="AJ41" s="351"/>
      <c r="AK41" s="351"/>
      <c r="AL41" s="351"/>
      <c r="AM41" s="351"/>
      <c r="AN41" s="351"/>
      <c r="AO41" s="351"/>
      <c r="AP41" s="351"/>
      <c r="AQ41" s="351"/>
      <c r="AR41" s="351"/>
      <c r="AS41" s="351"/>
      <c r="AT41" s="351"/>
      <c r="AU41" s="351"/>
      <c r="AV41" s="351"/>
      <c r="AW41" s="351"/>
      <c r="AX41" s="351"/>
      <c r="AY41" s="351"/>
      <c r="AZ41" s="351"/>
      <c r="BA41" s="351"/>
      <c r="BB41" s="351"/>
      <c r="BC41" s="351"/>
      <c r="BD41" s="351"/>
      <c r="BE41" s="351"/>
      <c r="BF41" s="351"/>
      <c r="BG41" s="351"/>
      <c r="BH41" s="351"/>
      <c r="BI41" s="351"/>
      <c r="BJ41" s="351"/>
      <c r="BK41" s="351"/>
      <c r="BL41" s="351"/>
      <c r="BM41" s="351"/>
      <c r="BN41" s="351"/>
      <c r="BO41" s="351"/>
      <c r="BP41" s="351"/>
      <c r="BQ41" s="351"/>
      <c r="BR41" s="351"/>
      <c r="BS41" s="351"/>
      <c r="BT41" s="351"/>
      <c r="BU41" s="351"/>
      <c r="BV41" s="351"/>
      <c r="BW41" s="351"/>
      <c r="BX41" s="351"/>
      <c r="BY41" s="351"/>
      <c r="BZ41" s="351"/>
      <c r="CA41" s="351"/>
      <c r="CB41" s="351"/>
      <c r="CC41" s="351"/>
      <c r="CD41" s="351"/>
      <c r="CE41" s="351"/>
      <c r="CF41" s="351"/>
      <c r="CG41" s="351"/>
      <c r="CH41" s="351"/>
      <c r="CI41" s="351"/>
      <c r="CJ41" s="351"/>
      <c r="CK41" s="351"/>
      <c r="CL41" s="351"/>
      <c r="CM41" s="351"/>
      <c r="CN41" s="351"/>
      <c r="CO41" s="351"/>
      <c r="CP41" s="351"/>
      <c r="CQ41" s="351"/>
      <c r="CR41" s="351"/>
      <c r="CS41" s="351"/>
      <c r="CT41" s="351"/>
      <c r="CU41" s="351"/>
      <c r="CV41" s="351"/>
      <c r="CW41" s="351"/>
      <c r="CX41" s="351"/>
      <c r="CY41" s="351"/>
      <c r="CZ41" s="351"/>
      <c r="DA41" s="351"/>
      <c r="DB41" s="351"/>
      <c r="DC41" s="351"/>
      <c r="DD41" s="351"/>
      <c r="DE41" s="351"/>
      <c r="DF41" s="351"/>
      <c r="DG41" s="351"/>
      <c r="DH41" s="351"/>
      <c r="DI41" s="351"/>
      <c r="DJ41" s="351"/>
      <c r="DK41" s="351"/>
      <c r="DL41" s="351"/>
      <c r="DM41" s="351"/>
      <c r="DN41" s="351"/>
      <c r="DO41" s="351"/>
      <c r="DP41" s="351"/>
      <c r="DQ41" s="351"/>
      <c r="DR41" s="351"/>
      <c r="DS41" s="351"/>
      <c r="DT41" s="351"/>
      <c r="DU41" s="351"/>
      <c r="DV41" s="351"/>
      <c r="DW41" s="351"/>
      <c r="DX41" s="351"/>
      <c r="DY41" s="351"/>
      <c r="DZ41" s="351"/>
      <c r="EA41" s="351"/>
      <c r="EB41" s="351"/>
      <c r="EC41" s="351"/>
      <c r="ED41" s="351"/>
      <c r="EE41" s="351"/>
      <c r="EF41" s="351"/>
      <c r="EG41" s="351"/>
      <c r="EH41" s="351"/>
      <c r="EI41" s="351"/>
      <c r="EJ41" s="351"/>
      <c r="EK41" s="351"/>
      <c r="EL41" s="351"/>
      <c r="EM41" s="351"/>
      <c r="EN41" s="351"/>
      <c r="EO41" s="351"/>
      <c r="EP41" s="351"/>
      <c r="EQ41" s="351"/>
      <c r="ER41" s="351"/>
      <c r="ES41" s="351"/>
      <c r="ET41" s="351"/>
      <c r="EU41" s="351"/>
      <c r="EV41" s="351"/>
      <c r="EW41" s="351"/>
      <c r="EX41" s="351"/>
      <c r="EY41" s="351"/>
      <c r="EZ41" s="351"/>
      <c r="FA41" s="351"/>
      <c r="FB41" s="351"/>
      <c r="FC41" s="351"/>
      <c r="FD41" s="351"/>
      <c r="FE41" s="351"/>
      <c r="FF41" s="351"/>
      <c r="FG41" s="351"/>
      <c r="FH41" s="351"/>
      <c r="FI41" s="351"/>
      <c r="FJ41" s="351"/>
      <c r="FK41" s="351"/>
      <c r="FL41" s="351"/>
      <c r="FM41" s="351"/>
      <c r="FN41" s="351"/>
      <c r="FO41" s="351"/>
      <c r="FP41" s="351"/>
      <c r="FQ41" s="351"/>
      <c r="FR41" s="351"/>
      <c r="FS41" s="351"/>
      <c r="FT41" s="351"/>
      <c r="FU41" s="351"/>
      <c r="FV41" s="351"/>
      <c r="FW41" s="351"/>
      <c r="FX41" s="351"/>
      <c r="FY41" s="351"/>
      <c r="FZ41" s="351"/>
      <c r="GA41" s="351"/>
      <c r="GB41" s="351"/>
      <c r="GC41" s="351"/>
      <c r="GD41" s="351"/>
      <c r="GE41" s="351"/>
      <c r="GF41" s="351"/>
      <c r="GG41" s="351"/>
      <c r="GH41" s="351"/>
      <c r="GI41" s="351"/>
      <c r="GJ41" s="351"/>
      <c r="GK41" s="351"/>
      <c r="GL41" s="351"/>
      <c r="GM41" s="351"/>
      <c r="GN41" s="351"/>
      <c r="GO41" s="351"/>
      <c r="GP41" s="351"/>
      <c r="GQ41" s="351"/>
      <c r="GR41" s="351"/>
      <c r="GS41" s="351"/>
      <c r="GT41" s="351"/>
      <c r="GU41" s="351"/>
      <c r="GV41" s="351"/>
      <c r="GW41" s="351"/>
      <c r="GX41" s="351"/>
      <c r="GY41" s="351"/>
      <c r="GZ41" s="351"/>
      <c r="HA41" s="351"/>
      <c r="HB41" s="351"/>
      <c r="HC41" s="351"/>
      <c r="HD41" s="351"/>
      <c r="HE41" s="351"/>
      <c r="HF41" s="351"/>
      <c r="HG41" s="351"/>
      <c r="HH41" s="351"/>
      <c r="HI41" s="351"/>
      <c r="HJ41" s="351"/>
      <c r="HK41" s="351"/>
      <c r="HL41" s="351"/>
      <c r="HM41" s="351"/>
      <c r="HN41" s="351"/>
      <c r="HO41" s="351"/>
      <c r="HP41" s="351"/>
      <c r="HQ41" s="351"/>
      <c r="HR41" s="351"/>
      <c r="HS41" s="351"/>
      <c r="HT41" s="351"/>
      <c r="HU41" s="351"/>
      <c r="HV41" s="351"/>
      <c r="HW41" s="351"/>
      <c r="HX41" s="351"/>
      <c r="HY41" s="351"/>
      <c r="HZ41" s="351"/>
      <c r="IA41" s="351"/>
      <c r="IB41" s="351"/>
      <c r="IC41" s="351"/>
      <c r="ID41" s="351"/>
      <c r="IE41" s="351"/>
      <c r="IF41" s="351"/>
      <c r="IG41" s="351"/>
      <c r="IH41" s="351"/>
      <c r="II41" s="351"/>
      <c r="IJ41" s="351"/>
      <c r="IK41" s="351"/>
      <c r="IL41" s="351"/>
      <c r="IM41" s="351"/>
      <c r="IN41" s="351"/>
      <c r="IO41" s="351"/>
      <c r="IP41" s="351"/>
      <c r="IQ41" s="351"/>
      <c r="IR41" s="351"/>
      <c r="IS41" s="351"/>
      <c r="IT41" s="351"/>
      <c r="IU41" s="351"/>
    </row>
    <row r="42" spans="1:255">
      <c r="A42" s="368"/>
      <c r="B42" s="354" t="s">
        <v>160</v>
      </c>
      <c r="C42" s="355"/>
      <c r="D42" s="370">
        <f t="shared" ref="D42:D49" si="9">ROUND(+E42+E42*F$6,3)</f>
        <v>-4.8000000000000001E-2</v>
      </c>
      <c r="E42" s="365">
        <v>-0.09</v>
      </c>
      <c r="F42" s="358">
        <f t="shared" si="8"/>
        <v>-0.46666666666666667</v>
      </c>
      <c r="G42" s="357"/>
      <c r="H42" s="357"/>
      <c r="I42" s="358"/>
      <c r="J42" s="357"/>
      <c r="K42" s="372"/>
      <c r="L42" s="358"/>
      <c r="M42" s="351"/>
      <c r="N42" s="351"/>
      <c r="O42" s="351"/>
      <c r="P42" s="351"/>
      <c r="Q42" s="351"/>
      <c r="R42" s="352"/>
      <c r="S42" s="351"/>
      <c r="T42" s="351"/>
      <c r="U42" s="351"/>
      <c r="V42" s="351"/>
      <c r="W42" s="351"/>
      <c r="X42" s="351"/>
      <c r="Y42" s="351"/>
      <c r="Z42" s="351"/>
      <c r="AA42" s="351"/>
      <c r="AB42" s="351"/>
      <c r="AC42" s="351"/>
      <c r="AD42" s="351"/>
      <c r="AE42" s="351"/>
      <c r="AF42" s="351"/>
      <c r="AG42" s="351"/>
      <c r="AH42" s="351"/>
      <c r="AI42" s="351"/>
      <c r="AJ42" s="351"/>
      <c r="AK42" s="351"/>
      <c r="AL42" s="351"/>
      <c r="AM42" s="351"/>
      <c r="AN42" s="351"/>
      <c r="AO42" s="351"/>
      <c r="AP42" s="351"/>
      <c r="AQ42" s="351"/>
      <c r="AR42" s="351"/>
      <c r="AS42" s="351"/>
      <c r="AT42" s="351"/>
      <c r="AU42" s="351"/>
      <c r="AV42" s="351"/>
      <c r="AW42" s="351"/>
      <c r="AX42" s="351"/>
      <c r="AY42" s="351"/>
      <c r="AZ42" s="351"/>
      <c r="BA42" s="351"/>
      <c r="BB42" s="351"/>
      <c r="BC42" s="351"/>
      <c r="BD42" s="351"/>
      <c r="BE42" s="351"/>
      <c r="BF42" s="351"/>
      <c r="BG42" s="351"/>
      <c r="BH42" s="351"/>
      <c r="BI42" s="351"/>
      <c r="BJ42" s="351"/>
      <c r="BK42" s="351"/>
      <c r="BL42" s="351"/>
      <c r="BM42" s="351"/>
      <c r="BN42" s="351"/>
      <c r="BO42" s="351"/>
      <c r="BP42" s="351"/>
      <c r="BQ42" s="351"/>
      <c r="BR42" s="351"/>
      <c r="BS42" s="351"/>
      <c r="BT42" s="351"/>
      <c r="BU42" s="351"/>
      <c r="BV42" s="351"/>
      <c r="BW42" s="351"/>
      <c r="BX42" s="351"/>
      <c r="BY42" s="351"/>
      <c r="BZ42" s="351"/>
      <c r="CA42" s="351"/>
      <c r="CB42" s="351"/>
      <c r="CC42" s="351"/>
      <c r="CD42" s="351"/>
      <c r="CE42" s="351"/>
      <c r="CF42" s="351"/>
      <c r="CG42" s="351"/>
      <c r="CH42" s="351"/>
      <c r="CI42" s="351"/>
      <c r="CJ42" s="351"/>
      <c r="CK42" s="351"/>
      <c r="CL42" s="351"/>
      <c r="CM42" s="351"/>
      <c r="CN42" s="351"/>
      <c r="CO42" s="351"/>
      <c r="CP42" s="351"/>
      <c r="CQ42" s="351"/>
      <c r="CR42" s="351"/>
      <c r="CS42" s="351"/>
      <c r="CT42" s="351"/>
      <c r="CU42" s="351"/>
      <c r="CV42" s="351"/>
      <c r="CW42" s="351"/>
      <c r="CX42" s="351"/>
      <c r="CY42" s="351"/>
      <c r="CZ42" s="351"/>
      <c r="DA42" s="351"/>
      <c r="DB42" s="351"/>
      <c r="DC42" s="351"/>
      <c r="DD42" s="351"/>
      <c r="DE42" s="351"/>
      <c r="DF42" s="351"/>
      <c r="DG42" s="351"/>
      <c r="DH42" s="351"/>
      <c r="DI42" s="351"/>
      <c r="DJ42" s="351"/>
      <c r="DK42" s="351"/>
      <c r="DL42" s="351"/>
      <c r="DM42" s="351"/>
      <c r="DN42" s="351"/>
      <c r="DO42" s="351"/>
      <c r="DP42" s="351"/>
      <c r="DQ42" s="351"/>
      <c r="DR42" s="351"/>
      <c r="DS42" s="351"/>
      <c r="DT42" s="351"/>
      <c r="DU42" s="351"/>
      <c r="DV42" s="351"/>
      <c r="DW42" s="351"/>
      <c r="DX42" s="351"/>
      <c r="DY42" s="351"/>
      <c r="DZ42" s="351"/>
      <c r="EA42" s="351"/>
      <c r="EB42" s="351"/>
      <c r="EC42" s="351"/>
      <c r="ED42" s="351"/>
      <c r="EE42" s="351"/>
      <c r="EF42" s="351"/>
      <c r="EG42" s="351"/>
      <c r="EH42" s="351"/>
      <c r="EI42" s="351"/>
      <c r="EJ42" s="351"/>
      <c r="EK42" s="351"/>
      <c r="EL42" s="351"/>
      <c r="EM42" s="351"/>
      <c r="EN42" s="351"/>
      <c r="EO42" s="351"/>
      <c r="EP42" s="351"/>
      <c r="EQ42" s="351"/>
      <c r="ER42" s="351"/>
      <c r="ES42" s="351"/>
      <c r="ET42" s="351"/>
      <c r="EU42" s="351"/>
      <c r="EV42" s="351"/>
      <c r="EW42" s="351"/>
      <c r="EX42" s="351"/>
      <c r="EY42" s="351"/>
      <c r="EZ42" s="351"/>
      <c r="FA42" s="351"/>
      <c r="FB42" s="351"/>
      <c r="FC42" s="351"/>
      <c r="FD42" s="351"/>
      <c r="FE42" s="351"/>
      <c r="FF42" s="351"/>
      <c r="FG42" s="351"/>
      <c r="FH42" s="351"/>
      <c r="FI42" s="351"/>
      <c r="FJ42" s="351"/>
      <c r="FK42" s="351"/>
      <c r="FL42" s="351"/>
      <c r="FM42" s="351"/>
      <c r="FN42" s="351"/>
      <c r="FO42" s="351"/>
      <c r="FP42" s="351"/>
      <c r="FQ42" s="351"/>
      <c r="FR42" s="351"/>
      <c r="FS42" s="351"/>
      <c r="FT42" s="351"/>
      <c r="FU42" s="351"/>
      <c r="FV42" s="351"/>
      <c r="FW42" s="351"/>
      <c r="FX42" s="351"/>
      <c r="FY42" s="351"/>
      <c r="FZ42" s="351"/>
      <c r="GA42" s="351"/>
      <c r="GB42" s="351"/>
      <c r="GC42" s="351"/>
      <c r="GD42" s="351"/>
      <c r="GE42" s="351"/>
      <c r="GF42" s="351"/>
      <c r="GG42" s="351"/>
      <c r="GH42" s="351"/>
      <c r="GI42" s="351"/>
      <c r="GJ42" s="351"/>
      <c r="GK42" s="351"/>
      <c r="GL42" s="351"/>
      <c r="GM42" s="351"/>
      <c r="GN42" s="351"/>
      <c r="GO42" s="351"/>
      <c r="GP42" s="351"/>
      <c r="GQ42" s="351"/>
      <c r="GR42" s="351"/>
      <c r="GS42" s="351"/>
      <c r="GT42" s="351"/>
      <c r="GU42" s="351"/>
      <c r="GV42" s="351"/>
      <c r="GW42" s="351"/>
      <c r="GX42" s="351"/>
      <c r="GY42" s="351"/>
      <c r="GZ42" s="351"/>
      <c r="HA42" s="351"/>
      <c r="HB42" s="351"/>
      <c r="HC42" s="351"/>
      <c r="HD42" s="351"/>
      <c r="HE42" s="351"/>
      <c r="HF42" s="351"/>
      <c r="HG42" s="351"/>
      <c r="HH42" s="351"/>
      <c r="HI42" s="351"/>
      <c r="HJ42" s="351"/>
      <c r="HK42" s="351"/>
      <c r="HL42" s="351"/>
      <c r="HM42" s="351"/>
      <c r="HN42" s="351"/>
      <c r="HO42" s="351"/>
      <c r="HP42" s="351"/>
      <c r="HQ42" s="351"/>
      <c r="HR42" s="351"/>
      <c r="HS42" s="351"/>
      <c r="HT42" s="351"/>
      <c r="HU42" s="351"/>
      <c r="HV42" s="351"/>
      <c r="HW42" s="351"/>
      <c r="HX42" s="351"/>
      <c r="HY42" s="351"/>
      <c r="HZ42" s="351"/>
      <c r="IA42" s="351"/>
      <c r="IB42" s="351"/>
      <c r="IC42" s="351"/>
      <c r="ID42" s="351"/>
      <c r="IE42" s="351"/>
      <c r="IF42" s="351"/>
      <c r="IG42" s="351"/>
      <c r="IH42" s="351"/>
      <c r="II42" s="351"/>
      <c r="IJ42" s="351"/>
      <c r="IK42" s="351"/>
      <c r="IL42" s="351"/>
      <c r="IM42" s="351"/>
      <c r="IN42" s="351"/>
      <c r="IO42" s="351"/>
      <c r="IP42" s="351"/>
      <c r="IQ42" s="351"/>
      <c r="IR42" s="351"/>
      <c r="IS42" s="351"/>
      <c r="IT42" s="351"/>
      <c r="IU42" s="351"/>
    </row>
    <row r="43" spans="1:255">
      <c r="A43" s="368"/>
      <c r="B43" s="354" t="s">
        <v>161</v>
      </c>
      <c r="C43" s="355"/>
      <c r="D43" s="370">
        <f t="shared" si="9"/>
        <v>-0.1</v>
      </c>
      <c r="E43" s="365">
        <v>-0.19</v>
      </c>
      <c r="F43" s="358">
        <f t="shared" si="8"/>
        <v>-0.47368421052631582</v>
      </c>
      <c r="G43" s="357"/>
      <c r="H43" s="357"/>
      <c r="I43" s="358"/>
      <c r="J43" s="357"/>
      <c r="K43" s="357"/>
      <c r="L43" s="358"/>
      <c r="M43" s="351"/>
      <c r="N43" s="351"/>
      <c r="O43" s="351"/>
      <c r="P43" s="351"/>
      <c r="Q43" s="351"/>
      <c r="R43" s="352"/>
      <c r="S43" s="351"/>
      <c r="T43" s="351"/>
      <c r="U43" s="351"/>
      <c r="V43" s="351"/>
      <c r="W43" s="351"/>
      <c r="X43" s="351"/>
      <c r="Y43" s="351"/>
      <c r="Z43" s="351"/>
      <c r="AA43" s="351"/>
      <c r="AB43" s="351"/>
      <c r="AC43" s="351"/>
      <c r="AD43" s="351"/>
      <c r="AE43" s="351"/>
      <c r="AF43" s="351"/>
      <c r="AG43" s="351"/>
      <c r="AH43" s="351"/>
      <c r="AI43" s="351"/>
      <c r="AJ43" s="351"/>
      <c r="AK43" s="351"/>
      <c r="AL43" s="351"/>
      <c r="AM43" s="351"/>
      <c r="AN43" s="351"/>
      <c r="AO43" s="351"/>
      <c r="AP43" s="351"/>
      <c r="AQ43" s="351"/>
      <c r="AR43" s="351"/>
      <c r="AS43" s="351"/>
      <c r="AT43" s="351"/>
      <c r="AU43" s="351"/>
      <c r="AV43" s="351"/>
      <c r="AW43" s="351"/>
      <c r="AX43" s="351"/>
      <c r="AY43" s="351"/>
      <c r="AZ43" s="351"/>
      <c r="BA43" s="351"/>
      <c r="BB43" s="351"/>
      <c r="BC43" s="351"/>
      <c r="BD43" s="351"/>
      <c r="BE43" s="351"/>
      <c r="BF43" s="351"/>
      <c r="BG43" s="351"/>
      <c r="BH43" s="351"/>
      <c r="BI43" s="351"/>
      <c r="BJ43" s="351"/>
      <c r="BK43" s="351"/>
      <c r="BL43" s="351"/>
      <c r="BM43" s="351"/>
      <c r="BN43" s="351"/>
      <c r="BO43" s="351"/>
      <c r="BP43" s="351"/>
      <c r="BQ43" s="351"/>
      <c r="BR43" s="351"/>
      <c r="BS43" s="351"/>
      <c r="BT43" s="351"/>
      <c r="BU43" s="351"/>
      <c r="BV43" s="351"/>
      <c r="BW43" s="351"/>
      <c r="BX43" s="351"/>
      <c r="BY43" s="351"/>
      <c r="BZ43" s="351"/>
      <c r="CA43" s="351"/>
      <c r="CB43" s="351"/>
      <c r="CC43" s="351"/>
      <c r="CD43" s="351"/>
      <c r="CE43" s="351"/>
      <c r="CF43" s="351"/>
      <c r="CG43" s="351"/>
      <c r="CH43" s="351"/>
      <c r="CI43" s="351"/>
      <c r="CJ43" s="351"/>
      <c r="CK43" s="351"/>
      <c r="CL43" s="351"/>
      <c r="CM43" s="351"/>
      <c r="CN43" s="351"/>
      <c r="CO43" s="351"/>
      <c r="CP43" s="351"/>
      <c r="CQ43" s="351"/>
      <c r="CR43" s="351"/>
      <c r="CS43" s="351"/>
      <c r="CT43" s="351"/>
      <c r="CU43" s="351"/>
      <c r="CV43" s="351"/>
      <c r="CW43" s="351"/>
      <c r="CX43" s="351"/>
      <c r="CY43" s="351"/>
      <c r="CZ43" s="351"/>
      <c r="DA43" s="351"/>
      <c r="DB43" s="351"/>
      <c r="DC43" s="351"/>
      <c r="DD43" s="351"/>
      <c r="DE43" s="351"/>
      <c r="DF43" s="351"/>
      <c r="DG43" s="351"/>
      <c r="DH43" s="351"/>
      <c r="DI43" s="351"/>
      <c r="DJ43" s="351"/>
      <c r="DK43" s="351"/>
      <c r="DL43" s="351"/>
      <c r="DM43" s="351"/>
      <c r="DN43" s="351"/>
      <c r="DO43" s="351"/>
      <c r="DP43" s="351"/>
      <c r="DQ43" s="351"/>
      <c r="DR43" s="351"/>
      <c r="DS43" s="351"/>
      <c r="DT43" s="351"/>
      <c r="DU43" s="351"/>
      <c r="DV43" s="351"/>
      <c r="DW43" s="351"/>
      <c r="DX43" s="351"/>
      <c r="DY43" s="351"/>
      <c r="DZ43" s="351"/>
      <c r="EA43" s="351"/>
      <c r="EB43" s="351"/>
      <c r="EC43" s="351"/>
      <c r="ED43" s="351"/>
      <c r="EE43" s="351"/>
      <c r="EF43" s="351"/>
      <c r="EG43" s="351"/>
      <c r="EH43" s="351"/>
      <c r="EI43" s="351"/>
      <c r="EJ43" s="351"/>
      <c r="EK43" s="351"/>
      <c r="EL43" s="351"/>
      <c r="EM43" s="351"/>
      <c r="EN43" s="351"/>
      <c r="EO43" s="351"/>
      <c r="EP43" s="351"/>
      <c r="EQ43" s="351"/>
      <c r="ER43" s="351"/>
      <c r="ES43" s="351"/>
      <c r="ET43" s="351"/>
      <c r="EU43" s="351"/>
      <c r="EV43" s="351"/>
      <c r="EW43" s="351"/>
      <c r="EX43" s="351"/>
      <c r="EY43" s="351"/>
      <c r="EZ43" s="351"/>
      <c r="FA43" s="351"/>
      <c r="FB43" s="351"/>
      <c r="FC43" s="351"/>
      <c r="FD43" s="351"/>
      <c r="FE43" s="351"/>
      <c r="FF43" s="351"/>
      <c r="FG43" s="351"/>
      <c r="FH43" s="351"/>
      <c r="FI43" s="351"/>
      <c r="FJ43" s="351"/>
      <c r="FK43" s="351"/>
      <c r="FL43" s="351"/>
      <c r="FM43" s="351"/>
      <c r="FN43" s="351"/>
      <c r="FO43" s="351"/>
      <c r="FP43" s="351"/>
      <c r="FQ43" s="351"/>
      <c r="FR43" s="351"/>
      <c r="FS43" s="351"/>
      <c r="FT43" s="351"/>
      <c r="FU43" s="351"/>
      <c r="FV43" s="351"/>
      <c r="FW43" s="351"/>
      <c r="FX43" s="351"/>
      <c r="FY43" s="351"/>
      <c r="FZ43" s="351"/>
      <c r="GA43" s="351"/>
      <c r="GB43" s="351"/>
      <c r="GC43" s="351"/>
      <c r="GD43" s="351"/>
      <c r="GE43" s="351"/>
      <c r="GF43" s="351"/>
      <c r="GG43" s="351"/>
      <c r="GH43" s="351"/>
      <c r="GI43" s="351"/>
      <c r="GJ43" s="351"/>
      <c r="GK43" s="351"/>
      <c r="GL43" s="351"/>
      <c r="GM43" s="351"/>
      <c r="GN43" s="351"/>
      <c r="GO43" s="351"/>
      <c r="GP43" s="351"/>
      <c r="GQ43" s="351"/>
      <c r="GR43" s="351"/>
      <c r="GS43" s="351"/>
      <c r="GT43" s="351"/>
      <c r="GU43" s="351"/>
      <c r="GV43" s="351"/>
      <c r="GW43" s="351"/>
      <c r="GX43" s="351"/>
      <c r="GY43" s="351"/>
      <c r="GZ43" s="351"/>
      <c r="HA43" s="351"/>
      <c r="HB43" s="351"/>
      <c r="HC43" s="351"/>
      <c r="HD43" s="351"/>
      <c r="HE43" s="351"/>
      <c r="HF43" s="351"/>
      <c r="HG43" s="351"/>
      <c r="HH43" s="351"/>
      <c r="HI43" s="351"/>
      <c r="HJ43" s="351"/>
      <c r="HK43" s="351"/>
      <c r="HL43" s="351"/>
      <c r="HM43" s="351"/>
      <c r="HN43" s="351"/>
      <c r="HO43" s="351"/>
      <c r="HP43" s="351"/>
      <c r="HQ43" s="351"/>
      <c r="HR43" s="351"/>
      <c r="HS43" s="351"/>
      <c r="HT43" s="351"/>
      <c r="HU43" s="351"/>
      <c r="HV43" s="351"/>
      <c r="HW43" s="351"/>
      <c r="HX43" s="351"/>
      <c r="HY43" s="351"/>
      <c r="HZ43" s="351"/>
      <c r="IA43" s="351"/>
      <c r="IB43" s="351"/>
      <c r="IC43" s="351"/>
      <c r="ID43" s="351"/>
      <c r="IE43" s="351"/>
      <c r="IF43" s="351"/>
      <c r="IG43" s="351"/>
      <c r="IH43" s="351"/>
      <c r="II43" s="351"/>
      <c r="IJ43" s="351"/>
      <c r="IK43" s="351"/>
      <c r="IL43" s="351"/>
      <c r="IM43" s="351"/>
      <c r="IN43" s="351"/>
      <c r="IO43" s="351"/>
      <c r="IP43" s="351"/>
      <c r="IQ43" s="351"/>
      <c r="IR43" s="351"/>
      <c r="IS43" s="351"/>
      <c r="IT43" s="351"/>
      <c r="IU43" s="351"/>
    </row>
    <row r="44" spans="1:255">
      <c r="A44" s="368"/>
      <c r="B44" s="354" t="s">
        <v>162</v>
      </c>
      <c r="C44" s="355"/>
      <c r="D44" s="370">
        <f t="shared" si="9"/>
        <v>-0.122</v>
      </c>
      <c r="E44" s="365">
        <v>-0.23</v>
      </c>
      <c r="F44" s="358">
        <f t="shared" si="8"/>
        <v>-0.46956521739130441</v>
      </c>
      <c r="G44" s="357"/>
      <c r="H44" s="357"/>
      <c r="I44" s="358"/>
      <c r="J44" s="357"/>
      <c r="K44" s="357"/>
      <c r="L44" s="358"/>
      <c r="M44" s="351"/>
      <c r="N44" s="351"/>
      <c r="O44" s="351"/>
      <c r="P44" s="351"/>
      <c r="Q44" s="351"/>
      <c r="R44" s="352"/>
      <c r="S44" s="351"/>
      <c r="T44" s="351"/>
      <c r="U44" s="351"/>
      <c r="V44" s="351"/>
      <c r="W44" s="351"/>
      <c r="X44" s="351"/>
      <c r="Y44" s="351"/>
      <c r="Z44" s="351"/>
      <c r="AA44" s="351"/>
      <c r="AB44" s="351"/>
      <c r="AC44" s="351"/>
      <c r="AD44" s="351"/>
      <c r="AE44" s="351"/>
      <c r="AF44" s="351"/>
      <c r="AG44" s="351"/>
      <c r="AH44" s="351"/>
      <c r="AI44" s="351"/>
      <c r="AJ44" s="351"/>
      <c r="AK44" s="351"/>
      <c r="AL44" s="351"/>
      <c r="AM44" s="351"/>
      <c r="AN44" s="351"/>
      <c r="AO44" s="351"/>
      <c r="AP44" s="351"/>
      <c r="AQ44" s="351"/>
      <c r="AR44" s="351"/>
      <c r="AS44" s="351"/>
      <c r="AT44" s="351"/>
      <c r="AU44" s="351"/>
      <c r="AV44" s="351"/>
      <c r="AW44" s="351"/>
      <c r="AX44" s="351"/>
      <c r="AY44" s="351"/>
      <c r="AZ44" s="351"/>
      <c r="BA44" s="351"/>
      <c r="BB44" s="351"/>
      <c r="BC44" s="351"/>
      <c r="BD44" s="351"/>
      <c r="BE44" s="351"/>
      <c r="BF44" s="351"/>
      <c r="BG44" s="351"/>
      <c r="BH44" s="351"/>
      <c r="BI44" s="351"/>
      <c r="BJ44" s="351"/>
      <c r="BK44" s="351"/>
      <c r="BL44" s="351"/>
      <c r="BM44" s="351"/>
      <c r="BN44" s="351"/>
      <c r="BO44" s="351"/>
      <c r="BP44" s="351"/>
      <c r="BQ44" s="351"/>
      <c r="BR44" s="351"/>
      <c r="BS44" s="351"/>
      <c r="BT44" s="351"/>
      <c r="BU44" s="351"/>
      <c r="BV44" s="351"/>
      <c r="BW44" s="351"/>
      <c r="BX44" s="351"/>
      <c r="BY44" s="351"/>
      <c r="BZ44" s="351"/>
      <c r="CA44" s="351"/>
      <c r="CB44" s="351"/>
      <c r="CC44" s="351"/>
      <c r="CD44" s="351"/>
      <c r="CE44" s="351"/>
      <c r="CF44" s="351"/>
      <c r="CG44" s="351"/>
      <c r="CH44" s="351"/>
      <c r="CI44" s="351"/>
      <c r="CJ44" s="351"/>
      <c r="CK44" s="351"/>
      <c r="CL44" s="351"/>
      <c r="CM44" s="351"/>
      <c r="CN44" s="351"/>
      <c r="CO44" s="351"/>
      <c r="CP44" s="351"/>
      <c r="CQ44" s="351"/>
      <c r="CR44" s="351"/>
      <c r="CS44" s="351"/>
      <c r="CT44" s="351"/>
      <c r="CU44" s="351"/>
      <c r="CV44" s="351"/>
      <c r="CW44" s="351"/>
      <c r="CX44" s="351"/>
      <c r="CY44" s="351"/>
      <c r="CZ44" s="351"/>
      <c r="DA44" s="351"/>
      <c r="DB44" s="351"/>
      <c r="DC44" s="351"/>
      <c r="DD44" s="351"/>
      <c r="DE44" s="351"/>
      <c r="DF44" s="351"/>
      <c r="DG44" s="351"/>
      <c r="DH44" s="351"/>
      <c r="DI44" s="351"/>
      <c r="DJ44" s="351"/>
      <c r="DK44" s="351"/>
      <c r="DL44" s="351"/>
      <c r="DM44" s="351"/>
      <c r="DN44" s="351"/>
      <c r="DO44" s="351"/>
      <c r="DP44" s="351"/>
      <c r="DQ44" s="351"/>
      <c r="DR44" s="351"/>
      <c r="DS44" s="351"/>
      <c r="DT44" s="351"/>
      <c r="DU44" s="351"/>
      <c r="DV44" s="351"/>
      <c r="DW44" s="351"/>
      <c r="DX44" s="351"/>
      <c r="DY44" s="351"/>
      <c r="DZ44" s="351"/>
      <c r="EA44" s="351"/>
      <c r="EB44" s="351"/>
      <c r="EC44" s="351"/>
      <c r="ED44" s="351"/>
      <c r="EE44" s="351"/>
      <c r="EF44" s="351"/>
      <c r="EG44" s="351"/>
      <c r="EH44" s="351"/>
      <c r="EI44" s="351"/>
      <c r="EJ44" s="351"/>
      <c r="EK44" s="351"/>
      <c r="EL44" s="351"/>
      <c r="EM44" s="351"/>
      <c r="EN44" s="351"/>
      <c r="EO44" s="351"/>
      <c r="EP44" s="351"/>
      <c r="EQ44" s="351"/>
      <c r="ER44" s="351"/>
      <c r="ES44" s="351"/>
      <c r="ET44" s="351"/>
      <c r="EU44" s="351"/>
      <c r="EV44" s="351"/>
      <c r="EW44" s="351"/>
      <c r="EX44" s="351"/>
      <c r="EY44" s="351"/>
      <c r="EZ44" s="351"/>
      <c r="FA44" s="351"/>
      <c r="FB44" s="351"/>
      <c r="FC44" s="351"/>
      <c r="FD44" s="351"/>
      <c r="FE44" s="351"/>
      <c r="FF44" s="351"/>
      <c r="FG44" s="351"/>
      <c r="FH44" s="351"/>
      <c r="FI44" s="351"/>
      <c r="FJ44" s="351"/>
      <c r="FK44" s="351"/>
      <c r="FL44" s="351"/>
      <c r="FM44" s="351"/>
      <c r="FN44" s="351"/>
      <c r="FO44" s="351"/>
      <c r="FP44" s="351"/>
      <c r="FQ44" s="351"/>
      <c r="FR44" s="351"/>
      <c r="FS44" s="351"/>
      <c r="FT44" s="351"/>
      <c r="FU44" s="351"/>
      <c r="FV44" s="351"/>
      <c r="FW44" s="351"/>
      <c r="FX44" s="351"/>
      <c r="FY44" s="351"/>
      <c r="FZ44" s="351"/>
      <c r="GA44" s="351"/>
      <c r="GB44" s="351"/>
      <c r="GC44" s="351"/>
      <c r="GD44" s="351"/>
      <c r="GE44" s="351"/>
      <c r="GF44" s="351"/>
      <c r="GG44" s="351"/>
      <c r="GH44" s="351"/>
      <c r="GI44" s="351"/>
      <c r="GJ44" s="351"/>
      <c r="GK44" s="351"/>
      <c r="GL44" s="351"/>
      <c r="GM44" s="351"/>
      <c r="GN44" s="351"/>
      <c r="GO44" s="351"/>
      <c r="GP44" s="351"/>
      <c r="GQ44" s="351"/>
      <c r="GR44" s="351"/>
      <c r="GS44" s="351"/>
      <c r="GT44" s="351"/>
      <c r="GU44" s="351"/>
      <c r="GV44" s="351"/>
      <c r="GW44" s="351"/>
      <c r="GX44" s="351"/>
      <c r="GY44" s="351"/>
      <c r="GZ44" s="351"/>
      <c r="HA44" s="351"/>
      <c r="HB44" s="351"/>
      <c r="HC44" s="351"/>
      <c r="HD44" s="351"/>
      <c r="HE44" s="351"/>
      <c r="HF44" s="351"/>
      <c r="HG44" s="351"/>
      <c r="HH44" s="351"/>
      <c r="HI44" s="351"/>
      <c r="HJ44" s="351"/>
      <c r="HK44" s="351"/>
      <c r="HL44" s="351"/>
      <c r="HM44" s="351"/>
      <c r="HN44" s="351"/>
      <c r="HO44" s="351"/>
      <c r="HP44" s="351"/>
      <c r="HQ44" s="351"/>
      <c r="HR44" s="351"/>
      <c r="HS44" s="351"/>
      <c r="HT44" s="351"/>
      <c r="HU44" s="351"/>
      <c r="HV44" s="351"/>
      <c r="HW44" s="351"/>
      <c r="HX44" s="351"/>
      <c r="HY44" s="351"/>
      <c r="HZ44" s="351"/>
      <c r="IA44" s="351"/>
      <c r="IB44" s="351"/>
      <c r="IC44" s="351"/>
      <c r="ID44" s="351"/>
      <c r="IE44" s="351"/>
      <c r="IF44" s="351"/>
      <c r="IG44" s="351"/>
      <c r="IH44" s="351"/>
      <c r="II44" s="351"/>
      <c r="IJ44" s="351"/>
      <c r="IK44" s="351"/>
      <c r="IL44" s="351"/>
      <c r="IM44" s="351"/>
      <c r="IN44" s="351"/>
      <c r="IO44" s="351"/>
      <c r="IP44" s="351"/>
      <c r="IQ44" s="351"/>
      <c r="IR44" s="351"/>
      <c r="IS44" s="351"/>
      <c r="IT44" s="351"/>
      <c r="IU44" s="351"/>
    </row>
    <row r="45" spans="1:255">
      <c r="A45" s="368"/>
      <c r="B45" s="354" t="s">
        <v>163</v>
      </c>
      <c r="C45" s="355"/>
      <c r="D45" s="370">
        <f t="shared" si="9"/>
        <v>-0.14799999999999999</v>
      </c>
      <c r="E45" s="365">
        <v>-0.28000000000000003</v>
      </c>
      <c r="F45" s="358">
        <f t="shared" si="8"/>
        <v>-0.47142857142857153</v>
      </c>
      <c r="G45" s="357"/>
      <c r="H45" s="372"/>
      <c r="I45" s="358"/>
      <c r="J45" s="357"/>
      <c r="K45" s="357"/>
      <c r="L45" s="358"/>
      <c r="M45" s="351"/>
      <c r="N45" s="351"/>
      <c r="O45" s="351"/>
      <c r="P45" s="351"/>
      <c r="Q45" s="351"/>
      <c r="R45" s="352"/>
      <c r="S45" s="351"/>
      <c r="T45" s="351"/>
      <c r="U45" s="351"/>
      <c r="V45" s="351"/>
      <c r="W45" s="351"/>
      <c r="X45" s="351"/>
      <c r="Y45" s="351"/>
      <c r="Z45" s="351"/>
      <c r="AA45" s="351"/>
      <c r="AB45" s="351"/>
      <c r="AC45" s="351"/>
      <c r="AD45" s="351"/>
      <c r="AE45" s="351"/>
      <c r="AF45" s="351"/>
      <c r="AG45" s="351"/>
      <c r="AH45" s="351"/>
      <c r="AI45" s="351"/>
      <c r="AJ45" s="351"/>
      <c r="AK45" s="351"/>
      <c r="AL45" s="351"/>
      <c r="AM45" s="351"/>
      <c r="AN45" s="351"/>
      <c r="AO45" s="351"/>
      <c r="AP45" s="351"/>
      <c r="AQ45" s="351"/>
      <c r="AR45" s="351"/>
      <c r="AS45" s="351"/>
      <c r="AT45" s="351"/>
      <c r="AU45" s="351"/>
      <c r="AV45" s="351"/>
      <c r="AW45" s="351"/>
      <c r="AX45" s="351"/>
      <c r="AY45" s="351"/>
      <c r="AZ45" s="351"/>
      <c r="BA45" s="351"/>
      <c r="BB45" s="351"/>
      <c r="BC45" s="351"/>
      <c r="BD45" s="351"/>
      <c r="BE45" s="351"/>
      <c r="BF45" s="351"/>
      <c r="BG45" s="351"/>
      <c r="BH45" s="351"/>
      <c r="BI45" s="351"/>
      <c r="BJ45" s="351"/>
      <c r="BK45" s="351"/>
      <c r="BL45" s="351"/>
      <c r="BM45" s="351"/>
      <c r="BN45" s="351"/>
      <c r="BO45" s="351"/>
      <c r="BP45" s="351"/>
      <c r="BQ45" s="351"/>
      <c r="BR45" s="351"/>
      <c r="BS45" s="351"/>
      <c r="BT45" s="351"/>
      <c r="BU45" s="351"/>
      <c r="BV45" s="351"/>
      <c r="BW45" s="351"/>
      <c r="BX45" s="351"/>
      <c r="BY45" s="351"/>
      <c r="BZ45" s="351"/>
      <c r="CA45" s="351"/>
      <c r="CB45" s="351"/>
      <c r="CC45" s="351"/>
      <c r="CD45" s="351"/>
      <c r="CE45" s="351"/>
      <c r="CF45" s="351"/>
      <c r="CG45" s="351"/>
      <c r="CH45" s="351"/>
      <c r="CI45" s="351"/>
      <c r="CJ45" s="351"/>
      <c r="CK45" s="351"/>
      <c r="CL45" s="351"/>
      <c r="CM45" s="351"/>
      <c r="CN45" s="351"/>
      <c r="CO45" s="351"/>
      <c r="CP45" s="351"/>
      <c r="CQ45" s="351"/>
      <c r="CR45" s="351"/>
      <c r="CS45" s="351"/>
      <c r="CT45" s="351"/>
      <c r="CU45" s="351"/>
      <c r="CV45" s="351"/>
      <c r="CW45" s="351"/>
      <c r="CX45" s="351"/>
      <c r="CY45" s="351"/>
      <c r="CZ45" s="351"/>
      <c r="DA45" s="351"/>
      <c r="DB45" s="351"/>
      <c r="DC45" s="351"/>
      <c r="DD45" s="351"/>
      <c r="DE45" s="351"/>
      <c r="DF45" s="351"/>
      <c r="DG45" s="351"/>
      <c r="DH45" s="351"/>
      <c r="DI45" s="351"/>
      <c r="DJ45" s="351"/>
      <c r="DK45" s="351"/>
      <c r="DL45" s="351"/>
      <c r="DM45" s="351"/>
      <c r="DN45" s="351"/>
      <c r="DO45" s="351"/>
      <c r="DP45" s="351"/>
      <c r="DQ45" s="351"/>
      <c r="DR45" s="351"/>
      <c r="DS45" s="351"/>
      <c r="DT45" s="351"/>
      <c r="DU45" s="351"/>
      <c r="DV45" s="351"/>
      <c r="DW45" s="351"/>
      <c r="DX45" s="351"/>
      <c r="DY45" s="351"/>
      <c r="DZ45" s="351"/>
      <c r="EA45" s="351"/>
      <c r="EB45" s="351"/>
      <c r="EC45" s="351"/>
      <c r="ED45" s="351"/>
      <c r="EE45" s="351"/>
      <c r="EF45" s="351"/>
      <c r="EG45" s="351"/>
      <c r="EH45" s="351"/>
      <c r="EI45" s="351"/>
      <c r="EJ45" s="351"/>
      <c r="EK45" s="351"/>
      <c r="EL45" s="351"/>
      <c r="EM45" s="351"/>
      <c r="EN45" s="351"/>
      <c r="EO45" s="351"/>
      <c r="EP45" s="351"/>
      <c r="EQ45" s="351"/>
      <c r="ER45" s="351"/>
      <c r="ES45" s="351"/>
      <c r="ET45" s="351"/>
      <c r="EU45" s="351"/>
      <c r="EV45" s="351"/>
      <c r="EW45" s="351"/>
      <c r="EX45" s="351"/>
      <c r="EY45" s="351"/>
      <c r="EZ45" s="351"/>
      <c r="FA45" s="351"/>
      <c r="FB45" s="351"/>
      <c r="FC45" s="351"/>
      <c r="FD45" s="351"/>
      <c r="FE45" s="351"/>
      <c r="FF45" s="351"/>
      <c r="FG45" s="351"/>
      <c r="FH45" s="351"/>
      <c r="FI45" s="351"/>
      <c r="FJ45" s="351"/>
      <c r="FK45" s="351"/>
      <c r="FL45" s="351"/>
      <c r="FM45" s="351"/>
      <c r="FN45" s="351"/>
      <c r="FO45" s="351"/>
      <c r="FP45" s="351"/>
      <c r="FQ45" s="351"/>
      <c r="FR45" s="351"/>
      <c r="FS45" s="351"/>
      <c r="FT45" s="351"/>
      <c r="FU45" s="351"/>
      <c r="FV45" s="351"/>
      <c r="FW45" s="351"/>
      <c r="FX45" s="351"/>
      <c r="FY45" s="351"/>
      <c r="FZ45" s="351"/>
      <c r="GA45" s="351"/>
      <c r="GB45" s="351"/>
      <c r="GC45" s="351"/>
      <c r="GD45" s="351"/>
      <c r="GE45" s="351"/>
      <c r="GF45" s="351"/>
      <c r="GG45" s="351"/>
      <c r="GH45" s="351"/>
      <c r="GI45" s="351"/>
      <c r="GJ45" s="351"/>
      <c r="GK45" s="351"/>
      <c r="GL45" s="351"/>
      <c r="GM45" s="351"/>
      <c r="GN45" s="351"/>
      <c r="GO45" s="351"/>
      <c r="GP45" s="351"/>
      <c r="GQ45" s="351"/>
      <c r="GR45" s="351"/>
      <c r="GS45" s="351"/>
      <c r="GT45" s="351"/>
      <c r="GU45" s="351"/>
      <c r="GV45" s="351"/>
      <c r="GW45" s="351"/>
      <c r="GX45" s="351"/>
      <c r="GY45" s="351"/>
      <c r="GZ45" s="351"/>
      <c r="HA45" s="351"/>
      <c r="HB45" s="351"/>
      <c r="HC45" s="351"/>
      <c r="HD45" s="351"/>
      <c r="HE45" s="351"/>
      <c r="HF45" s="351"/>
      <c r="HG45" s="351"/>
      <c r="HH45" s="351"/>
      <c r="HI45" s="351"/>
      <c r="HJ45" s="351"/>
      <c r="HK45" s="351"/>
      <c r="HL45" s="351"/>
      <c r="HM45" s="351"/>
      <c r="HN45" s="351"/>
      <c r="HO45" s="351"/>
      <c r="HP45" s="351"/>
      <c r="HQ45" s="351"/>
      <c r="HR45" s="351"/>
      <c r="HS45" s="351"/>
      <c r="HT45" s="351"/>
      <c r="HU45" s="351"/>
      <c r="HV45" s="351"/>
      <c r="HW45" s="351"/>
      <c r="HX45" s="351"/>
      <c r="HY45" s="351"/>
      <c r="HZ45" s="351"/>
      <c r="IA45" s="351"/>
      <c r="IB45" s="351"/>
      <c r="IC45" s="351"/>
      <c r="ID45" s="351"/>
      <c r="IE45" s="351"/>
      <c r="IF45" s="351"/>
      <c r="IG45" s="351"/>
      <c r="IH45" s="351"/>
      <c r="II45" s="351"/>
      <c r="IJ45" s="351"/>
      <c r="IK45" s="351"/>
      <c r="IL45" s="351"/>
      <c r="IM45" s="351"/>
      <c r="IN45" s="351"/>
      <c r="IO45" s="351"/>
      <c r="IP45" s="351"/>
      <c r="IQ45" s="351"/>
      <c r="IR45" s="351"/>
      <c r="IS45" s="351"/>
      <c r="IT45" s="351"/>
      <c r="IU45" s="351"/>
    </row>
    <row r="46" spans="1:255">
      <c r="A46" s="368"/>
      <c r="B46" s="354" t="s">
        <v>164</v>
      </c>
      <c r="C46" s="355"/>
      <c r="D46" s="370">
        <f t="shared" si="9"/>
        <v>-0.21099999999999999</v>
      </c>
      <c r="E46" s="365">
        <v>-0.4</v>
      </c>
      <c r="F46" s="358">
        <f t="shared" si="8"/>
        <v>-0.47250000000000003</v>
      </c>
      <c r="G46" s="357"/>
      <c r="H46" s="372"/>
      <c r="I46" s="358"/>
      <c r="J46" s="357"/>
      <c r="K46" s="357"/>
      <c r="L46" s="358"/>
      <c r="M46" s="351"/>
      <c r="N46" s="351"/>
      <c r="O46" s="351"/>
      <c r="P46" s="351"/>
      <c r="Q46" s="351"/>
      <c r="R46" s="352"/>
      <c r="S46" s="351"/>
      <c r="T46" s="351"/>
      <c r="U46" s="351"/>
      <c r="V46" s="351"/>
      <c r="W46" s="351"/>
      <c r="X46" s="351"/>
      <c r="Y46" s="351"/>
      <c r="Z46" s="351"/>
      <c r="AA46" s="351"/>
      <c r="AB46" s="351"/>
      <c r="AC46" s="351"/>
      <c r="AD46" s="351"/>
      <c r="AE46" s="351"/>
      <c r="AF46" s="351"/>
      <c r="AG46" s="351"/>
      <c r="AH46" s="351"/>
      <c r="AI46" s="351"/>
      <c r="AJ46" s="351"/>
      <c r="AK46" s="351"/>
      <c r="AL46" s="351"/>
      <c r="AM46" s="351"/>
      <c r="AN46" s="351"/>
      <c r="AO46" s="351"/>
      <c r="AP46" s="351"/>
      <c r="AQ46" s="351"/>
      <c r="AR46" s="351"/>
      <c r="AS46" s="351"/>
      <c r="AT46" s="351"/>
      <c r="AU46" s="351"/>
      <c r="AV46" s="351"/>
      <c r="AW46" s="351"/>
      <c r="AX46" s="351"/>
      <c r="AY46" s="351"/>
      <c r="AZ46" s="351"/>
      <c r="BA46" s="351"/>
      <c r="BB46" s="351"/>
      <c r="BC46" s="351"/>
      <c r="BD46" s="351"/>
      <c r="BE46" s="351"/>
      <c r="BF46" s="351"/>
      <c r="BG46" s="351"/>
      <c r="BH46" s="351"/>
      <c r="BI46" s="351"/>
      <c r="BJ46" s="351"/>
      <c r="BK46" s="351"/>
      <c r="BL46" s="351"/>
      <c r="BM46" s="351"/>
      <c r="BN46" s="351"/>
      <c r="BO46" s="351"/>
      <c r="BP46" s="351"/>
      <c r="BQ46" s="351"/>
      <c r="BR46" s="351"/>
      <c r="BS46" s="351"/>
      <c r="BT46" s="351"/>
      <c r="BU46" s="351"/>
      <c r="BV46" s="351"/>
      <c r="BW46" s="351"/>
      <c r="BX46" s="351"/>
      <c r="BY46" s="351"/>
      <c r="BZ46" s="351"/>
      <c r="CA46" s="351"/>
      <c r="CB46" s="351"/>
      <c r="CC46" s="351"/>
      <c r="CD46" s="351"/>
      <c r="CE46" s="351"/>
      <c r="CF46" s="351"/>
      <c r="CG46" s="351"/>
      <c r="CH46" s="351"/>
      <c r="CI46" s="351"/>
      <c r="CJ46" s="351"/>
      <c r="CK46" s="351"/>
      <c r="CL46" s="351"/>
      <c r="CM46" s="351"/>
      <c r="CN46" s="351"/>
      <c r="CO46" s="351"/>
      <c r="CP46" s="351"/>
      <c r="CQ46" s="351"/>
      <c r="CR46" s="351"/>
      <c r="CS46" s="351"/>
      <c r="CT46" s="351"/>
      <c r="CU46" s="351"/>
      <c r="CV46" s="351"/>
      <c r="CW46" s="351"/>
      <c r="CX46" s="351"/>
      <c r="CY46" s="351"/>
      <c r="CZ46" s="351"/>
      <c r="DA46" s="351"/>
      <c r="DB46" s="351"/>
      <c r="DC46" s="351"/>
      <c r="DD46" s="351"/>
      <c r="DE46" s="351"/>
      <c r="DF46" s="351"/>
      <c r="DG46" s="351"/>
      <c r="DH46" s="351"/>
      <c r="DI46" s="351"/>
      <c r="DJ46" s="351"/>
      <c r="DK46" s="351"/>
      <c r="DL46" s="351"/>
      <c r="DM46" s="351"/>
      <c r="DN46" s="351"/>
      <c r="DO46" s="351"/>
      <c r="DP46" s="351"/>
      <c r="DQ46" s="351"/>
      <c r="DR46" s="351"/>
      <c r="DS46" s="351"/>
      <c r="DT46" s="351"/>
      <c r="DU46" s="351"/>
      <c r="DV46" s="351"/>
      <c r="DW46" s="351"/>
      <c r="DX46" s="351"/>
      <c r="DY46" s="351"/>
      <c r="DZ46" s="351"/>
      <c r="EA46" s="351"/>
      <c r="EB46" s="351"/>
      <c r="EC46" s="351"/>
      <c r="ED46" s="351"/>
      <c r="EE46" s="351"/>
      <c r="EF46" s="351"/>
      <c r="EG46" s="351"/>
      <c r="EH46" s="351"/>
      <c r="EI46" s="351"/>
      <c r="EJ46" s="351"/>
      <c r="EK46" s="351"/>
      <c r="EL46" s="351"/>
      <c r="EM46" s="351"/>
      <c r="EN46" s="351"/>
      <c r="EO46" s="351"/>
      <c r="EP46" s="351"/>
      <c r="EQ46" s="351"/>
      <c r="ER46" s="351"/>
      <c r="ES46" s="351"/>
      <c r="ET46" s="351"/>
      <c r="EU46" s="351"/>
      <c r="EV46" s="351"/>
      <c r="EW46" s="351"/>
      <c r="EX46" s="351"/>
      <c r="EY46" s="351"/>
      <c r="EZ46" s="351"/>
      <c r="FA46" s="351"/>
      <c r="FB46" s="351"/>
      <c r="FC46" s="351"/>
      <c r="FD46" s="351"/>
      <c r="FE46" s="351"/>
      <c r="FF46" s="351"/>
      <c r="FG46" s="351"/>
      <c r="FH46" s="351"/>
      <c r="FI46" s="351"/>
      <c r="FJ46" s="351"/>
      <c r="FK46" s="351"/>
      <c r="FL46" s="351"/>
      <c r="FM46" s="351"/>
      <c r="FN46" s="351"/>
      <c r="FO46" s="351"/>
      <c r="FP46" s="351"/>
      <c r="FQ46" s="351"/>
      <c r="FR46" s="351"/>
      <c r="FS46" s="351"/>
      <c r="FT46" s="351"/>
      <c r="FU46" s="351"/>
      <c r="FV46" s="351"/>
      <c r="FW46" s="351"/>
      <c r="FX46" s="351"/>
      <c r="FY46" s="351"/>
      <c r="FZ46" s="351"/>
      <c r="GA46" s="351"/>
      <c r="GB46" s="351"/>
      <c r="GC46" s="351"/>
      <c r="GD46" s="351"/>
      <c r="GE46" s="351"/>
      <c r="GF46" s="351"/>
      <c r="GG46" s="351"/>
      <c r="GH46" s="351"/>
      <c r="GI46" s="351"/>
      <c r="GJ46" s="351"/>
      <c r="GK46" s="351"/>
      <c r="GL46" s="351"/>
      <c r="GM46" s="351"/>
      <c r="GN46" s="351"/>
      <c r="GO46" s="351"/>
      <c r="GP46" s="351"/>
      <c r="GQ46" s="351"/>
      <c r="GR46" s="351"/>
      <c r="GS46" s="351"/>
      <c r="GT46" s="351"/>
      <c r="GU46" s="351"/>
      <c r="GV46" s="351"/>
      <c r="GW46" s="351"/>
      <c r="GX46" s="351"/>
      <c r="GY46" s="351"/>
      <c r="GZ46" s="351"/>
      <c r="HA46" s="351"/>
      <c r="HB46" s="351"/>
      <c r="HC46" s="351"/>
      <c r="HD46" s="351"/>
      <c r="HE46" s="351"/>
      <c r="HF46" s="351"/>
      <c r="HG46" s="351"/>
      <c r="HH46" s="351"/>
      <c r="HI46" s="351"/>
      <c r="HJ46" s="351"/>
      <c r="HK46" s="351"/>
      <c r="HL46" s="351"/>
      <c r="HM46" s="351"/>
      <c r="HN46" s="351"/>
      <c r="HO46" s="351"/>
      <c r="HP46" s="351"/>
      <c r="HQ46" s="351"/>
      <c r="HR46" s="351"/>
      <c r="HS46" s="351"/>
      <c r="HT46" s="351"/>
      <c r="HU46" s="351"/>
      <c r="HV46" s="351"/>
      <c r="HW46" s="351"/>
      <c r="HX46" s="351"/>
      <c r="HY46" s="351"/>
      <c r="HZ46" s="351"/>
      <c r="IA46" s="351"/>
      <c r="IB46" s="351"/>
      <c r="IC46" s="351"/>
      <c r="ID46" s="351"/>
      <c r="IE46" s="351"/>
      <c r="IF46" s="351"/>
      <c r="IG46" s="351"/>
      <c r="IH46" s="351"/>
      <c r="II46" s="351"/>
      <c r="IJ46" s="351"/>
      <c r="IK46" s="351"/>
      <c r="IL46" s="351"/>
      <c r="IM46" s="351"/>
      <c r="IN46" s="351"/>
      <c r="IO46" s="351"/>
      <c r="IP46" s="351"/>
      <c r="IQ46" s="351"/>
      <c r="IR46" s="351"/>
      <c r="IS46" s="351"/>
      <c r="IT46" s="351"/>
      <c r="IU46" s="351"/>
    </row>
    <row r="47" spans="1:255">
      <c r="A47" s="368"/>
      <c r="B47" s="354" t="s">
        <v>165</v>
      </c>
      <c r="C47" s="355"/>
      <c r="D47" s="370">
        <f t="shared" si="9"/>
        <v>-0.24299999999999999</v>
      </c>
      <c r="E47" s="365">
        <v>-0.46</v>
      </c>
      <c r="F47" s="358">
        <f t="shared" si="8"/>
        <v>-0.47173913043478266</v>
      </c>
      <c r="G47" s="357"/>
      <c r="H47" s="357"/>
      <c r="I47" s="358"/>
      <c r="J47" s="357"/>
      <c r="K47" s="357"/>
      <c r="L47" s="358"/>
      <c r="M47" s="351"/>
      <c r="N47" s="351"/>
      <c r="O47" s="351"/>
      <c r="P47" s="351"/>
      <c r="Q47" s="351"/>
      <c r="R47" s="352"/>
      <c r="S47" s="351"/>
      <c r="T47" s="351"/>
      <c r="U47" s="351"/>
      <c r="V47" s="351"/>
      <c r="W47" s="351"/>
      <c r="X47" s="351"/>
      <c r="Y47" s="351"/>
      <c r="Z47" s="351"/>
      <c r="AA47" s="351"/>
      <c r="AB47" s="351"/>
      <c r="AC47" s="351"/>
      <c r="AD47" s="351"/>
      <c r="AE47" s="351"/>
      <c r="AF47" s="351"/>
      <c r="AG47" s="351"/>
      <c r="AH47" s="351"/>
      <c r="AI47" s="351"/>
      <c r="AJ47" s="351"/>
      <c r="AK47" s="351"/>
      <c r="AL47" s="351"/>
      <c r="AM47" s="351"/>
      <c r="AN47" s="351"/>
      <c r="AO47" s="351"/>
      <c r="AP47" s="351"/>
      <c r="AQ47" s="351"/>
      <c r="AR47" s="351"/>
      <c r="AS47" s="351"/>
      <c r="AT47" s="351"/>
      <c r="AU47" s="351"/>
      <c r="AV47" s="351"/>
      <c r="AW47" s="351"/>
      <c r="AX47" s="351"/>
      <c r="AY47" s="351"/>
      <c r="AZ47" s="351"/>
      <c r="BA47" s="351"/>
      <c r="BB47" s="351"/>
      <c r="BC47" s="351"/>
      <c r="BD47" s="351"/>
      <c r="BE47" s="351"/>
      <c r="BF47" s="351"/>
      <c r="BG47" s="351"/>
      <c r="BH47" s="351"/>
      <c r="BI47" s="351"/>
      <c r="BJ47" s="351"/>
      <c r="BK47" s="351"/>
      <c r="BL47" s="351"/>
      <c r="BM47" s="351"/>
      <c r="BN47" s="351"/>
      <c r="BO47" s="351"/>
      <c r="BP47" s="351"/>
      <c r="BQ47" s="351"/>
      <c r="BR47" s="351"/>
      <c r="BS47" s="351"/>
      <c r="BT47" s="351"/>
      <c r="BU47" s="351"/>
      <c r="BV47" s="351"/>
      <c r="BW47" s="351"/>
      <c r="BX47" s="351"/>
      <c r="BY47" s="351"/>
      <c r="BZ47" s="351"/>
      <c r="CA47" s="351"/>
      <c r="CB47" s="351"/>
      <c r="CC47" s="351"/>
      <c r="CD47" s="351"/>
      <c r="CE47" s="351"/>
      <c r="CF47" s="351"/>
      <c r="CG47" s="351"/>
      <c r="CH47" s="351"/>
      <c r="CI47" s="351"/>
      <c r="CJ47" s="351"/>
      <c r="CK47" s="351"/>
      <c r="CL47" s="351"/>
      <c r="CM47" s="351"/>
      <c r="CN47" s="351"/>
      <c r="CO47" s="351"/>
      <c r="CP47" s="351"/>
      <c r="CQ47" s="351"/>
      <c r="CR47" s="351"/>
      <c r="CS47" s="351"/>
      <c r="CT47" s="351"/>
      <c r="CU47" s="351"/>
      <c r="CV47" s="351"/>
      <c r="CW47" s="351"/>
      <c r="CX47" s="351"/>
      <c r="CY47" s="351"/>
      <c r="CZ47" s="351"/>
      <c r="DA47" s="351"/>
      <c r="DB47" s="351"/>
      <c r="DC47" s="351"/>
      <c r="DD47" s="351"/>
      <c r="DE47" s="351"/>
      <c r="DF47" s="351"/>
      <c r="DG47" s="351"/>
      <c r="DH47" s="351"/>
      <c r="DI47" s="351"/>
      <c r="DJ47" s="351"/>
      <c r="DK47" s="351"/>
      <c r="DL47" s="351"/>
      <c r="DM47" s="351"/>
      <c r="DN47" s="351"/>
      <c r="DO47" s="351"/>
      <c r="DP47" s="351"/>
      <c r="DQ47" s="351"/>
      <c r="DR47" s="351"/>
      <c r="DS47" s="351"/>
      <c r="DT47" s="351"/>
      <c r="DU47" s="351"/>
      <c r="DV47" s="351"/>
      <c r="DW47" s="351"/>
      <c r="DX47" s="351"/>
      <c r="DY47" s="351"/>
      <c r="DZ47" s="351"/>
      <c r="EA47" s="351"/>
      <c r="EB47" s="351"/>
      <c r="EC47" s="351"/>
      <c r="ED47" s="351"/>
      <c r="EE47" s="351"/>
      <c r="EF47" s="351"/>
      <c r="EG47" s="351"/>
      <c r="EH47" s="351"/>
      <c r="EI47" s="351"/>
      <c r="EJ47" s="351"/>
      <c r="EK47" s="351"/>
      <c r="EL47" s="351"/>
      <c r="EM47" s="351"/>
      <c r="EN47" s="351"/>
      <c r="EO47" s="351"/>
      <c r="EP47" s="351"/>
      <c r="EQ47" s="351"/>
      <c r="ER47" s="351"/>
      <c r="ES47" s="351"/>
      <c r="ET47" s="351"/>
      <c r="EU47" s="351"/>
      <c r="EV47" s="351"/>
      <c r="EW47" s="351"/>
      <c r="EX47" s="351"/>
      <c r="EY47" s="351"/>
      <c r="EZ47" s="351"/>
      <c r="FA47" s="351"/>
      <c r="FB47" s="351"/>
      <c r="FC47" s="351"/>
      <c r="FD47" s="351"/>
      <c r="FE47" s="351"/>
      <c r="FF47" s="351"/>
      <c r="FG47" s="351"/>
      <c r="FH47" s="351"/>
      <c r="FI47" s="351"/>
      <c r="FJ47" s="351"/>
      <c r="FK47" s="351"/>
      <c r="FL47" s="351"/>
      <c r="FM47" s="351"/>
      <c r="FN47" s="351"/>
      <c r="FO47" s="351"/>
      <c r="FP47" s="351"/>
      <c r="FQ47" s="351"/>
      <c r="FR47" s="351"/>
      <c r="FS47" s="351"/>
      <c r="FT47" s="351"/>
      <c r="FU47" s="351"/>
      <c r="FV47" s="351"/>
      <c r="FW47" s="351"/>
      <c r="FX47" s="351"/>
      <c r="FY47" s="351"/>
      <c r="FZ47" s="351"/>
      <c r="GA47" s="351"/>
      <c r="GB47" s="351"/>
      <c r="GC47" s="351"/>
      <c r="GD47" s="351"/>
      <c r="GE47" s="351"/>
      <c r="GF47" s="351"/>
      <c r="GG47" s="351"/>
      <c r="GH47" s="351"/>
      <c r="GI47" s="351"/>
      <c r="GJ47" s="351"/>
      <c r="GK47" s="351"/>
      <c r="GL47" s="351"/>
      <c r="GM47" s="351"/>
      <c r="GN47" s="351"/>
      <c r="GO47" s="351"/>
      <c r="GP47" s="351"/>
      <c r="GQ47" s="351"/>
      <c r="GR47" s="351"/>
      <c r="GS47" s="351"/>
      <c r="GT47" s="351"/>
      <c r="GU47" s="351"/>
      <c r="GV47" s="351"/>
      <c r="GW47" s="351"/>
      <c r="GX47" s="351"/>
      <c r="GY47" s="351"/>
      <c r="GZ47" s="351"/>
      <c r="HA47" s="351"/>
      <c r="HB47" s="351"/>
      <c r="HC47" s="351"/>
      <c r="HD47" s="351"/>
      <c r="HE47" s="351"/>
      <c r="HF47" s="351"/>
      <c r="HG47" s="351"/>
      <c r="HH47" s="351"/>
      <c r="HI47" s="351"/>
      <c r="HJ47" s="351"/>
      <c r="HK47" s="351"/>
      <c r="HL47" s="351"/>
      <c r="HM47" s="351"/>
      <c r="HN47" s="351"/>
      <c r="HO47" s="351"/>
      <c r="HP47" s="351"/>
      <c r="HQ47" s="351"/>
      <c r="HR47" s="351"/>
      <c r="HS47" s="351"/>
      <c r="HT47" s="351"/>
      <c r="HU47" s="351"/>
      <c r="HV47" s="351"/>
      <c r="HW47" s="351"/>
      <c r="HX47" s="351"/>
      <c r="HY47" s="351"/>
      <c r="HZ47" s="351"/>
      <c r="IA47" s="351"/>
      <c r="IB47" s="351"/>
      <c r="IC47" s="351"/>
      <c r="ID47" s="351"/>
      <c r="IE47" s="351"/>
      <c r="IF47" s="351"/>
      <c r="IG47" s="351"/>
      <c r="IH47" s="351"/>
      <c r="II47" s="351"/>
      <c r="IJ47" s="351"/>
      <c r="IK47" s="351"/>
      <c r="IL47" s="351"/>
      <c r="IM47" s="351"/>
      <c r="IN47" s="351"/>
      <c r="IO47" s="351"/>
      <c r="IP47" s="351"/>
      <c r="IQ47" s="351"/>
      <c r="IR47" s="351"/>
      <c r="IS47" s="351"/>
      <c r="IT47" s="351"/>
      <c r="IU47" s="351"/>
    </row>
    <row r="48" spans="1:255">
      <c r="A48" s="368"/>
      <c r="B48" s="354" t="s">
        <v>166</v>
      </c>
      <c r="C48" s="355"/>
      <c r="D48" s="370">
        <f t="shared" si="9"/>
        <v>-0.27500000000000002</v>
      </c>
      <c r="E48" s="365">
        <v>-0.52</v>
      </c>
      <c r="F48" s="358">
        <f t="shared" si="8"/>
        <v>-0.47115384615384615</v>
      </c>
      <c r="G48" s="357"/>
      <c r="H48" s="357"/>
      <c r="I48" s="358"/>
      <c r="J48" s="357"/>
      <c r="K48" s="357"/>
      <c r="L48" s="358"/>
      <c r="M48" s="351"/>
      <c r="N48" s="351"/>
      <c r="O48" s="351"/>
      <c r="P48" s="351"/>
      <c r="Q48" s="351"/>
      <c r="R48" s="352"/>
      <c r="S48" s="351"/>
      <c r="T48" s="351"/>
      <c r="U48" s="351"/>
      <c r="V48" s="351"/>
      <c r="W48" s="351"/>
      <c r="X48" s="351"/>
      <c r="Y48" s="351"/>
      <c r="Z48" s="351"/>
      <c r="AA48" s="351"/>
      <c r="AB48" s="351"/>
      <c r="AC48" s="351"/>
      <c r="AD48" s="351"/>
      <c r="AE48" s="351"/>
      <c r="AF48" s="351"/>
      <c r="AG48" s="351"/>
      <c r="AH48" s="351"/>
      <c r="AI48" s="351"/>
      <c r="AJ48" s="351"/>
      <c r="AK48" s="351"/>
      <c r="AL48" s="351"/>
      <c r="AM48" s="351"/>
      <c r="AN48" s="351"/>
      <c r="AO48" s="351"/>
      <c r="AP48" s="351"/>
      <c r="AQ48" s="351"/>
      <c r="AR48" s="351"/>
      <c r="AS48" s="351"/>
      <c r="AT48" s="351"/>
      <c r="AU48" s="351"/>
      <c r="AV48" s="351"/>
      <c r="AW48" s="351"/>
      <c r="AX48" s="351"/>
      <c r="AY48" s="351"/>
      <c r="AZ48" s="351"/>
      <c r="BA48" s="351"/>
      <c r="BB48" s="351"/>
      <c r="BC48" s="351"/>
      <c r="BD48" s="351"/>
      <c r="BE48" s="351"/>
      <c r="BF48" s="351"/>
      <c r="BG48" s="351"/>
      <c r="BH48" s="351"/>
      <c r="BI48" s="351"/>
      <c r="BJ48" s="351"/>
      <c r="BK48" s="351"/>
      <c r="BL48" s="351"/>
      <c r="BM48" s="351"/>
      <c r="BN48" s="351"/>
      <c r="BO48" s="351"/>
      <c r="BP48" s="351"/>
      <c r="BQ48" s="351"/>
      <c r="BR48" s="351"/>
      <c r="BS48" s="351"/>
      <c r="BT48" s="351"/>
      <c r="BU48" s="351"/>
      <c r="BV48" s="351"/>
      <c r="BW48" s="351"/>
      <c r="BX48" s="351"/>
      <c r="BY48" s="351"/>
      <c r="BZ48" s="351"/>
      <c r="CA48" s="351"/>
      <c r="CB48" s="351"/>
      <c r="CC48" s="351"/>
      <c r="CD48" s="351"/>
      <c r="CE48" s="351"/>
      <c r="CF48" s="351"/>
      <c r="CG48" s="351"/>
      <c r="CH48" s="351"/>
      <c r="CI48" s="351"/>
      <c r="CJ48" s="351"/>
      <c r="CK48" s="351"/>
      <c r="CL48" s="351"/>
      <c r="CM48" s="351"/>
      <c r="CN48" s="351"/>
      <c r="CO48" s="351"/>
      <c r="CP48" s="351"/>
      <c r="CQ48" s="351"/>
      <c r="CR48" s="351"/>
      <c r="CS48" s="351"/>
      <c r="CT48" s="351"/>
      <c r="CU48" s="351"/>
      <c r="CV48" s="351"/>
      <c r="CW48" s="351"/>
      <c r="CX48" s="351"/>
      <c r="CY48" s="351"/>
      <c r="CZ48" s="351"/>
      <c r="DA48" s="351"/>
      <c r="DB48" s="351"/>
      <c r="DC48" s="351"/>
      <c r="DD48" s="351"/>
      <c r="DE48" s="351"/>
      <c r="DF48" s="351"/>
      <c r="DG48" s="351"/>
      <c r="DH48" s="351"/>
      <c r="DI48" s="351"/>
      <c r="DJ48" s="351"/>
      <c r="DK48" s="351"/>
      <c r="DL48" s="351"/>
      <c r="DM48" s="351"/>
      <c r="DN48" s="351"/>
      <c r="DO48" s="351"/>
      <c r="DP48" s="351"/>
      <c r="DQ48" s="351"/>
      <c r="DR48" s="351"/>
      <c r="DS48" s="351"/>
      <c r="DT48" s="351"/>
      <c r="DU48" s="351"/>
      <c r="DV48" s="351"/>
      <c r="DW48" s="351"/>
      <c r="DX48" s="351"/>
      <c r="DY48" s="351"/>
      <c r="DZ48" s="351"/>
      <c r="EA48" s="351"/>
      <c r="EB48" s="351"/>
      <c r="EC48" s="351"/>
      <c r="ED48" s="351"/>
      <c r="EE48" s="351"/>
      <c r="EF48" s="351"/>
      <c r="EG48" s="351"/>
      <c r="EH48" s="351"/>
      <c r="EI48" s="351"/>
      <c r="EJ48" s="351"/>
      <c r="EK48" s="351"/>
      <c r="EL48" s="351"/>
      <c r="EM48" s="351"/>
      <c r="EN48" s="351"/>
      <c r="EO48" s="351"/>
      <c r="EP48" s="351"/>
      <c r="EQ48" s="351"/>
      <c r="ER48" s="351"/>
      <c r="ES48" s="351"/>
      <c r="ET48" s="351"/>
      <c r="EU48" s="351"/>
      <c r="EV48" s="351"/>
      <c r="EW48" s="351"/>
      <c r="EX48" s="351"/>
      <c r="EY48" s="351"/>
      <c r="EZ48" s="351"/>
      <c r="FA48" s="351"/>
      <c r="FB48" s="351"/>
      <c r="FC48" s="351"/>
      <c r="FD48" s="351"/>
      <c r="FE48" s="351"/>
      <c r="FF48" s="351"/>
      <c r="FG48" s="351"/>
      <c r="FH48" s="351"/>
      <c r="FI48" s="351"/>
      <c r="FJ48" s="351"/>
      <c r="FK48" s="351"/>
      <c r="FL48" s="351"/>
      <c r="FM48" s="351"/>
      <c r="FN48" s="351"/>
      <c r="FO48" s="351"/>
      <c r="FP48" s="351"/>
      <c r="FQ48" s="351"/>
      <c r="FR48" s="351"/>
      <c r="FS48" s="351"/>
      <c r="FT48" s="351"/>
      <c r="FU48" s="351"/>
      <c r="FV48" s="351"/>
      <c r="FW48" s="351"/>
      <c r="FX48" s="351"/>
      <c r="FY48" s="351"/>
      <c r="FZ48" s="351"/>
      <c r="GA48" s="351"/>
      <c r="GB48" s="351"/>
      <c r="GC48" s="351"/>
      <c r="GD48" s="351"/>
      <c r="GE48" s="351"/>
      <c r="GF48" s="351"/>
      <c r="GG48" s="351"/>
      <c r="GH48" s="351"/>
      <c r="GI48" s="351"/>
      <c r="GJ48" s="351"/>
      <c r="GK48" s="351"/>
      <c r="GL48" s="351"/>
      <c r="GM48" s="351"/>
      <c r="GN48" s="351"/>
      <c r="GO48" s="351"/>
      <c r="GP48" s="351"/>
      <c r="GQ48" s="351"/>
      <c r="GR48" s="351"/>
      <c r="GS48" s="351"/>
      <c r="GT48" s="351"/>
      <c r="GU48" s="351"/>
      <c r="GV48" s="351"/>
      <c r="GW48" s="351"/>
      <c r="GX48" s="351"/>
      <c r="GY48" s="351"/>
      <c r="GZ48" s="351"/>
      <c r="HA48" s="351"/>
      <c r="HB48" s="351"/>
      <c r="HC48" s="351"/>
      <c r="HD48" s="351"/>
      <c r="HE48" s="351"/>
      <c r="HF48" s="351"/>
      <c r="HG48" s="351"/>
      <c r="HH48" s="351"/>
      <c r="HI48" s="351"/>
      <c r="HJ48" s="351"/>
      <c r="HK48" s="351"/>
      <c r="HL48" s="351"/>
      <c r="HM48" s="351"/>
      <c r="HN48" s="351"/>
      <c r="HO48" s="351"/>
      <c r="HP48" s="351"/>
      <c r="HQ48" s="351"/>
      <c r="HR48" s="351"/>
      <c r="HS48" s="351"/>
      <c r="HT48" s="351"/>
      <c r="HU48" s="351"/>
      <c r="HV48" s="351"/>
      <c r="HW48" s="351"/>
      <c r="HX48" s="351"/>
      <c r="HY48" s="351"/>
      <c r="HZ48" s="351"/>
      <c r="IA48" s="351"/>
      <c r="IB48" s="351"/>
      <c r="IC48" s="351"/>
      <c r="ID48" s="351"/>
      <c r="IE48" s="351"/>
      <c r="IF48" s="351"/>
      <c r="IG48" s="351"/>
      <c r="IH48" s="351"/>
      <c r="II48" s="351"/>
      <c r="IJ48" s="351"/>
      <c r="IK48" s="351"/>
      <c r="IL48" s="351"/>
      <c r="IM48" s="351"/>
      <c r="IN48" s="351"/>
      <c r="IO48" s="351"/>
      <c r="IP48" s="351"/>
      <c r="IQ48" s="351"/>
      <c r="IR48" s="351"/>
      <c r="IS48" s="351"/>
      <c r="IT48" s="351"/>
      <c r="IU48" s="351"/>
    </row>
    <row r="49" spans="1:255">
      <c r="A49" s="368"/>
      <c r="B49" s="354" t="s">
        <v>167</v>
      </c>
      <c r="C49" s="355"/>
      <c r="D49" s="370">
        <f t="shared" si="9"/>
        <v>-0.312</v>
      </c>
      <c r="E49" s="365">
        <v>-0.59</v>
      </c>
      <c r="F49" s="358">
        <f t="shared" si="8"/>
        <v>-0.47118644067796611</v>
      </c>
      <c r="G49" s="357"/>
      <c r="H49" s="357"/>
      <c r="I49" s="358"/>
      <c r="J49" s="357"/>
      <c r="K49" s="357"/>
      <c r="L49" s="358"/>
      <c r="M49" s="351"/>
      <c r="N49" s="351"/>
      <c r="O49" s="351"/>
      <c r="P49" s="351"/>
      <c r="Q49" s="351"/>
      <c r="R49" s="352"/>
      <c r="S49" s="351"/>
      <c r="T49" s="351"/>
      <c r="U49" s="351"/>
      <c r="V49" s="351"/>
      <c r="W49" s="351"/>
      <c r="X49" s="351"/>
      <c r="Y49" s="351"/>
      <c r="Z49" s="351"/>
      <c r="AA49" s="351"/>
      <c r="AB49" s="351"/>
      <c r="AC49" s="351"/>
      <c r="AD49" s="351"/>
      <c r="AE49" s="351"/>
      <c r="AF49" s="351"/>
      <c r="AG49" s="351"/>
      <c r="AH49" s="351"/>
      <c r="AI49" s="351"/>
      <c r="AJ49" s="351"/>
      <c r="AK49" s="351"/>
      <c r="AL49" s="351"/>
      <c r="AM49" s="351"/>
      <c r="AN49" s="351"/>
      <c r="AO49" s="351"/>
      <c r="AP49" s="351"/>
      <c r="AQ49" s="351"/>
      <c r="AR49" s="351"/>
      <c r="AS49" s="351"/>
      <c r="AT49" s="351"/>
      <c r="AU49" s="351"/>
      <c r="AV49" s="351"/>
      <c r="AW49" s="351"/>
      <c r="AX49" s="351"/>
      <c r="AY49" s="351"/>
      <c r="AZ49" s="351"/>
      <c r="BA49" s="351"/>
      <c r="BB49" s="351"/>
      <c r="BC49" s="351"/>
      <c r="BD49" s="351"/>
      <c r="BE49" s="351"/>
      <c r="BF49" s="351"/>
      <c r="BG49" s="351"/>
      <c r="BH49" s="351"/>
      <c r="BI49" s="351"/>
      <c r="BJ49" s="351"/>
      <c r="BK49" s="351"/>
      <c r="BL49" s="351"/>
      <c r="BM49" s="351"/>
      <c r="BN49" s="351"/>
      <c r="BO49" s="351"/>
      <c r="BP49" s="351"/>
      <c r="BQ49" s="351"/>
      <c r="BR49" s="351"/>
      <c r="BS49" s="351"/>
      <c r="BT49" s="351"/>
      <c r="BU49" s="351"/>
      <c r="BV49" s="351"/>
      <c r="BW49" s="351"/>
      <c r="BX49" s="351"/>
      <c r="BY49" s="351"/>
      <c r="BZ49" s="351"/>
      <c r="CA49" s="351"/>
      <c r="CB49" s="351"/>
      <c r="CC49" s="351"/>
      <c r="CD49" s="351"/>
      <c r="CE49" s="351"/>
      <c r="CF49" s="351"/>
      <c r="CG49" s="351"/>
      <c r="CH49" s="351"/>
      <c r="CI49" s="351"/>
      <c r="CJ49" s="351"/>
      <c r="CK49" s="351"/>
      <c r="CL49" s="351"/>
      <c r="CM49" s="351"/>
      <c r="CN49" s="351"/>
      <c r="CO49" s="351"/>
      <c r="CP49" s="351"/>
      <c r="CQ49" s="351"/>
      <c r="CR49" s="351"/>
      <c r="CS49" s="351"/>
      <c r="CT49" s="351"/>
      <c r="CU49" s="351"/>
      <c r="CV49" s="351"/>
      <c r="CW49" s="351"/>
      <c r="CX49" s="351"/>
      <c r="CY49" s="351"/>
      <c r="CZ49" s="351"/>
      <c r="DA49" s="351"/>
      <c r="DB49" s="351"/>
      <c r="DC49" s="351"/>
      <c r="DD49" s="351"/>
      <c r="DE49" s="351"/>
      <c r="DF49" s="351"/>
      <c r="DG49" s="351"/>
      <c r="DH49" s="351"/>
      <c r="DI49" s="351"/>
      <c r="DJ49" s="351"/>
      <c r="DK49" s="351"/>
      <c r="DL49" s="351"/>
      <c r="DM49" s="351"/>
      <c r="DN49" s="351"/>
      <c r="DO49" s="351"/>
      <c r="DP49" s="351"/>
      <c r="DQ49" s="351"/>
      <c r="DR49" s="351"/>
      <c r="DS49" s="351"/>
      <c r="DT49" s="351"/>
      <c r="DU49" s="351"/>
      <c r="DV49" s="351"/>
      <c r="DW49" s="351"/>
      <c r="DX49" s="351"/>
      <c r="DY49" s="351"/>
      <c r="DZ49" s="351"/>
      <c r="EA49" s="351"/>
      <c r="EB49" s="351"/>
      <c r="EC49" s="351"/>
      <c r="ED49" s="351"/>
      <c r="EE49" s="351"/>
      <c r="EF49" s="351"/>
      <c r="EG49" s="351"/>
      <c r="EH49" s="351"/>
      <c r="EI49" s="351"/>
      <c r="EJ49" s="351"/>
      <c r="EK49" s="351"/>
      <c r="EL49" s="351"/>
      <c r="EM49" s="351"/>
      <c r="EN49" s="351"/>
      <c r="EO49" s="351"/>
      <c r="EP49" s="351"/>
      <c r="EQ49" s="351"/>
      <c r="ER49" s="351"/>
      <c r="ES49" s="351"/>
      <c r="ET49" s="351"/>
      <c r="EU49" s="351"/>
      <c r="EV49" s="351"/>
      <c r="EW49" s="351"/>
      <c r="EX49" s="351"/>
      <c r="EY49" s="351"/>
      <c r="EZ49" s="351"/>
      <c r="FA49" s="351"/>
      <c r="FB49" s="351"/>
      <c r="FC49" s="351"/>
      <c r="FD49" s="351"/>
      <c r="FE49" s="351"/>
      <c r="FF49" s="351"/>
      <c r="FG49" s="351"/>
      <c r="FH49" s="351"/>
      <c r="FI49" s="351"/>
      <c r="FJ49" s="351"/>
      <c r="FK49" s="351"/>
      <c r="FL49" s="351"/>
      <c r="FM49" s="351"/>
      <c r="FN49" s="351"/>
      <c r="FO49" s="351"/>
      <c r="FP49" s="351"/>
      <c r="FQ49" s="351"/>
      <c r="FR49" s="351"/>
      <c r="FS49" s="351"/>
      <c r="FT49" s="351"/>
      <c r="FU49" s="351"/>
      <c r="FV49" s="351"/>
      <c r="FW49" s="351"/>
      <c r="FX49" s="351"/>
      <c r="FY49" s="351"/>
      <c r="FZ49" s="351"/>
      <c r="GA49" s="351"/>
      <c r="GB49" s="351"/>
      <c r="GC49" s="351"/>
      <c r="GD49" s="351"/>
      <c r="GE49" s="351"/>
      <c r="GF49" s="351"/>
      <c r="GG49" s="351"/>
      <c r="GH49" s="351"/>
      <c r="GI49" s="351"/>
      <c r="GJ49" s="351"/>
      <c r="GK49" s="351"/>
      <c r="GL49" s="351"/>
      <c r="GM49" s="351"/>
      <c r="GN49" s="351"/>
      <c r="GO49" s="351"/>
      <c r="GP49" s="351"/>
      <c r="GQ49" s="351"/>
      <c r="GR49" s="351"/>
      <c r="GS49" s="351"/>
      <c r="GT49" s="351"/>
      <c r="GU49" s="351"/>
      <c r="GV49" s="351"/>
      <c r="GW49" s="351"/>
      <c r="GX49" s="351"/>
      <c r="GY49" s="351"/>
      <c r="GZ49" s="351"/>
      <c r="HA49" s="351"/>
      <c r="HB49" s="351"/>
      <c r="HC49" s="351"/>
      <c r="HD49" s="351"/>
      <c r="HE49" s="351"/>
      <c r="HF49" s="351"/>
      <c r="HG49" s="351"/>
      <c r="HH49" s="351"/>
      <c r="HI49" s="351"/>
      <c r="HJ49" s="351"/>
      <c r="HK49" s="351"/>
      <c r="HL49" s="351"/>
      <c r="HM49" s="351"/>
      <c r="HN49" s="351"/>
      <c r="HO49" s="351"/>
      <c r="HP49" s="351"/>
      <c r="HQ49" s="351"/>
      <c r="HR49" s="351"/>
      <c r="HS49" s="351"/>
      <c r="HT49" s="351"/>
      <c r="HU49" s="351"/>
      <c r="HV49" s="351"/>
      <c r="HW49" s="351"/>
      <c r="HX49" s="351"/>
      <c r="HY49" s="351"/>
      <c r="HZ49" s="351"/>
      <c r="IA49" s="351"/>
      <c r="IB49" s="351"/>
      <c r="IC49" s="351"/>
      <c r="ID49" s="351"/>
      <c r="IE49" s="351"/>
      <c r="IF49" s="351"/>
      <c r="IG49" s="351"/>
      <c r="IH49" s="351"/>
      <c r="II49" s="351"/>
      <c r="IJ49" s="351"/>
      <c r="IK49" s="351"/>
      <c r="IL49" s="351"/>
      <c r="IM49" s="351"/>
      <c r="IN49" s="351"/>
      <c r="IO49" s="351"/>
      <c r="IP49" s="351"/>
      <c r="IQ49" s="351"/>
      <c r="IR49" s="351"/>
      <c r="IS49" s="351"/>
      <c r="IT49" s="351"/>
      <c r="IU49" s="351"/>
    </row>
    <row r="50" spans="1:255">
      <c r="A50" s="368"/>
      <c r="B50" s="354"/>
      <c r="C50" s="355"/>
      <c r="D50" s="357"/>
      <c r="E50" s="365"/>
      <c r="F50" s="358"/>
      <c r="G50" s="357"/>
      <c r="H50" s="357"/>
      <c r="I50" s="358"/>
      <c r="J50" s="357"/>
      <c r="K50" s="357"/>
      <c r="L50" s="358"/>
      <c r="M50" s="351"/>
      <c r="N50" s="351"/>
      <c r="O50" s="351"/>
      <c r="P50" s="351"/>
      <c r="Q50" s="351"/>
      <c r="R50" s="352"/>
      <c r="S50" s="351"/>
      <c r="T50" s="351"/>
      <c r="U50" s="351"/>
      <c r="V50" s="351"/>
      <c r="W50" s="351"/>
      <c r="X50" s="351"/>
      <c r="Y50" s="351"/>
      <c r="Z50" s="351"/>
      <c r="AA50" s="351"/>
      <c r="AB50" s="351"/>
      <c r="AC50" s="351"/>
      <c r="AD50" s="351"/>
      <c r="AE50" s="351"/>
      <c r="AF50" s="351"/>
      <c r="AG50" s="351"/>
      <c r="AH50" s="351"/>
      <c r="AI50" s="351"/>
      <c r="AJ50" s="351"/>
      <c r="AK50" s="351"/>
      <c r="AL50" s="351"/>
      <c r="AM50" s="351"/>
      <c r="AN50" s="351"/>
      <c r="AO50" s="351"/>
      <c r="AP50" s="351"/>
      <c r="AQ50" s="351"/>
      <c r="AR50" s="351"/>
      <c r="AS50" s="351"/>
      <c r="AT50" s="351"/>
      <c r="AU50" s="351"/>
      <c r="AV50" s="351"/>
      <c r="AW50" s="351"/>
      <c r="AX50" s="351"/>
      <c r="AY50" s="351"/>
      <c r="AZ50" s="351"/>
      <c r="BA50" s="351"/>
      <c r="BB50" s="351"/>
      <c r="BC50" s="351"/>
      <c r="BD50" s="351"/>
      <c r="BE50" s="351"/>
      <c r="BF50" s="351"/>
      <c r="BG50" s="351"/>
      <c r="BH50" s="351"/>
      <c r="BI50" s="351"/>
      <c r="BJ50" s="351"/>
      <c r="BK50" s="351"/>
      <c r="BL50" s="351"/>
      <c r="BM50" s="351"/>
      <c r="BN50" s="351"/>
      <c r="BO50" s="351"/>
      <c r="BP50" s="351"/>
      <c r="BQ50" s="351"/>
      <c r="BR50" s="351"/>
      <c r="BS50" s="351"/>
      <c r="BT50" s="351"/>
      <c r="BU50" s="351"/>
      <c r="BV50" s="351"/>
      <c r="BW50" s="351"/>
      <c r="BX50" s="351"/>
      <c r="BY50" s="351"/>
      <c r="BZ50" s="351"/>
      <c r="CA50" s="351"/>
      <c r="CB50" s="351"/>
      <c r="CC50" s="351"/>
      <c r="CD50" s="351"/>
      <c r="CE50" s="351"/>
      <c r="CF50" s="351"/>
      <c r="CG50" s="351"/>
      <c r="CH50" s="351"/>
      <c r="CI50" s="351"/>
      <c r="CJ50" s="351"/>
      <c r="CK50" s="351"/>
      <c r="CL50" s="351"/>
      <c r="CM50" s="351"/>
      <c r="CN50" s="351"/>
      <c r="CO50" s="351"/>
      <c r="CP50" s="351"/>
      <c r="CQ50" s="351"/>
      <c r="CR50" s="351"/>
      <c r="CS50" s="351"/>
      <c r="CT50" s="351"/>
      <c r="CU50" s="351"/>
      <c r="CV50" s="351"/>
      <c r="CW50" s="351"/>
      <c r="CX50" s="351"/>
      <c r="CY50" s="351"/>
      <c r="CZ50" s="351"/>
      <c r="DA50" s="351"/>
      <c r="DB50" s="351"/>
      <c r="DC50" s="351"/>
      <c r="DD50" s="351"/>
      <c r="DE50" s="351"/>
      <c r="DF50" s="351"/>
      <c r="DG50" s="351"/>
      <c r="DH50" s="351"/>
      <c r="DI50" s="351"/>
      <c r="DJ50" s="351"/>
      <c r="DK50" s="351"/>
      <c r="DL50" s="351"/>
      <c r="DM50" s="351"/>
      <c r="DN50" s="351"/>
      <c r="DO50" s="351"/>
      <c r="DP50" s="351"/>
      <c r="DQ50" s="351"/>
      <c r="DR50" s="351"/>
      <c r="DS50" s="351"/>
      <c r="DT50" s="351"/>
      <c r="DU50" s="351"/>
      <c r="DV50" s="351"/>
      <c r="DW50" s="351"/>
      <c r="DX50" s="351"/>
      <c r="DY50" s="351"/>
      <c r="DZ50" s="351"/>
      <c r="EA50" s="351"/>
      <c r="EB50" s="351"/>
      <c r="EC50" s="351"/>
      <c r="ED50" s="351"/>
      <c r="EE50" s="351"/>
      <c r="EF50" s="351"/>
      <c r="EG50" s="351"/>
      <c r="EH50" s="351"/>
      <c r="EI50" s="351"/>
      <c r="EJ50" s="351"/>
      <c r="EK50" s="351"/>
      <c r="EL50" s="351"/>
      <c r="EM50" s="351"/>
      <c r="EN50" s="351"/>
      <c r="EO50" s="351"/>
      <c r="EP50" s="351"/>
      <c r="EQ50" s="351"/>
      <c r="ER50" s="351"/>
      <c r="ES50" s="351"/>
      <c r="ET50" s="351"/>
      <c r="EU50" s="351"/>
      <c r="EV50" s="351"/>
      <c r="EW50" s="351"/>
      <c r="EX50" s="351"/>
      <c r="EY50" s="351"/>
      <c r="EZ50" s="351"/>
      <c r="FA50" s="351"/>
      <c r="FB50" s="351"/>
      <c r="FC50" s="351"/>
      <c r="FD50" s="351"/>
      <c r="FE50" s="351"/>
      <c r="FF50" s="351"/>
      <c r="FG50" s="351"/>
      <c r="FH50" s="351"/>
      <c r="FI50" s="351"/>
      <c r="FJ50" s="351"/>
      <c r="FK50" s="351"/>
      <c r="FL50" s="351"/>
      <c r="FM50" s="351"/>
      <c r="FN50" s="351"/>
      <c r="FO50" s="351"/>
      <c r="FP50" s="351"/>
      <c r="FQ50" s="351"/>
      <c r="FR50" s="351"/>
      <c r="FS50" s="351"/>
      <c r="FT50" s="351"/>
      <c r="FU50" s="351"/>
      <c r="FV50" s="351"/>
      <c r="FW50" s="351"/>
      <c r="FX50" s="351"/>
      <c r="FY50" s="351"/>
      <c r="FZ50" s="351"/>
      <c r="GA50" s="351"/>
      <c r="GB50" s="351"/>
      <c r="GC50" s="351"/>
      <c r="GD50" s="351"/>
      <c r="GE50" s="351"/>
      <c r="GF50" s="351"/>
      <c r="GG50" s="351"/>
      <c r="GH50" s="351"/>
      <c r="GI50" s="351"/>
      <c r="GJ50" s="351"/>
      <c r="GK50" s="351"/>
      <c r="GL50" s="351"/>
      <c r="GM50" s="351"/>
      <c r="GN50" s="351"/>
      <c r="GO50" s="351"/>
      <c r="GP50" s="351"/>
      <c r="GQ50" s="351"/>
      <c r="GR50" s="351"/>
      <c r="GS50" s="351"/>
      <c r="GT50" s="351"/>
      <c r="GU50" s="351"/>
      <c r="GV50" s="351"/>
      <c r="GW50" s="351"/>
      <c r="GX50" s="351"/>
      <c r="GY50" s="351"/>
      <c r="GZ50" s="351"/>
      <c r="HA50" s="351"/>
      <c r="HB50" s="351"/>
      <c r="HC50" s="351"/>
      <c r="HD50" s="351"/>
      <c r="HE50" s="351"/>
      <c r="HF50" s="351"/>
      <c r="HG50" s="351"/>
      <c r="HH50" s="351"/>
      <c r="HI50" s="351"/>
      <c r="HJ50" s="351"/>
      <c r="HK50" s="351"/>
      <c r="HL50" s="351"/>
      <c r="HM50" s="351"/>
      <c r="HN50" s="351"/>
      <c r="HO50" s="351"/>
      <c r="HP50" s="351"/>
      <c r="HQ50" s="351"/>
      <c r="HR50" s="351"/>
      <c r="HS50" s="351"/>
      <c r="HT50" s="351"/>
      <c r="HU50" s="351"/>
      <c r="HV50" s="351"/>
      <c r="HW50" s="351"/>
      <c r="HX50" s="351"/>
      <c r="HY50" s="351"/>
      <c r="HZ50" s="351"/>
      <c r="IA50" s="351"/>
      <c r="IB50" s="351"/>
      <c r="IC50" s="351"/>
      <c r="ID50" s="351"/>
      <c r="IE50" s="351"/>
      <c r="IF50" s="351"/>
      <c r="IG50" s="351"/>
      <c r="IH50" s="351"/>
      <c r="II50" s="351"/>
      <c r="IJ50" s="351"/>
      <c r="IK50" s="351"/>
      <c r="IL50" s="351"/>
      <c r="IM50" s="351"/>
      <c r="IN50" s="351"/>
      <c r="IO50" s="351"/>
      <c r="IP50" s="351"/>
      <c r="IQ50" s="351"/>
      <c r="IR50" s="351"/>
      <c r="IS50" s="351"/>
      <c r="IT50" s="351"/>
      <c r="IU50" s="351"/>
    </row>
    <row r="51" spans="1:255">
      <c r="A51" s="368"/>
      <c r="B51" s="354"/>
      <c r="C51" s="355"/>
      <c r="D51" s="357"/>
      <c r="E51" s="365"/>
      <c r="F51" s="358"/>
      <c r="G51" s="357"/>
      <c r="H51" s="357"/>
      <c r="I51" s="358"/>
      <c r="J51" s="357"/>
      <c r="K51" s="357"/>
      <c r="L51" s="358"/>
      <c r="M51" s="351"/>
      <c r="N51" s="351"/>
      <c r="O51" s="351"/>
      <c r="P51" s="351"/>
      <c r="Q51" s="351"/>
      <c r="R51" s="352"/>
      <c r="S51" s="351"/>
      <c r="T51" s="351"/>
      <c r="U51" s="351"/>
      <c r="V51" s="351"/>
      <c r="W51" s="351"/>
      <c r="X51" s="351"/>
      <c r="Y51" s="351"/>
      <c r="Z51" s="351"/>
      <c r="AA51" s="351"/>
      <c r="AB51" s="351"/>
      <c r="AC51" s="351"/>
      <c r="AD51" s="351"/>
      <c r="AE51" s="351"/>
      <c r="AF51" s="351"/>
      <c r="AG51" s="351"/>
      <c r="AH51" s="351"/>
      <c r="AI51" s="351"/>
      <c r="AJ51" s="351"/>
      <c r="AK51" s="351"/>
      <c r="AL51" s="351"/>
      <c r="AM51" s="351"/>
      <c r="AN51" s="351"/>
      <c r="AO51" s="351"/>
      <c r="AP51" s="351"/>
      <c r="AQ51" s="351"/>
      <c r="AR51" s="351"/>
      <c r="AS51" s="351"/>
      <c r="AT51" s="351"/>
      <c r="AU51" s="351"/>
      <c r="AV51" s="351"/>
      <c r="AW51" s="351"/>
      <c r="AX51" s="351"/>
      <c r="AY51" s="351"/>
      <c r="AZ51" s="351"/>
      <c r="BA51" s="351"/>
      <c r="BB51" s="351"/>
      <c r="BC51" s="351"/>
      <c r="BD51" s="351"/>
      <c r="BE51" s="351"/>
      <c r="BF51" s="351"/>
      <c r="BG51" s="351"/>
      <c r="BH51" s="351"/>
      <c r="BI51" s="351"/>
      <c r="BJ51" s="351"/>
      <c r="BK51" s="351"/>
      <c r="BL51" s="351"/>
      <c r="BM51" s="351"/>
      <c r="BN51" s="351"/>
      <c r="BO51" s="351"/>
      <c r="BP51" s="351"/>
      <c r="BQ51" s="351"/>
      <c r="BR51" s="351"/>
      <c r="BS51" s="351"/>
      <c r="BT51" s="351"/>
      <c r="BU51" s="351"/>
      <c r="BV51" s="351"/>
      <c r="BW51" s="351"/>
      <c r="BX51" s="351"/>
      <c r="BY51" s="351"/>
      <c r="BZ51" s="351"/>
      <c r="CA51" s="351"/>
      <c r="CB51" s="351"/>
      <c r="CC51" s="351"/>
      <c r="CD51" s="351"/>
      <c r="CE51" s="351"/>
      <c r="CF51" s="351"/>
      <c r="CG51" s="351"/>
      <c r="CH51" s="351"/>
      <c r="CI51" s="351"/>
      <c r="CJ51" s="351"/>
      <c r="CK51" s="351"/>
      <c r="CL51" s="351"/>
      <c r="CM51" s="351"/>
      <c r="CN51" s="351"/>
      <c r="CO51" s="351"/>
      <c r="CP51" s="351"/>
      <c r="CQ51" s="351"/>
      <c r="CR51" s="351"/>
      <c r="CS51" s="351"/>
      <c r="CT51" s="351"/>
      <c r="CU51" s="351"/>
      <c r="CV51" s="351"/>
      <c r="CW51" s="351"/>
      <c r="CX51" s="351"/>
      <c r="CY51" s="351"/>
      <c r="CZ51" s="351"/>
      <c r="DA51" s="351"/>
      <c r="DB51" s="351"/>
      <c r="DC51" s="351"/>
      <c r="DD51" s="351"/>
      <c r="DE51" s="351"/>
      <c r="DF51" s="351"/>
      <c r="DG51" s="351"/>
      <c r="DH51" s="351"/>
      <c r="DI51" s="351"/>
      <c r="DJ51" s="351"/>
      <c r="DK51" s="351"/>
      <c r="DL51" s="351"/>
      <c r="DM51" s="351"/>
      <c r="DN51" s="351"/>
      <c r="DO51" s="351"/>
      <c r="DP51" s="351"/>
      <c r="DQ51" s="351"/>
      <c r="DR51" s="351"/>
      <c r="DS51" s="351"/>
      <c r="DT51" s="351"/>
      <c r="DU51" s="351"/>
      <c r="DV51" s="351"/>
      <c r="DW51" s="351"/>
      <c r="DX51" s="351"/>
      <c r="DY51" s="351"/>
      <c r="DZ51" s="351"/>
      <c r="EA51" s="351"/>
      <c r="EB51" s="351"/>
      <c r="EC51" s="351"/>
      <c r="ED51" s="351"/>
      <c r="EE51" s="351"/>
      <c r="EF51" s="351"/>
      <c r="EG51" s="351"/>
      <c r="EH51" s="351"/>
      <c r="EI51" s="351"/>
      <c r="EJ51" s="351"/>
      <c r="EK51" s="351"/>
      <c r="EL51" s="351"/>
      <c r="EM51" s="351"/>
      <c r="EN51" s="351"/>
      <c r="EO51" s="351"/>
      <c r="EP51" s="351"/>
      <c r="EQ51" s="351"/>
      <c r="ER51" s="351"/>
      <c r="ES51" s="351"/>
      <c r="ET51" s="351"/>
      <c r="EU51" s="351"/>
      <c r="EV51" s="351"/>
      <c r="EW51" s="351"/>
      <c r="EX51" s="351"/>
      <c r="EY51" s="351"/>
      <c r="EZ51" s="351"/>
      <c r="FA51" s="351"/>
      <c r="FB51" s="351"/>
      <c r="FC51" s="351"/>
      <c r="FD51" s="351"/>
      <c r="FE51" s="351"/>
      <c r="FF51" s="351"/>
      <c r="FG51" s="351"/>
      <c r="FH51" s="351"/>
      <c r="FI51" s="351"/>
      <c r="FJ51" s="351"/>
      <c r="FK51" s="351"/>
      <c r="FL51" s="351"/>
      <c r="FM51" s="351"/>
      <c r="FN51" s="351"/>
      <c r="FO51" s="351"/>
      <c r="FP51" s="351"/>
      <c r="FQ51" s="351"/>
      <c r="FR51" s="351"/>
      <c r="FS51" s="351"/>
      <c r="FT51" s="351"/>
      <c r="FU51" s="351"/>
      <c r="FV51" s="351"/>
      <c r="FW51" s="351"/>
      <c r="FX51" s="351"/>
      <c r="FY51" s="351"/>
      <c r="FZ51" s="351"/>
      <c r="GA51" s="351"/>
      <c r="GB51" s="351"/>
      <c r="GC51" s="351"/>
      <c r="GD51" s="351"/>
      <c r="GE51" s="351"/>
      <c r="GF51" s="351"/>
      <c r="GG51" s="351"/>
      <c r="GH51" s="351"/>
      <c r="GI51" s="351"/>
      <c r="GJ51" s="351"/>
      <c r="GK51" s="351"/>
      <c r="GL51" s="351"/>
      <c r="GM51" s="351"/>
      <c r="GN51" s="351"/>
      <c r="GO51" s="351"/>
      <c r="GP51" s="351"/>
      <c r="GQ51" s="351"/>
      <c r="GR51" s="351"/>
      <c r="GS51" s="351"/>
      <c r="GT51" s="351"/>
      <c r="GU51" s="351"/>
      <c r="GV51" s="351"/>
      <c r="GW51" s="351"/>
      <c r="GX51" s="351"/>
      <c r="GY51" s="351"/>
      <c r="GZ51" s="351"/>
      <c r="HA51" s="351"/>
      <c r="HB51" s="351"/>
      <c r="HC51" s="351"/>
      <c r="HD51" s="351"/>
      <c r="HE51" s="351"/>
      <c r="HF51" s="351"/>
      <c r="HG51" s="351"/>
      <c r="HH51" s="351"/>
      <c r="HI51" s="351"/>
      <c r="HJ51" s="351"/>
      <c r="HK51" s="351"/>
      <c r="HL51" s="351"/>
      <c r="HM51" s="351"/>
      <c r="HN51" s="351"/>
      <c r="HO51" s="351"/>
      <c r="HP51" s="351"/>
      <c r="HQ51" s="351"/>
      <c r="HR51" s="351"/>
      <c r="HS51" s="351"/>
      <c r="HT51" s="351"/>
      <c r="HU51" s="351"/>
      <c r="HV51" s="351"/>
      <c r="HW51" s="351"/>
      <c r="HX51" s="351"/>
      <c r="HY51" s="351"/>
      <c r="HZ51" s="351"/>
      <c r="IA51" s="351"/>
      <c r="IB51" s="351"/>
      <c r="IC51" s="351"/>
      <c r="ID51" s="351"/>
      <c r="IE51" s="351"/>
      <c r="IF51" s="351"/>
      <c r="IG51" s="351"/>
      <c r="IH51" s="351"/>
      <c r="II51" s="351"/>
      <c r="IJ51" s="351"/>
      <c r="IK51" s="351"/>
      <c r="IL51" s="351"/>
      <c r="IM51" s="351"/>
      <c r="IN51" s="351"/>
      <c r="IO51" s="351"/>
      <c r="IP51" s="351"/>
      <c r="IQ51" s="351"/>
      <c r="IR51" s="351"/>
      <c r="IS51" s="351"/>
      <c r="IT51" s="351"/>
      <c r="IU51" s="351"/>
    </row>
    <row r="52" spans="1:255" ht="15.75">
      <c r="A52" s="363" t="s">
        <v>172</v>
      </c>
      <c r="B52" s="354"/>
      <c r="C52" s="355"/>
      <c r="D52" s="357"/>
      <c r="E52" s="365"/>
      <c r="F52" s="358"/>
      <c r="G52" s="357"/>
      <c r="H52" s="357"/>
      <c r="I52" s="358"/>
      <c r="J52" s="357"/>
      <c r="K52" s="357"/>
      <c r="L52" s="358"/>
      <c r="M52" s="351"/>
      <c r="N52" s="351"/>
      <c r="O52" s="351"/>
      <c r="P52" s="351"/>
      <c r="Q52" s="351"/>
      <c r="R52" s="352"/>
      <c r="S52" s="351"/>
      <c r="T52" s="351"/>
      <c r="U52" s="351"/>
      <c r="V52" s="351"/>
      <c r="W52" s="351"/>
      <c r="X52" s="351"/>
      <c r="Y52" s="351"/>
      <c r="Z52" s="351"/>
      <c r="AA52" s="351"/>
      <c r="AB52" s="351"/>
      <c r="AC52" s="351"/>
      <c r="AD52" s="351"/>
      <c r="AE52" s="351"/>
      <c r="AF52" s="351"/>
      <c r="AG52" s="351"/>
      <c r="AH52" s="351"/>
      <c r="AI52" s="351"/>
      <c r="AJ52" s="351"/>
      <c r="AK52" s="351"/>
      <c r="AL52" s="351"/>
      <c r="AM52" s="351"/>
      <c r="AN52" s="351"/>
      <c r="AO52" s="351"/>
      <c r="AP52" s="351"/>
      <c r="AQ52" s="351"/>
      <c r="AR52" s="351"/>
      <c r="AS52" s="351"/>
      <c r="AT52" s="351"/>
      <c r="AU52" s="351"/>
      <c r="AV52" s="351"/>
      <c r="AW52" s="351"/>
      <c r="AX52" s="351"/>
      <c r="AY52" s="351"/>
      <c r="AZ52" s="351"/>
      <c r="BA52" s="351"/>
      <c r="BB52" s="351"/>
      <c r="BC52" s="351"/>
      <c r="BD52" s="351"/>
      <c r="BE52" s="351"/>
      <c r="BF52" s="351"/>
      <c r="BG52" s="351"/>
      <c r="BH52" s="351"/>
      <c r="BI52" s="351"/>
      <c r="BJ52" s="351"/>
      <c r="BK52" s="351"/>
      <c r="BL52" s="351"/>
      <c r="BM52" s="351"/>
      <c r="BN52" s="351"/>
      <c r="BO52" s="351"/>
      <c r="BP52" s="351"/>
      <c r="BQ52" s="351"/>
      <c r="BR52" s="351"/>
      <c r="BS52" s="351"/>
      <c r="BT52" s="351"/>
      <c r="BU52" s="351"/>
      <c r="BV52" s="351"/>
      <c r="BW52" s="351"/>
      <c r="BX52" s="351"/>
      <c r="BY52" s="351"/>
      <c r="BZ52" s="351"/>
      <c r="CA52" s="351"/>
      <c r="CB52" s="351"/>
      <c r="CC52" s="351"/>
      <c r="CD52" s="351"/>
      <c r="CE52" s="351"/>
      <c r="CF52" s="351"/>
      <c r="CG52" s="351"/>
      <c r="CH52" s="351"/>
      <c r="CI52" s="351"/>
      <c r="CJ52" s="351"/>
      <c r="CK52" s="351"/>
      <c r="CL52" s="351"/>
      <c r="CM52" s="351"/>
      <c r="CN52" s="351"/>
      <c r="CO52" s="351"/>
      <c r="CP52" s="351"/>
      <c r="CQ52" s="351"/>
      <c r="CR52" s="351"/>
      <c r="CS52" s="351"/>
      <c r="CT52" s="351"/>
      <c r="CU52" s="351"/>
      <c r="CV52" s="351"/>
      <c r="CW52" s="351"/>
      <c r="CX52" s="351"/>
      <c r="CY52" s="351"/>
      <c r="CZ52" s="351"/>
      <c r="DA52" s="351"/>
      <c r="DB52" s="351"/>
      <c r="DC52" s="351"/>
      <c r="DD52" s="351"/>
      <c r="DE52" s="351"/>
      <c r="DF52" s="351"/>
      <c r="DG52" s="351"/>
      <c r="DH52" s="351"/>
      <c r="DI52" s="351"/>
      <c r="DJ52" s="351"/>
      <c r="DK52" s="351"/>
      <c r="DL52" s="351"/>
      <c r="DM52" s="351"/>
      <c r="DN52" s="351"/>
      <c r="DO52" s="351"/>
      <c r="DP52" s="351"/>
      <c r="DQ52" s="351"/>
      <c r="DR52" s="351"/>
      <c r="DS52" s="351"/>
      <c r="DT52" s="351"/>
      <c r="DU52" s="351"/>
      <c r="DV52" s="351"/>
      <c r="DW52" s="351"/>
      <c r="DX52" s="351"/>
      <c r="DY52" s="351"/>
      <c r="DZ52" s="351"/>
      <c r="EA52" s="351"/>
      <c r="EB52" s="351"/>
      <c r="EC52" s="351"/>
      <c r="ED52" s="351"/>
      <c r="EE52" s="351"/>
      <c r="EF52" s="351"/>
      <c r="EG52" s="351"/>
      <c r="EH52" s="351"/>
      <c r="EI52" s="351"/>
      <c r="EJ52" s="351"/>
      <c r="EK52" s="351"/>
      <c r="EL52" s="351"/>
      <c r="EM52" s="351"/>
      <c r="EN52" s="351"/>
      <c r="EO52" s="351"/>
      <c r="EP52" s="351"/>
      <c r="EQ52" s="351"/>
      <c r="ER52" s="351"/>
      <c r="ES52" s="351"/>
      <c r="ET52" s="351"/>
      <c r="EU52" s="351"/>
      <c r="EV52" s="351"/>
      <c r="EW52" s="351"/>
      <c r="EX52" s="351"/>
      <c r="EY52" s="351"/>
      <c r="EZ52" s="351"/>
      <c r="FA52" s="351"/>
      <c r="FB52" s="351"/>
      <c r="FC52" s="351"/>
      <c r="FD52" s="351"/>
      <c r="FE52" s="351"/>
      <c r="FF52" s="351"/>
      <c r="FG52" s="351"/>
      <c r="FH52" s="351"/>
      <c r="FI52" s="351"/>
      <c r="FJ52" s="351"/>
      <c r="FK52" s="351"/>
      <c r="FL52" s="351"/>
      <c r="FM52" s="351"/>
      <c r="FN52" s="351"/>
      <c r="FO52" s="351"/>
      <c r="FP52" s="351"/>
      <c r="FQ52" s="351"/>
      <c r="FR52" s="351"/>
      <c r="FS52" s="351"/>
      <c r="FT52" s="351"/>
      <c r="FU52" s="351"/>
      <c r="FV52" s="351"/>
      <c r="FW52" s="351"/>
      <c r="FX52" s="351"/>
      <c r="FY52" s="351"/>
      <c r="FZ52" s="351"/>
      <c r="GA52" s="351"/>
      <c r="GB52" s="351"/>
      <c r="GC52" s="351"/>
      <c r="GD52" s="351"/>
      <c r="GE52" s="351"/>
      <c r="GF52" s="351"/>
      <c r="GG52" s="351"/>
      <c r="GH52" s="351"/>
      <c r="GI52" s="351"/>
      <c r="GJ52" s="351"/>
      <c r="GK52" s="351"/>
      <c r="GL52" s="351"/>
      <c r="GM52" s="351"/>
      <c r="GN52" s="351"/>
      <c r="GO52" s="351"/>
      <c r="GP52" s="351"/>
      <c r="GQ52" s="351"/>
      <c r="GR52" s="351"/>
      <c r="GS52" s="351"/>
      <c r="GT52" s="351"/>
      <c r="GU52" s="351"/>
      <c r="GV52" s="351"/>
      <c r="GW52" s="351"/>
      <c r="GX52" s="351"/>
      <c r="GY52" s="351"/>
      <c r="GZ52" s="351"/>
      <c r="HA52" s="351"/>
      <c r="HB52" s="351"/>
      <c r="HC52" s="351"/>
      <c r="HD52" s="351"/>
      <c r="HE52" s="351"/>
      <c r="HF52" s="351"/>
      <c r="HG52" s="351"/>
      <c r="HH52" s="351"/>
      <c r="HI52" s="351"/>
      <c r="HJ52" s="351"/>
      <c r="HK52" s="351"/>
      <c r="HL52" s="351"/>
      <c r="HM52" s="351"/>
      <c r="HN52" s="351"/>
      <c r="HO52" s="351"/>
      <c r="HP52" s="351"/>
      <c r="HQ52" s="351"/>
      <c r="HR52" s="351"/>
      <c r="HS52" s="351"/>
      <c r="HT52" s="351"/>
      <c r="HU52" s="351"/>
      <c r="HV52" s="351"/>
      <c r="HW52" s="351"/>
      <c r="HX52" s="351"/>
      <c r="HY52" s="351"/>
      <c r="HZ52" s="351"/>
      <c r="IA52" s="351"/>
      <c r="IB52" s="351"/>
      <c r="IC52" s="351"/>
      <c r="ID52" s="351"/>
      <c r="IE52" s="351"/>
      <c r="IF52" s="351"/>
      <c r="IG52" s="351"/>
      <c r="IH52" s="351"/>
      <c r="II52" s="351"/>
      <c r="IJ52" s="351"/>
      <c r="IK52" s="351"/>
      <c r="IL52" s="351"/>
      <c r="IM52" s="351"/>
      <c r="IN52" s="351"/>
      <c r="IO52" s="351"/>
      <c r="IP52" s="351"/>
      <c r="IQ52" s="351"/>
      <c r="IR52" s="351"/>
      <c r="IS52" s="351"/>
      <c r="IT52" s="351"/>
      <c r="IU52" s="351"/>
    </row>
    <row r="53" spans="1:255">
      <c r="A53" s="368"/>
      <c r="B53" s="354" t="s">
        <v>159</v>
      </c>
      <c r="C53" s="355"/>
      <c r="D53" s="370">
        <f>ROUND(+E53+E53*F$7,3)</f>
        <v>-2.1999999999999999E-2</v>
      </c>
      <c r="E53" s="365">
        <v>-0.04</v>
      </c>
      <c r="F53" s="358">
        <f t="shared" ref="F53:F61" si="10">-1+D53/E53</f>
        <v>-0.45000000000000007</v>
      </c>
      <c r="G53" s="357"/>
      <c r="H53" s="357"/>
      <c r="I53" s="358"/>
      <c r="J53" s="357"/>
      <c r="K53" s="357"/>
      <c r="L53" s="358"/>
      <c r="M53" s="351"/>
      <c r="N53" s="351"/>
      <c r="O53" s="351"/>
      <c r="P53" s="351"/>
      <c r="Q53" s="351"/>
      <c r="R53" s="352"/>
      <c r="S53" s="351"/>
      <c r="T53" s="351"/>
      <c r="U53" s="351"/>
      <c r="V53" s="351"/>
      <c r="W53" s="351"/>
      <c r="X53" s="351"/>
      <c r="Y53" s="351"/>
      <c r="Z53" s="351"/>
      <c r="AA53" s="351"/>
      <c r="AB53" s="351"/>
      <c r="AC53" s="351"/>
      <c r="AD53" s="351"/>
      <c r="AE53" s="351"/>
      <c r="AF53" s="351"/>
      <c r="AG53" s="351"/>
      <c r="AH53" s="351"/>
      <c r="AI53" s="351"/>
      <c r="AJ53" s="351"/>
      <c r="AK53" s="351"/>
      <c r="AL53" s="351"/>
      <c r="AM53" s="351"/>
      <c r="AN53" s="351"/>
      <c r="AO53" s="351"/>
      <c r="AP53" s="351"/>
      <c r="AQ53" s="351"/>
      <c r="AR53" s="351"/>
      <c r="AS53" s="351"/>
      <c r="AT53" s="351"/>
      <c r="AU53" s="351"/>
      <c r="AV53" s="351"/>
      <c r="AW53" s="351"/>
      <c r="AX53" s="351"/>
      <c r="AY53" s="351"/>
      <c r="AZ53" s="351"/>
      <c r="BA53" s="351"/>
      <c r="BB53" s="351"/>
      <c r="BC53" s="351"/>
      <c r="BD53" s="351"/>
      <c r="BE53" s="351"/>
      <c r="BF53" s="351"/>
      <c r="BG53" s="351"/>
      <c r="BH53" s="351"/>
      <c r="BI53" s="351"/>
      <c r="BJ53" s="351"/>
      <c r="BK53" s="351"/>
      <c r="BL53" s="351"/>
      <c r="BM53" s="351"/>
      <c r="BN53" s="351"/>
      <c r="BO53" s="351"/>
      <c r="BP53" s="351"/>
      <c r="BQ53" s="351"/>
      <c r="BR53" s="351"/>
      <c r="BS53" s="351"/>
      <c r="BT53" s="351"/>
      <c r="BU53" s="351"/>
      <c r="BV53" s="351"/>
      <c r="BW53" s="351"/>
      <c r="BX53" s="351"/>
      <c r="BY53" s="351"/>
      <c r="BZ53" s="351"/>
      <c r="CA53" s="351"/>
      <c r="CB53" s="351"/>
      <c r="CC53" s="351"/>
      <c r="CD53" s="351"/>
      <c r="CE53" s="351"/>
      <c r="CF53" s="351"/>
      <c r="CG53" s="351"/>
      <c r="CH53" s="351"/>
      <c r="CI53" s="351"/>
      <c r="CJ53" s="351"/>
      <c r="CK53" s="351"/>
      <c r="CL53" s="351"/>
      <c r="CM53" s="351"/>
      <c r="CN53" s="351"/>
      <c r="CO53" s="351"/>
      <c r="CP53" s="351"/>
      <c r="CQ53" s="351"/>
      <c r="CR53" s="351"/>
      <c r="CS53" s="351"/>
      <c r="CT53" s="351"/>
      <c r="CU53" s="351"/>
      <c r="CV53" s="351"/>
      <c r="CW53" s="351"/>
      <c r="CX53" s="351"/>
      <c r="CY53" s="351"/>
      <c r="CZ53" s="351"/>
      <c r="DA53" s="351"/>
      <c r="DB53" s="351"/>
      <c r="DC53" s="351"/>
      <c r="DD53" s="351"/>
      <c r="DE53" s="351"/>
      <c r="DF53" s="351"/>
      <c r="DG53" s="351"/>
      <c r="DH53" s="351"/>
      <c r="DI53" s="351"/>
      <c r="DJ53" s="351"/>
      <c r="DK53" s="351"/>
      <c r="DL53" s="351"/>
      <c r="DM53" s="351"/>
      <c r="DN53" s="351"/>
      <c r="DO53" s="351"/>
      <c r="DP53" s="351"/>
      <c r="DQ53" s="351"/>
      <c r="DR53" s="351"/>
      <c r="DS53" s="351"/>
      <c r="DT53" s="351"/>
      <c r="DU53" s="351"/>
      <c r="DV53" s="351"/>
      <c r="DW53" s="351"/>
      <c r="DX53" s="351"/>
      <c r="DY53" s="351"/>
      <c r="DZ53" s="351"/>
      <c r="EA53" s="351"/>
      <c r="EB53" s="351"/>
      <c r="EC53" s="351"/>
      <c r="ED53" s="351"/>
      <c r="EE53" s="351"/>
      <c r="EF53" s="351"/>
      <c r="EG53" s="351"/>
      <c r="EH53" s="351"/>
      <c r="EI53" s="351"/>
      <c r="EJ53" s="351"/>
      <c r="EK53" s="351"/>
      <c r="EL53" s="351"/>
      <c r="EM53" s="351"/>
      <c r="EN53" s="351"/>
      <c r="EO53" s="351"/>
      <c r="EP53" s="351"/>
      <c r="EQ53" s="351"/>
      <c r="ER53" s="351"/>
      <c r="ES53" s="351"/>
      <c r="ET53" s="351"/>
      <c r="EU53" s="351"/>
      <c r="EV53" s="351"/>
      <c r="EW53" s="351"/>
      <c r="EX53" s="351"/>
      <c r="EY53" s="351"/>
      <c r="EZ53" s="351"/>
      <c r="FA53" s="351"/>
      <c r="FB53" s="351"/>
      <c r="FC53" s="351"/>
      <c r="FD53" s="351"/>
      <c r="FE53" s="351"/>
      <c r="FF53" s="351"/>
      <c r="FG53" s="351"/>
      <c r="FH53" s="351"/>
      <c r="FI53" s="351"/>
      <c r="FJ53" s="351"/>
      <c r="FK53" s="351"/>
      <c r="FL53" s="351"/>
      <c r="FM53" s="351"/>
      <c r="FN53" s="351"/>
      <c r="FO53" s="351"/>
      <c r="FP53" s="351"/>
      <c r="FQ53" s="351"/>
      <c r="FR53" s="351"/>
      <c r="FS53" s="351"/>
      <c r="FT53" s="351"/>
      <c r="FU53" s="351"/>
      <c r="FV53" s="351"/>
      <c r="FW53" s="351"/>
      <c r="FX53" s="351"/>
      <c r="FY53" s="351"/>
      <c r="FZ53" s="351"/>
      <c r="GA53" s="351"/>
      <c r="GB53" s="351"/>
      <c r="GC53" s="351"/>
      <c r="GD53" s="351"/>
      <c r="GE53" s="351"/>
      <c r="GF53" s="351"/>
      <c r="GG53" s="351"/>
      <c r="GH53" s="351"/>
      <c r="GI53" s="351"/>
      <c r="GJ53" s="351"/>
      <c r="GK53" s="351"/>
      <c r="GL53" s="351"/>
      <c r="GM53" s="351"/>
      <c r="GN53" s="351"/>
      <c r="GO53" s="351"/>
      <c r="GP53" s="351"/>
      <c r="GQ53" s="351"/>
      <c r="GR53" s="351"/>
      <c r="GS53" s="351"/>
      <c r="GT53" s="351"/>
      <c r="GU53" s="351"/>
      <c r="GV53" s="351"/>
      <c r="GW53" s="351"/>
      <c r="GX53" s="351"/>
      <c r="GY53" s="351"/>
      <c r="GZ53" s="351"/>
      <c r="HA53" s="351"/>
      <c r="HB53" s="351"/>
      <c r="HC53" s="351"/>
      <c r="HD53" s="351"/>
      <c r="HE53" s="351"/>
      <c r="HF53" s="351"/>
      <c r="HG53" s="351"/>
      <c r="HH53" s="351"/>
      <c r="HI53" s="351"/>
      <c r="HJ53" s="351"/>
      <c r="HK53" s="351"/>
      <c r="HL53" s="351"/>
      <c r="HM53" s="351"/>
      <c r="HN53" s="351"/>
      <c r="HO53" s="351"/>
      <c r="HP53" s="351"/>
      <c r="HQ53" s="351"/>
      <c r="HR53" s="351"/>
      <c r="HS53" s="351"/>
      <c r="HT53" s="351"/>
      <c r="HU53" s="351"/>
      <c r="HV53" s="351"/>
      <c r="HW53" s="351"/>
      <c r="HX53" s="351"/>
      <c r="HY53" s="351"/>
      <c r="HZ53" s="351"/>
      <c r="IA53" s="351"/>
      <c r="IB53" s="351"/>
      <c r="IC53" s="351"/>
      <c r="ID53" s="351"/>
      <c r="IE53" s="351"/>
      <c r="IF53" s="351"/>
      <c r="IG53" s="351"/>
      <c r="IH53" s="351"/>
      <c r="II53" s="351"/>
      <c r="IJ53" s="351"/>
      <c r="IK53" s="351"/>
      <c r="IL53" s="351"/>
      <c r="IM53" s="351"/>
      <c r="IN53" s="351"/>
      <c r="IO53" s="351"/>
      <c r="IP53" s="351"/>
      <c r="IQ53" s="351"/>
      <c r="IR53" s="351"/>
      <c r="IS53" s="351"/>
      <c r="IT53" s="351"/>
      <c r="IU53" s="351"/>
    </row>
    <row r="54" spans="1:255">
      <c r="A54" s="368"/>
      <c r="B54" s="354" t="s">
        <v>160</v>
      </c>
      <c r="C54" s="355"/>
      <c r="D54" s="370">
        <f t="shared" ref="D54:D61" si="11">ROUND(+E54+E54*F$7,3)</f>
        <v>-3.3000000000000002E-2</v>
      </c>
      <c r="E54" s="365">
        <v>-0.06</v>
      </c>
      <c r="F54" s="358">
        <f t="shared" si="10"/>
        <v>-0.44999999999999996</v>
      </c>
      <c r="G54" s="357"/>
      <c r="H54" s="357"/>
      <c r="I54" s="358"/>
      <c r="J54" s="357"/>
      <c r="K54" s="357"/>
      <c r="L54" s="358"/>
      <c r="M54" s="351"/>
      <c r="N54" s="351"/>
      <c r="O54" s="351"/>
      <c r="P54" s="351"/>
      <c r="Q54" s="351"/>
      <c r="R54" s="352"/>
      <c r="S54" s="351"/>
      <c r="T54" s="351"/>
      <c r="U54" s="351"/>
      <c r="V54" s="351"/>
      <c r="W54" s="351"/>
      <c r="X54" s="351"/>
      <c r="Y54" s="351"/>
      <c r="Z54" s="351"/>
      <c r="AA54" s="351"/>
      <c r="AB54" s="351"/>
      <c r="AC54" s="351"/>
      <c r="AD54" s="351"/>
      <c r="AE54" s="351"/>
      <c r="AF54" s="351"/>
      <c r="AG54" s="351"/>
      <c r="AH54" s="351"/>
      <c r="AI54" s="351"/>
      <c r="AJ54" s="351"/>
      <c r="AK54" s="351"/>
      <c r="AL54" s="351"/>
      <c r="AM54" s="351"/>
      <c r="AN54" s="351"/>
      <c r="AO54" s="351"/>
      <c r="AP54" s="351"/>
      <c r="AQ54" s="351"/>
      <c r="AR54" s="351"/>
      <c r="AS54" s="351"/>
      <c r="AT54" s="351"/>
      <c r="AU54" s="351"/>
      <c r="AV54" s="351"/>
      <c r="AW54" s="351"/>
      <c r="AX54" s="351"/>
      <c r="AY54" s="351"/>
      <c r="AZ54" s="351"/>
      <c r="BA54" s="351"/>
      <c r="BB54" s="351"/>
      <c r="BC54" s="351"/>
      <c r="BD54" s="351"/>
      <c r="BE54" s="351"/>
      <c r="BF54" s="351"/>
      <c r="BG54" s="351"/>
      <c r="BH54" s="351"/>
      <c r="BI54" s="351"/>
      <c r="BJ54" s="351"/>
      <c r="BK54" s="351"/>
      <c r="BL54" s="351"/>
      <c r="BM54" s="351"/>
      <c r="BN54" s="351"/>
      <c r="BO54" s="351"/>
      <c r="BP54" s="351"/>
      <c r="BQ54" s="351"/>
      <c r="BR54" s="351"/>
      <c r="BS54" s="351"/>
      <c r="BT54" s="351"/>
      <c r="BU54" s="351"/>
      <c r="BV54" s="351"/>
      <c r="BW54" s="351"/>
      <c r="BX54" s="351"/>
      <c r="BY54" s="351"/>
      <c r="BZ54" s="351"/>
      <c r="CA54" s="351"/>
      <c r="CB54" s="351"/>
      <c r="CC54" s="351"/>
      <c r="CD54" s="351"/>
      <c r="CE54" s="351"/>
      <c r="CF54" s="351"/>
      <c r="CG54" s="351"/>
      <c r="CH54" s="351"/>
      <c r="CI54" s="351"/>
      <c r="CJ54" s="351"/>
      <c r="CK54" s="351"/>
      <c r="CL54" s="351"/>
      <c r="CM54" s="351"/>
      <c r="CN54" s="351"/>
      <c r="CO54" s="351"/>
      <c r="CP54" s="351"/>
      <c r="CQ54" s="351"/>
      <c r="CR54" s="351"/>
      <c r="CS54" s="351"/>
      <c r="CT54" s="351"/>
      <c r="CU54" s="351"/>
      <c r="CV54" s="351"/>
      <c r="CW54" s="351"/>
      <c r="CX54" s="351"/>
      <c r="CY54" s="351"/>
      <c r="CZ54" s="351"/>
      <c r="DA54" s="351"/>
      <c r="DB54" s="351"/>
      <c r="DC54" s="351"/>
      <c r="DD54" s="351"/>
      <c r="DE54" s="351"/>
      <c r="DF54" s="351"/>
      <c r="DG54" s="351"/>
      <c r="DH54" s="351"/>
      <c r="DI54" s="351"/>
      <c r="DJ54" s="351"/>
      <c r="DK54" s="351"/>
      <c r="DL54" s="351"/>
      <c r="DM54" s="351"/>
      <c r="DN54" s="351"/>
      <c r="DO54" s="351"/>
      <c r="DP54" s="351"/>
      <c r="DQ54" s="351"/>
      <c r="DR54" s="351"/>
      <c r="DS54" s="351"/>
      <c r="DT54" s="351"/>
      <c r="DU54" s="351"/>
      <c r="DV54" s="351"/>
      <c r="DW54" s="351"/>
      <c r="DX54" s="351"/>
      <c r="DY54" s="351"/>
      <c r="DZ54" s="351"/>
      <c r="EA54" s="351"/>
      <c r="EB54" s="351"/>
      <c r="EC54" s="351"/>
      <c r="ED54" s="351"/>
      <c r="EE54" s="351"/>
      <c r="EF54" s="351"/>
      <c r="EG54" s="351"/>
      <c r="EH54" s="351"/>
      <c r="EI54" s="351"/>
      <c r="EJ54" s="351"/>
      <c r="EK54" s="351"/>
      <c r="EL54" s="351"/>
      <c r="EM54" s="351"/>
      <c r="EN54" s="351"/>
      <c r="EO54" s="351"/>
      <c r="EP54" s="351"/>
      <c r="EQ54" s="351"/>
      <c r="ER54" s="351"/>
      <c r="ES54" s="351"/>
      <c r="ET54" s="351"/>
      <c r="EU54" s="351"/>
      <c r="EV54" s="351"/>
      <c r="EW54" s="351"/>
      <c r="EX54" s="351"/>
      <c r="EY54" s="351"/>
      <c r="EZ54" s="351"/>
      <c r="FA54" s="351"/>
      <c r="FB54" s="351"/>
      <c r="FC54" s="351"/>
      <c r="FD54" s="351"/>
      <c r="FE54" s="351"/>
      <c r="FF54" s="351"/>
      <c r="FG54" s="351"/>
      <c r="FH54" s="351"/>
      <c r="FI54" s="351"/>
      <c r="FJ54" s="351"/>
      <c r="FK54" s="351"/>
      <c r="FL54" s="351"/>
      <c r="FM54" s="351"/>
      <c r="FN54" s="351"/>
      <c r="FO54" s="351"/>
      <c r="FP54" s="351"/>
      <c r="FQ54" s="351"/>
      <c r="FR54" s="351"/>
      <c r="FS54" s="351"/>
      <c r="FT54" s="351"/>
      <c r="FU54" s="351"/>
      <c r="FV54" s="351"/>
      <c r="FW54" s="351"/>
      <c r="FX54" s="351"/>
      <c r="FY54" s="351"/>
      <c r="FZ54" s="351"/>
      <c r="GA54" s="351"/>
      <c r="GB54" s="351"/>
      <c r="GC54" s="351"/>
      <c r="GD54" s="351"/>
      <c r="GE54" s="351"/>
      <c r="GF54" s="351"/>
      <c r="GG54" s="351"/>
      <c r="GH54" s="351"/>
      <c r="GI54" s="351"/>
      <c r="GJ54" s="351"/>
      <c r="GK54" s="351"/>
      <c r="GL54" s="351"/>
      <c r="GM54" s="351"/>
      <c r="GN54" s="351"/>
      <c r="GO54" s="351"/>
      <c r="GP54" s="351"/>
      <c r="GQ54" s="351"/>
      <c r="GR54" s="351"/>
      <c r="GS54" s="351"/>
      <c r="GT54" s="351"/>
      <c r="GU54" s="351"/>
      <c r="GV54" s="351"/>
      <c r="GW54" s="351"/>
      <c r="GX54" s="351"/>
      <c r="GY54" s="351"/>
      <c r="GZ54" s="351"/>
      <c r="HA54" s="351"/>
      <c r="HB54" s="351"/>
      <c r="HC54" s="351"/>
      <c r="HD54" s="351"/>
      <c r="HE54" s="351"/>
      <c r="HF54" s="351"/>
      <c r="HG54" s="351"/>
      <c r="HH54" s="351"/>
      <c r="HI54" s="351"/>
      <c r="HJ54" s="351"/>
      <c r="HK54" s="351"/>
      <c r="HL54" s="351"/>
      <c r="HM54" s="351"/>
      <c r="HN54" s="351"/>
      <c r="HO54" s="351"/>
      <c r="HP54" s="351"/>
      <c r="HQ54" s="351"/>
      <c r="HR54" s="351"/>
      <c r="HS54" s="351"/>
      <c r="HT54" s="351"/>
      <c r="HU54" s="351"/>
      <c r="HV54" s="351"/>
      <c r="HW54" s="351"/>
      <c r="HX54" s="351"/>
      <c r="HY54" s="351"/>
      <c r="HZ54" s="351"/>
      <c r="IA54" s="351"/>
      <c r="IB54" s="351"/>
      <c r="IC54" s="351"/>
      <c r="ID54" s="351"/>
      <c r="IE54" s="351"/>
      <c r="IF54" s="351"/>
      <c r="IG54" s="351"/>
      <c r="IH54" s="351"/>
      <c r="II54" s="351"/>
      <c r="IJ54" s="351"/>
      <c r="IK54" s="351"/>
      <c r="IL54" s="351"/>
      <c r="IM54" s="351"/>
      <c r="IN54" s="351"/>
      <c r="IO54" s="351"/>
      <c r="IP54" s="351"/>
      <c r="IQ54" s="351"/>
      <c r="IR54" s="351"/>
      <c r="IS54" s="351"/>
      <c r="IT54" s="351"/>
      <c r="IU54" s="351"/>
    </row>
    <row r="55" spans="1:255">
      <c r="A55" s="368"/>
      <c r="B55" s="354" t="s">
        <v>161</v>
      </c>
      <c r="C55" s="355"/>
      <c r="D55" s="370">
        <f t="shared" si="11"/>
        <v>-6.6000000000000003E-2</v>
      </c>
      <c r="E55" s="365">
        <v>-0.12</v>
      </c>
      <c r="F55" s="358">
        <f t="shared" si="10"/>
        <v>-0.44999999999999996</v>
      </c>
      <c r="G55" s="357"/>
      <c r="H55" s="357"/>
      <c r="I55" s="358"/>
      <c r="J55" s="357"/>
      <c r="K55" s="357"/>
      <c r="L55" s="358"/>
      <c r="M55" s="351"/>
      <c r="N55" s="351"/>
      <c r="O55" s="351"/>
      <c r="P55" s="351"/>
      <c r="Q55" s="351"/>
      <c r="R55" s="352"/>
      <c r="S55" s="351"/>
      <c r="T55" s="351"/>
      <c r="U55" s="351"/>
      <c r="V55" s="351"/>
      <c r="W55" s="351"/>
      <c r="X55" s="351"/>
      <c r="Y55" s="351"/>
      <c r="Z55" s="351"/>
      <c r="AA55" s="351"/>
      <c r="AB55" s="351"/>
      <c r="AC55" s="351"/>
      <c r="AD55" s="351"/>
      <c r="AE55" s="351"/>
      <c r="AF55" s="351"/>
      <c r="AG55" s="351"/>
      <c r="AH55" s="351"/>
      <c r="AI55" s="351"/>
      <c r="AJ55" s="351"/>
      <c r="AK55" s="351"/>
      <c r="AL55" s="351"/>
      <c r="AM55" s="351"/>
      <c r="AN55" s="351"/>
      <c r="AO55" s="351"/>
      <c r="AP55" s="351"/>
      <c r="AQ55" s="351"/>
      <c r="AR55" s="351"/>
      <c r="AS55" s="351"/>
      <c r="AT55" s="351"/>
      <c r="AU55" s="351"/>
      <c r="AV55" s="351"/>
      <c r="AW55" s="351"/>
      <c r="AX55" s="351"/>
      <c r="AY55" s="351"/>
      <c r="AZ55" s="351"/>
      <c r="BA55" s="351"/>
      <c r="BB55" s="351"/>
      <c r="BC55" s="351"/>
      <c r="BD55" s="351"/>
      <c r="BE55" s="351"/>
      <c r="BF55" s="351"/>
      <c r="BG55" s="351"/>
      <c r="BH55" s="351"/>
      <c r="BI55" s="351"/>
      <c r="BJ55" s="351"/>
      <c r="BK55" s="351"/>
      <c r="BL55" s="351"/>
      <c r="BM55" s="351"/>
      <c r="BN55" s="351"/>
      <c r="BO55" s="351"/>
      <c r="BP55" s="351"/>
      <c r="BQ55" s="351"/>
      <c r="BR55" s="351"/>
      <c r="BS55" s="351"/>
      <c r="BT55" s="351"/>
      <c r="BU55" s="351"/>
      <c r="BV55" s="351"/>
      <c r="BW55" s="351"/>
      <c r="BX55" s="351"/>
      <c r="BY55" s="351"/>
      <c r="BZ55" s="351"/>
      <c r="CA55" s="351"/>
      <c r="CB55" s="351"/>
      <c r="CC55" s="351"/>
      <c r="CD55" s="351"/>
      <c r="CE55" s="351"/>
      <c r="CF55" s="351"/>
      <c r="CG55" s="351"/>
      <c r="CH55" s="351"/>
      <c r="CI55" s="351"/>
      <c r="CJ55" s="351"/>
      <c r="CK55" s="351"/>
      <c r="CL55" s="351"/>
      <c r="CM55" s="351"/>
      <c r="CN55" s="351"/>
      <c r="CO55" s="351"/>
      <c r="CP55" s="351"/>
      <c r="CQ55" s="351"/>
      <c r="CR55" s="351"/>
      <c r="CS55" s="351"/>
      <c r="CT55" s="351"/>
      <c r="CU55" s="351"/>
      <c r="CV55" s="351"/>
      <c r="CW55" s="351"/>
      <c r="CX55" s="351"/>
      <c r="CY55" s="351"/>
      <c r="CZ55" s="351"/>
      <c r="DA55" s="351"/>
      <c r="DB55" s="351"/>
      <c r="DC55" s="351"/>
      <c r="DD55" s="351"/>
      <c r="DE55" s="351"/>
      <c r="DF55" s="351"/>
      <c r="DG55" s="351"/>
      <c r="DH55" s="351"/>
      <c r="DI55" s="351"/>
      <c r="DJ55" s="351"/>
      <c r="DK55" s="351"/>
      <c r="DL55" s="351"/>
      <c r="DM55" s="351"/>
      <c r="DN55" s="351"/>
      <c r="DO55" s="351"/>
      <c r="DP55" s="351"/>
      <c r="DQ55" s="351"/>
      <c r="DR55" s="351"/>
      <c r="DS55" s="351"/>
      <c r="DT55" s="351"/>
      <c r="DU55" s="351"/>
      <c r="DV55" s="351"/>
      <c r="DW55" s="351"/>
      <c r="DX55" s="351"/>
      <c r="DY55" s="351"/>
      <c r="DZ55" s="351"/>
      <c r="EA55" s="351"/>
      <c r="EB55" s="351"/>
      <c r="EC55" s="351"/>
      <c r="ED55" s="351"/>
      <c r="EE55" s="351"/>
      <c r="EF55" s="351"/>
      <c r="EG55" s="351"/>
      <c r="EH55" s="351"/>
      <c r="EI55" s="351"/>
      <c r="EJ55" s="351"/>
      <c r="EK55" s="351"/>
      <c r="EL55" s="351"/>
      <c r="EM55" s="351"/>
      <c r="EN55" s="351"/>
      <c r="EO55" s="351"/>
      <c r="EP55" s="351"/>
      <c r="EQ55" s="351"/>
      <c r="ER55" s="351"/>
      <c r="ES55" s="351"/>
      <c r="ET55" s="351"/>
      <c r="EU55" s="351"/>
      <c r="EV55" s="351"/>
      <c r="EW55" s="351"/>
      <c r="EX55" s="351"/>
      <c r="EY55" s="351"/>
      <c r="EZ55" s="351"/>
      <c r="FA55" s="351"/>
      <c r="FB55" s="351"/>
      <c r="FC55" s="351"/>
      <c r="FD55" s="351"/>
      <c r="FE55" s="351"/>
      <c r="FF55" s="351"/>
      <c r="FG55" s="351"/>
      <c r="FH55" s="351"/>
      <c r="FI55" s="351"/>
      <c r="FJ55" s="351"/>
      <c r="FK55" s="351"/>
      <c r="FL55" s="351"/>
      <c r="FM55" s="351"/>
      <c r="FN55" s="351"/>
      <c r="FO55" s="351"/>
      <c r="FP55" s="351"/>
      <c r="FQ55" s="351"/>
      <c r="FR55" s="351"/>
      <c r="FS55" s="351"/>
      <c r="FT55" s="351"/>
      <c r="FU55" s="351"/>
      <c r="FV55" s="351"/>
      <c r="FW55" s="351"/>
      <c r="FX55" s="351"/>
      <c r="FY55" s="351"/>
      <c r="FZ55" s="351"/>
      <c r="GA55" s="351"/>
      <c r="GB55" s="351"/>
      <c r="GC55" s="351"/>
      <c r="GD55" s="351"/>
      <c r="GE55" s="351"/>
      <c r="GF55" s="351"/>
      <c r="GG55" s="351"/>
      <c r="GH55" s="351"/>
      <c r="GI55" s="351"/>
      <c r="GJ55" s="351"/>
      <c r="GK55" s="351"/>
      <c r="GL55" s="351"/>
      <c r="GM55" s="351"/>
      <c r="GN55" s="351"/>
      <c r="GO55" s="351"/>
      <c r="GP55" s="351"/>
      <c r="GQ55" s="351"/>
      <c r="GR55" s="351"/>
      <c r="GS55" s="351"/>
      <c r="GT55" s="351"/>
      <c r="GU55" s="351"/>
      <c r="GV55" s="351"/>
      <c r="GW55" s="351"/>
      <c r="GX55" s="351"/>
      <c r="GY55" s="351"/>
      <c r="GZ55" s="351"/>
      <c r="HA55" s="351"/>
      <c r="HB55" s="351"/>
      <c r="HC55" s="351"/>
      <c r="HD55" s="351"/>
      <c r="HE55" s="351"/>
      <c r="HF55" s="351"/>
      <c r="HG55" s="351"/>
      <c r="HH55" s="351"/>
      <c r="HI55" s="351"/>
      <c r="HJ55" s="351"/>
      <c r="HK55" s="351"/>
      <c r="HL55" s="351"/>
      <c r="HM55" s="351"/>
      <c r="HN55" s="351"/>
      <c r="HO55" s="351"/>
      <c r="HP55" s="351"/>
      <c r="HQ55" s="351"/>
      <c r="HR55" s="351"/>
      <c r="HS55" s="351"/>
      <c r="HT55" s="351"/>
      <c r="HU55" s="351"/>
      <c r="HV55" s="351"/>
      <c r="HW55" s="351"/>
      <c r="HX55" s="351"/>
      <c r="HY55" s="351"/>
      <c r="HZ55" s="351"/>
      <c r="IA55" s="351"/>
      <c r="IB55" s="351"/>
      <c r="IC55" s="351"/>
      <c r="ID55" s="351"/>
      <c r="IE55" s="351"/>
      <c r="IF55" s="351"/>
      <c r="IG55" s="351"/>
      <c r="IH55" s="351"/>
      <c r="II55" s="351"/>
      <c r="IJ55" s="351"/>
      <c r="IK55" s="351"/>
      <c r="IL55" s="351"/>
      <c r="IM55" s="351"/>
      <c r="IN55" s="351"/>
      <c r="IO55" s="351"/>
      <c r="IP55" s="351"/>
      <c r="IQ55" s="351"/>
      <c r="IR55" s="351"/>
      <c r="IS55" s="351"/>
      <c r="IT55" s="351"/>
      <c r="IU55" s="351"/>
    </row>
    <row r="56" spans="1:255">
      <c r="A56" s="368"/>
      <c r="B56" s="354" t="s">
        <v>162</v>
      </c>
      <c r="C56" s="355"/>
      <c r="D56" s="370">
        <f t="shared" si="11"/>
        <v>-8.2000000000000003E-2</v>
      </c>
      <c r="E56" s="365">
        <v>-0.15</v>
      </c>
      <c r="F56" s="358">
        <f t="shared" si="10"/>
        <v>-0.45333333333333325</v>
      </c>
      <c r="G56" s="357"/>
      <c r="H56" s="357"/>
      <c r="I56" s="358"/>
      <c r="J56" s="357"/>
      <c r="K56" s="357"/>
      <c r="L56" s="358"/>
      <c r="M56" s="351"/>
      <c r="N56" s="351"/>
      <c r="O56" s="351"/>
      <c r="P56" s="351"/>
      <c r="Q56" s="351"/>
      <c r="R56" s="352"/>
      <c r="S56" s="351"/>
      <c r="T56" s="351"/>
      <c r="U56" s="351"/>
      <c r="V56" s="351"/>
      <c r="W56" s="351"/>
      <c r="X56" s="351"/>
      <c r="Y56" s="351"/>
      <c r="Z56" s="351"/>
      <c r="AA56" s="351"/>
      <c r="AB56" s="351"/>
      <c r="AC56" s="351"/>
      <c r="AD56" s="351"/>
      <c r="AE56" s="351"/>
      <c r="AF56" s="351"/>
      <c r="AG56" s="351"/>
      <c r="AH56" s="351"/>
      <c r="AI56" s="351"/>
      <c r="AJ56" s="351"/>
      <c r="AK56" s="351"/>
      <c r="AL56" s="351"/>
      <c r="AM56" s="351"/>
      <c r="AN56" s="351"/>
      <c r="AO56" s="351"/>
      <c r="AP56" s="351"/>
      <c r="AQ56" s="351"/>
      <c r="AR56" s="351"/>
      <c r="AS56" s="351"/>
      <c r="AT56" s="351"/>
      <c r="AU56" s="351"/>
      <c r="AV56" s="351"/>
      <c r="AW56" s="351"/>
      <c r="AX56" s="351"/>
      <c r="AY56" s="351"/>
      <c r="AZ56" s="351"/>
      <c r="BA56" s="351"/>
      <c r="BB56" s="351"/>
      <c r="BC56" s="351"/>
      <c r="BD56" s="351"/>
      <c r="BE56" s="351"/>
      <c r="BF56" s="351"/>
      <c r="BG56" s="351"/>
      <c r="BH56" s="351"/>
      <c r="BI56" s="351"/>
      <c r="BJ56" s="351"/>
      <c r="BK56" s="351"/>
      <c r="BL56" s="351"/>
      <c r="BM56" s="351"/>
      <c r="BN56" s="351"/>
      <c r="BO56" s="351"/>
      <c r="BP56" s="351"/>
      <c r="BQ56" s="351"/>
      <c r="BR56" s="351"/>
      <c r="BS56" s="351"/>
      <c r="BT56" s="351"/>
      <c r="BU56" s="351"/>
      <c r="BV56" s="351"/>
      <c r="BW56" s="351"/>
      <c r="BX56" s="351"/>
      <c r="BY56" s="351"/>
      <c r="BZ56" s="351"/>
      <c r="CA56" s="351"/>
      <c r="CB56" s="351"/>
      <c r="CC56" s="351"/>
      <c r="CD56" s="351"/>
      <c r="CE56" s="351"/>
      <c r="CF56" s="351"/>
      <c r="CG56" s="351"/>
      <c r="CH56" s="351"/>
      <c r="CI56" s="351"/>
      <c r="CJ56" s="351"/>
      <c r="CK56" s="351"/>
      <c r="CL56" s="351"/>
      <c r="CM56" s="351"/>
      <c r="CN56" s="351"/>
      <c r="CO56" s="351"/>
      <c r="CP56" s="351"/>
      <c r="CQ56" s="351"/>
      <c r="CR56" s="351"/>
      <c r="CS56" s="351"/>
      <c r="CT56" s="351"/>
      <c r="CU56" s="351"/>
      <c r="CV56" s="351"/>
      <c r="CW56" s="351"/>
      <c r="CX56" s="351"/>
      <c r="CY56" s="351"/>
      <c r="CZ56" s="351"/>
      <c r="DA56" s="351"/>
      <c r="DB56" s="351"/>
      <c r="DC56" s="351"/>
      <c r="DD56" s="351"/>
      <c r="DE56" s="351"/>
      <c r="DF56" s="351"/>
      <c r="DG56" s="351"/>
      <c r="DH56" s="351"/>
      <c r="DI56" s="351"/>
      <c r="DJ56" s="351"/>
      <c r="DK56" s="351"/>
      <c r="DL56" s="351"/>
      <c r="DM56" s="351"/>
      <c r="DN56" s="351"/>
      <c r="DO56" s="351"/>
      <c r="DP56" s="351"/>
      <c r="DQ56" s="351"/>
      <c r="DR56" s="351"/>
      <c r="DS56" s="351"/>
      <c r="DT56" s="351"/>
      <c r="DU56" s="351"/>
      <c r="DV56" s="351"/>
      <c r="DW56" s="351"/>
      <c r="DX56" s="351"/>
      <c r="DY56" s="351"/>
      <c r="DZ56" s="351"/>
      <c r="EA56" s="351"/>
      <c r="EB56" s="351"/>
      <c r="EC56" s="351"/>
      <c r="ED56" s="351"/>
      <c r="EE56" s="351"/>
      <c r="EF56" s="351"/>
      <c r="EG56" s="351"/>
      <c r="EH56" s="351"/>
      <c r="EI56" s="351"/>
      <c r="EJ56" s="351"/>
      <c r="EK56" s="351"/>
      <c r="EL56" s="351"/>
      <c r="EM56" s="351"/>
      <c r="EN56" s="351"/>
      <c r="EO56" s="351"/>
      <c r="EP56" s="351"/>
      <c r="EQ56" s="351"/>
      <c r="ER56" s="351"/>
      <c r="ES56" s="351"/>
      <c r="ET56" s="351"/>
      <c r="EU56" s="351"/>
      <c r="EV56" s="351"/>
      <c r="EW56" s="351"/>
      <c r="EX56" s="351"/>
      <c r="EY56" s="351"/>
      <c r="EZ56" s="351"/>
      <c r="FA56" s="351"/>
      <c r="FB56" s="351"/>
      <c r="FC56" s="351"/>
      <c r="FD56" s="351"/>
      <c r="FE56" s="351"/>
      <c r="FF56" s="351"/>
      <c r="FG56" s="351"/>
      <c r="FH56" s="351"/>
      <c r="FI56" s="351"/>
      <c r="FJ56" s="351"/>
      <c r="FK56" s="351"/>
      <c r="FL56" s="351"/>
      <c r="FM56" s="351"/>
      <c r="FN56" s="351"/>
      <c r="FO56" s="351"/>
      <c r="FP56" s="351"/>
      <c r="FQ56" s="351"/>
      <c r="FR56" s="351"/>
      <c r="FS56" s="351"/>
      <c r="FT56" s="351"/>
      <c r="FU56" s="351"/>
      <c r="FV56" s="351"/>
      <c r="FW56" s="351"/>
      <c r="FX56" s="351"/>
      <c r="FY56" s="351"/>
      <c r="FZ56" s="351"/>
      <c r="GA56" s="351"/>
      <c r="GB56" s="351"/>
      <c r="GC56" s="351"/>
      <c r="GD56" s="351"/>
      <c r="GE56" s="351"/>
      <c r="GF56" s="351"/>
      <c r="GG56" s="351"/>
      <c r="GH56" s="351"/>
      <c r="GI56" s="351"/>
      <c r="GJ56" s="351"/>
      <c r="GK56" s="351"/>
      <c r="GL56" s="351"/>
      <c r="GM56" s="351"/>
      <c r="GN56" s="351"/>
      <c r="GO56" s="351"/>
      <c r="GP56" s="351"/>
      <c r="GQ56" s="351"/>
      <c r="GR56" s="351"/>
      <c r="GS56" s="351"/>
      <c r="GT56" s="351"/>
      <c r="GU56" s="351"/>
      <c r="GV56" s="351"/>
      <c r="GW56" s="351"/>
      <c r="GX56" s="351"/>
      <c r="GY56" s="351"/>
      <c r="GZ56" s="351"/>
      <c r="HA56" s="351"/>
      <c r="HB56" s="351"/>
      <c r="HC56" s="351"/>
      <c r="HD56" s="351"/>
      <c r="HE56" s="351"/>
      <c r="HF56" s="351"/>
      <c r="HG56" s="351"/>
      <c r="HH56" s="351"/>
      <c r="HI56" s="351"/>
      <c r="HJ56" s="351"/>
      <c r="HK56" s="351"/>
      <c r="HL56" s="351"/>
      <c r="HM56" s="351"/>
      <c r="HN56" s="351"/>
      <c r="HO56" s="351"/>
      <c r="HP56" s="351"/>
      <c r="HQ56" s="351"/>
      <c r="HR56" s="351"/>
      <c r="HS56" s="351"/>
      <c r="HT56" s="351"/>
      <c r="HU56" s="351"/>
      <c r="HV56" s="351"/>
      <c r="HW56" s="351"/>
      <c r="HX56" s="351"/>
      <c r="HY56" s="351"/>
      <c r="HZ56" s="351"/>
      <c r="IA56" s="351"/>
      <c r="IB56" s="351"/>
      <c r="IC56" s="351"/>
      <c r="ID56" s="351"/>
      <c r="IE56" s="351"/>
      <c r="IF56" s="351"/>
      <c r="IG56" s="351"/>
      <c r="IH56" s="351"/>
      <c r="II56" s="351"/>
      <c r="IJ56" s="351"/>
      <c r="IK56" s="351"/>
      <c r="IL56" s="351"/>
      <c r="IM56" s="351"/>
      <c r="IN56" s="351"/>
      <c r="IO56" s="351"/>
      <c r="IP56" s="351"/>
      <c r="IQ56" s="351"/>
      <c r="IR56" s="351"/>
      <c r="IS56" s="351"/>
      <c r="IT56" s="351"/>
      <c r="IU56" s="351"/>
    </row>
    <row r="57" spans="1:255">
      <c r="A57" s="368"/>
      <c r="B57" s="354" t="s">
        <v>163</v>
      </c>
      <c r="C57" s="355"/>
      <c r="D57" s="370">
        <f t="shared" si="11"/>
        <v>-9.9000000000000005E-2</v>
      </c>
      <c r="E57" s="365">
        <v>-0.18</v>
      </c>
      <c r="F57" s="358">
        <f t="shared" si="10"/>
        <v>-0.44999999999999996</v>
      </c>
      <c r="G57" s="357"/>
      <c r="H57" s="357"/>
      <c r="I57" s="358"/>
      <c r="J57" s="357"/>
      <c r="K57" s="357"/>
      <c r="L57" s="358"/>
      <c r="M57" s="351"/>
      <c r="N57" s="351"/>
      <c r="O57" s="351"/>
      <c r="P57" s="351"/>
      <c r="Q57" s="351"/>
      <c r="R57" s="352"/>
      <c r="S57" s="351"/>
      <c r="T57" s="351"/>
      <c r="U57" s="351"/>
      <c r="V57" s="351"/>
      <c r="W57" s="351"/>
      <c r="X57" s="351"/>
      <c r="Y57" s="351"/>
      <c r="Z57" s="351"/>
      <c r="AA57" s="351"/>
      <c r="AB57" s="351"/>
      <c r="AC57" s="351"/>
      <c r="AD57" s="351"/>
      <c r="AE57" s="351"/>
      <c r="AF57" s="351"/>
      <c r="AG57" s="351"/>
      <c r="AH57" s="351"/>
      <c r="AI57" s="351"/>
      <c r="AJ57" s="351"/>
      <c r="AK57" s="351"/>
      <c r="AL57" s="351"/>
      <c r="AM57" s="351"/>
      <c r="AN57" s="351"/>
      <c r="AO57" s="351"/>
      <c r="AP57" s="351"/>
      <c r="AQ57" s="351"/>
      <c r="AR57" s="351"/>
      <c r="AS57" s="351"/>
      <c r="AT57" s="351"/>
      <c r="AU57" s="351"/>
      <c r="AV57" s="351"/>
      <c r="AW57" s="351"/>
      <c r="AX57" s="351"/>
      <c r="AY57" s="351"/>
      <c r="AZ57" s="351"/>
      <c r="BA57" s="351"/>
      <c r="BB57" s="351"/>
      <c r="BC57" s="351"/>
      <c r="BD57" s="351"/>
      <c r="BE57" s="351"/>
      <c r="BF57" s="351"/>
      <c r="BG57" s="351"/>
      <c r="BH57" s="351"/>
      <c r="BI57" s="351"/>
      <c r="BJ57" s="351"/>
      <c r="BK57" s="351"/>
      <c r="BL57" s="351"/>
      <c r="BM57" s="351"/>
      <c r="BN57" s="351"/>
      <c r="BO57" s="351"/>
      <c r="BP57" s="351"/>
      <c r="BQ57" s="351"/>
      <c r="BR57" s="351"/>
      <c r="BS57" s="351"/>
      <c r="BT57" s="351"/>
      <c r="BU57" s="351"/>
      <c r="BV57" s="351"/>
      <c r="BW57" s="351"/>
      <c r="BX57" s="351"/>
      <c r="BY57" s="351"/>
      <c r="BZ57" s="351"/>
      <c r="CA57" s="351"/>
      <c r="CB57" s="351"/>
      <c r="CC57" s="351"/>
      <c r="CD57" s="351"/>
      <c r="CE57" s="351"/>
      <c r="CF57" s="351"/>
      <c r="CG57" s="351"/>
      <c r="CH57" s="351"/>
      <c r="CI57" s="351"/>
      <c r="CJ57" s="351"/>
      <c r="CK57" s="351"/>
      <c r="CL57" s="351"/>
      <c r="CM57" s="351"/>
      <c r="CN57" s="351"/>
      <c r="CO57" s="351"/>
      <c r="CP57" s="351"/>
      <c r="CQ57" s="351"/>
      <c r="CR57" s="351"/>
      <c r="CS57" s="351"/>
      <c r="CT57" s="351"/>
      <c r="CU57" s="351"/>
      <c r="CV57" s="351"/>
      <c r="CW57" s="351"/>
      <c r="CX57" s="351"/>
      <c r="CY57" s="351"/>
      <c r="CZ57" s="351"/>
      <c r="DA57" s="351"/>
      <c r="DB57" s="351"/>
      <c r="DC57" s="351"/>
      <c r="DD57" s="351"/>
      <c r="DE57" s="351"/>
      <c r="DF57" s="351"/>
      <c r="DG57" s="351"/>
      <c r="DH57" s="351"/>
      <c r="DI57" s="351"/>
      <c r="DJ57" s="351"/>
      <c r="DK57" s="351"/>
      <c r="DL57" s="351"/>
      <c r="DM57" s="351"/>
      <c r="DN57" s="351"/>
      <c r="DO57" s="351"/>
      <c r="DP57" s="351"/>
      <c r="DQ57" s="351"/>
      <c r="DR57" s="351"/>
      <c r="DS57" s="351"/>
      <c r="DT57" s="351"/>
      <c r="DU57" s="351"/>
      <c r="DV57" s="351"/>
      <c r="DW57" s="351"/>
      <c r="DX57" s="351"/>
      <c r="DY57" s="351"/>
      <c r="DZ57" s="351"/>
      <c r="EA57" s="351"/>
      <c r="EB57" s="351"/>
      <c r="EC57" s="351"/>
      <c r="ED57" s="351"/>
      <c r="EE57" s="351"/>
      <c r="EF57" s="351"/>
      <c r="EG57" s="351"/>
      <c r="EH57" s="351"/>
      <c r="EI57" s="351"/>
      <c r="EJ57" s="351"/>
      <c r="EK57" s="351"/>
      <c r="EL57" s="351"/>
      <c r="EM57" s="351"/>
      <c r="EN57" s="351"/>
      <c r="EO57" s="351"/>
      <c r="EP57" s="351"/>
      <c r="EQ57" s="351"/>
      <c r="ER57" s="351"/>
      <c r="ES57" s="351"/>
      <c r="ET57" s="351"/>
      <c r="EU57" s="351"/>
      <c r="EV57" s="351"/>
      <c r="EW57" s="351"/>
      <c r="EX57" s="351"/>
      <c r="EY57" s="351"/>
      <c r="EZ57" s="351"/>
      <c r="FA57" s="351"/>
      <c r="FB57" s="351"/>
      <c r="FC57" s="351"/>
      <c r="FD57" s="351"/>
      <c r="FE57" s="351"/>
      <c r="FF57" s="351"/>
      <c r="FG57" s="351"/>
      <c r="FH57" s="351"/>
      <c r="FI57" s="351"/>
      <c r="FJ57" s="351"/>
      <c r="FK57" s="351"/>
      <c r="FL57" s="351"/>
      <c r="FM57" s="351"/>
      <c r="FN57" s="351"/>
      <c r="FO57" s="351"/>
      <c r="FP57" s="351"/>
      <c r="FQ57" s="351"/>
      <c r="FR57" s="351"/>
      <c r="FS57" s="351"/>
      <c r="FT57" s="351"/>
      <c r="FU57" s="351"/>
      <c r="FV57" s="351"/>
      <c r="FW57" s="351"/>
      <c r="FX57" s="351"/>
      <c r="FY57" s="351"/>
      <c r="FZ57" s="351"/>
      <c r="GA57" s="351"/>
      <c r="GB57" s="351"/>
      <c r="GC57" s="351"/>
      <c r="GD57" s="351"/>
      <c r="GE57" s="351"/>
      <c r="GF57" s="351"/>
      <c r="GG57" s="351"/>
      <c r="GH57" s="351"/>
      <c r="GI57" s="351"/>
      <c r="GJ57" s="351"/>
      <c r="GK57" s="351"/>
      <c r="GL57" s="351"/>
      <c r="GM57" s="351"/>
      <c r="GN57" s="351"/>
      <c r="GO57" s="351"/>
      <c r="GP57" s="351"/>
      <c r="GQ57" s="351"/>
      <c r="GR57" s="351"/>
      <c r="GS57" s="351"/>
      <c r="GT57" s="351"/>
      <c r="GU57" s="351"/>
      <c r="GV57" s="351"/>
      <c r="GW57" s="351"/>
      <c r="GX57" s="351"/>
      <c r="GY57" s="351"/>
      <c r="GZ57" s="351"/>
      <c r="HA57" s="351"/>
      <c r="HB57" s="351"/>
      <c r="HC57" s="351"/>
      <c r="HD57" s="351"/>
      <c r="HE57" s="351"/>
      <c r="HF57" s="351"/>
      <c r="HG57" s="351"/>
      <c r="HH57" s="351"/>
      <c r="HI57" s="351"/>
      <c r="HJ57" s="351"/>
      <c r="HK57" s="351"/>
      <c r="HL57" s="351"/>
      <c r="HM57" s="351"/>
      <c r="HN57" s="351"/>
      <c r="HO57" s="351"/>
      <c r="HP57" s="351"/>
      <c r="HQ57" s="351"/>
      <c r="HR57" s="351"/>
      <c r="HS57" s="351"/>
      <c r="HT57" s="351"/>
      <c r="HU57" s="351"/>
      <c r="HV57" s="351"/>
      <c r="HW57" s="351"/>
      <c r="HX57" s="351"/>
      <c r="HY57" s="351"/>
      <c r="HZ57" s="351"/>
      <c r="IA57" s="351"/>
      <c r="IB57" s="351"/>
      <c r="IC57" s="351"/>
      <c r="ID57" s="351"/>
      <c r="IE57" s="351"/>
      <c r="IF57" s="351"/>
      <c r="IG57" s="351"/>
      <c r="IH57" s="351"/>
      <c r="II57" s="351"/>
      <c r="IJ57" s="351"/>
      <c r="IK57" s="351"/>
      <c r="IL57" s="351"/>
      <c r="IM57" s="351"/>
      <c r="IN57" s="351"/>
      <c r="IO57" s="351"/>
      <c r="IP57" s="351"/>
      <c r="IQ57" s="351"/>
      <c r="IR57" s="351"/>
      <c r="IS57" s="351"/>
      <c r="IT57" s="351"/>
      <c r="IU57" s="351"/>
    </row>
    <row r="58" spans="1:255">
      <c r="A58" s="368"/>
      <c r="B58" s="354" t="s">
        <v>164</v>
      </c>
      <c r="C58" s="355"/>
      <c r="D58" s="370">
        <f t="shared" si="11"/>
        <v>-0.13700000000000001</v>
      </c>
      <c r="E58" s="365">
        <v>-0.25</v>
      </c>
      <c r="F58" s="358">
        <f t="shared" si="10"/>
        <v>-0.45199999999999996</v>
      </c>
      <c r="G58" s="357"/>
      <c r="H58" s="357"/>
      <c r="I58" s="358"/>
      <c r="J58" s="357"/>
      <c r="K58" s="357"/>
      <c r="L58" s="358"/>
      <c r="M58" s="351"/>
      <c r="N58" s="351"/>
      <c r="O58" s="351"/>
      <c r="P58" s="351"/>
      <c r="Q58" s="351"/>
      <c r="R58" s="352"/>
      <c r="S58" s="351"/>
      <c r="T58" s="351"/>
      <c r="U58" s="351"/>
      <c r="V58" s="351"/>
      <c r="W58" s="351"/>
      <c r="X58" s="351"/>
      <c r="Y58" s="351"/>
      <c r="Z58" s="351"/>
      <c r="AA58" s="351"/>
      <c r="AB58" s="351"/>
      <c r="AC58" s="351"/>
      <c r="AD58" s="351"/>
      <c r="AE58" s="351"/>
      <c r="AF58" s="351"/>
      <c r="AG58" s="351"/>
      <c r="AH58" s="351"/>
      <c r="AI58" s="351"/>
      <c r="AJ58" s="351"/>
      <c r="AK58" s="351"/>
      <c r="AL58" s="351"/>
      <c r="AM58" s="351"/>
      <c r="AN58" s="351"/>
      <c r="AO58" s="351"/>
      <c r="AP58" s="351"/>
      <c r="AQ58" s="351"/>
      <c r="AR58" s="351"/>
      <c r="AS58" s="351"/>
      <c r="AT58" s="351"/>
      <c r="AU58" s="351"/>
      <c r="AV58" s="351"/>
      <c r="AW58" s="351"/>
      <c r="AX58" s="351"/>
      <c r="AY58" s="351"/>
      <c r="AZ58" s="351"/>
      <c r="BA58" s="351"/>
      <c r="BB58" s="351"/>
      <c r="BC58" s="351"/>
      <c r="BD58" s="351"/>
      <c r="BE58" s="351"/>
      <c r="BF58" s="351"/>
      <c r="BG58" s="351"/>
      <c r="BH58" s="351"/>
      <c r="BI58" s="351"/>
      <c r="BJ58" s="351"/>
      <c r="BK58" s="351"/>
      <c r="BL58" s="351"/>
      <c r="BM58" s="351"/>
      <c r="BN58" s="351"/>
      <c r="BO58" s="351"/>
      <c r="BP58" s="351"/>
      <c r="BQ58" s="351"/>
      <c r="BR58" s="351"/>
      <c r="BS58" s="351"/>
      <c r="BT58" s="351"/>
      <c r="BU58" s="351"/>
      <c r="BV58" s="351"/>
      <c r="BW58" s="351"/>
      <c r="BX58" s="351"/>
      <c r="BY58" s="351"/>
      <c r="BZ58" s="351"/>
      <c r="CA58" s="351"/>
      <c r="CB58" s="351"/>
      <c r="CC58" s="351"/>
      <c r="CD58" s="351"/>
      <c r="CE58" s="351"/>
      <c r="CF58" s="351"/>
      <c r="CG58" s="351"/>
      <c r="CH58" s="351"/>
      <c r="CI58" s="351"/>
      <c r="CJ58" s="351"/>
      <c r="CK58" s="351"/>
      <c r="CL58" s="351"/>
      <c r="CM58" s="351"/>
      <c r="CN58" s="351"/>
      <c r="CO58" s="351"/>
      <c r="CP58" s="351"/>
      <c r="CQ58" s="351"/>
      <c r="CR58" s="351"/>
      <c r="CS58" s="351"/>
      <c r="CT58" s="351"/>
      <c r="CU58" s="351"/>
      <c r="CV58" s="351"/>
      <c r="CW58" s="351"/>
      <c r="CX58" s="351"/>
      <c r="CY58" s="351"/>
      <c r="CZ58" s="351"/>
      <c r="DA58" s="351"/>
      <c r="DB58" s="351"/>
      <c r="DC58" s="351"/>
      <c r="DD58" s="351"/>
      <c r="DE58" s="351"/>
      <c r="DF58" s="351"/>
      <c r="DG58" s="351"/>
      <c r="DH58" s="351"/>
      <c r="DI58" s="351"/>
      <c r="DJ58" s="351"/>
      <c r="DK58" s="351"/>
      <c r="DL58" s="351"/>
      <c r="DM58" s="351"/>
      <c r="DN58" s="351"/>
      <c r="DO58" s="351"/>
      <c r="DP58" s="351"/>
      <c r="DQ58" s="351"/>
      <c r="DR58" s="351"/>
      <c r="DS58" s="351"/>
      <c r="DT58" s="351"/>
      <c r="DU58" s="351"/>
      <c r="DV58" s="351"/>
      <c r="DW58" s="351"/>
      <c r="DX58" s="351"/>
      <c r="DY58" s="351"/>
      <c r="DZ58" s="351"/>
      <c r="EA58" s="351"/>
      <c r="EB58" s="351"/>
      <c r="EC58" s="351"/>
      <c r="ED58" s="351"/>
      <c r="EE58" s="351"/>
      <c r="EF58" s="351"/>
      <c r="EG58" s="351"/>
      <c r="EH58" s="351"/>
      <c r="EI58" s="351"/>
      <c r="EJ58" s="351"/>
      <c r="EK58" s="351"/>
      <c r="EL58" s="351"/>
      <c r="EM58" s="351"/>
      <c r="EN58" s="351"/>
      <c r="EO58" s="351"/>
      <c r="EP58" s="351"/>
      <c r="EQ58" s="351"/>
      <c r="ER58" s="351"/>
      <c r="ES58" s="351"/>
      <c r="ET58" s="351"/>
      <c r="EU58" s="351"/>
      <c r="EV58" s="351"/>
      <c r="EW58" s="351"/>
      <c r="EX58" s="351"/>
      <c r="EY58" s="351"/>
      <c r="EZ58" s="351"/>
      <c r="FA58" s="351"/>
      <c r="FB58" s="351"/>
      <c r="FC58" s="351"/>
      <c r="FD58" s="351"/>
      <c r="FE58" s="351"/>
      <c r="FF58" s="351"/>
      <c r="FG58" s="351"/>
      <c r="FH58" s="351"/>
      <c r="FI58" s="351"/>
      <c r="FJ58" s="351"/>
      <c r="FK58" s="351"/>
      <c r="FL58" s="351"/>
      <c r="FM58" s="351"/>
      <c r="FN58" s="351"/>
      <c r="FO58" s="351"/>
      <c r="FP58" s="351"/>
      <c r="FQ58" s="351"/>
      <c r="FR58" s="351"/>
      <c r="FS58" s="351"/>
      <c r="FT58" s="351"/>
      <c r="FU58" s="351"/>
      <c r="FV58" s="351"/>
      <c r="FW58" s="351"/>
      <c r="FX58" s="351"/>
      <c r="FY58" s="351"/>
      <c r="FZ58" s="351"/>
      <c r="GA58" s="351"/>
      <c r="GB58" s="351"/>
      <c r="GC58" s="351"/>
      <c r="GD58" s="351"/>
      <c r="GE58" s="351"/>
      <c r="GF58" s="351"/>
      <c r="GG58" s="351"/>
      <c r="GH58" s="351"/>
      <c r="GI58" s="351"/>
      <c r="GJ58" s="351"/>
      <c r="GK58" s="351"/>
      <c r="GL58" s="351"/>
      <c r="GM58" s="351"/>
      <c r="GN58" s="351"/>
      <c r="GO58" s="351"/>
      <c r="GP58" s="351"/>
      <c r="GQ58" s="351"/>
      <c r="GR58" s="351"/>
      <c r="GS58" s="351"/>
      <c r="GT58" s="351"/>
      <c r="GU58" s="351"/>
      <c r="GV58" s="351"/>
      <c r="GW58" s="351"/>
      <c r="GX58" s="351"/>
      <c r="GY58" s="351"/>
      <c r="GZ58" s="351"/>
      <c r="HA58" s="351"/>
      <c r="HB58" s="351"/>
      <c r="HC58" s="351"/>
      <c r="HD58" s="351"/>
      <c r="HE58" s="351"/>
      <c r="HF58" s="351"/>
      <c r="HG58" s="351"/>
      <c r="HH58" s="351"/>
      <c r="HI58" s="351"/>
      <c r="HJ58" s="351"/>
      <c r="HK58" s="351"/>
      <c r="HL58" s="351"/>
      <c r="HM58" s="351"/>
      <c r="HN58" s="351"/>
      <c r="HO58" s="351"/>
      <c r="HP58" s="351"/>
      <c r="HQ58" s="351"/>
      <c r="HR58" s="351"/>
      <c r="HS58" s="351"/>
      <c r="HT58" s="351"/>
      <c r="HU58" s="351"/>
      <c r="HV58" s="351"/>
      <c r="HW58" s="351"/>
      <c r="HX58" s="351"/>
      <c r="HY58" s="351"/>
      <c r="HZ58" s="351"/>
      <c r="IA58" s="351"/>
      <c r="IB58" s="351"/>
      <c r="IC58" s="351"/>
      <c r="ID58" s="351"/>
      <c r="IE58" s="351"/>
      <c r="IF58" s="351"/>
      <c r="IG58" s="351"/>
      <c r="IH58" s="351"/>
      <c r="II58" s="351"/>
      <c r="IJ58" s="351"/>
      <c r="IK58" s="351"/>
      <c r="IL58" s="351"/>
      <c r="IM58" s="351"/>
      <c r="IN58" s="351"/>
      <c r="IO58" s="351"/>
      <c r="IP58" s="351"/>
      <c r="IQ58" s="351"/>
      <c r="IR58" s="351"/>
      <c r="IS58" s="351"/>
      <c r="IT58" s="351"/>
      <c r="IU58" s="351"/>
    </row>
    <row r="59" spans="1:255">
      <c r="A59" s="368"/>
      <c r="B59" s="354" t="s">
        <v>165</v>
      </c>
      <c r="C59" s="355"/>
      <c r="D59" s="370">
        <f t="shared" si="11"/>
        <v>-0.159</v>
      </c>
      <c r="E59" s="365">
        <v>-0.28999999999999998</v>
      </c>
      <c r="F59" s="358">
        <f t="shared" si="10"/>
        <v>-0.45172413793103439</v>
      </c>
      <c r="G59" s="357"/>
      <c r="H59" s="357"/>
      <c r="I59" s="358"/>
      <c r="J59" s="357"/>
      <c r="K59" s="357"/>
      <c r="L59" s="358"/>
      <c r="M59" s="351"/>
      <c r="N59" s="351"/>
      <c r="O59" s="351"/>
      <c r="P59" s="351"/>
      <c r="Q59" s="351"/>
      <c r="R59" s="352"/>
      <c r="S59" s="351"/>
      <c r="T59" s="351"/>
      <c r="U59" s="351"/>
      <c r="V59" s="351"/>
      <c r="W59" s="351"/>
      <c r="X59" s="351"/>
      <c r="Y59" s="351"/>
      <c r="Z59" s="351"/>
      <c r="AA59" s="351"/>
      <c r="AB59" s="351"/>
      <c r="AC59" s="351"/>
      <c r="AD59" s="351"/>
      <c r="AE59" s="351"/>
      <c r="AF59" s="351"/>
      <c r="AG59" s="351"/>
      <c r="AH59" s="351"/>
      <c r="AI59" s="351"/>
      <c r="AJ59" s="351"/>
      <c r="AK59" s="351"/>
      <c r="AL59" s="351"/>
      <c r="AM59" s="351"/>
      <c r="AN59" s="351"/>
      <c r="AO59" s="351"/>
      <c r="AP59" s="351"/>
      <c r="AQ59" s="351"/>
      <c r="AR59" s="351"/>
      <c r="AS59" s="351"/>
      <c r="AT59" s="351"/>
      <c r="AU59" s="351"/>
      <c r="AV59" s="351"/>
      <c r="AW59" s="351"/>
      <c r="AX59" s="351"/>
      <c r="AY59" s="351"/>
      <c r="AZ59" s="351"/>
      <c r="BA59" s="351"/>
      <c r="BB59" s="351"/>
      <c r="BC59" s="351"/>
      <c r="BD59" s="351"/>
      <c r="BE59" s="351"/>
      <c r="BF59" s="351"/>
      <c r="BG59" s="351"/>
      <c r="BH59" s="351"/>
      <c r="BI59" s="351"/>
      <c r="BJ59" s="351"/>
      <c r="BK59" s="351"/>
      <c r="BL59" s="351"/>
      <c r="BM59" s="351"/>
      <c r="BN59" s="351"/>
      <c r="BO59" s="351"/>
      <c r="BP59" s="351"/>
      <c r="BQ59" s="351"/>
      <c r="BR59" s="351"/>
      <c r="BS59" s="351"/>
      <c r="BT59" s="351"/>
      <c r="BU59" s="351"/>
      <c r="BV59" s="351"/>
      <c r="BW59" s="351"/>
      <c r="BX59" s="351"/>
      <c r="BY59" s="351"/>
      <c r="BZ59" s="351"/>
      <c r="CA59" s="351"/>
      <c r="CB59" s="351"/>
      <c r="CC59" s="351"/>
      <c r="CD59" s="351"/>
      <c r="CE59" s="351"/>
      <c r="CF59" s="351"/>
      <c r="CG59" s="351"/>
      <c r="CH59" s="351"/>
      <c r="CI59" s="351"/>
      <c r="CJ59" s="351"/>
      <c r="CK59" s="351"/>
      <c r="CL59" s="351"/>
      <c r="CM59" s="351"/>
      <c r="CN59" s="351"/>
      <c r="CO59" s="351"/>
      <c r="CP59" s="351"/>
      <c r="CQ59" s="351"/>
      <c r="CR59" s="351"/>
      <c r="CS59" s="351"/>
      <c r="CT59" s="351"/>
      <c r="CU59" s="351"/>
      <c r="CV59" s="351"/>
      <c r="CW59" s="351"/>
      <c r="CX59" s="351"/>
      <c r="CY59" s="351"/>
      <c r="CZ59" s="351"/>
      <c r="DA59" s="351"/>
      <c r="DB59" s="351"/>
      <c r="DC59" s="351"/>
      <c r="DD59" s="351"/>
      <c r="DE59" s="351"/>
      <c r="DF59" s="351"/>
      <c r="DG59" s="351"/>
      <c r="DH59" s="351"/>
      <c r="DI59" s="351"/>
      <c r="DJ59" s="351"/>
      <c r="DK59" s="351"/>
      <c r="DL59" s="351"/>
      <c r="DM59" s="351"/>
      <c r="DN59" s="351"/>
      <c r="DO59" s="351"/>
      <c r="DP59" s="351"/>
      <c r="DQ59" s="351"/>
      <c r="DR59" s="351"/>
      <c r="DS59" s="351"/>
      <c r="DT59" s="351"/>
      <c r="DU59" s="351"/>
      <c r="DV59" s="351"/>
      <c r="DW59" s="351"/>
      <c r="DX59" s="351"/>
      <c r="DY59" s="351"/>
      <c r="DZ59" s="351"/>
      <c r="EA59" s="351"/>
      <c r="EB59" s="351"/>
      <c r="EC59" s="351"/>
      <c r="ED59" s="351"/>
      <c r="EE59" s="351"/>
      <c r="EF59" s="351"/>
      <c r="EG59" s="351"/>
      <c r="EH59" s="351"/>
      <c r="EI59" s="351"/>
      <c r="EJ59" s="351"/>
      <c r="EK59" s="351"/>
      <c r="EL59" s="351"/>
      <c r="EM59" s="351"/>
      <c r="EN59" s="351"/>
      <c r="EO59" s="351"/>
      <c r="EP59" s="351"/>
      <c r="EQ59" s="351"/>
      <c r="ER59" s="351"/>
      <c r="ES59" s="351"/>
      <c r="ET59" s="351"/>
      <c r="EU59" s="351"/>
      <c r="EV59" s="351"/>
      <c r="EW59" s="351"/>
      <c r="EX59" s="351"/>
      <c r="EY59" s="351"/>
      <c r="EZ59" s="351"/>
      <c r="FA59" s="351"/>
      <c r="FB59" s="351"/>
      <c r="FC59" s="351"/>
      <c r="FD59" s="351"/>
      <c r="FE59" s="351"/>
      <c r="FF59" s="351"/>
      <c r="FG59" s="351"/>
      <c r="FH59" s="351"/>
      <c r="FI59" s="351"/>
      <c r="FJ59" s="351"/>
      <c r="FK59" s="351"/>
      <c r="FL59" s="351"/>
      <c r="FM59" s="351"/>
      <c r="FN59" s="351"/>
      <c r="FO59" s="351"/>
      <c r="FP59" s="351"/>
      <c r="FQ59" s="351"/>
      <c r="FR59" s="351"/>
      <c r="FS59" s="351"/>
      <c r="FT59" s="351"/>
      <c r="FU59" s="351"/>
      <c r="FV59" s="351"/>
      <c r="FW59" s="351"/>
      <c r="FX59" s="351"/>
      <c r="FY59" s="351"/>
      <c r="FZ59" s="351"/>
      <c r="GA59" s="351"/>
      <c r="GB59" s="351"/>
      <c r="GC59" s="351"/>
      <c r="GD59" s="351"/>
      <c r="GE59" s="351"/>
      <c r="GF59" s="351"/>
      <c r="GG59" s="351"/>
      <c r="GH59" s="351"/>
      <c r="GI59" s="351"/>
      <c r="GJ59" s="351"/>
      <c r="GK59" s="351"/>
      <c r="GL59" s="351"/>
      <c r="GM59" s="351"/>
      <c r="GN59" s="351"/>
      <c r="GO59" s="351"/>
      <c r="GP59" s="351"/>
      <c r="GQ59" s="351"/>
      <c r="GR59" s="351"/>
      <c r="GS59" s="351"/>
      <c r="GT59" s="351"/>
      <c r="GU59" s="351"/>
      <c r="GV59" s="351"/>
      <c r="GW59" s="351"/>
      <c r="GX59" s="351"/>
      <c r="GY59" s="351"/>
      <c r="GZ59" s="351"/>
      <c r="HA59" s="351"/>
      <c r="HB59" s="351"/>
      <c r="HC59" s="351"/>
      <c r="HD59" s="351"/>
      <c r="HE59" s="351"/>
      <c r="HF59" s="351"/>
      <c r="HG59" s="351"/>
      <c r="HH59" s="351"/>
      <c r="HI59" s="351"/>
      <c r="HJ59" s="351"/>
      <c r="HK59" s="351"/>
      <c r="HL59" s="351"/>
      <c r="HM59" s="351"/>
      <c r="HN59" s="351"/>
      <c r="HO59" s="351"/>
      <c r="HP59" s="351"/>
      <c r="HQ59" s="351"/>
      <c r="HR59" s="351"/>
      <c r="HS59" s="351"/>
      <c r="HT59" s="351"/>
      <c r="HU59" s="351"/>
      <c r="HV59" s="351"/>
      <c r="HW59" s="351"/>
      <c r="HX59" s="351"/>
      <c r="HY59" s="351"/>
      <c r="HZ59" s="351"/>
      <c r="IA59" s="351"/>
      <c r="IB59" s="351"/>
      <c r="IC59" s="351"/>
      <c r="ID59" s="351"/>
      <c r="IE59" s="351"/>
      <c r="IF59" s="351"/>
      <c r="IG59" s="351"/>
      <c r="IH59" s="351"/>
      <c r="II59" s="351"/>
      <c r="IJ59" s="351"/>
      <c r="IK59" s="351"/>
      <c r="IL59" s="351"/>
      <c r="IM59" s="351"/>
      <c r="IN59" s="351"/>
      <c r="IO59" s="351"/>
      <c r="IP59" s="351"/>
      <c r="IQ59" s="351"/>
      <c r="IR59" s="351"/>
      <c r="IS59" s="351"/>
      <c r="IT59" s="351"/>
      <c r="IU59" s="351"/>
    </row>
    <row r="60" spans="1:255">
      <c r="A60" s="368"/>
      <c r="B60" s="354" t="s">
        <v>166</v>
      </c>
      <c r="C60" s="355"/>
      <c r="D60" s="370">
        <f t="shared" si="11"/>
        <v>-0.18099999999999999</v>
      </c>
      <c r="E60" s="365">
        <v>-0.33</v>
      </c>
      <c r="F60" s="358">
        <f t="shared" si="10"/>
        <v>-0.45151515151515154</v>
      </c>
      <c r="G60" s="357"/>
      <c r="H60" s="357"/>
      <c r="I60" s="358"/>
      <c r="J60" s="357"/>
      <c r="K60" s="357"/>
      <c r="L60" s="358"/>
      <c r="M60" s="351"/>
      <c r="N60" s="351"/>
      <c r="O60" s="351"/>
      <c r="P60" s="351"/>
      <c r="Q60" s="351"/>
      <c r="R60" s="352"/>
      <c r="S60" s="351"/>
      <c r="T60" s="351"/>
      <c r="U60" s="351"/>
      <c r="V60" s="351"/>
      <c r="W60" s="351"/>
      <c r="X60" s="351"/>
      <c r="Y60" s="351"/>
      <c r="Z60" s="351"/>
      <c r="AA60" s="351"/>
      <c r="AB60" s="351"/>
      <c r="AC60" s="351"/>
      <c r="AD60" s="351"/>
      <c r="AE60" s="351"/>
      <c r="AF60" s="351"/>
      <c r="AG60" s="351"/>
      <c r="AH60" s="351"/>
      <c r="AI60" s="351"/>
      <c r="AJ60" s="351"/>
      <c r="AK60" s="351"/>
      <c r="AL60" s="351"/>
      <c r="AM60" s="351"/>
      <c r="AN60" s="351"/>
      <c r="AO60" s="351"/>
      <c r="AP60" s="351"/>
      <c r="AQ60" s="351"/>
      <c r="AR60" s="351"/>
      <c r="AS60" s="351"/>
      <c r="AT60" s="351"/>
      <c r="AU60" s="351"/>
      <c r="AV60" s="351"/>
      <c r="AW60" s="351"/>
      <c r="AX60" s="351"/>
      <c r="AY60" s="351"/>
      <c r="AZ60" s="351"/>
      <c r="BA60" s="351"/>
      <c r="BB60" s="351"/>
      <c r="BC60" s="351"/>
      <c r="BD60" s="351"/>
      <c r="BE60" s="351"/>
      <c r="BF60" s="351"/>
      <c r="BG60" s="351"/>
      <c r="BH60" s="351"/>
      <c r="BI60" s="351"/>
      <c r="BJ60" s="351"/>
      <c r="BK60" s="351"/>
      <c r="BL60" s="351"/>
      <c r="BM60" s="351"/>
      <c r="BN60" s="351"/>
      <c r="BO60" s="351"/>
      <c r="BP60" s="351"/>
      <c r="BQ60" s="351"/>
      <c r="BR60" s="351"/>
      <c r="BS60" s="351"/>
      <c r="BT60" s="351"/>
      <c r="BU60" s="351"/>
      <c r="BV60" s="351"/>
      <c r="BW60" s="351"/>
      <c r="BX60" s="351"/>
      <c r="BY60" s="351"/>
      <c r="BZ60" s="351"/>
      <c r="CA60" s="351"/>
      <c r="CB60" s="351"/>
      <c r="CC60" s="351"/>
      <c r="CD60" s="351"/>
      <c r="CE60" s="351"/>
      <c r="CF60" s="351"/>
      <c r="CG60" s="351"/>
      <c r="CH60" s="351"/>
      <c r="CI60" s="351"/>
      <c r="CJ60" s="351"/>
      <c r="CK60" s="351"/>
      <c r="CL60" s="351"/>
      <c r="CM60" s="351"/>
      <c r="CN60" s="351"/>
      <c r="CO60" s="351"/>
      <c r="CP60" s="351"/>
      <c r="CQ60" s="351"/>
      <c r="CR60" s="351"/>
      <c r="CS60" s="351"/>
      <c r="CT60" s="351"/>
      <c r="CU60" s="351"/>
      <c r="CV60" s="351"/>
      <c r="CW60" s="351"/>
      <c r="CX60" s="351"/>
      <c r="CY60" s="351"/>
      <c r="CZ60" s="351"/>
      <c r="DA60" s="351"/>
      <c r="DB60" s="351"/>
      <c r="DC60" s="351"/>
      <c r="DD60" s="351"/>
      <c r="DE60" s="351"/>
      <c r="DF60" s="351"/>
      <c r="DG60" s="351"/>
      <c r="DH60" s="351"/>
      <c r="DI60" s="351"/>
      <c r="DJ60" s="351"/>
      <c r="DK60" s="351"/>
      <c r="DL60" s="351"/>
      <c r="DM60" s="351"/>
      <c r="DN60" s="351"/>
      <c r="DO60" s="351"/>
      <c r="DP60" s="351"/>
      <c r="DQ60" s="351"/>
      <c r="DR60" s="351"/>
      <c r="DS60" s="351"/>
      <c r="DT60" s="351"/>
      <c r="DU60" s="351"/>
      <c r="DV60" s="351"/>
      <c r="DW60" s="351"/>
      <c r="DX60" s="351"/>
      <c r="DY60" s="351"/>
      <c r="DZ60" s="351"/>
      <c r="EA60" s="351"/>
      <c r="EB60" s="351"/>
      <c r="EC60" s="351"/>
      <c r="ED60" s="351"/>
      <c r="EE60" s="351"/>
      <c r="EF60" s="351"/>
      <c r="EG60" s="351"/>
      <c r="EH60" s="351"/>
      <c r="EI60" s="351"/>
      <c r="EJ60" s="351"/>
      <c r="EK60" s="351"/>
      <c r="EL60" s="351"/>
      <c r="EM60" s="351"/>
      <c r="EN60" s="351"/>
      <c r="EO60" s="351"/>
      <c r="EP60" s="351"/>
      <c r="EQ60" s="351"/>
      <c r="ER60" s="351"/>
      <c r="ES60" s="351"/>
      <c r="ET60" s="351"/>
      <c r="EU60" s="351"/>
      <c r="EV60" s="351"/>
      <c r="EW60" s="351"/>
      <c r="EX60" s="351"/>
      <c r="EY60" s="351"/>
      <c r="EZ60" s="351"/>
      <c r="FA60" s="351"/>
      <c r="FB60" s="351"/>
      <c r="FC60" s="351"/>
      <c r="FD60" s="351"/>
      <c r="FE60" s="351"/>
      <c r="FF60" s="351"/>
      <c r="FG60" s="351"/>
      <c r="FH60" s="351"/>
      <c r="FI60" s="351"/>
      <c r="FJ60" s="351"/>
      <c r="FK60" s="351"/>
      <c r="FL60" s="351"/>
      <c r="FM60" s="351"/>
      <c r="FN60" s="351"/>
      <c r="FO60" s="351"/>
      <c r="FP60" s="351"/>
      <c r="FQ60" s="351"/>
      <c r="FR60" s="351"/>
      <c r="FS60" s="351"/>
      <c r="FT60" s="351"/>
      <c r="FU60" s="351"/>
      <c r="FV60" s="351"/>
      <c r="FW60" s="351"/>
      <c r="FX60" s="351"/>
      <c r="FY60" s="351"/>
      <c r="FZ60" s="351"/>
      <c r="GA60" s="351"/>
      <c r="GB60" s="351"/>
      <c r="GC60" s="351"/>
      <c r="GD60" s="351"/>
      <c r="GE60" s="351"/>
      <c r="GF60" s="351"/>
      <c r="GG60" s="351"/>
      <c r="GH60" s="351"/>
      <c r="GI60" s="351"/>
      <c r="GJ60" s="351"/>
      <c r="GK60" s="351"/>
      <c r="GL60" s="351"/>
      <c r="GM60" s="351"/>
      <c r="GN60" s="351"/>
      <c r="GO60" s="351"/>
      <c r="GP60" s="351"/>
      <c r="GQ60" s="351"/>
      <c r="GR60" s="351"/>
      <c r="GS60" s="351"/>
      <c r="GT60" s="351"/>
      <c r="GU60" s="351"/>
      <c r="GV60" s="351"/>
      <c r="GW60" s="351"/>
      <c r="GX60" s="351"/>
      <c r="GY60" s="351"/>
      <c r="GZ60" s="351"/>
      <c r="HA60" s="351"/>
      <c r="HB60" s="351"/>
      <c r="HC60" s="351"/>
      <c r="HD60" s="351"/>
      <c r="HE60" s="351"/>
      <c r="HF60" s="351"/>
      <c r="HG60" s="351"/>
      <c r="HH60" s="351"/>
      <c r="HI60" s="351"/>
      <c r="HJ60" s="351"/>
      <c r="HK60" s="351"/>
      <c r="HL60" s="351"/>
      <c r="HM60" s="351"/>
      <c r="HN60" s="351"/>
      <c r="HO60" s="351"/>
      <c r="HP60" s="351"/>
      <c r="HQ60" s="351"/>
      <c r="HR60" s="351"/>
      <c r="HS60" s="351"/>
      <c r="HT60" s="351"/>
      <c r="HU60" s="351"/>
      <c r="HV60" s="351"/>
      <c r="HW60" s="351"/>
      <c r="HX60" s="351"/>
      <c r="HY60" s="351"/>
      <c r="HZ60" s="351"/>
      <c r="IA60" s="351"/>
      <c r="IB60" s="351"/>
      <c r="IC60" s="351"/>
      <c r="ID60" s="351"/>
      <c r="IE60" s="351"/>
      <c r="IF60" s="351"/>
      <c r="IG60" s="351"/>
      <c r="IH60" s="351"/>
      <c r="II60" s="351"/>
      <c r="IJ60" s="351"/>
      <c r="IK60" s="351"/>
      <c r="IL60" s="351"/>
      <c r="IM60" s="351"/>
      <c r="IN60" s="351"/>
      <c r="IO60" s="351"/>
      <c r="IP60" s="351"/>
      <c r="IQ60" s="351"/>
      <c r="IR60" s="351"/>
      <c r="IS60" s="351"/>
      <c r="IT60" s="351"/>
      <c r="IU60" s="351"/>
    </row>
    <row r="61" spans="1:255">
      <c r="A61" s="368"/>
      <c r="B61" s="354" t="s">
        <v>167</v>
      </c>
      <c r="C61" s="355"/>
      <c r="D61" s="370">
        <f t="shared" si="11"/>
        <v>-0.20300000000000001</v>
      </c>
      <c r="E61" s="365">
        <v>-0.37</v>
      </c>
      <c r="F61" s="358">
        <f t="shared" si="10"/>
        <v>-0.45135135135135129</v>
      </c>
      <c r="G61" s="357"/>
      <c r="H61" s="357"/>
      <c r="I61" s="358"/>
      <c r="J61" s="357"/>
      <c r="K61" s="357"/>
      <c r="L61" s="358"/>
      <c r="M61" s="351"/>
      <c r="N61" s="351"/>
      <c r="O61" s="351"/>
      <c r="P61" s="351"/>
      <c r="Q61" s="351"/>
      <c r="R61" s="352"/>
      <c r="S61" s="351"/>
      <c r="T61" s="351"/>
      <c r="U61" s="351"/>
      <c r="V61" s="351"/>
      <c r="W61" s="351"/>
      <c r="X61" s="351"/>
      <c r="Y61" s="351"/>
      <c r="Z61" s="351"/>
      <c r="AA61" s="351"/>
      <c r="AB61" s="351"/>
      <c r="AC61" s="351"/>
      <c r="AD61" s="351"/>
      <c r="AE61" s="351"/>
      <c r="AF61" s="351"/>
      <c r="AG61" s="351"/>
      <c r="AH61" s="351"/>
      <c r="AI61" s="351"/>
      <c r="AJ61" s="351"/>
      <c r="AK61" s="351"/>
      <c r="AL61" s="351"/>
      <c r="AM61" s="351"/>
      <c r="AN61" s="351"/>
      <c r="AO61" s="351"/>
      <c r="AP61" s="351"/>
      <c r="AQ61" s="351"/>
      <c r="AR61" s="351"/>
      <c r="AS61" s="351"/>
      <c r="AT61" s="351"/>
      <c r="AU61" s="351"/>
      <c r="AV61" s="351"/>
      <c r="AW61" s="351"/>
      <c r="AX61" s="351"/>
      <c r="AY61" s="351"/>
      <c r="AZ61" s="351"/>
      <c r="BA61" s="351"/>
      <c r="BB61" s="351"/>
      <c r="BC61" s="351"/>
      <c r="BD61" s="351"/>
      <c r="BE61" s="351"/>
      <c r="BF61" s="351"/>
      <c r="BG61" s="351"/>
      <c r="BH61" s="351"/>
      <c r="BI61" s="351"/>
      <c r="BJ61" s="351"/>
      <c r="BK61" s="351"/>
      <c r="BL61" s="351"/>
      <c r="BM61" s="351"/>
      <c r="BN61" s="351"/>
      <c r="BO61" s="351"/>
      <c r="BP61" s="351"/>
      <c r="BQ61" s="351"/>
      <c r="BR61" s="351"/>
      <c r="BS61" s="351"/>
      <c r="BT61" s="351"/>
      <c r="BU61" s="351"/>
      <c r="BV61" s="351"/>
      <c r="BW61" s="351"/>
      <c r="BX61" s="351"/>
      <c r="BY61" s="351"/>
      <c r="BZ61" s="351"/>
      <c r="CA61" s="351"/>
      <c r="CB61" s="351"/>
      <c r="CC61" s="351"/>
      <c r="CD61" s="351"/>
      <c r="CE61" s="351"/>
      <c r="CF61" s="351"/>
      <c r="CG61" s="351"/>
      <c r="CH61" s="351"/>
      <c r="CI61" s="351"/>
      <c r="CJ61" s="351"/>
      <c r="CK61" s="351"/>
      <c r="CL61" s="351"/>
      <c r="CM61" s="351"/>
      <c r="CN61" s="351"/>
      <c r="CO61" s="351"/>
      <c r="CP61" s="351"/>
      <c r="CQ61" s="351"/>
      <c r="CR61" s="351"/>
      <c r="CS61" s="351"/>
      <c r="CT61" s="351"/>
      <c r="CU61" s="351"/>
      <c r="CV61" s="351"/>
      <c r="CW61" s="351"/>
      <c r="CX61" s="351"/>
      <c r="CY61" s="351"/>
      <c r="CZ61" s="351"/>
      <c r="DA61" s="351"/>
      <c r="DB61" s="351"/>
      <c r="DC61" s="351"/>
      <c r="DD61" s="351"/>
      <c r="DE61" s="351"/>
      <c r="DF61" s="351"/>
      <c r="DG61" s="351"/>
      <c r="DH61" s="351"/>
      <c r="DI61" s="351"/>
      <c r="DJ61" s="351"/>
      <c r="DK61" s="351"/>
      <c r="DL61" s="351"/>
      <c r="DM61" s="351"/>
      <c r="DN61" s="351"/>
      <c r="DO61" s="351"/>
      <c r="DP61" s="351"/>
      <c r="DQ61" s="351"/>
      <c r="DR61" s="351"/>
      <c r="DS61" s="351"/>
      <c r="DT61" s="351"/>
      <c r="DU61" s="351"/>
      <c r="DV61" s="351"/>
      <c r="DW61" s="351"/>
      <c r="DX61" s="351"/>
      <c r="DY61" s="351"/>
      <c r="DZ61" s="351"/>
      <c r="EA61" s="351"/>
      <c r="EB61" s="351"/>
      <c r="EC61" s="351"/>
      <c r="ED61" s="351"/>
      <c r="EE61" s="351"/>
      <c r="EF61" s="351"/>
      <c r="EG61" s="351"/>
      <c r="EH61" s="351"/>
      <c r="EI61" s="351"/>
      <c r="EJ61" s="351"/>
      <c r="EK61" s="351"/>
      <c r="EL61" s="351"/>
      <c r="EM61" s="351"/>
      <c r="EN61" s="351"/>
      <c r="EO61" s="351"/>
      <c r="EP61" s="351"/>
      <c r="EQ61" s="351"/>
      <c r="ER61" s="351"/>
      <c r="ES61" s="351"/>
      <c r="ET61" s="351"/>
      <c r="EU61" s="351"/>
      <c r="EV61" s="351"/>
      <c r="EW61" s="351"/>
      <c r="EX61" s="351"/>
      <c r="EY61" s="351"/>
      <c r="EZ61" s="351"/>
      <c r="FA61" s="351"/>
      <c r="FB61" s="351"/>
      <c r="FC61" s="351"/>
      <c r="FD61" s="351"/>
      <c r="FE61" s="351"/>
      <c r="FF61" s="351"/>
      <c r="FG61" s="351"/>
      <c r="FH61" s="351"/>
      <c r="FI61" s="351"/>
      <c r="FJ61" s="351"/>
      <c r="FK61" s="351"/>
      <c r="FL61" s="351"/>
      <c r="FM61" s="351"/>
      <c r="FN61" s="351"/>
      <c r="FO61" s="351"/>
      <c r="FP61" s="351"/>
      <c r="FQ61" s="351"/>
      <c r="FR61" s="351"/>
      <c r="FS61" s="351"/>
      <c r="FT61" s="351"/>
      <c r="FU61" s="351"/>
      <c r="FV61" s="351"/>
      <c r="FW61" s="351"/>
      <c r="FX61" s="351"/>
      <c r="FY61" s="351"/>
      <c r="FZ61" s="351"/>
      <c r="GA61" s="351"/>
      <c r="GB61" s="351"/>
      <c r="GC61" s="351"/>
      <c r="GD61" s="351"/>
      <c r="GE61" s="351"/>
      <c r="GF61" s="351"/>
      <c r="GG61" s="351"/>
      <c r="GH61" s="351"/>
      <c r="GI61" s="351"/>
      <c r="GJ61" s="351"/>
      <c r="GK61" s="351"/>
      <c r="GL61" s="351"/>
      <c r="GM61" s="351"/>
      <c r="GN61" s="351"/>
      <c r="GO61" s="351"/>
      <c r="GP61" s="351"/>
      <c r="GQ61" s="351"/>
      <c r="GR61" s="351"/>
      <c r="GS61" s="351"/>
      <c r="GT61" s="351"/>
      <c r="GU61" s="351"/>
      <c r="GV61" s="351"/>
      <c r="GW61" s="351"/>
      <c r="GX61" s="351"/>
      <c r="GY61" s="351"/>
      <c r="GZ61" s="351"/>
      <c r="HA61" s="351"/>
      <c r="HB61" s="351"/>
      <c r="HC61" s="351"/>
      <c r="HD61" s="351"/>
      <c r="HE61" s="351"/>
      <c r="HF61" s="351"/>
      <c r="HG61" s="351"/>
      <c r="HH61" s="351"/>
      <c r="HI61" s="351"/>
      <c r="HJ61" s="351"/>
      <c r="HK61" s="351"/>
      <c r="HL61" s="351"/>
      <c r="HM61" s="351"/>
      <c r="HN61" s="351"/>
      <c r="HO61" s="351"/>
      <c r="HP61" s="351"/>
      <c r="HQ61" s="351"/>
      <c r="HR61" s="351"/>
      <c r="HS61" s="351"/>
      <c r="HT61" s="351"/>
      <c r="HU61" s="351"/>
      <c r="HV61" s="351"/>
      <c r="HW61" s="351"/>
      <c r="HX61" s="351"/>
      <c r="HY61" s="351"/>
      <c r="HZ61" s="351"/>
      <c r="IA61" s="351"/>
      <c r="IB61" s="351"/>
      <c r="IC61" s="351"/>
      <c r="ID61" s="351"/>
      <c r="IE61" s="351"/>
      <c r="IF61" s="351"/>
      <c r="IG61" s="351"/>
      <c r="IH61" s="351"/>
      <c r="II61" s="351"/>
      <c r="IJ61" s="351"/>
      <c r="IK61" s="351"/>
      <c r="IL61" s="351"/>
      <c r="IM61" s="351"/>
      <c r="IN61" s="351"/>
      <c r="IO61" s="351"/>
      <c r="IP61" s="351"/>
      <c r="IQ61" s="351"/>
      <c r="IR61" s="351"/>
      <c r="IS61" s="351"/>
      <c r="IT61" s="351"/>
      <c r="IU61" s="351"/>
    </row>
    <row r="62" spans="1:255" ht="15.75" thickBot="1">
      <c r="A62" s="373"/>
      <c r="B62" s="374"/>
      <c r="C62" s="375"/>
      <c r="D62" s="376"/>
      <c r="E62" s="377"/>
      <c r="F62" s="376"/>
      <c r="G62" s="378"/>
      <c r="H62" s="378"/>
      <c r="I62" s="379"/>
      <c r="J62" s="378"/>
      <c r="K62" s="378"/>
      <c r="L62" s="379"/>
      <c r="M62" s="351"/>
      <c r="N62" s="351"/>
      <c r="O62" s="351"/>
      <c r="P62" s="351"/>
      <c r="Q62" s="351"/>
      <c r="R62" s="352"/>
      <c r="S62" s="351"/>
      <c r="T62" s="351"/>
      <c r="U62" s="351"/>
      <c r="V62" s="351"/>
      <c r="W62" s="351"/>
      <c r="X62" s="351"/>
      <c r="Y62" s="351"/>
      <c r="Z62" s="351"/>
      <c r="AA62" s="351"/>
      <c r="AB62" s="351"/>
      <c r="AC62" s="351"/>
      <c r="AD62" s="351"/>
      <c r="AE62" s="351"/>
      <c r="AF62" s="351"/>
      <c r="AG62" s="351"/>
      <c r="AH62" s="351"/>
      <c r="AI62" s="351"/>
      <c r="AJ62" s="351"/>
      <c r="AK62" s="351"/>
      <c r="AL62" s="351"/>
      <c r="AM62" s="351"/>
      <c r="AN62" s="351"/>
      <c r="AO62" s="351"/>
      <c r="AP62" s="351"/>
      <c r="AQ62" s="351"/>
      <c r="AR62" s="351"/>
      <c r="AS62" s="351"/>
      <c r="AT62" s="351"/>
      <c r="AU62" s="351"/>
      <c r="AV62" s="351"/>
      <c r="AW62" s="351"/>
      <c r="AX62" s="351"/>
      <c r="AY62" s="351"/>
      <c r="AZ62" s="351"/>
      <c r="BA62" s="351"/>
      <c r="BB62" s="351"/>
      <c r="BC62" s="351"/>
      <c r="BD62" s="351"/>
      <c r="BE62" s="351"/>
      <c r="BF62" s="351"/>
      <c r="BG62" s="351"/>
      <c r="BH62" s="351"/>
      <c r="BI62" s="351"/>
      <c r="BJ62" s="351"/>
      <c r="BK62" s="351"/>
      <c r="BL62" s="351"/>
      <c r="BM62" s="351"/>
      <c r="BN62" s="351"/>
      <c r="BO62" s="351"/>
      <c r="BP62" s="351"/>
      <c r="BQ62" s="351"/>
      <c r="BR62" s="351"/>
      <c r="BS62" s="351"/>
      <c r="BT62" s="351"/>
      <c r="BU62" s="351"/>
      <c r="BV62" s="351"/>
      <c r="BW62" s="351"/>
      <c r="BX62" s="351"/>
      <c r="BY62" s="351"/>
      <c r="BZ62" s="351"/>
      <c r="CA62" s="351"/>
      <c r="CB62" s="351"/>
      <c r="CC62" s="351"/>
      <c r="CD62" s="351"/>
      <c r="CE62" s="351"/>
      <c r="CF62" s="351"/>
      <c r="CG62" s="351"/>
      <c r="CH62" s="351"/>
      <c r="CI62" s="351"/>
      <c r="CJ62" s="351"/>
      <c r="CK62" s="351"/>
      <c r="CL62" s="351"/>
      <c r="CM62" s="351"/>
      <c r="CN62" s="351"/>
      <c r="CO62" s="351"/>
      <c r="CP62" s="351"/>
      <c r="CQ62" s="351"/>
      <c r="CR62" s="351"/>
      <c r="CS62" s="351"/>
      <c r="CT62" s="351"/>
      <c r="CU62" s="351"/>
      <c r="CV62" s="351"/>
      <c r="CW62" s="351"/>
      <c r="CX62" s="351"/>
      <c r="CY62" s="351"/>
      <c r="CZ62" s="351"/>
      <c r="DA62" s="351"/>
      <c r="DB62" s="351"/>
      <c r="DC62" s="351"/>
      <c r="DD62" s="351"/>
      <c r="DE62" s="351"/>
      <c r="DF62" s="351"/>
      <c r="DG62" s="351"/>
      <c r="DH62" s="351"/>
      <c r="DI62" s="351"/>
      <c r="DJ62" s="351"/>
      <c r="DK62" s="351"/>
      <c r="DL62" s="351"/>
      <c r="DM62" s="351"/>
      <c r="DN62" s="351"/>
      <c r="DO62" s="351"/>
      <c r="DP62" s="351"/>
      <c r="DQ62" s="351"/>
      <c r="DR62" s="351"/>
      <c r="DS62" s="351"/>
      <c r="DT62" s="351"/>
      <c r="DU62" s="351"/>
      <c r="DV62" s="351"/>
      <c r="DW62" s="351"/>
      <c r="DX62" s="351"/>
      <c r="DY62" s="351"/>
      <c r="DZ62" s="351"/>
      <c r="EA62" s="351"/>
      <c r="EB62" s="351"/>
      <c r="EC62" s="351"/>
      <c r="ED62" s="351"/>
      <c r="EE62" s="351"/>
      <c r="EF62" s="351"/>
      <c r="EG62" s="351"/>
      <c r="EH62" s="351"/>
      <c r="EI62" s="351"/>
      <c r="EJ62" s="351"/>
      <c r="EK62" s="351"/>
      <c r="EL62" s="351"/>
      <c r="EM62" s="351"/>
      <c r="EN62" s="351"/>
      <c r="EO62" s="351"/>
      <c r="EP62" s="351"/>
      <c r="EQ62" s="351"/>
      <c r="ER62" s="351"/>
      <c r="ES62" s="351"/>
      <c r="ET62" s="351"/>
      <c r="EU62" s="351"/>
      <c r="EV62" s="351"/>
      <c r="EW62" s="351"/>
      <c r="EX62" s="351"/>
      <c r="EY62" s="351"/>
      <c r="EZ62" s="351"/>
      <c r="FA62" s="351"/>
      <c r="FB62" s="351"/>
      <c r="FC62" s="351"/>
      <c r="FD62" s="351"/>
      <c r="FE62" s="351"/>
      <c r="FF62" s="351"/>
      <c r="FG62" s="351"/>
      <c r="FH62" s="351"/>
      <c r="FI62" s="351"/>
      <c r="FJ62" s="351"/>
      <c r="FK62" s="351"/>
      <c r="FL62" s="351"/>
      <c r="FM62" s="351"/>
      <c r="FN62" s="351"/>
      <c r="FO62" s="351"/>
      <c r="FP62" s="351"/>
      <c r="FQ62" s="351"/>
      <c r="FR62" s="351"/>
      <c r="FS62" s="351"/>
      <c r="FT62" s="351"/>
      <c r="FU62" s="351"/>
      <c r="FV62" s="351"/>
      <c r="FW62" s="351"/>
      <c r="FX62" s="351"/>
      <c r="FY62" s="351"/>
      <c r="FZ62" s="351"/>
      <c r="GA62" s="351"/>
      <c r="GB62" s="351"/>
      <c r="GC62" s="351"/>
      <c r="GD62" s="351"/>
      <c r="GE62" s="351"/>
      <c r="GF62" s="351"/>
      <c r="GG62" s="351"/>
      <c r="GH62" s="351"/>
      <c r="GI62" s="351"/>
      <c r="GJ62" s="351"/>
      <c r="GK62" s="351"/>
      <c r="GL62" s="351"/>
      <c r="GM62" s="351"/>
      <c r="GN62" s="351"/>
      <c r="GO62" s="351"/>
      <c r="GP62" s="351"/>
      <c r="GQ62" s="351"/>
      <c r="GR62" s="351"/>
      <c r="GS62" s="351"/>
      <c r="GT62" s="351"/>
      <c r="GU62" s="351"/>
      <c r="GV62" s="351"/>
      <c r="GW62" s="351"/>
      <c r="GX62" s="351"/>
      <c r="GY62" s="351"/>
      <c r="GZ62" s="351"/>
      <c r="HA62" s="351"/>
      <c r="HB62" s="351"/>
      <c r="HC62" s="351"/>
      <c r="HD62" s="351"/>
      <c r="HE62" s="351"/>
      <c r="HF62" s="351"/>
      <c r="HG62" s="351"/>
      <c r="HH62" s="351"/>
      <c r="HI62" s="351"/>
      <c r="HJ62" s="351"/>
      <c r="HK62" s="351"/>
      <c r="HL62" s="351"/>
      <c r="HM62" s="351"/>
      <c r="HN62" s="351"/>
      <c r="HO62" s="351"/>
      <c r="HP62" s="351"/>
      <c r="HQ62" s="351"/>
      <c r="HR62" s="351"/>
      <c r="HS62" s="351"/>
      <c r="HT62" s="351"/>
      <c r="HU62" s="351"/>
      <c r="HV62" s="351"/>
      <c r="HW62" s="351"/>
      <c r="HX62" s="351"/>
      <c r="HY62" s="351"/>
      <c r="HZ62" s="351"/>
      <c r="IA62" s="351"/>
      <c r="IB62" s="351"/>
      <c r="IC62" s="351"/>
      <c r="ID62" s="351"/>
      <c r="IE62" s="351"/>
      <c r="IF62" s="351"/>
      <c r="IG62" s="351"/>
      <c r="IH62" s="351"/>
      <c r="II62" s="351"/>
      <c r="IJ62" s="351"/>
      <c r="IK62" s="351"/>
      <c r="IL62" s="351"/>
      <c r="IM62" s="351"/>
      <c r="IN62" s="351"/>
      <c r="IO62" s="351"/>
      <c r="IP62" s="351"/>
      <c r="IQ62" s="351"/>
      <c r="IR62" s="351"/>
      <c r="IS62" s="351"/>
      <c r="IT62" s="351"/>
      <c r="IU62" s="351"/>
    </row>
    <row r="63" spans="1:255">
      <c r="A63" s="351"/>
      <c r="B63" s="351"/>
      <c r="C63" s="351"/>
      <c r="D63" s="351"/>
      <c r="E63" s="380"/>
      <c r="F63" s="351"/>
      <c r="G63" s="351"/>
      <c r="H63" s="380"/>
      <c r="I63" s="351"/>
      <c r="J63" s="351"/>
      <c r="K63" s="351"/>
      <c r="L63" s="367"/>
      <c r="M63" s="351"/>
      <c r="N63" s="351"/>
      <c r="O63" s="351"/>
      <c r="P63" s="351"/>
      <c r="Q63" s="351"/>
      <c r="R63" s="352"/>
      <c r="S63" s="351"/>
      <c r="T63" s="351"/>
      <c r="U63" s="351"/>
      <c r="V63" s="351"/>
      <c r="W63" s="351"/>
      <c r="X63" s="351"/>
      <c r="Y63" s="351"/>
      <c r="Z63" s="351"/>
      <c r="AA63" s="351"/>
      <c r="AB63" s="351"/>
      <c r="AC63" s="351"/>
      <c r="AD63" s="351"/>
      <c r="AE63" s="351"/>
      <c r="AF63" s="351"/>
      <c r="AG63" s="351"/>
      <c r="AH63" s="351"/>
      <c r="AI63" s="351"/>
      <c r="AJ63" s="351"/>
      <c r="AK63" s="351"/>
      <c r="AL63" s="351"/>
      <c r="AM63" s="351"/>
      <c r="AN63" s="351"/>
      <c r="AO63" s="351"/>
      <c r="AP63" s="351"/>
      <c r="AQ63" s="351"/>
      <c r="AR63" s="351"/>
      <c r="AS63" s="351"/>
      <c r="AT63" s="351"/>
      <c r="AU63" s="351"/>
      <c r="AV63" s="351"/>
      <c r="AW63" s="351"/>
      <c r="AX63" s="351"/>
      <c r="AY63" s="351"/>
      <c r="AZ63" s="351"/>
      <c r="BA63" s="351"/>
      <c r="BB63" s="351"/>
      <c r="BC63" s="351"/>
      <c r="BD63" s="351"/>
      <c r="BE63" s="351"/>
      <c r="BF63" s="351"/>
      <c r="BG63" s="351"/>
      <c r="BH63" s="351"/>
      <c r="BI63" s="351"/>
      <c r="BJ63" s="351"/>
      <c r="BK63" s="351"/>
      <c r="BL63" s="351"/>
      <c r="BM63" s="351"/>
      <c r="BN63" s="351"/>
      <c r="BO63" s="351"/>
      <c r="BP63" s="351"/>
      <c r="BQ63" s="351"/>
      <c r="BR63" s="351"/>
      <c r="BS63" s="351"/>
      <c r="BT63" s="351"/>
      <c r="BU63" s="351"/>
      <c r="BV63" s="351"/>
      <c r="BW63" s="351"/>
      <c r="BX63" s="351"/>
      <c r="BY63" s="351"/>
      <c r="BZ63" s="351"/>
      <c r="CA63" s="351"/>
      <c r="CB63" s="351"/>
      <c r="CC63" s="351"/>
      <c r="CD63" s="351"/>
      <c r="CE63" s="351"/>
      <c r="CF63" s="351"/>
      <c r="CG63" s="351"/>
      <c r="CH63" s="351"/>
      <c r="CI63" s="351"/>
      <c r="CJ63" s="351"/>
      <c r="CK63" s="351"/>
      <c r="CL63" s="351"/>
      <c r="CM63" s="351"/>
      <c r="CN63" s="351"/>
      <c r="CO63" s="351"/>
      <c r="CP63" s="351"/>
      <c r="CQ63" s="351"/>
      <c r="CR63" s="351"/>
      <c r="CS63" s="351"/>
      <c r="CT63" s="351"/>
      <c r="CU63" s="351"/>
      <c r="CV63" s="351"/>
      <c r="CW63" s="351"/>
      <c r="CX63" s="351"/>
      <c r="CY63" s="351"/>
      <c r="CZ63" s="351"/>
      <c r="DA63" s="351"/>
      <c r="DB63" s="351"/>
      <c r="DC63" s="351"/>
      <c r="DD63" s="351"/>
      <c r="DE63" s="351"/>
      <c r="DF63" s="351"/>
      <c r="DG63" s="351"/>
      <c r="DH63" s="351"/>
      <c r="DI63" s="351"/>
      <c r="DJ63" s="351"/>
      <c r="DK63" s="351"/>
      <c r="DL63" s="351"/>
      <c r="DM63" s="351"/>
      <c r="DN63" s="351"/>
      <c r="DO63" s="351"/>
      <c r="DP63" s="351"/>
      <c r="DQ63" s="351"/>
      <c r="DR63" s="351"/>
      <c r="DS63" s="351"/>
      <c r="DT63" s="351"/>
      <c r="DU63" s="351"/>
      <c r="DV63" s="351"/>
      <c r="DW63" s="351"/>
      <c r="DX63" s="351"/>
      <c r="DY63" s="351"/>
      <c r="DZ63" s="351"/>
      <c r="EA63" s="351"/>
      <c r="EB63" s="351"/>
      <c r="EC63" s="351"/>
      <c r="ED63" s="351"/>
      <c r="EE63" s="351"/>
      <c r="EF63" s="351"/>
      <c r="EG63" s="351"/>
      <c r="EH63" s="351"/>
      <c r="EI63" s="351"/>
      <c r="EJ63" s="351"/>
      <c r="EK63" s="351"/>
      <c r="EL63" s="351"/>
      <c r="EM63" s="351"/>
      <c r="EN63" s="351"/>
      <c r="EO63" s="351"/>
      <c r="EP63" s="351"/>
      <c r="EQ63" s="351"/>
      <c r="ER63" s="351"/>
      <c r="ES63" s="351"/>
      <c r="ET63" s="351"/>
      <c r="EU63" s="351"/>
      <c r="EV63" s="351"/>
      <c r="EW63" s="351"/>
      <c r="EX63" s="351"/>
      <c r="EY63" s="351"/>
      <c r="EZ63" s="351"/>
      <c r="FA63" s="351"/>
      <c r="FB63" s="351"/>
      <c r="FC63" s="351"/>
      <c r="FD63" s="351"/>
      <c r="FE63" s="351"/>
      <c r="FF63" s="351"/>
      <c r="FG63" s="351"/>
      <c r="FH63" s="351"/>
      <c r="FI63" s="351"/>
      <c r="FJ63" s="351"/>
      <c r="FK63" s="351"/>
      <c r="FL63" s="351"/>
      <c r="FM63" s="351"/>
      <c r="FN63" s="351"/>
      <c r="FO63" s="351"/>
      <c r="FP63" s="351"/>
      <c r="FQ63" s="351"/>
      <c r="FR63" s="351"/>
      <c r="FS63" s="351"/>
      <c r="FT63" s="351"/>
      <c r="FU63" s="351"/>
      <c r="FV63" s="351"/>
      <c r="FW63" s="351"/>
      <c r="FX63" s="351"/>
      <c r="FY63" s="351"/>
      <c r="FZ63" s="351"/>
      <c r="GA63" s="351"/>
      <c r="GB63" s="351"/>
      <c r="GC63" s="351"/>
      <c r="GD63" s="351"/>
      <c r="GE63" s="351"/>
      <c r="GF63" s="351"/>
      <c r="GG63" s="351"/>
      <c r="GH63" s="351"/>
      <c r="GI63" s="351"/>
      <c r="GJ63" s="351"/>
      <c r="GK63" s="351"/>
      <c r="GL63" s="351"/>
      <c r="GM63" s="351"/>
      <c r="GN63" s="351"/>
      <c r="GO63" s="351"/>
      <c r="GP63" s="351"/>
      <c r="GQ63" s="351"/>
      <c r="GR63" s="351"/>
      <c r="GS63" s="351"/>
      <c r="GT63" s="351"/>
      <c r="GU63" s="351"/>
      <c r="GV63" s="351"/>
      <c r="GW63" s="351"/>
      <c r="GX63" s="351"/>
      <c r="GY63" s="351"/>
      <c r="GZ63" s="351"/>
      <c r="HA63" s="351"/>
      <c r="HB63" s="351"/>
      <c r="HC63" s="351"/>
      <c r="HD63" s="351"/>
      <c r="HE63" s="351"/>
      <c r="HF63" s="351"/>
      <c r="HG63" s="351"/>
      <c r="HH63" s="351"/>
      <c r="HI63" s="351"/>
      <c r="HJ63" s="351"/>
      <c r="HK63" s="351"/>
      <c r="HL63" s="351"/>
      <c r="HM63" s="351"/>
      <c r="HN63" s="351"/>
      <c r="HO63" s="351"/>
      <c r="HP63" s="351"/>
      <c r="HQ63" s="351"/>
      <c r="HR63" s="351"/>
      <c r="HS63" s="351"/>
      <c r="HT63" s="351"/>
      <c r="HU63" s="351"/>
      <c r="HV63" s="351"/>
      <c r="HW63" s="351"/>
      <c r="HX63" s="351"/>
      <c r="HY63" s="351"/>
      <c r="HZ63" s="351"/>
      <c r="IA63" s="351"/>
      <c r="IB63" s="351"/>
      <c r="IC63" s="351"/>
      <c r="ID63" s="351"/>
      <c r="IE63" s="351"/>
      <c r="IF63" s="351"/>
      <c r="IG63" s="351"/>
      <c r="IH63" s="351"/>
      <c r="II63" s="351"/>
      <c r="IJ63" s="351"/>
      <c r="IK63" s="351"/>
      <c r="IL63" s="351"/>
      <c r="IM63" s="351"/>
      <c r="IN63" s="351"/>
      <c r="IO63" s="351"/>
      <c r="IP63" s="351"/>
      <c r="IQ63" s="351"/>
      <c r="IR63" s="351"/>
      <c r="IS63" s="351"/>
      <c r="IT63" s="351"/>
      <c r="IU63" s="351"/>
    </row>
    <row r="64" spans="1:255" ht="15.75">
      <c r="A64" s="381" t="s">
        <v>173</v>
      </c>
      <c r="B64" s="482" t="s">
        <v>174</v>
      </c>
      <c r="C64" s="483"/>
      <c r="D64" s="483"/>
      <c r="E64" s="483"/>
      <c r="F64" s="483"/>
      <c r="G64" s="483"/>
      <c r="H64" s="483"/>
      <c r="I64" s="483"/>
      <c r="J64" s="483"/>
      <c r="K64" s="483"/>
      <c r="L64" s="483"/>
      <c r="M64" s="351"/>
      <c r="N64" s="351"/>
      <c r="O64" s="351"/>
      <c r="P64" s="351"/>
      <c r="Q64" s="351"/>
      <c r="R64" s="352"/>
      <c r="S64" s="351"/>
      <c r="T64" s="351"/>
      <c r="U64" s="351"/>
      <c r="V64" s="351"/>
      <c r="W64" s="351"/>
      <c r="X64" s="351"/>
      <c r="Y64" s="351"/>
      <c r="Z64" s="351"/>
      <c r="AA64" s="351"/>
      <c r="AB64" s="351"/>
      <c r="AC64" s="351"/>
      <c r="AD64" s="351"/>
      <c r="AE64" s="351"/>
      <c r="AF64" s="351"/>
      <c r="AG64" s="351"/>
      <c r="AH64" s="351"/>
      <c r="AI64" s="351"/>
      <c r="AJ64" s="351"/>
      <c r="AK64" s="351"/>
      <c r="AL64" s="351"/>
      <c r="AM64" s="351"/>
      <c r="AN64" s="351"/>
      <c r="AO64" s="351"/>
      <c r="AP64" s="351"/>
      <c r="AQ64" s="351"/>
      <c r="AR64" s="351"/>
      <c r="AS64" s="351"/>
      <c r="AT64" s="351"/>
      <c r="AU64" s="351"/>
      <c r="AV64" s="351"/>
      <c r="AW64" s="351"/>
      <c r="AX64" s="351"/>
      <c r="AY64" s="351"/>
      <c r="AZ64" s="351"/>
      <c r="BA64" s="351"/>
      <c r="BB64" s="351"/>
      <c r="BC64" s="351"/>
      <c r="BD64" s="351"/>
      <c r="BE64" s="351"/>
      <c r="BF64" s="351"/>
      <c r="BG64" s="351"/>
      <c r="BH64" s="351"/>
      <c r="BI64" s="351"/>
      <c r="BJ64" s="351"/>
      <c r="BK64" s="351"/>
      <c r="BL64" s="351"/>
      <c r="BM64" s="351"/>
      <c r="BN64" s="351"/>
      <c r="BO64" s="351"/>
      <c r="BP64" s="351"/>
      <c r="BQ64" s="351"/>
      <c r="BR64" s="351"/>
      <c r="BS64" s="351"/>
      <c r="BT64" s="351"/>
      <c r="BU64" s="351"/>
      <c r="BV64" s="351"/>
      <c r="BW64" s="351"/>
      <c r="BX64" s="351"/>
      <c r="BY64" s="351"/>
      <c r="BZ64" s="351"/>
      <c r="CA64" s="351"/>
      <c r="CB64" s="351"/>
      <c r="CC64" s="351"/>
      <c r="CD64" s="351"/>
      <c r="CE64" s="351"/>
      <c r="CF64" s="351"/>
      <c r="CG64" s="351"/>
      <c r="CH64" s="351"/>
      <c r="CI64" s="351"/>
      <c r="CJ64" s="351"/>
      <c r="CK64" s="351"/>
      <c r="CL64" s="351"/>
      <c r="CM64" s="351"/>
      <c r="CN64" s="351"/>
      <c r="CO64" s="351"/>
      <c r="CP64" s="351"/>
      <c r="CQ64" s="351"/>
      <c r="CR64" s="351"/>
      <c r="CS64" s="351"/>
      <c r="CT64" s="351"/>
      <c r="CU64" s="351"/>
      <c r="CV64" s="351"/>
      <c r="CW64" s="351"/>
      <c r="CX64" s="351"/>
      <c r="CY64" s="351"/>
      <c r="CZ64" s="351"/>
      <c r="DA64" s="351"/>
      <c r="DB64" s="351"/>
      <c r="DC64" s="351"/>
      <c r="DD64" s="351"/>
      <c r="DE64" s="351"/>
      <c r="DF64" s="351"/>
      <c r="DG64" s="351"/>
      <c r="DH64" s="351"/>
      <c r="DI64" s="351"/>
      <c r="DJ64" s="351"/>
      <c r="DK64" s="351"/>
      <c r="DL64" s="351"/>
      <c r="DM64" s="351"/>
      <c r="DN64" s="351"/>
      <c r="DO64" s="351"/>
      <c r="DP64" s="351"/>
      <c r="DQ64" s="351"/>
      <c r="DR64" s="351"/>
      <c r="DS64" s="351"/>
      <c r="DT64" s="351"/>
      <c r="DU64" s="351"/>
      <c r="DV64" s="351"/>
      <c r="DW64" s="351"/>
      <c r="DX64" s="351"/>
      <c r="DY64" s="351"/>
      <c r="DZ64" s="351"/>
      <c r="EA64" s="351"/>
      <c r="EB64" s="351"/>
      <c r="EC64" s="351"/>
      <c r="ED64" s="351"/>
      <c r="EE64" s="351"/>
      <c r="EF64" s="351"/>
      <c r="EG64" s="351"/>
      <c r="EH64" s="351"/>
      <c r="EI64" s="351"/>
      <c r="EJ64" s="351"/>
      <c r="EK64" s="351"/>
      <c r="EL64" s="351"/>
      <c r="EM64" s="351"/>
      <c r="EN64" s="351"/>
      <c r="EO64" s="351"/>
      <c r="EP64" s="351"/>
      <c r="EQ64" s="351"/>
      <c r="ER64" s="351"/>
      <c r="ES64" s="351"/>
      <c r="ET64" s="351"/>
      <c r="EU64" s="351"/>
      <c r="EV64" s="351"/>
      <c r="EW64" s="351"/>
      <c r="EX64" s="351"/>
      <c r="EY64" s="351"/>
      <c r="EZ64" s="351"/>
      <c r="FA64" s="351"/>
      <c r="FB64" s="351"/>
      <c r="FC64" s="351"/>
      <c r="FD64" s="351"/>
      <c r="FE64" s="351"/>
      <c r="FF64" s="351"/>
      <c r="FG64" s="351"/>
      <c r="FH64" s="351"/>
      <c r="FI64" s="351"/>
      <c r="FJ64" s="351"/>
      <c r="FK64" s="351"/>
      <c r="FL64" s="351"/>
      <c r="FM64" s="351"/>
      <c r="FN64" s="351"/>
      <c r="FO64" s="351"/>
      <c r="FP64" s="351"/>
      <c r="FQ64" s="351"/>
      <c r="FR64" s="351"/>
      <c r="FS64" s="351"/>
      <c r="FT64" s="351"/>
      <c r="FU64" s="351"/>
      <c r="FV64" s="351"/>
      <c r="FW64" s="351"/>
      <c r="FX64" s="351"/>
      <c r="FY64" s="351"/>
      <c r="FZ64" s="351"/>
      <c r="GA64" s="351"/>
      <c r="GB64" s="351"/>
      <c r="GC64" s="351"/>
      <c r="GD64" s="351"/>
      <c r="GE64" s="351"/>
      <c r="GF64" s="351"/>
      <c r="GG64" s="351"/>
      <c r="GH64" s="351"/>
      <c r="GI64" s="351"/>
      <c r="GJ64" s="351"/>
      <c r="GK64" s="351"/>
      <c r="GL64" s="351"/>
      <c r="GM64" s="351"/>
      <c r="GN64" s="351"/>
      <c r="GO64" s="351"/>
      <c r="GP64" s="351"/>
      <c r="GQ64" s="351"/>
      <c r="GR64" s="351"/>
      <c r="GS64" s="351"/>
      <c r="GT64" s="351"/>
      <c r="GU64" s="351"/>
      <c r="GV64" s="351"/>
      <c r="GW64" s="351"/>
      <c r="GX64" s="351"/>
      <c r="GY64" s="351"/>
      <c r="GZ64" s="351"/>
      <c r="HA64" s="351"/>
      <c r="HB64" s="351"/>
      <c r="HC64" s="351"/>
      <c r="HD64" s="351"/>
      <c r="HE64" s="351"/>
      <c r="HF64" s="351"/>
      <c r="HG64" s="351"/>
      <c r="HH64" s="351"/>
      <c r="HI64" s="351"/>
      <c r="HJ64" s="351"/>
      <c r="HK64" s="351"/>
      <c r="HL64" s="351"/>
      <c r="HM64" s="351"/>
      <c r="HN64" s="351"/>
      <c r="HO64" s="351"/>
      <c r="HP64" s="351"/>
      <c r="HQ64" s="351"/>
      <c r="HR64" s="351"/>
      <c r="HS64" s="351"/>
      <c r="HT64" s="351"/>
      <c r="HU64" s="351"/>
      <c r="HV64" s="351"/>
      <c r="HW64" s="351"/>
      <c r="HX64" s="351"/>
      <c r="HY64" s="351"/>
      <c r="HZ64" s="351"/>
      <c r="IA64" s="351"/>
      <c r="IB64" s="351"/>
      <c r="IC64" s="351"/>
      <c r="ID64" s="351"/>
      <c r="IE64" s="351"/>
      <c r="IF64" s="351"/>
      <c r="IG64" s="351"/>
      <c r="IH64" s="351"/>
      <c r="II64" s="351"/>
      <c r="IJ64" s="351"/>
      <c r="IK64" s="351"/>
      <c r="IL64" s="351"/>
      <c r="IM64" s="351"/>
      <c r="IN64" s="351"/>
      <c r="IO64" s="351"/>
      <c r="IP64" s="351"/>
      <c r="IQ64" s="351"/>
      <c r="IR64" s="351"/>
      <c r="IS64" s="351"/>
      <c r="IT64" s="351"/>
      <c r="IU64" s="351"/>
    </row>
    <row r="65" spans="1:255">
      <c r="A65" s="351"/>
      <c r="B65" s="483"/>
      <c r="C65" s="483"/>
      <c r="D65" s="483"/>
      <c r="E65" s="483"/>
      <c r="F65" s="483"/>
      <c r="G65" s="483"/>
      <c r="H65" s="483"/>
      <c r="I65" s="483"/>
      <c r="J65" s="483"/>
      <c r="K65" s="483"/>
      <c r="L65" s="483"/>
      <c r="M65" s="351"/>
      <c r="N65" s="351"/>
      <c r="O65" s="351"/>
      <c r="P65" s="351"/>
      <c r="Q65" s="351"/>
      <c r="R65" s="352"/>
      <c r="S65" s="351"/>
      <c r="T65" s="351"/>
      <c r="U65" s="351"/>
      <c r="V65" s="351"/>
      <c r="W65" s="351"/>
      <c r="X65" s="351"/>
      <c r="Y65" s="351"/>
      <c r="Z65" s="351"/>
      <c r="AA65" s="351"/>
      <c r="AB65" s="351"/>
      <c r="AC65" s="351"/>
      <c r="AD65" s="351"/>
      <c r="AE65" s="351"/>
      <c r="AF65" s="351"/>
      <c r="AG65" s="351"/>
      <c r="AH65" s="351"/>
      <c r="AI65" s="351"/>
      <c r="AJ65" s="351"/>
      <c r="AK65" s="351"/>
      <c r="AL65" s="351"/>
      <c r="AM65" s="351"/>
      <c r="AN65" s="351"/>
      <c r="AO65" s="351"/>
      <c r="AP65" s="351"/>
      <c r="AQ65" s="351"/>
      <c r="AR65" s="351"/>
      <c r="AS65" s="351"/>
      <c r="AT65" s="351"/>
      <c r="AU65" s="351"/>
      <c r="AV65" s="351"/>
      <c r="AW65" s="351"/>
      <c r="AX65" s="351"/>
      <c r="AY65" s="351"/>
      <c r="AZ65" s="351"/>
      <c r="BA65" s="351"/>
      <c r="BB65" s="351"/>
      <c r="BC65" s="351"/>
      <c r="BD65" s="351"/>
      <c r="BE65" s="351"/>
      <c r="BF65" s="351"/>
      <c r="BG65" s="351"/>
      <c r="BH65" s="351"/>
      <c r="BI65" s="351"/>
      <c r="BJ65" s="351"/>
      <c r="BK65" s="351"/>
      <c r="BL65" s="351"/>
      <c r="BM65" s="351"/>
      <c r="BN65" s="351"/>
      <c r="BO65" s="351"/>
      <c r="BP65" s="351"/>
      <c r="BQ65" s="351"/>
      <c r="BR65" s="351"/>
      <c r="BS65" s="351"/>
      <c r="BT65" s="351"/>
      <c r="BU65" s="351"/>
      <c r="BV65" s="351"/>
      <c r="BW65" s="351"/>
      <c r="BX65" s="351"/>
      <c r="BY65" s="351"/>
      <c r="BZ65" s="351"/>
      <c r="CA65" s="351"/>
      <c r="CB65" s="351"/>
      <c r="CC65" s="351"/>
      <c r="CD65" s="351"/>
      <c r="CE65" s="351"/>
      <c r="CF65" s="351"/>
      <c r="CG65" s="351"/>
      <c r="CH65" s="351"/>
      <c r="CI65" s="351"/>
      <c r="CJ65" s="351"/>
      <c r="CK65" s="351"/>
      <c r="CL65" s="351"/>
      <c r="CM65" s="351"/>
      <c r="CN65" s="351"/>
      <c r="CO65" s="351"/>
      <c r="CP65" s="351"/>
      <c r="CQ65" s="351"/>
      <c r="CR65" s="351"/>
      <c r="CS65" s="351"/>
      <c r="CT65" s="351"/>
      <c r="CU65" s="351"/>
      <c r="CV65" s="351"/>
      <c r="CW65" s="351"/>
      <c r="CX65" s="351"/>
      <c r="CY65" s="351"/>
      <c r="CZ65" s="351"/>
      <c r="DA65" s="351"/>
      <c r="DB65" s="351"/>
      <c r="DC65" s="351"/>
      <c r="DD65" s="351"/>
      <c r="DE65" s="351"/>
      <c r="DF65" s="351"/>
      <c r="DG65" s="351"/>
      <c r="DH65" s="351"/>
      <c r="DI65" s="351"/>
      <c r="DJ65" s="351"/>
      <c r="DK65" s="351"/>
      <c r="DL65" s="351"/>
      <c r="DM65" s="351"/>
      <c r="DN65" s="351"/>
      <c r="DO65" s="351"/>
      <c r="DP65" s="351"/>
      <c r="DQ65" s="351"/>
      <c r="DR65" s="351"/>
      <c r="DS65" s="351"/>
      <c r="DT65" s="351"/>
      <c r="DU65" s="351"/>
      <c r="DV65" s="351"/>
      <c r="DW65" s="351"/>
      <c r="DX65" s="351"/>
      <c r="DY65" s="351"/>
      <c r="DZ65" s="351"/>
      <c r="EA65" s="351"/>
      <c r="EB65" s="351"/>
      <c r="EC65" s="351"/>
      <c r="ED65" s="351"/>
      <c r="EE65" s="351"/>
      <c r="EF65" s="351"/>
      <c r="EG65" s="351"/>
      <c r="EH65" s="351"/>
      <c r="EI65" s="351"/>
      <c r="EJ65" s="351"/>
      <c r="EK65" s="351"/>
      <c r="EL65" s="351"/>
      <c r="EM65" s="351"/>
      <c r="EN65" s="351"/>
      <c r="EO65" s="351"/>
      <c r="EP65" s="351"/>
      <c r="EQ65" s="351"/>
      <c r="ER65" s="351"/>
      <c r="ES65" s="351"/>
      <c r="ET65" s="351"/>
      <c r="EU65" s="351"/>
      <c r="EV65" s="351"/>
      <c r="EW65" s="351"/>
      <c r="EX65" s="351"/>
      <c r="EY65" s="351"/>
      <c r="EZ65" s="351"/>
      <c r="FA65" s="351"/>
      <c r="FB65" s="351"/>
      <c r="FC65" s="351"/>
      <c r="FD65" s="351"/>
      <c r="FE65" s="351"/>
      <c r="FF65" s="351"/>
      <c r="FG65" s="351"/>
      <c r="FH65" s="351"/>
      <c r="FI65" s="351"/>
      <c r="FJ65" s="351"/>
      <c r="FK65" s="351"/>
      <c r="FL65" s="351"/>
      <c r="FM65" s="351"/>
      <c r="FN65" s="351"/>
      <c r="FO65" s="351"/>
      <c r="FP65" s="351"/>
      <c r="FQ65" s="351"/>
      <c r="FR65" s="351"/>
      <c r="FS65" s="351"/>
      <c r="FT65" s="351"/>
      <c r="FU65" s="351"/>
      <c r="FV65" s="351"/>
      <c r="FW65" s="351"/>
      <c r="FX65" s="351"/>
      <c r="FY65" s="351"/>
      <c r="FZ65" s="351"/>
      <c r="GA65" s="351"/>
      <c r="GB65" s="351"/>
      <c r="GC65" s="351"/>
      <c r="GD65" s="351"/>
      <c r="GE65" s="351"/>
      <c r="GF65" s="351"/>
      <c r="GG65" s="351"/>
      <c r="GH65" s="351"/>
      <c r="GI65" s="351"/>
      <c r="GJ65" s="351"/>
      <c r="GK65" s="351"/>
      <c r="GL65" s="351"/>
      <c r="GM65" s="351"/>
      <c r="GN65" s="351"/>
      <c r="GO65" s="351"/>
      <c r="GP65" s="351"/>
      <c r="GQ65" s="351"/>
      <c r="GR65" s="351"/>
      <c r="GS65" s="351"/>
      <c r="GT65" s="351"/>
      <c r="GU65" s="351"/>
      <c r="GV65" s="351"/>
      <c r="GW65" s="351"/>
      <c r="GX65" s="351"/>
      <c r="GY65" s="351"/>
      <c r="GZ65" s="351"/>
      <c r="HA65" s="351"/>
      <c r="HB65" s="351"/>
      <c r="HC65" s="351"/>
      <c r="HD65" s="351"/>
      <c r="HE65" s="351"/>
      <c r="HF65" s="351"/>
      <c r="HG65" s="351"/>
      <c r="HH65" s="351"/>
      <c r="HI65" s="351"/>
      <c r="HJ65" s="351"/>
      <c r="HK65" s="351"/>
      <c r="HL65" s="351"/>
      <c r="HM65" s="351"/>
      <c r="HN65" s="351"/>
      <c r="HO65" s="351"/>
      <c r="HP65" s="351"/>
      <c r="HQ65" s="351"/>
      <c r="HR65" s="351"/>
      <c r="HS65" s="351"/>
      <c r="HT65" s="351"/>
      <c r="HU65" s="351"/>
      <c r="HV65" s="351"/>
      <c r="HW65" s="351"/>
      <c r="HX65" s="351"/>
      <c r="HY65" s="351"/>
      <c r="HZ65" s="351"/>
      <c r="IA65" s="351"/>
      <c r="IB65" s="351"/>
      <c r="IC65" s="351"/>
      <c r="ID65" s="351"/>
      <c r="IE65" s="351"/>
      <c r="IF65" s="351"/>
      <c r="IG65" s="351"/>
      <c r="IH65" s="351"/>
      <c r="II65" s="351"/>
      <c r="IJ65" s="351"/>
      <c r="IK65" s="351"/>
      <c r="IL65" s="351"/>
      <c r="IM65" s="351"/>
      <c r="IN65" s="351"/>
      <c r="IO65" s="351"/>
      <c r="IP65" s="351"/>
      <c r="IQ65" s="351"/>
      <c r="IR65" s="351"/>
      <c r="IS65" s="351"/>
      <c r="IT65" s="351"/>
      <c r="IU65" s="351"/>
    </row>
    <row r="66" spans="1:255">
      <c r="A66" s="351"/>
      <c r="B66" s="351"/>
      <c r="C66" s="351"/>
      <c r="D66" s="351"/>
      <c r="E66" s="380"/>
      <c r="F66" s="351"/>
      <c r="G66" s="351"/>
      <c r="H66" s="380"/>
      <c r="I66" s="351"/>
      <c r="J66" s="351"/>
      <c r="K66" s="351"/>
      <c r="L66" s="351"/>
      <c r="M66" s="351"/>
      <c r="N66" s="351"/>
      <c r="O66" s="351"/>
      <c r="P66" s="351"/>
      <c r="Q66" s="351"/>
      <c r="R66" s="352"/>
      <c r="S66" s="351"/>
      <c r="T66" s="351"/>
      <c r="U66" s="351"/>
      <c r="V66" s="351"/>
      <c r="W66" s="351"/>
      <c r="X66" s="351"/>
      <c r="Y66" s="351"/>
      <c r="Z66" s="351"/>
      <c r="AA66" s="351"/>
      <c r="AB66" s="351"/>
      <c r="AC66" s="351"/>
      <c r="AD66" s="351"/>
      <c r="AE66" s="351"/>
      <c r="AF66" s="351"/>
      <c r="AG66" s="351"/>
      <c r="AH66" s="351"/>
      <c r="AI66" s="351"/>
      <c r="AJ66" s="351"/>
      <c r="AK66" s="351"/>
      <c r="AL66" s="351"/>
      <c r="AM66" s="351"/>
      <c r="AN66" s="351"/>
      <c r="AO66" s="351"/>
      <c r="AP66" s="351"/>
      <c r="AQ66" s="351"/>
      <c r="AR66" s="351"/>
      <c r="AS66" s="351"/>
      <c r="AT66" s="351"/>
      <c r="AU66" s="351"/>
      <c r="AV66" s="351"/>
      <c r="AW66" s="351"/>
      <c r="AX66" s="351"/>
      <c r="AY66" s="351"/>
      <c r="AZ66" s="351"/>
      <c r="BA66" s="351"/>
      <c r="BB66" s="351"/>
      <c r="BC66" s="351"/>
      <c r="BD66" s="351"/>
      <c r="BE66" s="351"/>
      <c r="BF66" s="351"/>
      <c r="BG66" s="351"/>
      <c r="BH66" s="351"/>
      <c r="BI66" s="351"/>
      <c r="BJ66" s="351"/>
      <c r="BK66" s="351"/>
      <c r="BL66" s="351"/>
      <c r="BM66" s="351"/>
      <c r="BN66" s="351"/>
      <c r="BO66" s="351"/>
      <c r="BP66" s="351"/>
      <c r="BQ66" s="351"/>
      <c r="BR66" s="351"/>
      <c r="BS66" s="351"/>
      <c r="BT66" s="351"/>
      <c r="BU66" s="351"/>
      <c r="BV66" s="351"/>
      <c r="BW66" s="351"/>
      <c r="BX66" s="351"/>
      <c r="BY66" s="351"/>
      <c r="BZ66" s="351"/>
      <c r="CA66" s="351"/>
      <c r="CB66" s="351"/>
      <c r="CC66" s="351"/>
      <c r="CD66" s="351"/>
      <c r="CE66" s="351"/>
      <c r="CF66" s="351"/>
      <c r="CG66" s="351"/>
      <c r="CH66" s="351"/>
      <c r="CI66" s="351"/>
      <c r="CJ66" s="351"/>
      <c r="CK66" s="351"/>
      <c r="CL66" s="351"/>
      <c r="CM66" s="351"/>
      <c r="CN66" s="351"/>
      <c r="CO66" s="351"/>
      <c r="CP66" s="351"/>
      <c r="CQ66" s="351"/>
      <c r="CR66" s="351"/>
      <c r="CS66" s="351"/>
      <c r="CT66" s="351"/>
      <c r="CU66" s="351"/>
      <c r="CV66" s="351"/>
      <c r="CW66" s="351"/>
      <c r="CX66" s="351"/>
      <c r="CY66" s="351"/>
      <c r="CZ66" s="351"/>
      <c r="DA66" s="351"/>
      <c r="DB66" s="351"/>
      <c r="DC66" s="351"/>
      <c r="DD66" s="351"/>
      <c r="DE66" s="351"/>
      <c r="DF66" s="351"/>
      <c r="DG66" s="351"/>
      <c r="DH66" s="351"/>
      <c r="DI66" s="351"/>
      <c r="DJ66" s="351"/>
      <c r="DK66" s="351"/>
      <c r="DL66" s="351"/>
      <c r="DM66" s="351"/>
      <c r="DN66" s="351"/>
      <c r="DO66" s="351"/>
      <c r="DP66" s="351"/>
      <c r="DQ66" s="351"/>
      <c r="DR66" s="351"/>
      <c r="DS66" s="351"/>
      <c r="DT66" s="351"/>
      <c r="DU66" s="351"/>
      <c r="DV66" s="351"/>
      <c r="DW66" s="351"/>
      <c r="DX66" s="351"/>
      <c r="DY66" s="351"/>
      <c r="DZ66" s="351"/>
      <c r="EA66" s="351"/>
      <c r="EB66" s="351"/>
      <c r="EC66" s="351"/>
      <c r="ED66" s="351"/>
      <c r="EE66" s="351"/>
      <c r="EF66" s="351"/>
      <c r="EG66" s="351"/>
      <c r="EH66" s="351"/>
      <c r="EI66" s="351"/>
      <c r="EJ66" s="351"/>
      <c r="EK66" s="351"/>
      <c r="EL66" s="351"/>
      <c r="EM66" s="351"/>
      <c r="EN66" s="351"/>
      <c r="EO66" s="351"/>
      <c r="EP66" s="351"/>
      <c r="EQ66" s="351"/>
      <c r="ER66" s="351"/>
      <c r="ES66" s="351"/>
      <c r="ET66" s="351"/>
      <c r="EU66" s="351"/>
      <c r="EV66" s="351"/>
      <c r="EW66" s="351"/>
      <c r="EX66" s="351"/>
      <c r="EY66" s="351"/>
      <c r="EZ66" s="351"/>
      <c r="FA66" s="351"/>
      <c r="FB66" s="351"/>
      <c r="FC66" s="351"/>
      <c r="FD66" s="351"/>
      <c r="FE66" s="351"/>
      <c r="FF66" s="351"/>
      <c r="FG66" s="351"/>
      <c r="FH66" s="351"/>
      <c r="FI66" s="351"/>
      <c r="FJ66" s="351"/>
      <c r="FK66" s="351"/>
      <c r="FL66" s="351"/>
      <c r="FM66" s="351"/>
      <c r="FN66" s="351"/>
      <c r="FO66" s="351"/>
      <c r="FP66" s="351"/>
      <c r="FQ66" s="351"/>
      <c r="FR66" s="351"/>
      <c r="FS66" s="351"/>
      <c r="FT66" s="351"/>
      <c r="FU66" s="351"/>
      <c r="FV66" s="351"/>
      <c r="FW66" s="351"/>
      <c r="FX66" s="351"/>
      <c r="FY66" s="351"/>
      <c r="FZ66" s="351"/>
      <c r="GA66" s="351"/>
      <c r="GB66" s="351"/>
      <c r="GC66" s="351"/>
      <c r="GD66" s="351"/>
      <c r="GE66" s="351"/>
      <c r="GF66" s="351"/>
      <c r="GG66" s="351"/>
      <c r="GH66" s="351"/>
      <c r="GI66" s="351"/>
      <c r="GJ66" s="351"/>
      <c r="GK66" s="351"/>
      <c r="GL66" s="351"/>
      <c r="GM66" s="351"/>
      <c r="GN66" s="351"/>
      <c r="GO66" s="351"/>
      <c r="GP66" s="351"/>
      <c r="GQ66" s="351"/>
      <c r="GR66" s="351"/>
      <c r="GS66" s="351"/>
      <c r="GT66" s="351"/>
      <c r="GU66" s="351"/>
      <c r="GV66" s="351"/>
      <c r="GW66" s="351"/>
      <c r="GX66" s="351"/>
      <c r="GY66" s="351"/>
      <c r="GZ66" s="351"/>
      <c r="HA66" s="351"/>
      <c r="HB66" s="351"/>
      <c r="HC66" s="351"/>
      <c r="HD66" s="351"/>
      <c r="HE66" s="351"/>
      <c r="HF66" s="351"/>
      <c r="HG66" s="351"/>
      <c r="HH66" s="351"/>
      <c r="HI66" s="351"/>
      <c r="HJ66" s="351"/>
      <c r="HK66" s="351"/>
      <c r="HL66" s="351"/>
      <c r="HM66" s="351"/>
      <c r="HN66" s="351"/>
      <c r="HO66" s="351"/>
      <c r="HP66" s="351"/>
      <c r="HQ66" s="351"/>
      <c r="HR66" s="351"/>
      <c r="HS66" s="351"/>
      <c r="HT66" s="351"/>
      <c r="HU66" s="351"/>
      <c r="HV66" s="351"/>
      <c r="HW66" s="351"/>
      <c r="HX66" s="351"/>
      <c r="HY66" s="351"/>
      <c r="HZ66" s="351"/>
      <c r="IA66" s="351"/>
      <c r="IB66" s="351"/>
      <c r="IC66" s="351"/>
      <c r="ID66" s="351"/>
      <c r="IE66" s="351"/>
      <c r="IF66" s="351"/>
      <c r="IG66" s="351"/>
      <c r="IH66" s="351"/>
      <c r="II66" s="351"/>
      <c r="IJ66" s="351"/>
      <c r="IK66" s="351"/>
      <c r="IL66" s="351"/>
      <c r="IM66" s="351"/>
      <c r="IN66" s="351"/>
      <c r="IO66" s="351"/>
      <c r="IP66" s="351"/>
      <c r="IQ66" s="351"/>
      <c r="IR66" s="351"/>
      <c r="IS66" s="351"/>
      <c r="IT66" s="351"/>
      <c r="IU66" s="351"/>
    </row>
    <row r="67" spans="1:255">
      <c r="A67" s="351"/>
      <c r="B67" s="351"/>
      <c r="C67" s="351"/>
      <c r="D67" s="351"/>
      <c r="E67" s="380"/>
      <c r="F67" s="351"/>
      <c r="G67" s="351"/>
      <c r="H67" s="380"/>
      <c r="I67" s="351"/>
      <c r="J67" s="351"/>
      <c r="K67" s="351"/>
      <c r="L67" s="351"/>
      <c r="M67" s="351"/>
      <c r="N67" s="351"/>
      <c r="O67" s="351"/>
      <c r="P67" s="351"/>
      <c r="Q67" s="351"/>
      <c r="R67" s="352"/>
      <c r="S67" s="351"/>
      <c r="T67" s="351"/>
      <c r="U67" s="351"/>
      <c r="V67" s="351"/>
      <c r="W67" s="351"/>
      <c r="X67" s="351"/>
      <c r="Y67" s="351"/>
      <c r="Z67" s="351"/>
      <c r="AA67" s="351"/>
      <c r="AB67" s="351"/>
      <c r="AC67" s="351"/>
      <c r="AD67" s="351"/>
      <c r="AE67" s="351"/>
      <c r="AF67" s="351"/>
      <c r="AG67" s="351"/>
      <c r="AH67" s="351"/>
      <c r="AI67" s="351"/>
      <c r="AJ67" s="351"/>
      <c r="AK67" s="351"/>
      <c r="AL67" s="351"/>
      <c r="AM67" s="351"/>
      <c r="AN67" s="351"/>
      <c r="AO67" s="351"/>
      <c r="AP67" s="351"/>
      <c r="AQ67" s="351"/>
      <c r="AR67" s="351"/>
      <c r="AS67" s="351"/>
      <c r="AT67" s="351"/>
      <c r="AU67" s="351"/>
      <c r="AV67" s="351"/>
      <c r="AW67" s="351"/>
      <c r="AX67" s="351"/>
      <c r="AY67" s="351"/>
      <c r="AZ67" s="351"/>
      <c r="BA67" s="351"/>
      <c r="BB67" s="351"/>
      <c r="BC67" s="351"/>
      <c r="BD67" s="351"/>
      <c r="BE67" s="351"/>
      <c r="BF67" s="351"/>
      <c r="BG67" s="351"/>
      <c r="BH67" s="351"/>
      <c r="BI67" s="351"/>
      <c r="BJ67" s="351"/>
      <c r="BK67" s="351"/>
      <c r="BL67" s="351"/>
      <c r="BM67" s="351"/>
      <c r="BN67" s="351"/>
      <c r="BO67" s="351"/>
      <c r="BP67" s="351"/>
      <c r="BQ67" s="351"/>
      <c r="BR67" s="351"/>
      <c r="BS67" s="351"/>
      <c r="BT67" s="351"/>
      <c r="BU67" s="351"/>
      <c r="BV67" s="351"/>
      <c r="BW67" s="351"/>
      <c r="BX67" s="351"/>
      <c r="BY67" s="351"/>
      <c r="BZ67" s="351"/>
      <c r="CA67" s="351"/>
      <c r="CB67" s="351"/>
      <c r="CC67" s="351"/>
      <c r="CD67" s="351"/>
      <c r="CE67" s="351"/>
      <c r="CF67" s="351"/>
      <c r="CG67" s="351"/>
      <c r="CH67" s="351"/>
      <c r="CI67" s="351"/>
      <c r="CJ67" s="351"/>
      <c r="CK67" s="351"/>
      <c r="CL67" s="351"/>
      <c r="CM67" s="351"/>
      <c r="CN67" s="351"/>
      <c r="CO67" s="351"/>
      <c r="CP67" s="351"/>
      <c r="CQ67" s="351"/>
      <c r="CR67" s="351"/>
      <c r="CS67" s="351"/>
      <c r="CT67" s="351"/>
      <c r="CU67" s="351"/>
      <c r="CV67" s="351"/>
      <c r="CW67" s="351"/>
      <c r="CX67" s="351"/>
      <c r="CY67" s="351"/>
      <c r="CZ67" s="351"/>
      <c r="DA67" s="351"/>
      <c r="DB67" s="351"/>
      <c r="DC67" s="351"/>
      <c r="DD67" s="351"/>
      <c r="DE67" s="351"/>
      <c r="DF67" s="351"/>
      <c r="DG67" s="351"/>
      <c r="DH67" s="351"/>
      <c r="DI67" s="351"/>
      <c r="DJ67" s="351"/>
      <c r="DK67" s="351"/>
      <c r="DL67" s="351"/>
      <c r="DM67" s="351"/>
      <c r="DN67" s="351"/>
      <c r="DO67" s="351"/>
      <c r="DP67" s="351"/>
      <c r="DQ67" s="351"/>
      <c r="DR67" s="351"/>
      <c r="DS67" s="351"/>
      <c r="DT67" s="351"/>
      <c r="DU67" s="351"/>
      <c r="DV67" s="351"/>
      <c r="DW67" s="351"/>
      <c r="DX67" s="351"/>
      <c r="DY67" s="351"/>
      <c r="DZ67" s="351"/>
      <c r="EA67" s="351"/>
      <c r="EB67" s="351"/>
      <c r="EC67" s="351"/>
      <c r="ED67" s="351"/>
      <c r="EE67" s="351"/>
      <c r="EF67" s="351"/>
      <c r="EG67" s="351"/>
      <c r="EH67" s="351"/>
      <c r="EI67" s="351"/>
      <c r="EJ67" s="351"/>
      <c r="EK67" s="351"/>
      <c r="EL67" s="351"/>
      <c r="EM67" s="351"/>
      <c r="EN67" s="351"/>
      <c r="EO67" s="351"/>
      <c r="EP67" s="351"/>
      <c r="EQ67" s="351"/>
      <c r="ER67" s="351"/>
      <c r="ES67" s="351"/>
      <c r="ET67" s="351"/>
      <c r="EU67" s="351"/>
      <c r="EV67" s="351"/>
      <c r="EW67" s="351"/>
      <c r="EX67" s="351"/>
      <c r="EY67" s="351"/>
      <c r="EZ67" s="351"/>
      <c r="FA67" s="351"/>
      <c r="FB67" s="351"/>
      <c r="FC67" s="351"/>
      <c r="FD67" s="351"/>
      <c r="FE67" s="351"/>
      <c r="FF67" s="351"/>
      <c r="FG67" s="351"/>
      <c r="FH67" s="351"/>
      <c r="FI67" s="351"/>
      <c r="FJ67" s="351"/>
      <c r="FK67" s="351"/>
      <c r="FL67" s="351"/>
      <c r="FM67" s="351"/>
      <c r="FN67" s="351"/>
      <c r="FO67" s="351"/>
      <c r="FP67" s="351"/>
      <c r="FQ67" s="351"/>
      <c r="FR67" s="351"/>
      <c r="FS67" s="351"/>
      <c r="FT67" s="351"/>
      <c r="FU67" s="351"/>
      <c r="FV67" s="351"/>
      <c r="FW67" s="351"/>
      <c r="FX67" s="351"/>
      <c r="FY67" s="351"/>
      <c r="FZ67" s="351"/>
      <c r="GA67" s="351"/>
      <c r="GB67" s="351"/>
      <c r="GC67" s="351"/>
      <c r="GD67" s="351"/>
      <c r="GE67" s="351"/>
      <c r="GF67" s="351"/>
      <c r="GG67" s="351"/>
      <c r="GH67" s="351"/>
      <c r="GI67" s="351"/>
      <c r="GJ67" s="351"/>
      <c r="GK67" s="351"/>
      <c r="GL67" s="351"/>
      <c r="GM67" s="351"/>
      <c r="GN67" s="351"/>
      <c r="GO67" s="351"/>
      <c r="GP67" s="351"/>
      <c r="GQ67" s="351"/>
      <c r="GR67" s="351"/>
      <c r="GS67" s="351"/>
      <c r="GT67" s="351"/>
      <c r="GU67" s="351"/>
      <c r="GV67" s="351"/>
      <c r="GW67" s="351"/>
      <c r="GX67" s="351"/>
      <c r="GY67" s="351"/>
      <c r="GZ67" s="351"/>
      <c r="HA67" s="351"/>
      <c r="HB67" s="351"/>
      <c r="HC67" s="351"/>
      <c r="HD67" s="351"/>
      <c r="HE67" s="351"/>
      <c r="HF67" s="351"/>
      <c r="HG67" s="351"/>
      <c r="HH67" s="351"/>
      <c r="HI67" s="351"/>
      <c r="HJ67" s="351"/>
      <c r="HK67" s="351"/>
      <c r="HL67" s="351"/>
      <c r="HM67" s="351"/>
      <c r="HN67" s="351"/>
      <c r="HO67" s="351"/>
      <c r="HP67" s="351"/>
      <c r="HQ67" s="351"/>
      <c r="HR67" s="351"/>
      <c r="HS67" s="351"/>
      <c r="HT67" s="351"/>
      <c r="HU67" s="351"/>
      <c r="HV67" s="351"/>
      <c r="HW67" s="351"/>
      <c r="HX67" s="351"/>
      <c r="HY67" s="351"/>
      <c r="HZ67" s="351"/>
      <c r="IA67" s="351"/>
      <c r="IB67" s="351"/>
      <c r="IC67" s="351"/>
      <c r="ID67" s="351"/>
      <c r="IE67" s="351"/>
      <c r="IF67" s="351"/>
      <c r="IG67" s="351"/>
      <c r="IH67" s="351"/>
      <c r="II67" s="351"/>
      <c r="IJ67" s="351"/>
      <c r="IK67" s="351"/>
      <c r="IL67" s="351"/>
      <c r="IM67" s="351"/>
      <c r="IN67" s="351"/>
      <c r="IO67" s="351"/>
      <c r="IP67" s="351"/>
      <c r="IQ67" s="351"/>
      <c r="IR67" s="351"/>
      <c r="IS67" s="351"/>
      <c r="IT67" s="351"/>
      <c r="IU67" s="351"/>
    </row>
    <row r="68" spans="1:255">
      <c r="A68" s="351"/>
      <c r="B68" s="351"/>
      <c r="C68" s="351"/>
      <c r="D68" s="351"/>
      <c r="E68" s="380"/>
      <c r="F68" s="351"/>
      <c r="G68" s="351"/>
      <c r="H68" s="380"/>
      <c r="I68" s="351"/>
      <c r="J68" s="351"/>
      <c r="K68" s="351"/>
      <c r="L68" s="351"/>
      <c r="M68" s="351"/>
      <c r="N68" s="351"/>
      <c r="O68" s="351"/>
      <c r="P68" s="351"/>
      <c r="Q68" s="351"/>
      <c r="R68" s="352"/>
      <c r="S68" s="351"/>
      <c r="T68" s="351"/>
      <c r="U68" s="351"/>
      <c r="V68" s="351"/>
      <c r="W68" s="351"/>
      <c r="X68" s="351"/>
      <c r="Y68" s="351"/>
      <c r="Z68" s="351"/>
      <c r="AA68" s="351"/>
      <c r="AB68" s="351"/>
      <c r="AC68" s="351"/>
      <c r="AD68" s="351"/>
      <c r="AE68" s="351"/>
      <c r="AF68" s="351"/>
      <c r="AG68" s="351"/>
      <c r="AH68" s="351"/>
      <c r="AI68" s="351"/>
      <c r="AJ68" s="351"/>
      <c r="AK68" s="351"/>
      <c r="AL68" s="351"/>
      <c r="AM68" s="351"/>
      <c r="AN68" s="351"/>
      <c r="AO68" s="351"/>
      <c r="AP68" s="351"/>
      <c r="AQ68" s="351"/>
      <c r="AR68" s="351"/>
      <c r="AS68" s="351"/>
      <c r="AT68" s="351"/>
      <c r="AU68" s="351"/>
      <c r="AV68" s="351"/>
      <c r="AW68" s="351"/>
      <c r="AX68" s="351"/>
      <c r="AY68" s="351"/>
      <c r="AZ68" s="351"/>
      <c r="BA68" s="351"/>
      <c r="BB68" s="351"/>
      <c r="BC68" s="351"/>
      <c r="BD68" s="351"/>
      <c r="BE68" s="351"/>
      <c r="BF68" s="351"/>
      <c r="BG68" s="351"/>
      <c r="BH68" s="351"/>
      <c r="BI68" s="351"/>
      <c r="BJ68" s="351"/>
      <c r="BK68" s="351"/>
      <c r="BL68" s="351"/>
      <c r="BM68" s="351"/>
      <c r="BN68" s="351"/>
      <c r="BO68" s="351"/>
      <c r="BP68" s="351"/>
      <c r="BQ68" s="351"/>
      <c r="BR68" s="351"/>
      <c r="BS68" s="351"/>
      <c r="BT68" s="351"/>
      <c r="BU68" s="351"/>
      <c r="BV68" s="351"/>
      <c r="BW68" s="351"/>
      <c r="BX68" s="351"/>
      <c r="BY68" s="351"/>
      <c r="BZ68" s="351"/>
      <c r="CA68" s="351"/>
      <c r="CB68" s="351"/>
      <c r="CC68" s="351"/>
      <c r="CD68" s="351"/>
      <c r="CE68" s="351"/>
      <c r="CF68" s="351"/>
      <c r="CG68" s="351"/>
      <c r="CH68" s="351"/>
      <c r="CI68" s="351"/>
      <c r="CJ68" s="351"/>
      <c r="CK68" s="351"/>
      <c r="CL68" s="351"/>
      <c r="CM68" s="351"/>
      <c r="CN68" s="351"/>
      <c r="CO68" s="351"/>
      <c r="CP68" s="351"/>
      <c r="CQ68" s="351"/>
      <c r="CR68" s="351"/>
      <c r="CS68" s="351"/>
      <c r="CT68" s="351"/>
      <c r="CU68" s="351"/>
      <c r="CV68" s="351"/>
      <c r="CW68" s="351"/>
      <c r="CX68" s="351"/>
      <c r="CY68" s="351"/>
      <c r="CZ68" s="351"/>
      <c r="DA68" s="351"/>
      <c r="DB68" s="351"/>
      <c r="DC68" s="351"/>
      <c r="DD68" s="351"/>
      <c r="DE68" s="351"/>
      <c r="DF68" s="351"/>
      <c r="DG68" s="351"/>
      <c r="DH68" s="351"/>
      <c r="DI68" s="351"/>
      <c r="DJ68" s="351"/>
      <c r="DK68" s="351"/>
      <c r="DL68" s="351"/>
      <c r="DM68" s="351"/>
      <c r="DN68" s="351"/>
      <c r="DO68" s="351"/>
      <c r="DP68" s="351"/>
      <c r="DQ68" s="351"/>
      <c r="DR68" s="351"/>
      <c r="DS68" s="351"/>
      <c r="DT68" s="351"/>
      <c r="DU68" s="351"/>
      <c r="DV68" s="351"/>
      <c r="DW68" s="351"/>
      <c r="DX68" s="351"/>
      <c r="DY68" s="351"/>
      <c r="DZ68" s="351"/>
      <c r="EA68" s="351"/>
      <c r="EB68" s="351"/>
      <c r="EC68" s="351"/>
      <c r="ED68" s="351"/>
      <c r="EE68" s="351"/>
      <c r="EF68" s="351"/>
      <c r="EG68" s="351"/>
      <c r="EH68" s="351"/>
      <c r="EI68" s="351"/>
      <c r="EJ68" s="351"/>
      <c r="EK68" s="351"/>
      <c r="EL68" s="351"/>
      <c r="EM68" s="351"/>
      <c r="EN68" s="351"/>
      <c r="EO68" s="351"/>
      <c r="EP68" s="351"/>
      <c r="EQ68" s="351"/>
      <c r="ER68" s="351"/>
      <c r="ES68" s="351"/>
      <c r="ET68" s="351"/>
      <c r="EU68" s="351"/>
      <c r="EV68" s="351"/>
      <c r="EW68" s="351"/>
      <c r="EX68" s="351"/>
      <c r="EY68" s="351"/>
      <c r="EZ68" s="351"/>
      <c r="FA68" s="351"/>
      <c r="FB68" s="351"/>
      <c r="FC68" s="351"/>
      <c r="FD68" s="351"/>
      <c r="FE68" s="351"/>
      <c r="FF68" s="351"/>
      <c r="FG68" s="351"/>
      <c r="FH68" s="351"/>
      <c r="FI68" s="351"/>
      <c r="FJ68" s="351"/>
      <c r="FK68" s="351"/>
      <c r="FL68" s="351"/>
      <c r="FM68" s="351"/>
      <c r="FN68" s="351"/>
      <c r="FO68" s="351"/>
      <c r="FP68" s="351"/>
      <c r="FQ68" s="351"/>
      <c r="FR68" s="351"/>
      <c r="FS68" s="351"/>
      <c r="FT68" s="351"/>
      <c r="FU68" s="351"/>
      <c r="FV68" s="351"/>
      <c r="FW68" s="351"/>
      <c r="FX68" s="351"/>
      <c r="FY68" s="351"/>
      <c r="FZ68" s="351"/>
      <c r="GA68" s="351"/>
      <c r="GB68" s="351"/>
      <c r="GC68" s="351"/>
      <c r="GD68" s="351"/>
      <c r="GE68" s="351"/>
      <c r="GF68" s="351"/>
      <c r="GG68" s="351"/>
      <c r="GH68" s="351"/>
      <c r="GI68" s="351"/>
      <c r="GJ68" s="351"/>
      <c r="GK68" s="351"/>
      <c r="GL68" s="351"/>
      <c r="GM68" s="351"/>
      <c r="GN68" s="351"/>
      <c r="GO68" s="351"/>
      <c r="GP68" s="351"/>
      <c r="GQ68" s="351"/>
      <c r="GR68" s="351"/>
      <c r="GS68" s="351"/>
      <c r="GT68" s="351"/>
      <c r="GU68" s="351"/>
      <c r="GV68" s="351"/>
      <c r="GW68" s="351"/>
      <c r="GX68" s="351"/>
      <c r="GY68" s="351"/>
      <c r="GZ68" s="351"/>
      <c r="HA68" s="351"/>
      <c r="HB68" s="351"/>
      <c r="HC68" s="351"/>
      <c r="HD68" s="351"/>
      <c r="HE68" s="351"/>
      <c r="HF68" s="351"/>
      <c r="HG68" s="351"/>
      <c r="HH68" s="351"/>
      <c r="HI68" s="351"/>
      <c r="HJ68" s="351"/>
      <c r="HK68" s="351"/>
      <c r="HL68" s="351"/>
      <c r="HM68" s="351"/>
      <c r="HN68" s="351"/>
      <c r="HO68" s="351"/>
      <c r="HP68" s="351"/>
      <c r="HQ68" s="351"/>
      <c r="HR68" s="351"/>
      <c r="HS68" s="351"/>
      <c r="HT68" s="351"/>
      <c r="HU68" s="351"/>
      <c r="HV68" s="351"/>
      <c r="HW68" s="351"/>
      <c r="HX68" s="351"/>
      <c r="HY68" s="351"/>
      <c r="HZ68" s="351"/>
      <c r="IA68" s="351"/>
      <c r="IB68" s="351"/>
      <c r="IC68" s="351"/>
      <c r="ID68" s="351"/>
      <c r="IE68" s="351"/>
      <c r="IF68" s="351"/>
      <c r="IG68" s="351"/>
      <c r="IH68" s="351"/>
      <c r="II68" s="351"/>
      <c r="IJ68" s="351"/>
      <c r="IK68" s="351"/>
      <c r="IL68" s="351"/>
      <c r="IM68" s="351"/>
      <c r="IN68" s="351"/>
      <c r="IO68" s="351"/>
      <c r="IP68" s="351"/>
      <c r="IQ68" s="351"/>
      <c r="IR68" s="351"/>
      <c r="IS68" s="351"/>
      <c r="IT68" s="351"/>
      <c r="IU68" s="351"/>
    </row>
    <row r="69" spans="1:255">
      <c r="A69" s="382"/>
      <c r="B69" s="382"/>
      <c r="C69" s="382"/>
      <c r="D69" s="380"/>
      <c r="E69" s="380"/>
      <c r="F69" s="382"/>
      <c r="G69" s="382"/>
      <c r="H69" s="382"/>
      <c r="I69" s="382"/>
      <c r="J69" s="382"/>
      <c r="K69" s="382"/>
      <c r="L69" s="382"/>
      <c r="M69" s="382"/>
      <c r="N69" s="382"/>
      <c r="O69" s="382"/>
      <c r="P69" s="382"/>
      <c r="Q69" s="382"/>
      <c r="R69" s="352"/>
      <c r="S69" s="382"/>
      <c r="T69" s="382"/>
      <c r="U69" s="382"/>
      <c r="V69" s="382"/>
      <c r="W69" s="382"/>
      <c r="X69" s="382"/>
      <c r="Y69" s="382"/>
      <c r="Z69" s="382"/>
      <c r="AA69" s="382"/>
      <c r="AB69" s="382"/>
      <c r="AC69" s="382"/>
      <c r="AD69" s="382"/>
      <c r="AE69" s="382"/>
      <c r="AF69" s="382"/>
      <c r="AG69" s="382"/>
      <c r="AH69" s="382"/>
      <c r="AI69" s="382"/>
      <c r="AJ69" s="382"/>
      <c r="AK69" s="382"/>
      <c r="AL69" s="382"/>
      <c r="AM69" s="382"/>
      <c r="AN69" s="382"/>
      <c r="AO69" s="382"/>
      <c r="AP69" s="382"/>
      <c r="AQ69" s="382"/>
      <c r="AR69" s="382"/>
      <c r="AS69" s="382"/>
      <c r="AT69" s="382"/>
      <c r="AU69" s="382"/>
      <c r="AV69" s="382"/>
      <c r="AW69" s="382"/>
      <c r="AX69" s="382"/>
      <c r="AY69" s="382"/>
      <c r="AZ69" s="382"/>
      <c r="BA69" s="382"/>
      <c r="BB69" s="382"/>
      <c r="BC69" s="382"/>
      <c r="BD69" s="382"/>
      <c r="BE69" s="382"/>
      <c r="BF69" s="382"/>
      <c r="BG69" s="382"/>
      <c r="BH69" s="382"/>
      <c r="BI69" s="382"/>
      <c r="BJ69" s="382"/>
      <c r="BK69" s="382"/>
      <c r="BL69" s="382"/>
      <c r="BM69" s="382"/>
      <c r="BN69" s="382"/>
      <c r="BO69" s="382"/>
      <c r="BP69" s="382"/>
      <c r="BQ69" s="382"/>
      <c r="BR69" s="382"/>
      <c r="BS69" s="382"/>
      <c r="BT69" s="382"/>
      <c r="BU69" s="382"/>
      <c r="BV69" s="382"/>
      <c r="BW69" s="382"/>
      <c r="BX69" s="382"/>
      <c r="BY69" s="382"/>
      <c r="BZ69" s="382"/>
      <c r="CA69" s="382"/>
      <c r="CB69" s="382"/>
      <c r="CC69" s="382"/>
      <c r="CD69" s="382"/>
      <c r="CE69" s="382"/>
      <c r="CF69" s="382"/>
      <c r="CG69" s="382"/>
      <c r="CH69" s="382"/>
      <c r="CI69" s="382"/>
      <c r="CJ69" s="382"/>
      <c r="CK69" s="382"/>
      <c r="CL69" s="382"/>
      <c r="CM69" s="382"/>
      <c r="CN69" s="382"/>
      <c r="CO69" s="382"/>
      <c r="CP69" s="382"/>
      <c r="CQ69" s="382"/>
      <c r="CR69" s="382"/>
      <c r="CS69" s="382"/>
      <c r="CT69" s="382"/>
      <c r="CU69" s="382"/>
      <c r="CV69" s="382"/>
      <c r="CW69" s="382"/>
      <c r="CX69" s="382"/>
      <c r="CY69" s="382"/>
      <c r="CZ69" s="382"/>
      <c r="DA69" s="382"/>
      <c r="DB69" s="382"/>
      <c r="DC69" s="382"/>
      <c r="DD69" s="382"/>
      <c r="DE69" s="382"/>
      <c r="DF69" s="382"/>
      <c r="DG69" s="382"/>
      <c r="DH69" s="382"/>
      <c r="DI69" s="382"/>
      <c r="DJ69" s="382"/>
      <c r="DK69" s="382"/>
      <c r="DL69" s="382"/>
      <c r="DM69" s="382"/>
      <c r="DN69" s="382"/>
      <c r="DO69" s="382"/>
      <c r="DP69" s="382"/>
      <c r="DQ69" s="382"/>
      <c r="DR69" s="382"/>
      <c r="DS69" s="382"/>
      <c r="DT69" s="382"/>
      <c r="DU69" s="382"/>
      <c r="DV69" s="382"/>
      <c r="DW69" s="382"/>
      <c r="DX69" s="382"/>
      <c r="DY69" s="382"/>
      <c r="DZ69" s="382"/>
      <c r="EA69" s="382"/>
      <c r="EB69" s="382"/>
      <c r="EC69" s="382"/>
      <c r="ED69" s="382"/>
      <c r="EE69" s="382"/>
      <c r="EF69" s="382"/>
      <c r="EG69" s="382"/>
      <c r="EH69" s="382"/>
      <c r="EI69" s="382"/>
      <c r="EJ69" s="382"/>
      <c r="EK69" s="382"/>
      <c r="EL69" s="382"/>
      <c r="EM69" s="382"/>
      <c r="EN69" s="382"/>
      <c r="EO69" s="382"/>
      <c r="EP69" s="382"/>
      <c r="EQ69" s="382"/>
      <c r="ER69" s="382"/>
      <c r="ES69" s="382"/>
      <c r="ET69" s="382"/>
      <c r="EU69" s="382"/>
      <c r="EV69" s="382"/>
      <c r="EW69" s="382"/>
      <c r="EX69" s="382"/>
      <c r="EY69" s="382"/>
      <c r="EZ69" s="382"/>
      <c r="FA69" s="382"/>
      <c r="FB69" s="382"/>
      <c r="FC69" s="382"/>
      <c r="FD69" s="382"/>
      <c r="FE69" s="382"/>
      <c r="FF69" s="382"/>
      <c r="FG69" s="382"/>
      <c r="FH69" s="382"/>
      <c r="FI69" s="382"/>
      <c r="FJ69" s="382"/>
      <c r="FK69" s="382"/>
      <c r="FL69" s="382"/>
      <c r="FM69" s="382"/>
      <c r="FN69" s="382"/>
      <c r="FO69" s="382"/>
      <c r="FP69" s="382"/>
      <c r="FQ69" s="382"/>
      <c r="FR69" s="382"/>
      <c r="FS69" s="382"/>
      <c r="FT69" s="382"/>
      <c r="FU69" s="382"/>
      <c r="FV69" s="382"/>
      <c r="FW69" s="382"/>
      <c r="FX69" s="382"/>
      <c r="FY69" s="382"/>
      <c r="FZ69" s="382"/>
      <c r="GA69" s="382"/>
      <c r="GB69" s="382"/>
      <c r="GC69" s="382"/>
      <c r="GD69" s="382"/>
      <c r="GE69" s="382"/>
      <c r="GF69" s="382"/>
      <c r="GG69" s="382"/>
      <c r="GH69" s="382"/>
      <c r="GI69" s="382"/>
      <c r="GJ69" s="382"/>
      <c r="GK69" s="382"/>
      <c r="GL69" s="382"/>
      <c r="GM69" s="382"/>
      <c r="GN69" s="382"/>
      <c r="GO69" s="382"/>
      <c r="GP69" s="382"/>
      <c r="GQ69" s="382"/>
      <c r="GR69" s="382"/>
      <c r="GS69" s="382"/>
      <c r="GT69" s="382"/>
      <c r="GU69" s="382"/>
      <c r="GV69" s="382"/>
      <c r="GW69" s="382"/>
      <c r="GX69" s="382"/>
      <c r="GY69" s="382"/>
      <c r="GZ69" s="382"/>
      <c r="HA69" s="382"/>
      <c r="HB69" s="382"/>
      <c r="HC69" s="382"/>
      <c r="HD69" s="382"/>
      <c r="HE69" s="382"/>
      <c r="HF69" s="382"/>
      <c r="HG69" s="382"/>
      <c r="HH69" s="382"/>
      <c r="HI69" s="382"/>
      <c r="HJ69" s="382"/>
      <c r="HK69" s="382"/>
      <c r="HL69" s="382"/>
      <c r="HM69" s="382"/>
      <c r="HN69" s="382"/>
      <c r="HO69" s="382"/>
      <c r="HP69" s="382"/>
      <c r="HQ69" s="382"/>
      <c r="HR69" s="382"/>
      <c r="HS69" s="382"/>
      <c r="HT69" s="382"/>
      <c r="HU69" s="382"/>
      <c r="HV69" s="382"/>
      <c r="HW69" s="382"/>
      <c r="HX69" s="382"/>
      <c r="HY69" s="382"/>
      <c r="HZ69" s="382"/>
      <c r="IA69" s="382"/>
      <c r="IB69" s="382"/>
      <c r="IC69" s="382"/>
      <c r="ID69" s="382"/>
      <c r="IE69" s="382"/>
      <c r="IF69" s="382"/>
      <c r="IG69" s="382"/>
      <c r="IH69" s="382"/>
      <c r="II69" s="382"/>
      <c r="IJ69" s="382"/>
      <c r="IK69" s="382"/>
      <c r="IL69" s="382"/>
      <c r="IM69" s="382"/>
      <c r="IN69" s="382"/>
      <c r="IO69" s="382"/>
      <c r="IP69" s="382"/>
      <c r="IQ69" s="382"/>
      <c r="IR69" s="382"/>
      <c r="IS69" s="382"/>
      <c r="IT69" s="382"/>
      <c r="IU69" s="382"/>
    </row>
    <row r="70" spans="1:255">
      <c r="A70" s="351"/>
      <c r="B70" s="351"/>
      <c r="C70" s="351"/>
      <c r="D70" s="351"/>
      <c r="E70" s="380"/>
      <c r="F70" s="351"/>
      <c r="G70" s="351"/>
      <c r="H70" s="380"/>
      <c r="I70" s="351"/>
      <c r="J70" s="351"/>
      <c r="K70" s="351"/>
      <c r="L70" s="351"/>
      <c r="M70" s="351"/>
      <c r="N70" s="351"/>
      <c r="O70" s="351"/>
      <c r="P70" s="351"/>
      <c r="Q70" s="351"/>
      <c r="R70" s="352"/>
      <c r="S70" s="351"/>
      <c r="T70" s="351"/>
      <c r="U70" s="351"/>
      <c r="V70" s="351"/>
      <c r="W70" s="351"/>
      <c r="X70" s="351"/>
      <c r="Y70" s="351"/>
      <c r="Z70" s="351"/>
      <c r="AA70" s="351"/>
      <c r="AB70" s="351"/>
      <c r="AC70" s="351"/>
      <c r="AD70" s="351"/>
      <c r="AE70" s="351"/>
      <c r="AF70" s="351"/>
      <c r="AG70" s="351"/>
      <c r="AH70" s="351"/>
      <c r="AI70" s="351"/>
      <c r="AJ70" s="351"/>
      <c r="AK70" s="351"/>
      <c r="AL70" s="351"/>
      <c r="AM70" s="351"/>
      <c r="AN70" s="351"/>
      <c r="AO70" s="351"/>
      <c r="AP70" s="351"/>
      <c r="AQ70" s="351"/>
      <c r="AR70" s="351"/>
      <c r="AS70" s="351"/>
      <c r="AT70" s="351"/>
      <c r="AU70" s="351"/>
      <c r="AV70" s="351"/>
      <c r="AW70" s="351"/>
      <c r="AX70" s="351"/>
      <c r="AY70" s="351"/>
      <c r="AZ70" s="351"/>
      <c r="BA70" s="351"/>
      <c r="BB70" s="351"/>
      <c r="BC70" s="351"/>
      <c r="BD70" s="351"/>
      <c r="BE70" s="351"/>
      <c r="BF70" s="351"/>
      <c r="BG70" s="351"/>
      <c r="BH70" s="351"/>
      <c r="BI70" s="351"/>
      <c r="BJ70" s="351"/>
      <c r="BK70" s="351"/>
      <c r="BL70" s="351"/>
      <c r="BM70" s="351"/>
      <c r="BN70" s="351"/>
      <c r="BO70" s="351"/>
      <c r="BP70" s="351"/>
      <c r="BQ70" s="351"/>
      <c r="BR70" s="351"/>
      <c r="BS70" s="351"/>
      <c r="BT70" s="351"/>
      <c r="BU70" s="351"/>
      <c r="BV70" s="351"/>
      <c r="BW70" s="351"/>
      <c r="BX70" s="351"/>
      <c r="BY70" s="351"/>
      <c r="BZ70" s="351"/>
      <c r="CA70" s="351"/>
      <c r="CB70" s="351"/>
      <c r="CC70" s="351"/>
      <c r="CD70" s="351"/>
      <c r="CE70" s="351"/>
      <c r="CF70" s="351"/>
      <c r="CG70" s="351"/>
      <c r="CH70" s="351"/>
      <c r="CI70" s="351"/>
      <c r="CJ70" s="351"/>
      <c r="CK70" s="351"/>
      <c r="CL70" s="351"/>
      <c r="CM70" s="351"/>
      <c r="CN70" s="351"/>
      <c r="CO70" s="351"/>
      <c r="CP70" s="351"/>
      <c r="CQ70" s="351"/>
      <c r="CR70" s="351"/>
      <c r="CS70" s="351"/>
      <c r="CT70" s="351"/>
      <c r="CU70" s="351"/>
      <c r="CV70" s="351"/>
      <c r="CW70" s="351"/>
      <c r="CX70" s="351"/>
      <c r="CY70" s="351"/>
      <c r="CZ70" s="351"/>
      <c r="DA70" s="351"/>
      <c r="DB70" s="351"/>
      <c r="DC70" s="351"/>
      <c r="DD70" s="351"/>
      <c r="DE70" s="351"/>
      <c r="DF70" s="351"/>
      <c r="DG70" s="351"/>
      <c r="DH70" s="351"/>
      <c r="DI70" s="351"/>
      <c r="DJ70" s="351"/>
      <c r="DK70" s="351"/>
      <c r="DL70" s="351"/>
      <c r="DM70" s="351"/>
      <c r="DN70" s="351"/>
      <c r="DO70" s="351"/>
      <c r="DP70" s="351"/>
      <c r="DQ70" s="351"/>
      <c r="DR70" s="351"/>
      <c r="DS70" s="351"/>
      <c r="DT70" s="351"/>
      <c r="DU70" s="351"/>
      <c r="DV70" s="351"/>
      <c r="DW70" s="351"/>
      <c r="DX70" s="351"/>
      <c r="DY70" s="351"/>
      <c r="DZ70" s="351"/>
      <c r="EA70" s="351"/>
      <c r="EB70" s="351"/>
      <c r="EC70" s="351"/>
      <c r="ED70" s="351"/>
      <c r="EE70" s="351"/>
      <c r="EF70" s="351"/>
      <c r="EG70" s="351"/>
      <c r="EH70" s="351"/>
      <c r="EI70" s="351"/>
      <c r="EJ70" s="351"/>
      <c r="EK70" s="351"/>
      <c r="EL70" s="351"/>
      <c r="EM70" s="351"/>
      <c r="EN70" s="351"/>
      <c r="EO70" s="351"/>
      <c r="EP70" s="351"/>
      <c r="EQ70" s="351"/>
      <c r="ER70" s="351"/>
      <c r="ES70" s="351"/>
      <c r="ET70" s="351"/>
      <c r="EU70" s="351"/>
      <c r="EV70" s="351"/>
      <c r="EW70" s="351"/>
      <c r="EX70" s="351"/>
      <c r="EY70" s="351"/>
      <c r="EZ70" s="351"/>
      <c r="FA70" s="351"/>
      <c r="FB70" s="351"/>
      <c r="FC70" s="351"/>
      <c r="FD70" s="351"/>
      <c r="FE70" s="351"/>
      <c r="FF70" s="351"/>
      <c r="FG70" s="351"/>
      <c r="FH70" s="351"/>
      <c r="FI70" s="351"/>
      <c r="FJ70" s="351"/>
      <c r="FK70" s="351"/>
      <c r="FL70" s="351"/>
      <c r="FM70" s="351"/>
      <c r="FN70" s="351"/>
      <c r="FO70" s="351"/>
      <c r="FP70" s="351"/>
      <c r="FQ70" s="351"/>
      <c r="FR70" s="351"/>
      <c r="FS70" s="351"/>
      <c r="FT70" s="351"/>
      <c r="FU70" s="351"/>
      <c r="FV70" s="351"/>
      <c r="FW70" s="351"/>
      <c r="FX70" s="351"/>
      <c r="FY70" s="351"/>
      <c r="FZ70" s="351"/>
      <c r="GA70" s="351"/>
      <c r="GB70" s="351"/>
      <c r="GC70" s="351"/>
      <c r="GD70" s="351"/>
      <c r="GE70" s="351"/>
      <c r="GF70" s="351"/>
      <c r="GG70" s="351"/>
      <c r="GH70" s="351"/>
      <c r="GI70" s="351"/>
      <c r="GJ70" s="351"/>
      <c r="GK70" s="351"/>
      <c r="GL70" s="351"/>
      <c r="GM70" s="351"/>
      <c r="GN70" s="351"/>
      <c r="GO70" s="351"/>
      <c r="GP70" s="351"/>
      <c r="GQ70" s="351"/>
      <c r="GR70" s="351"/>
      <c r="GS70" s="351"/>
      <c r="GT70" s="351"/>
      <c r="GU70" s="351"/>
      <c r="GV70" s="351"/>
      <c r="GW70" s="351"/>
      <c r="GX70" s="351"/>
      <c r="GY70" s="351"/>
      <c r="GZ70" s="351"/>
      <c r="HA70" s="351"/>
      <c r="HB70" s="351"/>
      <c r="HC70" s="351"/>
      <c r="HD70" s="351"/>
      <c r="HE70" s="351"/>
      <c r="HF70" s="351"/>
      <c r="HG70" s="351"/>
      <c r="HH70" s="351"/>
      <c r="HI70" s="351"/>
      <c r="HJ70" s="351"/>
      <c r="HK70" s="351"/>
      <c r="HL70" s="351"/>
      <c r="HM70" s="351"/>
      <c r="HN70" s="351"/>
      <c r="HO70" s="351"/>
      <c r="HP70" s="351"/>
      <c r="HQ70" s="351"/>
      <c r="HR70" s="351"/>
      <c r="HS70" s="351"/>
      <c r="HT70" s="351"/>
      <c r="HU70" s="351"/>
      <c r="HV70" s="351"/>
      <c r="HW70" s="351"/>
      <c r="HX70" s="351"/>
      <c r="HY70" s="351"/>
      <c r="HZ70" s="351"/>
      <c r="IA70" s="351"/>
      <c r="IB70" s="351"/>
      <c r="IC70" s="351"/>
      <c r="ID70" s="351"/>
      <c r="IE70" s="351"/>
      <c r="IF70" s="351"/>
      <c r="IG70" s="351"/>
      <c r="IH70" s="351"/>
      <c r="II70" s="351"/>
      <c r="IJ70" s="351"/>
      <c r="IK70" s="351"/>
      <c r="IL70" s="351"/>
      <c r="IM70" s="351"/>
      <c r="IN70" s="351"/>
      <c r="IO70" s="351"/>
      <c r="IP70" s="351"/>
      <c r="IQ70" s="351"/>
      <c r="IR70" s="351"/>
      <c r="IS70" s="351"/>
      <c r="IT70" s="351"/>
      <c r="IU70" s="351"/>
    </row>
    <row r="71" spans="1:255">
      <c r="A71" s="352"/>
      <c r="B71" s="352"/>
      <c r="C71" s="352"/>
      <c r="D71" s="352"/>
      <c r="E71" s="380"/>
      <c r="F71" s="352"/>
      <c r="G71" s="352"/>
      <c r="H71" s="352"/>
      <c r="I71" s="352"/>
      <c r="J71" s="352"/>
      <c r="K71" s="352"/>
      <c r="L71" s="352"/>
      <c r="M71" s="352"/>
      <c r="N71" s="352"/>
      <c r="O71" s="352"/>
      <c r="P71" s="352"/>
      <c r="Q71" s="352"/>
      <c r="R71" s="352"/>
      <c r="S71" s="352"/>
      <c r="T71" s="352"/>
      <c r="U71" s="352"/>
      <c r="V71" s="352"/>
      <c r="W71" s="352"/>
      <c r="X71" s="352"/>
      <c r="Y71" s="352"/>
      <c r="Z71" s="352"/>
      <c r="AA71" s="352"/>
      <c r="AB71" s="352"/>
      <c r="AC71" s="352"/>
      <c r="AD71" s="352"/>
      <c r="AE71" s="352"/>
      <c r="AF71" s="352"/>
      <c r="AG71" s="352"/>
      <c r="AH71" s="352"/>
      <c r="AI71" s="352"/>
      <c r="AJ71" s="352"/>
      <c r="AK71" s="352"/>
      <c r="AL71" s="352"/>
      <c r="AM71" s="352"/>
      <c r="AN71" s="352"/>
      <c r="AO71" s="352"/>
      <c r="AP71" s="352"/>
      <c r="AQ71" s="352"/>
      <c r="AR71" s="352"/>
      <c r="AS71" s="352"/>
      <c r="AT71" s="352"/>
      <c r="AU71" s="352"/>
      <c r="AV71" s="352"/>
      <c r="AW71" s="352"/>
      <c r="AX71" s="352"/>
      <c r="AY71" s="352"/>
      <c r="AZ71" s="352"/>
      <c r="BA71" s="352"/>
      <c r="BB71" s="352"/>
      <c r="BC71" s="352"/>
      <c r="BD71" s="352"/>
      <c r="BE71" s="352"/>
      <c r="BF71" s="352"/>
      <c r="BG71" s="352"/>
      <c r="BH71" s="352"/>
      <c r="BI71" s="352"/>
      <c r="BJ71" s="352"/>
      <c r="BK71" s="352"/>
      <c r="BL71" s="352"/>
      <c r="BM71" s="352"/>
      <c r="BN71" s="352"/>
      <c r="BO71" s="352"/>
      <c r="BP71" s="352"/>
      <c r="BQ71" s="352"/>
      <c r="BR71" s="352"/>
      <c r="BS71" s="352"/>
      <c r="BT71" s="352"/>
      <c r="BU71" s="352"/>
      <c r="BV71" s="352"/>
      <c r="BW71" s="352"/>
      <c r="BX71" s="352"/>
      <c r="BY71" s="352"/>
      <c r="BZ71" s="352"/>
      <c r="CA71" s="352"/>
      <c r="CB71" s="352"/>
      <c r="CC71" s="352"/>
      <c r="CD71" s="352"/>
      <c r="CE71" s="352"/>
      <c r="CF71" s="352"/>
      <c r="CG71" s="352"/>
      <c r="CH71" s="352"/>
      <c r="CI71" s="352"/>
      <c r="CJ71" s="352"/>
      <c r="CK71" s="352"/>
      <c r="CL71" s="352"/>
      <c r="CM71" s="352"/>
      <c r="CN71" s="352"/>
      <c r="CO71" s="352"/>
      <c r="CP71" s="352"/>
      <c r="CQ71" s="352"/>
      <c r="CR71" s="352"/>
      <c r="CS71" s="352"/>
      <c r="CT71" s="352"/>
      <c r="CU71" s="352"/>
      <c r="CV71" s="352"/>
      <c r="CW71" s="352"/>
      <c r="CX71" s="352"/>
      <c r="CY71" s="352"/>
      <c r="CZ71" s="352"/>
      <c r="DA71" s="352"/>
      <c r="DB71" s="352"/>
      <c r="DC71" s="352"/>
      <c r="DD71" s="352"/>
      <c r="DE71" s="352"/>
      <c r="DF71" s="352"/>
      <c r="DG71" s="352"/>
      <c r="DH71" s="352"/>
      <c r="DI71" s="352"/>
      <c r="DJ71" s="352"/>
      <c r="DK71" s="352"/>
      <c r="DL71" s="352"/>
      <c r="DM71" s="352"/>
      <c r="DN71" s="352"/>
      <c r="DO71" s="352"/>
      <c r="DP71" s="352"/>
      <c r="DQ71" s="352"/>
      <c r="DR71" s="352"/>
      <c r="DS71" s="352"/>
      <c r="DT71" s="352"/>
      <c r="DU71" s="352"/>
      <c r="DV71" s="352"/>
      <c r="DW71" s="352"/>
      <c r="DX71" s="352"/>
      <c r="DY71" s="352"/>
      <c r="DZ71" s="352"/>
      <c r="EA71" s="352"/>
      <c r="EB71" s="352"/>
      <c r="EC71" s="352"/>
      <c r="ED71" s="352"/>
      <c r="EE71" s="352"/>
      <c r="EF71" s="352"/>
      <c r="EG71" s="352"/>
      <c r="EH71" s="352"/>
      <c r="EI71" s="352"/>
      <c r="EJ71" s="352"/>
      <c r="EK71" s="352"/>
      <c r="EL71" s="352"/>
      <c r="EM71" s="352"/>
      <c r="EN71" s="352"/>
      <c r="EO71" s="352"/>
      <c r="EP71" s="352"/>
      <c r="EQ71" s="352"/>
      <c r="ER71" s="352"/>
      <c r="ES71" s="352"/>
      <c r="ET71" s="352"/>
      <c r="EU71" s="352"/>
      <c r="EV71" s="352"/>
      <c r="EW71" s="352"/>
      <c r="EX71" s="352"/>
      <c r="EY71" s="352"/>
      <c r="EZ71" s="352"/>
      <c r="FA71" s="352"/>
      <c r="FB71" s="352"/>
      <c r="FC71" s="352"/>
      <c r="FD71" s="352"/>
      <c r="FE71" s="352"/>
      <c r="FF71" s="352"/>
      <c r="FG71" s="352"/>
      <c r="FH71" s="352"/>
      <c r="FI71" s="352"/>
      <c r="FJ71" s="352"/>
      <c r="FK71" s="352"/>
      <c r="FL71" s="352"/>
      <c r="FM71" s="352"/>
      <c r="FN71" s="352"/>
      <c r="FO71" s="352"/>
      <c r="FP71" s="352"/>
      <c r="FQ71" s="352"/>
      <c r="FR71" s="352"/>
      <c r="FS71" s="352"/>
      <c r="FT71" s="352"/>
      <c r="FU71" s="352"/>
      <c r="FV71" s="352"/>
      <c r="FW71" s="352"/>
      <c r="FX71" s="352"/>
      <c r="FY71" s="352"/>
      <c r="FZ71" s="352"/>
      <c r="GA71" s="352"/>
      <c r="GB71" s="352"/>
      <c r="GC71" s="352"/>
      <c r="GD71" s="352"/>
      <c r="GE71" s="352"/>
      <c r="GF71" s="352"/>
      <c r="GG71" s="352"/>
      <c r="GH71" s="352"/>
      <c r="GI71" s="352"/>
      <c r="GJ71" s="352"/>
      <c r="GK71" s="352"/>
      <c r="GL71" s="352"/>
      <c r="GM71" s="352"/>
      <c r="GN71" s="352"/>
      <c r="GO71" s="352"/>
      <c r="GP71" s="352"/>
      <c r="GQ71" s="352"/>
      <c r="GR71" s="352"/>
      <c r="GS71" s="352"/>
      <c r="GT71" s="352"/>
      <c r="GU71" s="352"/>
      <c r="GV71" s="352"/>
      <c r="GW71" s="352"/>
      <c r="GX71" s="352"/>
      <c r="GY71" s="352"/>
      <c r="GZ71" s="352"/>
      <c r="HA71" s="352"/>
      <c r="HB71" s="352"/>
      <c r="HC71" s="352"/>
      <c r="HD71" s="352"/>
      <c r="HE71" s="352"/>
      <c r="HF71" s="352"/>
      <c r="HG71" s="352"/>
      <c r="HH71" s="352"/>
      <c r="HI71" s="352"/>
      <c r="HJ71" s="352"/>
      <c r="HK71" s="352"/>
      <c r="HL71" s="352"/>
      <c r="HM71" s="352"/>
      <c r="HN71" s="352"/>
      <c r="HO71" s="352"/>
      <c r="HP71" s="352"/>
      <c r="HQ71" s="352"/>
      <c r="HR71" s="352"/>
      <c r="HS71" s="352"/>
      <c r="HT71" s="352"/>
      <c r="HU71" s="352"/>
      <c r="HV71" s="352"/>
      <c r="HW71" s="352"/>
      <c r="HX71" s="352"/>
      <c r="HY71" s="352"/>
      <c r="HZ71" s="352"/>
      <c r="IA71" s="352"/>
      <c r="IB71" s="352"/>
      <c r="IC71" s="352"/>
      <c r="ID71" s="352"/>
      <c r="IE71" s="352"/>
      <c r="IF71" s="352"/>
      <c r="IG71" s="352"/>
      <c r="IH71" s="352"/>
      <c r="II71" s="352"/>
      <c r="IJ71" s="352"/>
      <c r="IK71" s="352"/>
      <c r="IL71" s="352"/>
      <c r="IM71" s="352"/>
      <c r="IN71" s="352"/>
      <c r="IO71" s="352"/>
      <c r="IP71" s="352"/>
      <c r="IQ71" s="352"/>
      <c r="IR71" s="352"/>
      <c r="IS71" s="352"/>
      <c r="IT71" s="352"/>
      <c r="IU71" s="352"/>
    </row>
    <row r="72" spans="1:255">
      <c r="A72" s="351"/>
      <c r="B72" s="351"/>
      <c r="C72" s="351"/>
      <c r="D72" s="351"/>
      <c r="E72" s="380"/>
      <c r="F72" s="351"/>
      <c r="G72" s="351"/>
      <c r="H72" s="351"/>
      <c r="I72" s="351"/>
      <c r="J72" s="351"/>
      <c r="K72" s="351"/>
      <c r="L72" s="351"/>
      <c r="M72" s="351"/>
      <c r="N72" s="351"/>
      <c r="O72" s="351"/>
      <c r="P72" s="351"/>
      <c r="Q72" s="351"/>
      <c r="R72" s="352"/>
      <c r="S72" s="351"/>
      <c r="T72" s="351"/>
      <c r="U72" s="351"/>
      <c r="V72" s="351"/>
      <c r="W72" s="351"/>
      <c r="X72" s="351"/>
      <c r="Y72" s="351"/>
      <c r="Z72" s="351"/>
      <c r="AA72" s="351"/>
      <c r="AB72" s="351"/>
      <c r="AC72" s="351"/>
      <c r="AD72" s="351"/>
      <c r="AE72" s="351"/>
      <c r="AF72" s="351"/>
      <c r="AG72" s="351"/>
      <c r="AH72" s="351"/>
      <c r="AI72" s="351"/>
      <c r="AJ72" s="351"/>
      <c r="AK72" s="351"/>
      <c r="AL72" s="351"/>
      <c r="AM72" s="351"/>
      <c r="AN72" s="351"/>
      <c r="AO72" s="351"/>
      <c r="AP72" s="351"/>
      <c r="AQ72" s="351"/>
      <c r="AR72" s="351"/>
      <c r="AS72" s="351"/>
      <c r="AT72" s="351"/>
      <c r="AU72" s="351"/>
      <c r="AV72" s="351"/>
      <c r="AW72" s="351"/>
      <c r="AX72" s="351"/>
      <c r="AY72" s="351"/>
      <c r="AZ72" s="351"/>
      <c r="BA72" s="351"/>
      <c r="BB72" s="351"/>
      <c r="BC72" s="351"/>
      <c r="BD72" s="351"/>
      <c r="BE72" s="351"/>
      <c r="BF72" s="351"/>
      <c r="BG72" s="351"/>
      <c r="BH72" s="351"/>
      <c r="BI72" s="351"/>
      <c r="BJ72" s="351"/>
      <c r="BK72" s="351"/>
      <c r="BL72" s="351"/>
      <c r="BM72" s="351"/>
      <c r="BN72" s="351"/>
      <c r="BO72" s="351"/>
      <c r="BP72" s="351"/>
      <c r="BQ72" s="351"/>
      <c r="BR72" s="351"/>
      <c r="BS72" s="351"/>
      <c r="BT72" s="351"/>
      <c r="BU72" s="351"/>
      <c r="BV72" s="351"/>
      <c r="BW72" s="351"/>
      <c r="BX72" s="351"/>
      <c r="BY72" s="351"/>
      <c r="BZ72" s="351"/>
      <c r="CA72" s="351"/>
      <c r="CB72" s="351"/>
      <c r="CC72" s="351"/>
      <c r="CD72" s="351"/>
      <c r="CE72" s="351"/>
      <c r="CF72" s="351"/>
      <c r="CG72" s="351"/>
      <c r="CH72" s="351"/>
      <c r="CI72" s="351"/>
      <c r="CJ72" s="351"/>
      <c r="CK72" s="351"/>
      <c r="CL72" s="351"/>
      <c r="CM72" s="351"/>
      <c r="CN72" s="351"/>
      <c r="CO72" s="351"/>
      <c r="CP72" s="351"/>
      <c r="CQ72" s="351"/>
      <c r="CR72" s="351"/>
      <c r="CS72" s="351"/>
      <c r="CT72" s="351"/>
      <c r="CU72" s="351"/>
      <c r="CV72" s="351"/>
      <c r="CW72" s="351"/>
      <c r="CX72" s="351"/>
      <c r="CY72" s="351"/>
      <c r="CZ72" s="351"/>
      <c r="DA72" s="351"/>
      <c r="DB72" s="351"/>
      <c r="DC72" s="351"/>
      <c r="DD72" s="351"/>
      <c r="DE72" s="351"/>
      <c r="DF72" s="351"/>
      <c r="DG72" s="351"/>
      <c r="DH72" s="351"/>
      <c r="DI72" s="351"/>
      <c r="DJ72" s="351"/>
      <c r="DK72" s="351"/>
      <c r="DL72" s="351"/>
      <c r="DM72" s="351"/>
      <c r="DN72" s="351"/>
      <c r="DO72" s="351"/>
      <c r="DP72" s="351"/>
      <c r="DQ72" s="351"/>
      <c r="DR72" s="351"/>
      <c r="DS72" s="351"/>
      <c r="DT72" s="351"/>
      <c r="DU72" s="351"/>
      <c r="DV72" s="351"/>
      <c r="DW72" s="351"/>
      <c r="DX72" s="351"/>
      <c r="DY72" s="351"/>
      <c r="DZ72" s="351"/>
      <c r="EA72" s="351"/>
      <c r="EB72" s="351"/>
      <c r="EC72" s="351"/>
      <c r="ED72" s="351"/>
      <c r="EE72" s="351"/>
      <c r="EF72" s="351"/>
      <c r="EG72" s="351"/>
      <c r="EH72" s="351"/>
      <c r="EI72" s="351"/>
      <c r="EJ72" s="351"/>
      <c r="EK72" s="351"/>
      <c r="EL72" s="351"/>
      <c r="EM72" s="351"/>
      <c r="EN72" s="351"/>
      <c r="EO72" s="351"/>
      <c r="EP72" s="351"/>
      <c r="EQ72" s="351"/>
      <c r="ER72" s="351"/>
      <c r="ES72" s="351"/>
      <c r="ET72" s="351"/>
      <c r="EU72" s="351"/>
      <c r="EV72" s="351"/>
      <c r="EW72" s="351"/>
      <c r="EX72" s="351"/>
      <c r="EY72" s="351"/>
      <c r="EZ72" s="351"/>
      <c r="FA72" s="351"/>
      <c r="FB72" s="351"/>
      <c r="FC72" s="351"/>
      <c r="FD72" s="351"/>
      <c r="FE72" s="351"/>
      <c r="FF72" s="351"/>
      <c r="FG72" s="351"/>
      <c r="FH72" s="351"/>
      <c r="FI72" s="351"/>
      <c r="FJ72" s="351"/>
      <c r="FK72" s="351"/>
      <c r="FL72" s="351"/>
      <c r="FM72" s="351"/>
      <c r="FN72" s="351"/>
      <c r="FO72" s="351"/>
      <c r="FP72" s="351"/>
      <c r="FQ72" s="351"/>
      <c r="FR72" s="351"/>
      <c r="FS72" s="351"/>
      <c r="FT72" s="351"/>
      <c r="FU72" s="351"/>
      <c r="FV72" s="351"/>
      <c r="FW72" s="351"/>
      <c r="FX72" s="351"/>
      <c r="FY72" s="351"/>
      <c r="FZ72" s="351"/>
      <c r="GA72" s="351"/>
      <c r="GB72" s="351"/>
      <c r="GC72" s="351"/>
      <c r="GD72" s="351"/>
      <c r="GE72" s="351"/>
      <c r="GF72" s="351"/>
      <c r="GG72" s="351"/>
      <c r="GH72" s="351"/>
      <c r="GI72" s="351"/>
      <c r="GJ72" s="351"/>
      <c r="GK72" s="351"/>
      <c r="GL72" s="351"/>
      <c r="GM72" s="351"/>
      <c r="GN72" s="351"/>
      <c r="GO72" s="351"/>
      <c r="GP72" s="351"/>
      <c r="GQ72" s="351"/>
      <c r="GR72" s="351"/>
      <c r="GS72" s="351"/>
      <c r="GT72" s="351"/>
      <c r="GU72" s="351"/>
      <c r="GV72" s="351"/>
      <c r="GW72" s="351"/>
      <c r="GX72" s="351"/>
      <c r="GY72" s="351"/>
      <c r="GZ72" s="351"/>
      <c r="HA72" s="351"/>
      <c r="HB72" s="351"/>
      <c r="HC72" s="351"/>
      <c r="HD72" s="351"/>
      <c r="HE72" s="351"/>
      <c r="HF72" s="351"/>
      <c r="HG72" s="351"/>
      <c r="HH72" s="351"/>
      <c r="HI72" s="351"/>
      <c r="HJ72" s="351"/>
      <c r="HK72" s="351"/>
      <c r="HL72" s="351"/>
      <c r="HM72" s="351"/>
      <c r="HN72" s="351"/>
      <c r="HO72" s="351"/>
      <c r="HP72" s="351"/>
      <c r="HQ72" s="351"/>
      <c r="HR72" s="351"/>
      <c r="HS72" s="351"/>
      <c r="HT72" s="351"/>
      <c r="HU72" s="351"/>
      <c r="HV72" s="351"/>
      <c r="HW72" s="351"/>
      <c r="HX72" s="351"/>
      <c r="HY72" s="351"/>
      <c r="HZ72" s="351"/>
      <c r="IA72" s="351"/>
      <c r="IB72" s="351"/>
      <c r="IC72" s="351"/>
      <c r="ID72" s="351"/>
      <c r="IE72" s="351"/>
      <c r="IF72" s="351"/>
      <c r="IG72" s="351"/>
      <c r="IH72" s="351"/>
      <c r="II72" s="351"/>
      <c r="IJ72" s="351"/>
      <c r="IK72" s="351"/>
      <c r="IL72" s="351"/>
      <c r="IM72" s="351"/>
      <c r="IN72" s="351"/>
      <c r="IO72" s="351"/>
      <c r="IP72" s="351"/>
      <c r="IQ72" s="351"/>
      <c r="IR72" s="351"/>
      <c r="IS72" s="351"/>
      <c r="IT72" s="351"/>
      <c r="IU72" s="351"/>
    </row>
    <row r="73" spans="1:255">
      <c r="A73" s="351"/>
      <c r="B73" s="351"/>
      <c r="C73" s="351"/>
      <c r="D73" s="351"/>
      <c r="E73" s="380"/>
      <c r="F73" s="351"/>
      <c r="G73" s="351"/>
      <c r="H73" s="351"/>
      <c r="I73" s="351"/>
      <c r="J73" s="351"/>
      <c r="K73" s="351"/>
      <c r="L73" s="351"/>
      <c r="M73" s="351"/>
      <c r="N73" s="351"/>
      <c r="O73" s="351"/>
      <c r="P73" s="351"/>
      <c r="Q73" s="351"/>
      <c r="R73" s="352"/>
      <c r="S73" s="351"/>
      <c r="T73" s="351"/>
      <c r="U73" s="351"/>
      <c r="V73" s="351"/>
      <c r="W73" s="351"/>
      <c r="X73" s="351"/>
      <c r="Y73" s="351"/>
      <c r="Z73" s="351"/>
      <c r="AA73" s="351"/>
      <c r="AB73" s="351"/>
      <c r="AC73" s="351"/>
      <c r="AD73" s="351"/>
      <c r="AE73" s="351"/>
      <c r="AF73" s="351"/>
      <c r="AG73" s="351"/>
      <c r="AH73" s="351"/>
      <c r="AI73" s="351"/>
      <c r="AJ73" s="351"/>
      <c r="AK73" s="351"/>
      <c r="AL73" s="351"/>
      <c r="AM73" s="351"/>
      <c r="AN73" s="351"/>
      <c r="AO73" s="351"/>
      <c r="AP73" s="351"/>
      <c r="AQ73" s="351"/>
      <c r="AR73" s="351"/>
      <c r="AS73" s="351"/>
      <c r="AT73" s="351"/>
      <c r="AU73" s="351"/>
      <c r="AV73" s="351"/>
      <c r="AW73" s="351"/>
      <c r="AX73" s="351"/>
      <c r="AY73" s="351"/>
      <c r="AZ73" s="351"/>
      <c r="BA73" s="351"/>
      <c r="BB73" s="351"/>
      <c r="BC73" s="351"/>
      <c r="BD73" s="351"/>
      <c r="BE73" s="351"/>
      <c r="BF73" s="351"/>
      <c r="BG73" s="351"/>
      <c r="BH73" s="351"/>
      <c r="BI73" s="351"/>
      <c r="BJ73" s="351"/>
      <c r="BK73" s="351"/>
      <c r="BL73" s="351"/>
      <c r="BM73" s="351"/>
      <c r="BN73" s="351"/>
      <c r="BO73" s="351"/>
      <c r="BP73" s="351"/>
      <c r="BQ73" s="351"/>
      <c r="BR73" s="351"/>
      <c r="BS73" s="351"/>
      <c r="BT73" s="351"/>
      <c r="BU73" s="351"/>
      <c r="BV73" s="351"/>
      <c r="BW73" s="351"/>
      <c r="BX73" s="351"/>
      <c r="BY73" s="351"/>
      <c r="BZ73" s="351"/>
      <c r="CA73" s="351"/>
      <c r="CB73" s="351"/>
      <c r="CC73" s="351"/>
      <c r="CD73" s="351"/>
      <c r="CE73" s="351"/>
      <c r="CF73" s="351"/>
      <c r="CG73" s="351"/>
      <c r="CH73" s="351"/>
      <c r="CI73" s="351"/>
      <c r="CJ73" s="351"/>
      <c r="CK73" s="351"/>
      <c r="CL73" s="351"/>
      <c r="CM73" s="351"/>
      <c r="CN73" s="351"/>
      <c r="CO73" s="351"/>
      <c r="CP73" s="351"/>
      <c r="CQ73" s="351"/>
      <c r="CR73" s="351"/>
      <c r="CS73" s="351"/>
      <c r="CT73" s="351"/>
      <c r="CU73" s="351"/>
      <c r="CV73" s="351"/>
      <c r="CW73" s="351"/>
      <c r="CX73" s="351"/>
      <c r="CY73" s="351"/>
      <c r="CZ73" s="351"/>
      <c r="DA73" s="351"/>
      <c r="DB73" s="351"/>
      <c r="DC73" s="351"/>
      <c r="DD73" s="351"/>
      <c r="DE73" s="351"/>
      <c r="DF73" s="351"/>
      <c r="DG73" s="351"/>
      <c r="DH73" s="351"/>
      <c r="DI73" s="351"/>
      <c r="DJ73" s="351"/>
      <c r="DK73" s="351"/>
      <c r="DL73" s="351"/>
      <c r="DM73" s="351"/>
      <c r="DN73" s="351"/>
      <c r="DO73" s="351"/>
      <c r="DP73" s="351"/>
      <c r="DQ73" s="351"/>
      <c r="DR73" s="351"/>
      <c r="DS73" s="351"/>
      <c r="DT73" s="351"/>
      <c r="DU73" s="351"/>
      <c r="DV73" s="351"/>
      <c r="DW73" s="351"/>
      <c r="DX73" s="351"/>
      <c r="DY73" s="351"/>
      <c r="DZ73" s="351"/>
      <c r="EA73" s="351"/>
      <c r="EB73" s="351"/>
      <c r="EC73" s="351"/>
      <c r="ED73" s="351"/>
      <c r="EE73" s="351"/>
      <c r="EF73" s="351"/>
      <c r="EG73" s="351"/>
      <c r="EH73" s="351"/>
      <c r="EI73" s="351"/>
      <c r="EJ73" s="351"/>
      <c r="EK73" s="351"/>
      <c r="EL73" s="351"/>
      <c r="EM73" s="351"/>
      <c r="EN73" s="351"/>
      <c r="EO73" s="351"/>
      <c r="EP73" s="351"/>
      <c r="EQ73" s="351"/>
      <c r="ER73" s="351"/>
      <c r="ES73" s="351"/>
      <c r="ET73" s="351"/>
      <c r="EU73" s="351"/>
      <c r="EV73" s="351"/>
      <c r="EW73" s="351"/>
      <c r="EX73" s="351"/>
      <c r="EY73" s="351"/>
      <c r="EZ73" s="351"/>
      <c r="FA73" s="351"/>
      <c r="FB73" s="351"/>
      <c r="FC73" s="351"/>
      <c r="FD73" s="351"/>
      <c r="FE73" s="351"/>
      <c r="FF73" s="351"/>
      <c r="FG73" s="351"/>
      <c r="FH73" s="351"/>
      <c r="FI73" s="351"/>
      <c r="FJ73" s="351"/>
      <c r="FK73" s="351"/>
      <c r="FL73" s="351"/>
      <c r="FM73" s="351"/>
      <c r="FN73" s="351"/>
      <c r="FO73" s="351"/>
      <c r="FP73" s="351"/>
      <c r="FQ73" s="351"/>
      <c r="FR73" s="351"/>
      <c r="FS73" s="351"/>
      <c r="FT73" s="351"/>
      <c r="FU73" s="351"/>
      <c r="FV73" s="351"/>
      <c r="FW73" s="351"/>
      <c r="FX73" s="351"/>
      <c r="FY73" s="351"/>
      <c r="FZ73" s="351"/>
      <c r="GA73" s="351"/>
      <c r="GB73" s="351"/>
      <c r="GC73" s="351"/>
      <c r="GD73" s="351"/>
      <c r="GE73" s="351"/>
      <c r="GF73" s="351"/>
      <c r="GG73" s="351"/>
      <c r="GH73" s="351"/>
      <c r="GI73" s="351"/>
      <c r="GJ73" s="351"/>
      <c r="GK73" s="351"/>
      <c r="GL73" s="351"/>
      <c r="GM73" s="351"/>
      <c r="GN73" s="351"/>
      <c r="GO73" s="351"/>
      <c r="GP73" s="351"/>
      <c r="GQ73" s="351"/>
      <c r="GR73" s="351"/>
      <c r="GS73" s="351"/>
      <c r="GT73" s="351"/>
      <c r="GU73" s="351"/>
      <c r="GV73" s="351"/>
      <c r="GW73" s="351"/>
      <c r="GX73" s="351"/>
      <c r="GY73" s="351"/>
      <c r="GZ73" s="351"/>
      <c r="HA73" s="351"/>
      <c r="HB73" s="351"/>
      <c r="HC73" s="351"/>
      <c r="HD73" s="351"/>
      <c r="HE73" s="351"/>
      <c r="HF73" s="351"/>
      <c r="HG73" s="351"/>
      <c r="HH73" s="351"/>
      <c r="HI73" s="351"/>
      <c r="HJ73" s="351"/>
      <c r="HK73" s="351"/>
      <c r="HL73" s="351"/>
      <c r="HM73" s="351"/>
      <c r="HN73" s="351"/>
      <c r="HO73" s="351"/>
      <c r="HP73" s="351"/>
      <c r="HQ73" s="351"/>
      <c r="HR73" s="351"/>
      <c r="HS73" s="351"/>
      <c r="HT73" s="351"/>
      <c r="HU73" s="351"/>
      <c r="HV73" s="351"/>
      <c r="HW73" s="351"/>
      <c r="HX73" s="351"/>
      <c r="HY73" s="351"/>
      <c r="HZ73" s="351"/>
      <c r="IA73" s="351"/>
      <c r="IB73" s="351"/>
      <c r="IC73" s="351"/>
      <c r="ID73" s="351"/>
      <c r="IE73" s="351"/>
      <c r="IF73" s="351"/>
      <c r="IG73" s="351"/>
      <c r="IH73" s="351"/>
      <c r="II73" s="351"/>
      <c r="IJ73" s="351"/>
      <c r="IK73" s="351"/>
      <c r="IL73" s="351"/>
      <c r="IM73" s="351"/>
      <c r="IN73" s="351"/>
      <c r="IO73" s="351"/>
      <c r="IP73" s="351"/>
      <c r="IQ73" s="351"/>
      <c r="IR73" s="351"/>
      <c r="IS73" s="351"/>
      <c r="IT73" s="351"/>
      <c r="IU73" s="351"/>
    </row>
    <row r="74" spans="1:255">
      <c r="A74" s="351"/>
      <c r="B74" s="351"/>
      <c r="C74" s="351"/>
      <c r="D74" s="351"/>
      <c r="E74" s="380"/>
      <c r="F74" s="351"/>
      <c r="G74" s="351"/>
      <c r="H74" s="351"/>
      <c r="I74" s="351"/>
      <c r="J74" s="351"/>
      <c r="K74" s="351"/>
      <c r="L74" s="351"/>
      <c r="M74" s="351"/>
      <c r="N74" s="351"/>
      <c r="O74" s="351"/>
      <c r="P74" s="351"/>
      <c r="Q74" s="351"/>
      <c r="R74" s="352"/>
      <c r="S74" s="351"/>
      <c r="T74" s="351"/>
      <c r="U74" s="351"/>
      <c r="V74" s="351"/>
      <c r="W74" s="351"/>
      <c r="X74" s="351"/>
      <c r="Y74" s="351"/>
      <c r="Z74" s="351"/>
      <c r="AA74" s="351"/>
      <c r="AB74" s="351"/>
      <c r="AC74" s="351"/>
      <c r="AD74" s="351"/>
      <c r="AE74" s="351"/>
      <c r="AF74" s="351"/>
      <c r="AG74" s="351"/>
      <c r="AH74" s="351"/>
      <c r="AI74" s="351"/>
      <c r="AJ74" s="351"/>
      <c r="AK74" s="351"/>
      <c r="AL74" s="351"/>
      <c r="AM74" s="351"/>
      <c r="AN74" s="351"/>
      <c r="AO74" s="351"/>
      <c r="AP74" s="351"/>
      <c r="AQ74" s="351"/>
      <c r="AR74" s="351"/>
      <c r="AS74" s="351"/>
      <c r="AT74" s="351"/>
      <c r="AU74" s="351"/>
      <c r="AV74" s="351"/>
      <c r="AW74" s="351"/>
      <c r="AX74" s="351"/>
      <c r="AY74" s="351"/>
      <c r="AZ74" s="351"/>
      <c r="BA74" s="351"/>
      <c r="BB74" s="351"/>
      <c r="BC74" s="351"/>
      <c r="BD74" s="351"/>
      <c r="BE74" s="351"/>
      <c r="BF74" s="351"/>
      <c r="BG74" s="351"/>
      <c r="BH74" s="351"/>
      <c r="BI74" s="351"/>
      <c r="BJ74" s="351"/>
      <c r="BK74" s="351"/>
      <c r="BL74" s="351"/>
      <c r="BM74" s="351"/>
      <c r="BN74" s="351"/>
      <c r="BO74" s="351"/>
      <c r="BP74" s="351"/>
      <c r="BQ74" s="351"/>
      <c r="BR74" s="351"/>
      <c r="BS74" s="351"/>
      <c r="BT74" s="351"/>
      <c r="BU74" s="351"/>
      <c r="BV74" s="351"/>
      <c r="BW74" s="351"/>
      <c r="BX74" s="351"/>
      <c r="BY74" s="351"/>
      <c r="BZ74" s="351"/>
      <c r="CA74" s="351"/>
      <c r="CB74" s="351"/>
      <c r="CC74" s="351"/>
      <c r="CD74" s="351"/>
      <c r="CE74" s="351"/>
      <c r="CF74" s="351"/>
      <c r="CG74" s="351"/>
      <c r="CH74" s="351"/>
      <c r="CI74" s="351"/>
      <c r="CJ74" s="351"/>
      <c r="CK74" s="351"/>
      <c r="CL74" s="351"/>
      <c r="CM74" s="351"/>
      <c r="CN74" s="351"/>
      <c r="CO74" s="351"/>
      <c r="CP74" s="351"/>
      <c r="CQ74" s="351"/>
      <c r="CR74" s="351"/>
      <c r="CS74" s="351"/>
      <c r="CT74" s="351"/>
      <c r="CU74" s="351"/>
      <c r="CV74" s="351"/>
      <c r="CW74" s="351"/>
      <c r="CX74" s="351"/>
      <c r="CY74" s="351"/>
      <c r="CZ74" s="351"/>
      <c r="DA74" s="351"/>
      <c r="DB74" s="351"/>
      <c r="DC74" s="351"/>
      <c r="DD74" s="351"/>
      <c r="DE74" s="351"/>
      <c r="DF74" s="351"/>
      <c r="DG74" s="351"/>
      <c r="DH74" s="351"/>
      <c r="DI74" s="351"/>
      <c r="DJ74" s="351"/>
      <c r="DK74" s="351"/>
      <c r="DL74" s="351"/>
      <c r="DM74" s="351"/>
      <c r="DN74" s="351"/>
      <c r="DO74" s="351"/>
      <c r="DP74" s="351"/>
      <c r="DQ74" s="351"/>
      <c r="DR74" s="351"/>
      <c r="DS74" s="351"/>
      <c r="DT74" s="351"/>
      <c r="DU74" s="351"/>
      <c r="DV74" s="351"/>
      <c r="DW74" s="351"/>
      <c r="DX74" s="351"/>
      <c r="DY74" s="351"/>
      <c r="DZ74" s="351"/>
      <c r="EA74" s="351"/>
      <c r="EB74" s="351"/>
      <c r="EC74" s="351"/>
      <c r="ED74" s="351"/>
      <c r="EE74" s="351"/>
      <c r="EF74" s="351"/>
      <c r="EG74" s="351"/>
      <c r="EH74" s="351"/>
      <c r="EI74" s="351"/>
      <c r="EJ74" s="351"/>
      <c r="EK74" s="351"/>
      <c r="EL74" s="351"/>
      <c r="EM74" s="351"/>
      <c r="EN74" s="351"/>
      <c r="EO74" s="351"/>
      <c r="EP74" s="351"/>
      <c r="EQ74" s="351"/>
      <c r="ER74" s="351"/>
      <c r="ES74" s="351"/>
      <c r="ET74" s="351"/>
      <c r="EU74" s="351"/>
      <c r="EV74" s="351"/>
      <c r="EW74" s="351"/>
      <c r="EX74" s="351"/>
      <c r="EY74" s="351"/>
      <c r="EZ74" s="351"/>
      <c r="FA74" s="351"/>
      <c r="FB74" s="351"/>
      <c r="FC74" s="351"/>
      <c r="FD74" s="351"/>
      <c r="FE74" s="351"/>
      <c r="FF74" s="351"/>
      <c r="FG74" s="351"/>
      <c r="FH74" s="351"/>
      <c r="FI74" s="351"/>
      <c r="FJ74" s="351"/>
      <c r="FK74" s="351"/>
      <c r="FL74" s="351"/>
      <c r="FM74" s="351"/>
      <c r="FN74" s="351"/>
      <c r="FO74" s="351"/>
      <c r="FP74" s="351"/>
      <c r="FQ74" s="351"/>
      <c r="FR74" s="351"/>
      <c r="FS74" s="351"/>
      <c r="FT74" s="351"/>
      <c r="FU74" s="351"/>
      <c r="FV74" s="351"/>
      <c r="FW74" s="351"/>
      <c r="FX74" s="351"/>
      <c r="FY74" s="351"/>
      <c r="FZ74" s="351"/>
      <c r="GA74" s="351"/>
      <c r="GB74" s="351"/>
      <c r="GC74" s="351"/>
      <c r="GD74" s="351"/>
      <c r="GE74" s="351"/>
      <c r="GF74" s="351"/>
      <c r="GG74" s="351"/>
      <c r="GH74" s="351"/>
      <c r="GI74" s="351"/>
      <c r="GJ74" s="351"/>
      <c r="GK74" s="351"/>
      <c r="GL74" s="351"/>
      <c r="GM74" s="351"/>
      <c r="GN74" s="351"/>
      <c r="GO74" s="351"/>
      <c r="GP74" s="351"/>
      <c r="GQ74" s="351"/>
      <c r="GR74" s="351"/>
      <c r="GS74" s="351"/>
      <c r="GT74" s="351"/>
      <c r="GU74" s="351"/>
      <c r="GV74" s="351"/>
      <c r="GW74" s="351"/>
      <c r="GX74" s="351"/>
      <c r="GY74" s="351"/>
      <c r="GZ74" s="351"/>
      <c r="HA74" s="351"/>
      <c r="HB74" s="351"/>
      <c r="HC74" s="351"/>
      <c r="HD74" s="351"/>
      <c r="HE74" s="351"/>
      <c r="HF74" s="351"/>
      <c r="HG74" s="351"/>
      <c r="HH74" s="351"/>
      <c r="HI74" s="351"/>
      <c r="HJ74" s="351"/>
      <c r="HK74" s="351"/>
      <c r="HL74" s="351"/>
      <c r="HM74" s="351"/>
      <c r="HN74" s="351"/>
      <c r="HO74" s="351"/>
      <c r="HP74" s="351"/>
      <c r="HQ74" s="351"/>
      <c r="HR74" s="351"/>
      <c r="HS74" s="351"/>
      <c r="HT74" s="351"/>
      <c r="HU74" s="351"/>
      <c r="HV74" s="351"/>
      <c r="HW74" s="351"/>
      <c r="HX74" s="351"/>
      <c r="HY74" s="351"/>
      <c r="HZ74" s="351"/>
      <c r="IA74" s="351"/>
      <c r="IB74" s="351"/>
      <c r="IC74" s="351"/>
      <c r="ID74" s="351"/>
      <c r="IE74" s="351"/>
      <c r="IF74" s="351"/>
      <c r="IG74" s="351"/>
      <c r="IH74" s="351"/>
      <c r="II74" s="351"/>
      <c r="IJ74" s="351"/>
      <c r="IK74" s="351"/>
      <c r="IL74" s="351"/>
      <c r="IM74" s="351"/>
      <c r="IN74" s="351"/>
      <c r="IO74" s="351"/>
      <c r="IP74" s="351"/>
      <c r="IQ74" s="351"/>
      <c r="IR74" s="351"/>
      <c r="IS74" s="351"/>
      <c r="IT74" s="351"/>
      <c r="IU74" s="351"/>
    </row>
    <row r="75" spans="1:255">
      <c r="A75" s="351"/>
      <c r="B75" s="351"/>
      <c r="C75" s="351"/>
      <c r="D75" s="351"/>
      <c r="E75" s="380"/>
      <c r="F75" s="351"/>
      <c r="G75" s="351"/>
      <c r="H75" s="351"/>
      <c r="I75" s="351"/>
      <c r="J75" s="351"/>
      <c r="K75" s="351"/>
      <c r="L75" s="351"/>
      <c r="M75" s="351"/>
      <c r="N75" s="351"/>
      <c r="O75" s="351"/>
      <c r="P75" s="351"/>
      <c r="Q75" s="351"/>
      <c r="R75" s="352"/>
      <c r="S75" s="351"/>
      <c r="T75" s="351"/>
      <c r="U75" s="351"/>
      <c r="V75" s="351"/>
      <c r="W75" s="351"/>
      <c r="X75" s="351"/>
      <c r="Y75" s="351"/>
      <c r="Z75" s="351"/>
      <c r="AA75" s="351"/>
      <c r="AB75" s="351"/>
      <c r="AC75" s="351"/>
      <c r="AD75" s="351"/>
      <c r="AE75" s="351"/>
      <c r="AF75" s="351"/>
      <c r="AG75" s="351"/>
      <c r="AH75" s="351"/>
      <c r="AI75" s="351"/>
      <c r="AJ75" s="351"/>
      <c r="AK75" s="351"/>
      <c r="AL75" s="351"/>
      <c r="AM75" s="351"/>
      <c r="AN75" s="351"/>
      <c r="AO75" s="351"/>
      <c r="AP75" s="351"/>
      <c r="AQ75" s="351"/>
      <c r="AR75" s="351"/>
      <c r="AS75" s="351"/>
      <c r="AT75" s="351"/>
      <c r="AU75" s="351"/>
      <c r="AV75" s="351"/>
      <c r="AW75" s="351"/>
      <c r="AX75" s="351"/>
      <c r="AY75" s="351"/>
      <c r="AZ75" s="351"/>
      <c r="BA75" s="351"/>
      <c r="BB75" s="351"/>
      <c r="BC75" s="351"/>
      <c r="BD75" s="351"/>
      <c r="BE75" s="351"/>
      <c r="BF75" s="351"/>
      <c r="BG75" s="351"/>
      <c r="BH75" s="351"/>
      <c r="BI75" s="351"/>
      <c r="BJ75" s="351"/>
      <c r="BK75" s="351"/>
      <c r="BL75" s="351"/>
      <c r="BM75" s="351"/>
      <c r="BN75" s="351"/>
      <c r="BO75" s="351"/>
      <c r="BP75" s="351"/>
      <c r="BQ75" s="351"/>
      <c r="BR75" s="351"/>
      <c r="BS75" s="351"/>
      <c r="BT75" s="351"/>
      <c r="BU75" s="351"/>
      <c r="BV75" s="351"/>
      <c r="BW75" s="351"/>
      <c r="BX75" s="351"/>
      <c r="BY75" s="351"/>
      <c r="BZ75" s="351"/>
      <c r="CA75" s="351"/>
      <c r="CB75" s="351"/>
      <c r="CC75" s="351"/>
      <c r="CD75" s="351"/>
      <c r="CE75" s="351"/>
      <c r="CF75" s="351"/>
      <c r="CG75" s="351"/>
      <c r="CH75" s="351"/>
      <c r="CI75" s="351"/>
      <c r="CJ75" s="351"/>
      <c r="CK75" s="351"/>
      <c r="CL75" s="351"/>
      <c r="CM75" s="351"/>
      <c r="CN75" s="351"/>
      <c r="CO75" s="351"/>
      <c r="CP75" s="351"/>
      <c r="CQ75" s="351"/>
      <c r="CR75" s="351"/>
      <c r="CS75" s="351"/>
      <c r="CT75" s="351"/>
      <c r="CU75" s="351"/>
      <c r="CV75" s="351"/>
      <c r="CW75" s="351"/>
      <c r="CX75" s="351"/>
      <c r="CY75" s="351"/>
      <c r="CZ75" s="351"/>
      <c r="DA75" s="351"/>
      <c r="DB75" s="351"/>
      <c r="DC75" s="351"/>
      <c r="DD75" s="351"/>
      <c r="DE75" s="351"/>
      <c r="DF75" s="351"/>
      <c r="DG75" s="351"/>
      <c r="DH75" s="351"/>
      <c r="DI75" s="351"/>
      <c r="DJ75" s="351"/>
      <c r="DK75" s="351"/>
      <c r="DL75" s="351"/>
      <c r="DM75" s="351"/>
      <c r="DN75" s="351"/>
      <c r="DO75" s="351"/>
      <c r="DP75" s="351"/>
      <c r="DQ75" s="351"/>
      <c r="DR75" s="351"/>
      <c r="DS75" s="351"/>
      <c r="DT75" s="351"/>
      <c r="DU75" s="351"/>
      <c r="DV75" s="351"/>
      <c r="DW75" s="351"/>
      <c r="DX75" s="351"/>
      <c r="DY75" s="351"/>
      <c r="DZ75" s="351"/>
      <c r="EA75" s="351"/>
      <c r="EB75" s="351"/>
      <c r="EC75" s="351"/>
      <c r="ED75" s="351"/>
      <c r="EE75" s="351"/>
      <c r="EF75" s="351"/>
      <c r="EG75" s="351"/>
      <c r="EH75" s="351"/>
      <c r="EI75" s="351"/>
      <c r="EJ75" s="351"/>
      <c r="EK75" s="351"/>
      <c r="EL75" s="351"/>
      <c r="EM75" s="351"/>
      <c r="EN75" s="351"/>
      <c r="EO75" s="351"/>
      <c r="EP75" s="351"/>
      <c r="EQ75" s="351"/>
      <c r="ER75" s="351"/>
      <c r="ES75" s="351"/>
      <c r="ET75" s="351"/>
      <c r="EU75" s="351"/>
      <c r="EV75" s="351"/>
      <c r="EW75" s="351"/>
      <c r="EX75" s="351"/>
      <c r="EY75" s="351"/>
      <c r="EZ75" s="351"/>
      <c r="FA75" s="351"/>
      <c r="FB75" s="351"/>
      <c r="FC75" s="351"/>
      <c r="FD75" s="351"/>
      <c r="FE75" s="351"/>
      <c r="FF75" s="351"/>
      <c r="FG75" s="351"/>
      <c r="FH75" s="351"/>
      <c r="FI75" s="351"/>
      <c r="FJ75" s="351"/>
      <c r="FK75" s="351"/>
      <c r="FL75" s="351"/>
      <c r="FM75" s="351"/>
      <c r="FN75" s="351"/>
      <c r="FO75" s="351"/>
      <c r="FP75" s="351"/>
      <c r="FQ75" s="351"/>
      <c r="FR75" s="351"/>
      <c r="FS75" s="351"/>
      <c r="FT75" s="351"/>
      <c r="FU75" s="351"/>
      <c r="FV75" s="351"/>
      <c r="FW75" s="351"/>
      <c r="FX75" s="351"/>
      <c r="FY75" s="351"/>
      <c r="FZ75" s="351"/>
      <c r="GA75" s="351"/>
      <c r="GB75" s="351"/>
      <c r="GC75" s="351"/>
      <c r="GD75" s="351"/>
      <c r="GE75" s="351"/>
      <c r="GF75" s="351"/>
      <c r="GG75" s="351"/>
      <c r="GH75" s="351"/>
      <c r="GI75" s="351"/>
      <c r="GJ75" s="351"/>
      <c r="GK75" s="351"/>
      <c r="GL75" s="351"/>
      <c r="GM75" s="351"/>
      <c r="GN75" s="351"/>
      <c r="GO75" s="351"/>
      <c r="GP75" s="351"/>
      <c r="GQ75" s="351"/>
      <c r="GR75" s="351"/>
      <c r="GS75" s="351"/>
      <c r="GT75" s="351"/>
      <c r="GU75" s="351"/>
      <c r="GV75" s="351"/>
      <c r="GW75" s="351"/>
      <c r="GX75" s="351"/>
      <c r="GY75" s="351"/>
      <c r="GZ75" s="351"/>
      <c r="HA75" s="351"/>
      <c r="HB75" s="351"/>
      <c r="HC75" s="351"/>
      <c r="HD75" s="351"/>
      <c r="HE75" s="351"/>
      <c r="HF75" s="351"/>
      <c r="HG75" s="351"/>
      <c r="HH75" s="351"/>
      <c r="HI75" s="351"/>
      <c r="HJ75" s="351"/>
      <c r="HK75" s="351"/>
      <c r="HL75" s="351"/>
      <c r="HM75" s="351"/>
      <c r="HN75" s="351"/>
      <c r="HO75" s="351"/>
      <c r="HP75" s="351"/>
      <c r="HQ75" s="351"/>
      <c r="HR75" s="351"/>
      <c r="HS75" s="351"/>
      <c r="HT75" s="351"/>
      <c r="HU75" s="351"/>
      <c r="HV75" s="351"/>
      <c r="HW75" s="351"/>
      <c r="HX75" s="351"/>
      <c r="HY75" s="351"/>
      <c r="HZ75" s="351"/>
      <c r="IA75" s="351"/>
      <c r="IB75" s="351"/>
      <c r="IC75" s="351"/>
      <c r="ID75" s="351"/>
      <c r="IE75" s="351"/>
      <c r="IF75" s="351"/>
      <c r="IG75" s="351"/>
      <c r="IH75" s="351"/>
      <c r="II75" s="351"/>
      <c r="IJ75" s="351"/>
      <c r="IK75" s="351"/>
      <c r="IL75" s="351"/>
      <c r="IM75" s="351"/>
      <c r="IN75" s="351"/>
      <c r="IO75" s="351"/>
      <c r="IP75" s="351"/>
      <c r="IQ75" s="351"/>
      <c r="IR75" s="351"/>
      <c r="IS75" s="351"/>
      <c r="IT75" s="351"/>
      <c r="IU75" s="351"/>
    </row>
    <row r="76" spans="1:255">
      <c r="A76" s="351"/>
      <c r="B76" s="351"/>
      <c r="C76" s="351"/>
      <c r="D76" s="351"/>
      <c r="E76" s="380"/>
      <c r="F76" s="351"/>
      <c r="G76" s="351"/>
      <c r="H76" s="351"/>
      <c r="I76" s="351"/>
      <c r="J76" s="351"/>
      <c r="K76" s="351"/>
      <c r="L76" s="351"/>
      <c r="M76" s="351"/>
      <c r="N76" s="351"/>
      <c r="O76" s="351"/>
      <c r="P76" s="351"/>
      <c r="Q76" s="351"/>
      <c r="R76" s="352"/>
      <c r="S76" s="351"/>
      <c r="T76" s="351"/>
      <c r="U76" s="351"/>
      <c r="V76" s="351"/>
      <c r="W76" s="351"/>
      <c r="X76" s="351"/>
      <c r="Y76" s="351"/>
      <c r="Z76" s="351"/>
      <c r="AA76" s="351"/>
      <c r="AB76" s="351"/>
      <c r="AC76" s="351"/>
      <c r="AD76" s="351"/>
      <c r="AE76" s="351"/>
      <c r="AF76" s="351"/>
      <c r="AG76" s="351"/>
      <c r="AH76" s="351"/>
      <c r="AI76" s="351"/>
      <c r="AJ76" s="351"/>
      <c r="AK76" s="351"/>
      <c r="AL76" s="351"/>
      <c r="AM76" s="351"/>
      <c r="AN76" s="351"/>
      <c r="AO76" s="351"/>
      <c r="AP76" s="351"/>
      <c r="AQ76" s="351"/>
      <c r="AR76" s="351"/>
      <c r="AS76" s="351"/>
      <c r="AT76" s="351"/>
      <c r="AU76" s="351"/>
      <c r="AV76" s="351"/>
      <c r="AW76" s="351"/>
      <c r="AX76" s="351"/>
      <c r="AY76" s="351"/>
      <c r="AZ76" s="351"/>
      <c r="BA76" s="351"/>
      <c r="BB76" s="351"/>
      <c r="BC76" s="351"/>
      <c r="BD76" s="351"/>
      <c r="BE76" s="351"/>
      <c r="BF76" s="351"/>
      <c r="BG76" s="351"/>
      <c r="BH76" s="351"/>
      <c r="BI76" s="351"/>
      <c r="BJ76" s="351"/>
      <c r="BK76" s="351"/>
      <c r="BL76" s="351"/>
      <c r="BM76" s="351"/>
      <c r="BN76" s="351"/>
      <c r="BO76" s="351"/>
      <c r="BP76" s="351"/>
      <c r="BQ76" s="351"/>
      <c r="BR76" s="351"/>
      <c r="BS76" s="351"/>
      <c r="BT76" s="351"/>
      <c r="BU76" s="351"/>
      <c r="BV76" s="351"/>
      <c r="BW76" s="351"/>
      <c r="BX76" s="351"/>
      <c r="BY76" s="351"/>
      <c r="BZ76" s="351"/>
      <c r="CA76" s="351"/>
      <c r="CB76" s="351"/>
      <c r="CC76" s="351"/>
      <c r="CD76" s="351"/>
      <c r="CE76" s="351"/>
      <c r="CF76" s="351"/>
      <c r="CG76" s="351"/>
      <c r="CH76" s="351"/>
      <c r="CI76" s="351"/>
      <c r="CJ76" s="351"/>
      <c r="CK76" s="351"/>
      <c r="CL76" s="351"/>
      <c r="CM76" s="351"/>
      <c r="CN76" s="351"/>
      <c r="CO76" s="351"/>
      <c r="CP76" s="351"/>
      <c r="CQ76" s="351"/>
      <c r="CR76" s="351"/>
      <c r="CS76" s="351"/>
      <c r="CT76" s="351"/>
      <c r="CU76" s="351"/>
      <c r="CV76" s="351"/>
      <c r="CW76" s="351"/>
      <c r="CX76" s="351"/>
      <c r="CY76" s="351"/>
      <c r="CZ76" s="351"/>
      <c r="DA76" s="351"/>
      <c r="DB76" s="351"/>
      <c r="DC76" s="351"/>
      <c r="DD76" s="351"/>
      <c r="DE76" s="351"/>
      <c r="DF76" s="351"/>
      <c r="DG76" s="351"/>
      <c r="DH76" s="351"/>
      <c r="DI76" s="351"/>
      <c r="DJ76" s="351"/>
      <c r="DK76" s="351"/>
      <c r="DL76" s="351"/>
      <c r="DM76" s="351"/>
      <c r="DN76" s="351"/>
      <c r="DO76" s="351"/>
      <c r="DP76" s="351"/>
      <c r="DQ76" s="351"/>
      <c r="DR76" s="351"/>
      <c r="DS76" s="351"/>
      <c r="DT76" s="351"/>
      <c r="DU76" s="351"/>
      <c r="DV76" s="351"/>
      <c r="DW76" s="351"/>
      <c r="DX76" s="351"/>
      <c r="DY76" s="351"/>
      <c r="DZ76" s="351"/>
      <c r="EA76" s="351"/>
      <c r="EB76" s="351"/>
      <c r="EC76" s="351"/>
      <c r="ED76" s="351"/>
      <c r="EE76" s="351"/>
      <c r="EF76" s="351"/>
      <c r="EG76" s="351"/>
      <c r="EH76" s="351"/>
      <c r="EI76" s="351"/>
      <c r="EJ76" s="351"/>
      <c r="EK76" s="351"/>
      <c r="EL76" s="351"/>
      <c r="EM76" s="351"/>
      <c r="EN76" s="351"/>
      <c r="EO76" s="351"/>
      <c r="EP76" s="351"/>
      <c r="EQ76" s="351"/>
      <c r="ER76" s="351"/>
      <c r="ES76" s="351"/>
      <c r="ET76" s="351"/>
      <c r="EU76" s="351"/>
      <c r="EV76" s="351"/>
      <c r="EW76" s="351"/>
      <c r="EX76" s="351"/>
      <c r="EY76" s="351"/>
      <c r="EZ76" s="351"/>
      <c r="FA76" s="351"/>
      <c r="FB76" s="351"/>
      <c r="FC76" s="351"/>
      <c r="FD76" s="351"/>
      <c r="FE76" s="351"/>
      <c r="FF76" s="351"/>
      <c r="FG76" s="351"/>
      <c r="FH76" s="351"/>
      <c r="FI76" s="351"/>
      <c r="FJ76" s="351"/>
      <c r="FK76" s="351"/>
      <c r="FL76" s="351"/>
      <c r="FM76" s="351"/>
      <c r="FN76" s="351"/>
      <c r="FO76" s="351"/>
      <c r="FP76" s="351"/>
      <c r="FQ76" s="351"/>
      <c r="FR76" s="351"/>
      <c r="FS76" s="351"/>
      <c r="FT76" s="351"/>
      <c r="FU76" s="351"/>
      <c r="FV76" s="351"/>
      <c r="FW76" s="351"/>
      <c r="FX76" s="351"/>
      <c r="FY76" s="351"/>
      <c r="FZ76" s="351"/>
      <c r="GA76" s="351"/>
      <c r="GB76" s="351"/>
      <c r="GC76" s="351"/>
      <c r="GD76" s="351"/>
      <c r="GE76" s="351"/>
      <c r="GF76" s="351"/>
      <c r="GG76" s="351"/>
      <c r="GH76" s="351"/>
      <c r="GI76" s="351"/>
      <c r="GJ76" s="351"/>
      <c r="GK76" s="351"/>
      <c r="GL76" s="351"/>
      <c r="GM76" s="351"/>
      <c r="GN76" s="351"/>
      <c r="GO76" s="351"/>
      <c r="GP76" s="351"/>
      <c r="GQ76" s="351"/>
      <c r="GR76" s="351"/>
      <c r="GS76" s="351"/>
      <c r="GT76" s="351"/>
      <c r="GU76" s="351"/>
      <c r="GV76" s="351"/>
      <c r="GW76" s="351"/>
      <c r="GX76" s="351"/>
      <c r="GY76" s="351"/>
      <c r="GZ76" s="351"/>
      <c r="HA76" s="351"/>
      <c r="HB76" s="351"/>
      <c r="HC76" s="351"/>
      <c r="HD76" s="351"/>
      <c r="HE76" s="351"/>
      <c r="HF76" s="351"/>
      <c r="HG76" s="351"/>
      <c r="HH76" s="351"/>
      <c r="HI76" s="351"/>
      <c r="HJ76" s="351"/>
      <c r="HK76" s="351"/>
      <c r="HL76" s="351"/>
      <c r="HM76" s="351"/>
      <c r="HN76" s="351"/>
      <c r="HO76" s="351"/>
      <c r="HP76" s="351"/>
      <c r="HQ76" s="351"/>
      <c r="HR76" s="351"/>
      <c r="HS76" s="351"/>
      <c r="HT76" s="351"/>
      <c r="HU76" s="351"/>
      <c r="HV76" s="351"/>
      <c r="HW76" s="351"/>
      <c r="HX76" s="351"/>
      <c r="HY76" s="351"/>
      <c r="HZ76" s="351"/>
      <c r="IA76" s="351"/>
      <c r="IB76" s="351"/>
      <c r="IC76" s="351"/>
      <c r="ID76" s="351"/>
      <c r="IE76" s="351"/>
      <c r="IF76" s="351"/>
      <c r="IG76" s="351"/>
      <c r="IH76" s="351"/>
      <c r="II76" s="351"/>
      <c r="IJ76" s="351"/>
      <c r="IK76" s="351"/>
      <c r="IL76" s="351"/>
      <c r="IM76" s="351"/>
      <c r="IN76" s="351"/>
      <c r="IO76" s="351"/>
      <c r="IP76" s="351"/>
      <c r="IQ76" s="351"/>
      <c r="IR76" s="351"/>
      <c r="IS76" s="351"/>
      <c r="IT76" s="351"/>
      <c r="IU76" s="351"/>
    </row>
    <row r="77" spans="1:255">
      <c r="A77" s="351"/>
      <c r="B77" s="351"/>
      <c r="C77" s="351"/>
      <c r="D77" s="351"/>
      <c r="E77" s="380"/>
      <c r="F77" s="351"/>
      <c r="G77" s="351"/>
      <c r="H77" s="351"/>
      <c r="I77" s="351"/>
      <c r="J77" s="351"/>
      <c r="K77" s="351"/>
      <c r="L77" s="351"/>
      <c r="M77" s="351"/>
      <c r="N77" s="351"/>
      <c r="O77" s="351"/>
      <c r="P77" s="351"/>
      <c r="Q77" s="351"/>
      <c r="R77" s="352"/>
      <c r="S77" s="351"/>
      <c r="T77" s="351"/>
      <c r="U77" s="351"/>
      <c r="V77" s="351"/>
      <c r="W77" s="351"/>
      <c r="X77" s="351"/>
      <c r="Y77" s="351"/>
      <c r="Z77" s="351"/>
      <c r="AA77" s="351"/>
      <c r="AB77" s="351"/>
      <c r="AC77" s="351"/>
      <c r="AD77" s="351"/>
      <c r="AE77" s="351"/>
      <c r="AF77" s="351"/>
      <c r="AG77" s="351"/>
      <c r="AH77" s="351"/>
      <c r="AI77" s="351"/>
      <c r="AJ77" s="351"/>
      <c r="AK77" s="351"/>
      <c r="AL77" s="351"/>
      <c r="AM77" s="351"/>
      <c r="AN77" s="351"/>
      <c r="AO77" s="351"/>
      <c r="AP77" s="351"/>
      <c r="AQ77" s="351"/>
      <c r="AR77" s="351"/>
      <c r="AS77" s="351"/>
      <c r="AT77" s="351"/>
      <c r="AU77" s="351"/>
      <c r="AV77" s="351"/>
      <c r="AW77" s="351"/>
      <c r="AX77" s="351"/>
      <c r="AY77" s="351"/>
      <c r="AZ77" s="351"/>
      <c r="BA77" s="351"/>
      <c r="BB77" s="351"/>
      <c r="BC77" s="351"/>
      <c r="BD77" s="351"/>
      <c r="BE77" s="351"/>
      <c r="BF77" s="351"/>
      <c r="BG77" s="351"/>
      <c r="BH77" s="351"/>
      <c r="BI77" s="351"/>
      <c r="BJ77" s="351"/>
      <c r="BK77" s="351"/>
      <c r="BL77" s="351"/>
      <c r="BM77" s="351"/>
      <c r="BN77" s="351"/>
      <c r="BO77" s="351"/>
      <c r="BP77" s="351"/>
      <c r="BQ77" s="351"/>
      <c r="BR77" s="351"/>
      <c r="BS77" s="351"/>
      <c r="BT77" s="351"/>
      <c r="BU77" s="351"/>
      <c r="BV77" s="351"/>
      <c r="BW77" s="351"/>
      <c r="BX77" s="351"/>
      <c r="BY77" s="351"/>
      <c r="BZ77" s="351"/>
      <c r="CA77" s="351"/>
      <c r="CB77" s="351"/>
      <c r="CC77" s="351"/>
      <c r="CD77" s="351"/>
      <c r="CE77" s="351"/>
      <c r="CF77" s="351"/>
      <c r="CG77" s="351"/>
      <c r="CH77" s="351"/>
      <c r="CI77" s="351"/>
      <c r="CJ77" s="351"/>
      <c r="CK77" s="351"/>
      <c r="CL77" s="351"/>
      <c r="CM77" s="351"/>
      <c r="CN77" s="351"/>
      <c r="CO77" s="351"/>
      <c r="CP77" s="351"/>
      <c r="CQ77" s="351"/>
      <c r="CR77" s="351"/>
      <c r="CS77" s="351"/>
      <c r="CT77" s="351"/>
      <c r="CU77" s="351"/>
      <c r="CV77" s="351"/>
      <c r="CW77" s="351"/>
      <c r="CX77" s="351"/>
      <c r="CY77" s="351"/>
      <c r="CZ77" s="351"/>
      <c r="DA77" s="351"/>
      <c r="DB77" s="351"/>
      <c r="DC77" s="351"/>
      <c r="DD77" s="351"/>
      <c r="DE77" s="351"/>
      <c r="DF77" s="351"/>
      <c r="DG77" s="351"/>
      <c r="DH77" s="351"/>
      <c r="DI77" s="351"/>
      <c r="DJ77" s="351"/>
      <c r="DK77" s="351"/>
      <c r="DL77" s="351"/>
      <c r="DM77" s="351"/>
      <c r="DN77" s="351"/>
      <c r="DO77" s="351"/>
      <c r="DP77" s="351"/>
      <c r="DQ77" s="351"/>
      <c r="DR77" s="351"/>
      <c r="DS77" s="351"/>
      <c r="DT77" s="351"/>
      <c r="DU77" s="351"/>
      <c r="DV77" s="351"/>
      <c r="DW77" s="351"/>
      <c r="DX77" s="351"/>
      <c r="DY77" s="351"/>
      <c r="DZ77" s="351"/>
      <c r="EA77" s="351"/>
      <c r="EB77" s="351"/>
      <c r="EC77" s="351"/>
      <c r="ED77" s="351"/>
      <c r="EE77" s="351"/>
      <c r="EF77" s="351"/>
      <c r="EG77" s="351"/>
      <c r="EH77" s="351"/>
      <c r="EI77" s="351"/>
      <c r="EJ77" s="351"/>
      <c r="EK77" s="351"/>
      <c r="EL77" s="351"/>
      <c r="EM77" s="351"/>
      <c r="EN77" s="351"/>
      <c r="EO77" s="351"/>
      <c r="EP77" s="351"/>
      <c r="EQ77" s="351"/>
      <c r="ER77" s="351"/>
      <c r="ES77" s="351"/>
      <c r="ET77" s="351"/>
      <c r="EU77" s="351"/>
      <c r="EV77" s="351"/>
      <c r="EW77" s="351"/>
      <c r="EX77" s="351"/>
      <c r="EY77" s="351"/>
      <c r="EZ77" s="351"/>
      <c r="FA77" s="351"/>
      <c r="FB77" s="351"/>
      <c r="FC77" s="351"/>
      <c r="FD77" s="351"/>
      <c r="FE77" s="351"/>
      <c r="FF77" s="351"/>
      <c r="FG77" s="351"/>
      <c r="FH77" s="351"/>
      <c r="FI77" s="351"/>
      <c r="FJ77" s="351"/>
      <c r="FK77" s="351"/>
      <c r="FL77" s="351"/>
      <c r="FM77" s="351"/>
      <c r="FN77" s="351"/>
      <c r="FO77" s="351"/>
      <c r="FP77" s="351"/>
      <c r="FQ77" s="351"/>
      <c r="FR77" s="351"/>
      <c r="FS77" s="351"/>
      <c r="FT77" s="351"/>
      <c r="FU77" s="351"/>
      <c r="FV77" s="351"/>
      <c r="FW77" s="351"/>
      <c r="FX77" s="351"/>
      <c r="FY77" s="351"/>
      <c r="FZ77" s="351"/>
      <c r="GA77" s="351"/>
      <c r="GB77" s="351"/>
      <c r="GC77" s="351"/>
      <c r="GD77" s="351"/>
      <c r="GE77" s="351"/>
      <c r="GF77" s="351"/>
      <c r="GG77" s="351"/>
      <c r="GH77" s="351"/>
      <c r="GI77" s="351"/>
      <c r="GJ77" s="351"/>
      <c r="GK77" s="351"/>
      <c r="GL77" s="351"/>
      <c r="GM77" s="351"/>
      <c r="GN77" s="351"/>
      <c r="GO77" s="351"/>
      <c r="GP77" s="351"/>
      <c r="GQ77" s="351"/>
      <c r="GR77" s="351"/>
      <c r="GS77" s="351"/>
      <c r="GT77" s="351"/>
      <c r="GU77" s="351"/>
      <c r="GV77" s="351"/>
      <c r="GW77" s="351"/>
      <c r="GX77" s="351"/>
      <c r="GY77" s="351"/>
      <c r="GZ77" s="351"/>
      <c r="HA77" s="351"/>
      <c r="HB77" s="351"/>
      <c r="HC77" s="351"/>
      <c r="HD77" s="351"/>
      <c r="HE77" s="351"/>
      <c r="HF77" s="351"/>
      <c r="HG77" s="351"/>
      <c r="HH77" s="351"/>
      <c r="HI77" s="351"/>
      <c r="HJ77" s="351"/>
      <c r="HK77" s="351"/>
      <c r="HL77" s="351"/>
      <c r="HM77" s="351"/>
      <c r="HN77" s="351"/>
      <c r="HO77" s="351"/>
      <c r="HP77" s="351"/>
      <c r="HQ77" s="351"/>
      <c r="HR77" s="351"/>
      <c r="HS77" s="351"/>
      <c r="HT77" s="351"/>
      <c r="HU77" s="351"/>
      <c r="HV77" s="351"/>
      <c r="HW77" s="351"/>
      <c r="HX77" s="351"/>
      <c r="HY77" s="351"/>
      <c r="HZ77" s="351"/>
      <c r="IA77" s="351"/>
      <c r="IB77" s="351"/>
      <c r="IC77" s="351"/>
      <c r="ID77" s="351"/>
      <c r="IE77" s="351"/>
      <c r="IF77" s="351"/>
      <c r="IG77" s="351"/>
      <c r="IH77" s="351"/>
      <c r="II77" s="351"/>
      <c r="IJ77" s="351"/>
      <c r="IK77" s="351"/>
      <c r="IL77" s="351"/>
      <c r="IM77" s="351"/>
      <c r="IN77" s="351"/>
      <c r="IO77" s="351"/>
      <c r="IP77" s="351"/>
      <c r="IQ77" s="351"/>
      <c r="IR77" s="351"/>
      <c r="IS77" s="351"/>
      <c r="IT77" s="351"/>
      <c r="IU77" s="351"/>
    </row>
    <row r="78" spans="1:255">
      <c r="A78" s="351"/>
      <c r="B78" s="351"/>
      <c r="C78" s="351"/>
      <c r="D78" s="351"/>
      <c r="E78" s="380"/>
      <c r="F78" s="351"/>
      <c r="G78" s="351"/>
      <c r="H78" s="351"/>
      <c r="I78" s="351"/>
      <c r="J78" s="351"/>
      <c r="K78" s="351"/>
      <c r="L78" s="351"/>
      <c r="M78" s="351"/>
      <c r="N78" s="351"/>
      <c r="O78" s="351"/>
      <c r="P78" s="351"/>
      <c r="Q78" s="351"/>
      <c r="R78" s="352"/>
      <c r="S78" s="351"/>
      <c r="T78" s="351"/>
      <c r="U78" s="351"/>
      <c r="V78" s="351"/>
      <c r="W78" s="351"/>
      <c r="X78" s="351"/>
      <c r="Y78" s="351"/>
      <c r="Z78" s="351"/>
      <c r="AA78" s="351"/>
      <c r="AB78" s="351"/>
      <c r="AC78" s="351"/>
      <c r="AD78" s="351"/>
      <c r="AE78" s="351"/>
      <c r="AF78" s="351"/>
      <c r="AG78" s="351"/>
      <c r="AH78" s="351"/>
      <c r="AI78" s="351"/>
      <c r="AJ78" s="351"/>
      <c r="AK78" s="351"/>
      <c r="AL78" s="351"/>
      <c r="AM78" s="351"/>
      <c r="AN78" s="351"/>
      <c r="AO78" s="351"/>
      <c r="AP78" s="351"/>
      <c r="AQ78" s="351"/>
      <c r="AR78" s="351"/>
      <c r="AS78" s="351"/>
      <c r="AT78" s="351"/>
      <c r="AU78" s="351"/>
      <c r="AV78" s="351"/>
      <c r="AW78" s="351"/>
      <c r="AX78" s="351"/>
      <c r="AY78" s="351"/>
      <c r="AZ78" s="351"/>
      <c r="BA78" s="351"/>
      <c r="BB78" s="351"/>
      <c r="BC78" s="351"/>
      <c r="BD78" s="351"/>
      <c r="BE78" s="351"/>
      <c r="BF78" s="351"/>
      <c r="BG78" s="351"/>
      <c r="BH78" s="351"/>
      <c r="BI78" s="351"/>
      <c r="BJ78" s="351"/>
      <c r="BK78" s="351"/>
      <c r="BL78" s="351"/>
      <c r="BM78" s="351"/>
      <c r="BN78" s="351"/>
      <c r="BO78" s="351"/>
      <c r="BP78" s="351"/>
      <c r="BQ78" s="351"/>
      <c r="BR78" s="351"/>
      <c r="BS78" s="351"/>
      <c r="BT78" s="351"/>
      <c r="BU78" s="351"/>
      <c r="BV78" s="351"/>
      <c r="BW78" s="351"/>
      <c r="BX78" s="351"/>
      <c r="BY78" s="351"/>
      <c r="BZ78" s="351"/>
      <c r="CA78" s="351"/>
      <c r="CB78" s="351"/>
      <c r="CC78" s="351"/>
      <c r="CD78" s="351"/>
      <c r="CE78" s="351"/>
      <c r="CF78" s="351"/>
      <c r="CG78" s="351"/>
      <c r="CH78" s="351"/>
      <c r="CI78" s="351"/>
      <c r="CJ78" s="351"/>
      <c r="CK78" s="351"/>
      <c r="CL78" s="351"/>
      <c r="CM78" s="351"/>
      <c r="CN78" s="351"/>
      <c r="CO78" s="351"/>
      <c r="CP78" s="351"/>
      <c r="CQ78" s="351"/>
      <c r="CR78" s="351"/>
      <c r="CS78" s="351"/>
      <c r="CT78" s="351"/>
      <c r="CU78" s="351"/>
      <c r="CV78" s="351"/>
      <c r="CW78" s="351"/>
      <c r="CX78" s="351"/>
      <c r="CY78" s="351"/>
      <c r="CZ78" s="351"/>
      <c r="DA78" s="351"/>
      <c r="DB78" s="351"/>
      <c r="DC78" s="351"/>
      <c r="DD78" s="351"/>
      <c r="DE78" s="351"/>
      <c r="DF78" s="351"/>
      <c r="DG78" s="351"/>
      <c r="DH78" s="351"/>
      <c r="DI78" s="351"/>
      <c r="DJ78" s="351"/>
      <c r="DK78" s="351"/>
      <c r="DL78" s="351"/>
      <c r="DM78" s="351"/>
      <c r="DN78" s="351"/>
      <c r="DO78" s="351"/>
      <c r="DP78" s="351"/>
      <c r="DQ78" s="351"/>
      <c r="DR78" s="351"/>
      <c r="DS78" s="351"/>
      <c r="DT78" s="351"/>
      <c r="DU78" s="351"/>
      <c r="DV78" s="351"/>
      <c r="DW78" s="351"/>
      <c r="DX78" s="351"/>
      <c r="DY78" s="351"/>
      <c r="DZ78" s="351"/>
      <c r="EA78" s="351"/>
      <c r="EB78" s="351"/>
      <c r="EC78" s="351"/>
      <c r="ED78" s="351"/>
      <c r="EE78" s="351"/>
      <c r="EF78" s="351"/>
      <c r="EG78" s="351"/>
      <c r="EH78" s="351"/>
      <c r="EI78" s="351"/>
      <c r="EJ78" s="351"/>
      <c r="EK78" s="351"/>
      <c r="EL78" s="351"/>
      <c r="EM78" s="351"/>
      <c r="EN78" s="351"/>
      <c r="EO78" s="351"/>
      <c r="EP78" s="351"/>
      <c r="EQ78" s="351"/>
      <c r="ER78" s="351"/>
      <c r="ES78" s="351"/>
      <c r="ET78" s="351"/>
      <c r="EU78" s="351"/>
      <c r="EV78" s="351"/>
      <c r="EW78" s="351"/>
      <c r="EX78" s="351"/>
      <c r="EY78" s="351"/>
      <c r="EZ78" s="351"/>
      <c r="FA78" s="351"/>
      <c r="FB78" s="351"/>
      <c r="FC78" s="351"/>
      <c r="FD78" s="351"/>
      <c r="FE78" s="351"/>
      <c r="FF78" s="351"/>
      <c r="FG78" s="351"/>
      <c r="FH78" s="351"/>
      <c r="FI78" s="351"/>
      <c r="FJ78" s="351"/>
      <c r="FK78" s="351"/>
      <c r="FL78" s="351"/>
      <c r="FM78" s="351"/>
      <c r="FN78" s="351"/>
      <c r="FO78" s="351"/>
      <c r="FP78" s="351"/>
      <c r="FQ78" s="351"/>
      <c r="FR78" s="351"/>
      <c r="FS78" s="351"/>
      <c r="FT78" s="351"/>
      <c r="FU78" s="351"/>
      <c r="FV78" s="351"/>
      <c r="FW78" s="351"/>
      <c r="FX78" s="351"/>
      <c r="FY78" s="351"/>
      <c r="FZ78" s="351"/>
      <c r="GA78" s="351"/>
      <c r="GB78" s="351"/>
      <c r="GC78" s="351"/>
      <c r="GD78" s="351"/>
      <c r="GE78" s="351"/>
      <c r="GF78" s="351"/>
      <c r="GG78" s="351"/>
      <c r="GH78" s="351"/>
      <c r="GI78" s="351"/>
      <c r="GJ78" s="351"/>
      <c r="GK78" s="351"/>
      <c r="GL78" s="351"/>
      <c r="GM78" s="351"/>
      <c r="GN78" s="351"/>
      <c r="GO78" s="351"/>
      <c r="GP78" s="351"/>
      <c r="GQ78" s="351"/>
      <c r="GR78" s="351"/>
      <c r="GS78" s="351"/>
      <c r="GT78" s="351"/>
      <c r="GU78" s="351"/>
      <c r="GV78" s="351"/>
      <c r="GW78" s="351"/>
      <c r="GX78" s="351"/>
      <c r="GY78" s="351"/>
      <c r="GZ78" s="351"/>
      <c r="HA78" s="351"/>
      <c r="HB78" s="351"/>
      <c r="HC78" s="351"/>
      <c r="HD78" s="351"/>
      <c r="HE78" s="351"/>
      <c r="HF78" s="351"/>
      <c r="HG78" s="351"/>
      <c r="HH78" s="351"/>
      <c r="HI78" s="351"/>
      <c r="HJ78" s="351"/>
      <c r="HK78" s="351"/>
      <c r="HL78" s="351"/>
      <c r="HM78" s="351"/>
      <c r="HN78" s="351"/>
      <c r="HO78" s="351"/>
      <c r="HP78" s="351"/>
      <c r="HQ78" s="351"/>
      <c r="HR78" s="351"/>
      <c r="HS78" s="351"/>
      <c r="HT78" s="351"/>
      <c r="HU78" s="351"/>
      <c r="HV78" s="351"/>
      <c r="HW78" s="351"/>
      <c r="HX78" s="351"/>
      <c r="HY78" s="351"/>
      <c r="HZ78" s="351"/>
      <c r="IA78" s="351"/>
      <c r="IB78" s="351"/>
      <c r="IC78" s="351"/>
      <c r="ID78" s="351"/>
      <c r="IE78" s="351"/>
      <c r="IF78" s="351"/>
      <c r="IG78" s="351"/>
      <c r="IH78" s="351"/>
      <c r="II78" s="351"/>
      <c r="IJ78" s="351"/>
      <c r="IK78" s="351"/>
      <c r="IL78" s="351"/>
      <c r="IM78" s="351"/>
      <c r="IN78" s="351"/>
      <c r="IO78" s="351"/>
      <c r="IP78" s="351"/>
      <c r="IQ78" s="351"/>
      <c r="IR78" s="351"/>
      <c r="IS78" s="351"/>
      <c r="IT78" s="351"/>
      <c r="IU78" s="351"/>
    </row>
    <row r="79" spans="1:255">
      <c r="A79" s="351"/>
      <c r="B79" s="351"/>
      <c r="C79" s="351"/>
      <c r="D79" s="351"/>
      <c r="E79" s="380"/>
      <c r="F79" s="351"/>
      <c r="G79" s="351"/>
      <c r="H79" s="351"/>
      <c r="I79" s="351"/>
      <c r="J79" s="351"/>
      <c r="K79" s="351"/>
      <c r="L79" s="351"/>
      <c r="M79" s="351"/>
      <c r="N79" s="351"/>
      <c r="O79" s="351"/>
      <c r="P79" s="351"/>
      <c r="Q79" s="351"/>
      <c r="R79" s="352"/>
      <c r="S79" s="351"/>
      <c r="T79" s="351"/>
      <c r="U79" s="351"/>
      <c r="V79" s="351"/>
      <c r="W79" s="351"/>
      <c r="X79" s="351"/>
      <c r="Y79" s="351"/>
      <c r="Z79" s="351"/>
      <c r="AA79" s="351"/>
      <c r="AB79" s="351"/>
      <c r="AC79" s="351"/>
      <c r="AD79" s="351"/>
      <c r="AE79" s="351"/>
      <c r="AF79" s="351"/>
      <c r="AG79" s="351"/>
      <c r="AH79" s="351"/>
      <c r="AI79" s="351"/>
      <c r="AJ79" s="351"/>
      <c r="AK79" s="351"/>
      <c r="AL79" s="351"/>
      <c r="AM79" s="351"/>
      <c r="AN79" s="351"/>
      <c r="AO79" s="351"/>
      <c r="AP79" s="351"/>
      <c r="AQ79" s="351"/>
      <c r="AR79" s="351"/>
      <c r="AS79" s="351"/>
      <c r="AT79" s="351"/>
      <c r="AU79" s="351"/>
      <c r="AV79" s="351"/>
      <c r="AW79" s="351"/>
      <c r="AX79" s="351"/>
      <c r="AY79" s="351"/>
      <c r="AZ79" s="351"/>
      <c r="BA79" s="351"/>
      <c r="BB79" s="351"/>
      <c r="BC79" s="351"/>
      <c r="BD79" s="351"/>
      <c r="BE79" s="351"/>
      <c r="BF79" s="351"/>
      <c r="BG79" s="351"/>
      <c r="BH79" s="351"/>
      <c r="BI79" s="351"/>
      <c r="BJ79" s="351"/>
      <c r="BK79" s="351"/>
      <c r="BL79" s="351"/>
      <c r="BM79" s="351"/>
      <c r="BN79" s="351"/>
      <c r="BO79" s="351"/>
      <c r="BP79" s="351"/>
      <c r="BQ79" s="351"/>
      <c r="BR79" s="351"/>
      <c r="BS79" s="351"/>
      <c r="BT79" s="351"/>
      <c r="BU79" s="351"/>
      <c r="BV79" s="351"/>
      <c r="BW79" s="351"/>
      <c r="BX79" s="351"/>
      <c r="BY79" s="351"/>
      <c r="BZ79" s="351"/>
      <c r="CA79" s="351"/>
      <c r="CB79" s="351"/>
      <c r="CC79" s="351"/>
      <c r="CD79" s="351"/>
      <c r="CE79" s="351"/>
      <c r="CF79" s="351"/>
      <c r="CG79" s="351"/>
      <c r="CH79" s="351"/>
      <c r="CI79" s="351"/>
      <c r="CJ79" s="351"/>
      <c r="CK79" s="351"/>
      <c r="CL79" s="351"/>
      <c r="CM79" s="351"/>
      <c r="CN79" s="351"/>
      <c r="CO79" s="351"/>
      <c r="CP79" s="351"/>
      <c r="CQ79" s="351"/>
      <c r="CR79" s="351"/>
      <c r="CS79" s="351"/>
      <c r="CT79" s="351"/>
      <c r="CU79" s="351"/>
      <c r="CV79" s="351"/>
      <c r="CW79" s="351"/>
      <c r="CX79" s="351"/>
      <c r="CY79" s="351"/>
      <c r="CZ79" s="351"/>
      <c r="DA79" s="351"/>
      <c r="DB79" s="351"/>
      <c r="DC79" s="351"/>
      <c r="DD79" s="351"/>
      <c r="DE79" s="351"/>
      <c r="DF79" s="351"/>
      <c r="DG79" s="351"/>
      <c r="DH79" s="351"/>
      <c r="DI79" s="351"/>
      <c r="DJ79" s="351"/>
      <c r="DK79" s="351"/>
      <c r="DL79" s="351"/>
      <c r="DM79" s="351"/>
      <c r="DN79" s="351"/>
      <c r="DO79" s="351"/>
      <c r="DP79" s="351"/>
      <c r="DQ79" s="351"/>
      <c r="DR79" s="351"/>
      <c r="DS79" s="351"/>
      <c r="DT79" s="351"/>
      <c r="DU79" s="351"/>
      <c r="DV79" s="351"/>
      <c r="DW79" s="351"/>
      <c r="DX79" s="351"/>
      <c r="DY79" s="351"/>
      <c r="DZ79" s="351"/>
      <c r="EA79" s="351"/>
      <c r="EB79" s="351"/>
      <c r="EC79" s="351"/>
      <c r="ED79" s="351"/>
      <c r="EE79" s="351"/>
      <c r="EF79" s="351"/>
      <c r="EG79" s="351"/>
      <c r="EH79" s="351"/>
      <c r="EI79" s="351"/>
      <c r="EJ79" s="351"/>
      <c r="EK79" s="351"/>
      <c r="EL79" s="351"/>
      <c r="EM79" s="351"/>
      <c r="EN79" s="351"/>
      <c r="EO79" s="351"/>
      <c r="EP79" s="351"/>
      <c r="EQ79" s="351"/>
      <c r="ER79" s="351"/>
      <c r="ES79" s="351"/>
      <c r="ET79" s="351"/>
      <c r="EU79" s="351"/>
      <c r="EV79" s="351"/>
      <c r="EW79" s="351"/>
      <c r="EX79" s="351"/>
      <c r="EY79" s="351"/>
      <c r="EZ79" s="351"/>
      <c r="FA79" s="351"/>
      <c r="FB79" s="351"/>
      <c r="FC79" s="351"/>
      <c r="FD79" s="351"/>
      <c r="FE79" s="351"/>
      <c r="FF79" s="351"/>
      <c r="FG79" s="351"/>
      <c r="FH79" s="351"/>
      <c r="FI79" s="351"/>
      <c r="FJ79" s="351"/>
      <c r="FK79" s="351"/>
      <c r="FL79" s="351"/>
      <c r="FM79" s="351"/>
      <c r="FN79" s="351"/>
      <c r="FO79" s="351"/>
      <c r="FP79" s="351"/>
      <c r="FQ79" s="351"/>
      <c r="FR79" s="351"/>
      <c r="FS79" s="351"/>
      <c r="FT79" s="351"/>
      <c r="FU79" s="351"/>
      <c r="FV79" s="351"/>
      <c r="FW79" s="351"/>
      <c r="FX79" s="351"/>
      <c r="FY79" s="351"/>
      <c r="FZ79" s="351"/>
      <c r="GA79" s="351"/>
      <c r="GB79" s="351"/>
      <c r="GC79" s="351"/>
      <c r="GD79" s="351"/>
      <c r="GE79" s="351"/>
      <c r="GF79" s="351"/>
      <c r="GG79" s="351"/>
      <c r="GH79" s="351"/>
      <c r="GI79" s="351"/>
      <c r="GJ79" s="351"/>
      <c r="GK79" s="351"/>
      <c r="GL79" s="351"/>
      <c r="GM79" s="351"/>
      <c r="GN79" s="351"/>
      <c r="GO79" s="351"/>
      <c r="GP79" s="351"/>
      <c r="GQ79" s="351"/>
      <c r="GR79" s="351"/>
      <c r="GS79" s="351"/>
      <c r="GT79" s="351"/>
      <c r="GU79" s="351"/>
      <c r="GV79" s="351"/>
      <c r="GW79" s="351"/>
      <c r="GX79" s="351"/>
      <c r="GY79" s="351"/>
      <c r="GZ79" s="351"/>
      <c r="HA79" s="351"/>
      <c r="HB79" s="351"/>
      <c r="HC79" s="351"/>
      <c r="HD79" s="351"/>
      <c r="HE79" s="351"/>
      <c r="HF79" s="351"/>
      <c r="HG79" s="351"/>
      <c r="HH79" s="351"/>
      <c r="HI79" s="351"/>
      <c r="HJ79" s="351"/>
      <c r="HK79" s="351"/>
      <c r="HL79" s="351"/>
      <c r="HM79" s="351"/>
      <c r="HN79" s="351"/>
      <c r="HO79" s="351"/>
      <c r="HP79" s="351"/>
      <c r="HQ79" s="351"/>
      <c r="HR79" s="351"/>
      <c r="HS79" s="351"/>
      <c r="HT79" s="351"/>
      <c r="HU79" s="351"/>
      <c r="HV79" s="351"/>
      <c r="HW79" s="351"/>
      <c r="HX79" s="351"/>
      <c r="HY79" s="351"/>
      <c r="HZ79" s="351"/>
      <c r="IA79" s="351"/>
      <c r="IB79" s="351"/>
      <c r="IC79" s="351"/>
      <c r="ID79" s="351"/>
      <c r="IE79" s="351"/>
      <c r="IF79" s="351"/>
      <c r="IG79" s="351"/>
      <c r="IH79" s="351"/>
      <c r="II79" s="351"/>
      <c r="IJ79" s="351"/>
      <c r="IK79" s="351"/>
      <c r="IL79" s="351"/>
      <c r="IM79" s="351"/>
      <c r="IN79" s="351"/>
      <c r="IO79" s="351"/>
      <c r="IP79" s="351"/>
      <c r="IQ79" s="351"/>
      <c r="IR79" s="351"/>
      <c r="IS79" s="351"/>
      <c r="IT79" s="351"/>
      <c r="IU79" s="351"/>
    </row>
    <row r="80" spans="1:255">
      <c r="A80" s="351"/>
      <c r="B80" s="351"/>
      <c r="C80" s="351"/>
      <c r="D80" s="351"/>
      <c r="E80" s="380"/>
      <c r="F80" s="351"/>
      <c r="G80" s="351"/>
      <c r="H80" s="351"/>
      <c r="I80" s="351"/>
      <c r="J80" s="351"/>
      <c r="K80" s="351"/>
      <c r="L80" s="351"/>
      <c r="M80" s="351"/>
      <c r="N80" s="351"/>
      <c r="O80" s="351"/>
      <c r="P80" s="351"/>
      <c r="Q80" s="351"/>
      <c r="R80" s="352"/>
      <c r="S80" s="351"/>
      <c r="T80" s="351"/>
      <c r="U80" s="351"/>
      <c r="V80" s="351"/>
      <c r="W80" s="351"/>
      <c r="X80" s="351"/>
      <c r="Y80" s="351"/>
      <c r="Z80" s="351"/>
      <c r="AA80" s="351"/>
      <c r="AB80" s="351"/>
      <c r="AC80" s="351"/>
      <c r="AD80" s="351"/>
      <c r="AE80" s="351"/>
      <c r="AF80" s="351"/>
      <c r="AG80" s="351"/>
      <c r="AH80" s="351"/>
      <c r="AI80" s="351"/>
      <c r="AJ80" s="351"/>
      <c r="AK80" s="351"/>
      <c r="AL80" s="351"/>
      <c r="AM80" s="351"/>
      <c r="AN80" s="351"/>
      <c r="AO80" s="351"/>
      <c r="AP80" s="351"/>
      <c r="AQ80" s="351"/>
      <c r="AR80" s="351"/>
      <c r="AS80" s="351"/>
      <c r="AT80" s="351"/>
      <c r="AU80" s="351"/>
      <c r="AV80" s="351"/>
      <c r="AW80" s="351"/>
      <c r="AX80" s="351"/>
      <c r="AY80" s="351"/>
      <c r="AZ80" s="351"/>
      <c r="BA80" s="351"/>
      <c r="BB80" s="351"/>
      <c r="BC80" s="351"/>
      <c r="BD80" s="351"/>
      <c r="BE80" s="351"/>
      <c r="BF80" s="351"/>
      <c r="BG80" s="351"/>
      <c r="BH80" s="351"/>
      <c r="BI80" s="351"/>
      <c r="BJ80" s="351"/>
      <c r="BK80" s="351"/>
      <c r="BL80" s="351"/>
      <c r="BM80" s="351"/>
      <c r="BN80" s="351"/>
      <c r="BO80" s="351"/>
      <c r="BP80" s="351"/>
      <c r="BQ80" s="351"/>
      <c r="BR80" s="351"/>
      <c r="BS80" s="351"/>
      <c r="BT80" s="351"/>
      <c r="BU80" s="351"/>
      <c r="BV80" s="351"/>
      <c r="BW80" s="351"/>
      <c r="BX80" s="351"/>
      <c r="BY80" s="351"/>
      <c r="BZ80" s="351"/>
      <c r="CA80" s="351"/>
      <c r="CB80" s="351"/>
      <c r="CC80" s="351"/>
      <c r="CD80" s="351"/>
      <c r="CE80" s="351"/>
      <c r="CF80" s="351"/>
      <c r="CG80" s="351"/>
      <c r="CH80" s="351"/>
      <c r="CI80" s="351"/>
      <c r="CJ80" s="351"/>
      <c r="CK80" s="351"/>
      <c r="CL80" s="351"/>
      <c r="CM80" s="351"/>
      <c r="CN80" s="351"/>
      <c r="CO80" s="351"/>
      <c r="CP80" s="351"/>
      <c r="CQ80" s="351"/>
      <c r="CR80" s="351"/>
      <c r="CS80" s="351"/>
      <c r="CT80" s="351"/>
      <c r="CU80" s="351"/>
      <c r="CV80" s="351"/>
      <c r="CW80" s="351"/>
      <c r="CX80" s="351"/>
      <c r="CY80" s="351"/>
      <c r="CZ80" s="351"/>
      <c r="DA80" s="351"/>
      <c r="DB80" s="351"/>
      <c r="DC80" s="351"/>
      <c r="DD80" s="351"/>
      <c r="DE80" s="351"/>
      <c r="DF80" s="351"/>
      <c r="DG80" s="351"/>
      <c r="DH80" s="351"/>
      <c r="DI80" s="351"/>
      <c r="DJ80" s="351"/>
      <c r="DK80" s="351"/>
      <c r="DL80" s="351"/>
      <c r="DM80" s="351"/>
      <c r="DN80" s="351"/>
      <c r="DO80" s="351"/>
      <c r="DP80" s="351"/>
      <c r="DQ80" s="351"/>
      <c r="DR80" s="351"/>
      <c r="DS80" s="351"/>
      <c r="DT80" s="351"/>
      <c r="DU80" s="351"/>
      <c r="DV80" s="351"/>
      <c r="DW80" s="351"/>
      <c r="DX80" s="351"/>
      <c r="DY80" s="351"/>
      <c r="DZ80" s="351"/>
      <c r="EA80" s="351"/>
      <c r="EB80" s="351"/>
      <c r="EC80" s="351"/>
      <c r="ED80" s="351"/>
      <c r="EE80" s="351"/>
      <c r="EF80" s="351"/>
      <c r="EG80" s="351"/>
      <c r="EH80" s="351"/>
      <c r="EI80" s="351"/>
      <c r="EJ80" s="351"/>
      <c r="EK80" s="351"/>
      <c r="EL80" s="351"/>
      <c r="EM80" s="351"/>
      <c r="EN80" s="351"/>
      <c r="EO80" s="351"/>
      <c r="EP80" s="351"/>
      <c r="EQ80" s="351"/>
      <c r="ER80" s="351"/>
      <c r="ES80" s="351"/>
      <c r="ET80" s="351"/>
      <c r="EU80" s="351"/>
      <c r="EV80" s="351"/>
      <c r="EW80" s="351"/>
      <c r="EX80" s="351"/>
      <c r="EY80" s="351"/>
      <c r="EZ80" s="351"/>
      <c r="FA80" s="351"/>
      <c r="FB80" s="351"/>
      <c r="FC80" s="351"/>
      <c r="FD80" s="351"/>
      <c r="FE80" s="351"/>
      <c r="FF80" s="351"/>
      <c r="FG80" s="351"/>
      <c r="FH80" s="351"/>
      <c r="FI80" s="351"/>
      <c r="FJ80" s="351"/>
      <c r="FK80" s="351"/>
      <c r="FL80" s="351"/>
      <c r="FM80" s="351"/>
      <c r="FN80" s="351"/>
      <c r="FO80" s="351"/>
      <c r="FP80" s="351"/>
      <c r="FQ80" s="351"/>
      <c r="FR80" s="351"/>
      <c r="FS80" s="351"/>
      <c r="FT80" s="351"/>
      <c r="FU80" s="351"/>
      <c r="FV80" s="351"/>
      <c r="FW80" s="351"/>
      <c r="FX80" s="351"/>
      <c r="FY80" s="351"/>
      <c r="FZ80" s="351"/>
      <c r="GA80" s="351"/>
      <c r="GB80" s="351"/>
      <c r="GC80" s="351"/>
      <c r="GD80" s="351"/>
      <c r="GE80" s="351"/>
      <c r="GF80" s="351"/>
      <c r="GG80" s="351"/>
      <c r="GH80" s="351"/>
      <c r="GI80" s="351"/>
      <c r="GJ80" s="351"/>
      <c r="GK80" s="351"/>
      <c r="GL80" s="351"/>
      <c r="GM80" s="351"/>
      <c r="GN80" s="351"/>
      <c r="GO80" s="351"/>
      <c r="GP80" s="351"/>
      <c r="GQ80" s="351"/>
      <c r="GR80" s="351"/>
      <c r="GS80" s="351"/>
      <c r="GT80" s="351"/>
      <c r="GU80" s="351"/>
      <c r="GV80" s="351"/>
      <c r="GW80" s="351"/>
      <c r="GX80" s="351"/>
      <c r="GY80" s="351"/>
      <c r="GZ80" s="351"/>
      <c r="HA80" s="351"/>
      <c r="HB80" s="351"/>
      <c r="HC80" s="351"/>
      <c r="HD80" s="351"/>
      <c r="HE80" s="351"/>
      <c r="HF80" s="351"/>
      <c r="HG80" s="351"/>
      <c r="HH80" s="351"/>
      <c r="HI80" s="351"/>
      <c r="HJ80" s="351"/>
      <c r="HK80" s="351"/>
      <c r="HL80" s="351"/>
      <c r="HM80" s="351"/>
      <c r="HN80" s="351"/>
      <c r="HO80" s="351"/>
      <c r="HP80" s="351"/>
      <c r="HQ80" s="351"/>
      <c r="HR80" s="351"/>
      <c r="HS80" s="351"/>
      <c r="HT80" s="351"/>
      <c r="HU80" s="351"/>
      <c r="HV80" s="351"/>
      <c r="HW80" s="351"/>
      <c r="HX80" s="351"/>
      <c r="HY80" s="351"/>
      <c r="HZ80" s="351"/>
      <c r="IA80" s="351"/>
      <c r="IB80" s="351"/>
      <c r="IC80" s="351"/>
      <c r="ID80" s="351"/>
      <c r="IE80" s="351"/>
      <c r="IF80" s="351"/>
      <c r="IG80" s="351"/>
      <c r="IH80" s="351"/>
      <c r="II80" s="351"/>
      <c r="IJ80" s="351"/>
      <c r="IK80" s="351"/>
      <c r="IL80" s="351"/>
      <c r="IM80" s="351"/>
      <c r="IN80" s="351"/>
      <c r="IO80" s="351"/>
      <c r="IP80" s="351"/>
      <c r="IQ80" s="351"/>
      <c r="IR80" s="351"/>
      <c r="IS80" s="351"/>
      <c r="IT80" s="351"/>
      <c r="IU80" s="351"/>
    </row>
    <row r="81" spans="1:255">
      <c r="A81" s="351"/>
      <c r="B81" s="351"/>
      <c r="C81" s="351"/>
      <c r="D81" s="351"/>
      <c r="E81" s="380"/>
      <c r="F81" s="351"/>
      <c r="G81" s="351"/>
      <c r="H81" s="351"/>
      <c r="I81" s="351"/>
      <c r="J81" s="351"/>
      <c r="K81" s="351"/>
      <c r="L81" s="351"/>
      <c r="M81" s="351"/>
      <c r="N81" s="351"/>
      <c r="O81" s="351"/>
      <c r="P81" s="351"/>
      <c r="Q81" s="351"/>
      <c r="R81" s="352"/>
      <c r="S81" s="351"/>
      <c r="T81" s="351"/>
      <c r="U81" s="351"/>
      <c r="V81" s="351"/>
      <c r="W81" s="351"/>
      <c r="X81" s="351"/>
      <c r="Y81" s="351"/>
      <c r="Z81" s="351"/>
      <c r="AA81" s="351"/>
      <c r="AB81" s="351"/>
      <c r="AC81" s="351"/>
      <c r="AD81" s="351"/>
      <c r="AE81" s="351"/>
      <c r="AF81" s="351"/>
      <c r="AG81" s="351"/>
      <c r="AH81" s="351"/>
      <c r="AI81" s="351"/>
      <c r="AJ81" s="351"/>
      <c r="AK81" s="351"/>
      <c r="AL81" s="351"/>
      <c r="AM81" s="351"/>
      <c r="AN81" s="351"/>
      <c r="AO81" s="351"/>
      <c r="AP81" s="351"/>
      <c r="AQ81" s="351"/>
      <c r="AR81" s="351"/>
      <c r="AS81" s="351"/>
      <c r="AT81" s="351"/>
      <c r="AU81" s="351"/>
      <c r="AV81" s="351"/>
      <c r="AW81" s="351"/>
      <c r="AX81" s="351"/>
      <c r="AY81" s="351"/>
      <c r="AZ81" s="351"/>
      <c r="BA81" s="351"/>
      <c r="BB81" s="351"/>
      <c r="BC81" s="351"/>
      <c r="BD81" s="351"/>
      <c r="BE81" s="351"/>
      <c r="BF81" s="351"/>
      <c r="BG81" s="351"/>
      <c r="BH81" s="351"/>
      <c r="BI81" s="351"/>
      <c r="BJ81" s="351"/>
      <c r="BK81" s="351"/>
      <c r="BL81" s="351"/>
      <c r="BM81" s="351"/>
      <c r="BN81" s="351"/>
      <c r="BO81" s="351"/>
      <c r="BP81" s="351"/>
      <c r="BQ81" s="351"/>
      <c r="BR81" s="351"/>
      <c r="BS81" s="351"/>
      <c r="BT81" s="351"/>
      <c r="BU81" s="351"/>
      <c r="BV81" s="351"/>
      <c r="BW81" s="351"/>
      <c r="BX81" s="351"/>
      <c r="BY81" s="351"/>
      <c r="BZ81" s="351"/>
      <c r="CA81" s="351"/>
      <c r="CB81" s="351"/>
      <c r="CC81" s="351"/>
      <c r="CD81" s="351"/>
      <c r="CE81" s="351"/>
      <c r="CF81" s="351"/>
      <c r="CG81" s="351"/>
      <c r="CH81" s="351"/>
      <c r="CI81" s="351"/>
      <c r="CJ81" s="351"/>
      <c r="CK81" s="351"/>
      <c r="CL81" s="351"/>
      <c r="CM81" s="351"/>
      <c r="CN81" s="351"/>
      <c r="CO81" s="351"/>
      <c r="CP81" s="351"/>
      <c r="CQ81" s="351"/>
      <c r="CR81" s="351"/>
      <c r="CS81" s="351"/>
      <c r="CT81" s="351"/>
      <c r="CU81" s="351"/>
      <c r="CV81" s="351"/>
      <c r="CW81" s="351"/>
      <c r="CX81" s="351"/>
      <c r="CY81" s="351"/>
      <c r="CZ81" s="351"/>
      <c r="DA81" s="351"/>
      <c r="DB81" s="351"/>
      <c r="DC81" s="351"/>
      <c r="DD81" s="351"/>
      <c r="DE81" s="351"/>
      <c r="DF81" s="351"/>
      <c r="DG81" s="351"/>
      <c r="DH81" s="351"/>
      <c r="DI81" s="351"/>
      <c r="DJ81" s="351"/>
      <c r="DK81" s="351"/>
      <c r="DL81" s="351"/>
      <c r="DM81" s="351"/>
      <c r="DN81" s="351"/>
      <c r="DO81" s="351"/>
      <c r="DP81" s="351"/>
      <c r="DQ81" s="351"/>
      <c r="DR81" s="351"/>
      <c r="DS81" s="351"/>
      <c r="DT81" s="351"/>
      <c r="DU81" s="351"/>
      <c r="DV81" s="351"/>
      <c r="DW81" s="351"/>
      <c r="DX81" s="351"/>
      <c r="DY81" s="351"/>
      <c r="DZ81" s="351"/>
      <c r="EA81" s="351"/>
      <c r="EB81" s="351"/>
      <c r="EC81" s="351"/>
      <c r="ED81" s="351"/>
      <c r="EE81" s="351"/>
      <c r="EF81" s="351"/>
      <c r="EG81" s="351"/>
      <c r="EH81" s="351"/>
      <c r="EI81" s="351"/>
      <c r="EJ81" s="351"/>
      <c r="EK81" s="351"/>
      <c r="EL81" s="351"/>
      <c r="EM81" s="351"/>
      <c r="EN81" s="351"/>
      <c r="EO81" s="351"/>
      <c r="EP81" s="351"/>
      <c r="EQ81" s="351"/>
      <c r="ER81" s="351"/>
      <c r="ES81" s="351"/>
      <c r="ET81" s="351"/>
      <c r="EU81" s="351"/>
      <c r="EV81" s="351"/>
      <c r="EW81" s="351"/>
      <c r="EX81" s="351"/>
      <c r="EY81" s="351"/>
      <c r="EZ81" s="351"/>
      <c r="FA81" s="351"/>
      <c r="FB81" s="351"/>
      <c r="FC81" s="351"/>
      <c r="FD81" s="351"/>
      <c r="FE81" s="351"/>
      <c r="FF81" s="351"/>
      <c r="FG81" s="351"/>
      <c r="FH81" s="351"/>
      <c r="FI81" s="351"/>
      <c r="FJ81" s="351"/>
      <c r="FK81" s="351"/>
      <c r="FL81" s="351"/>
      <c r="FM81" s="351"/>
      <c r="FN81" s="351"/>
      <c r="FO81" s="351"/>
      <c r="FP81" s="351"/>
      <c r="FQ81" s="351"/>
      <c r="FR81" s="351"/>
      <c r="FS81" s="351"/>
      <c r="FT81" s="351"/>
      <c r="FU81" s="351"/>
      <c r="FV81" s="351"/>
      <c r="FW81" s="351"/>
      <c r="FX81" s="351"/>
      <c r="FY81" s="351"/>
      <c r="FZ81" s="351"/>
      <c r="GA81" s="351"/>
      <c r="GB81" s="351"/>
      <c r="GC81" s="351"/>
      <c r="GD81" s="351"/>
      <c r="GE81" s="351"/>
      <c r="GF81" s="351"/>
      <c r="GG81" s="351"/>
      <c r="GH81" s="351"/>
      <c r="GI81" s="351"/>
      <c r="GJ81" s="351"/>
      <c r="GK81" s="351"/>
      <c r="GL81" s="351"/>
      <c r="GM81" s="351"/>
      <c r="GN81" s="351"/>
      <c r="GO81" s="351"/>
      <c r="GP81" s="351"/>
      <c r="GQ81" s="351"/>
      <c r="GR81" s="351"/>
      <c r="GS81" s="351"/>
      <c r="GT81" s="351"/>
      <c r="GU81" s="351"/>
      <c r="GV81" s="351"/>
      <c r="GW81" s="351"/>
      <c r="GX81" s="351"/>
      <c r="GY81" s="351"/>
      <c r="GZ81" s="351"/>
      <c r="HA81" s="351"/>
      <c r="HB81" s="351"/>
      <c r="HC81" s="351"/>
      <c r="HD81" s="351"/>
      <c r="HE81" s="351"/>
      <c r="HF81" s="351"/>
      <c r="HG81" s="351"/>
      <c r="HH81" s="351"/>
      <c r="HI81" s="351"/>
      <c r="HJ81" s="351"/>
      <c r="HK81" s="351"/>
      <c r="HL81" s="351"/>
      <c r="HM81" s="351"/>
      <c r="HN81" s="351"/>
      <c r="HO81" s="351"/>
      <c r="HP81" s="351"/>
      <c r="HQ81" s="351"/>
      <c r="HR81" s="351"/>
      <c r="HS81" s="351"/>
      <c r="HT81" s="351"/>
      <c r="HU81" s="351"/>
      <c r="HV81" s="351"/>
      <c r="HW81" s="351"/>
      <c r="HX81" s="351"/>
      <c r="HY81" s="351"/>
      <c r="HZ81" s="351"/>
      <c r="IA81" s="351"/>
      <c r="IB81" s="351"/>
      <c r="IC81" s="351"/>
      <c r="ID81" s="351"/>
      <c r="IE81" s="351"/>
      <c r="IF81" s="351"/>
      <c r="IG81" s="351"/>
      <c r="IH81" s="351"/>
      <c r="II81" s="351"/>
      <c r="IJ81" s="351"/>
      <c r="IK81" s="351"/>
      <c r="IL81" s="351"/>
      <c r="IM81" s="351"/>
      <c r="IN81" s="351"/>
      <c r="IO81" s="351"/>
      <c r="IP81" s="351"/>
      <c r="IQ81" s="351"/>
      <c r="IR81" s="351"/>
      <c r="IS81" s="351"/>
      <c r="IT81" s="351"/>
      <c r="IU81" s="351"/>
    </row>
    <row r="82" spans="1:255">
      <c r="A82" s="351"/>
      <c r="B82" s="351"/>
      <c r="C82" s="351"/>
      <c r="D82" s="351"/>
      <c r="E82" s="380"/>
      <c r="F82" s="351"/>
      <c r="G82" s="351"/>
      <c r="H82" s="351"/>
      <c r="I82" s="351"/>
      <c r="J82" s="351"/>
      <c r="K82" s="351"/>
      <c r="L82" s="351"/>
      <c r="M82" s="351"/>
      <c r="N82" s="351"/>
      <c r="O82" s="351"/>
      <c r="P82" s="351"/>
      <c r="Q82" s="351"/>
      <c r="R82" s="352"/>
      <c r="S82" s="351"/>
      <c r="T82" s="351"/>
      <c r="U82" s="351"/>
      <c r="V82" s="351"/>
      <c r="W82" s="351"/>
      <c r="X82" s="351"/>
      <c r="Y82" s="351"/>
      <c r="Z82" s="351"/>
      <c r="AA82" s="351"/>
      <c r="AB82" s="351"/>
      <c r="AC82" s="351"/>
      <c r="AD82" s="351"/>
      <c r="AE82" s="351"/>
      <c r="AF82" s="351"/>
      <c r="AG82" s="351"/>
      <c r="AH82" s="351"/>
      <c r="AI82" s="351"/>
      <c r="AJ82" s="351"/>
      <c r="AK82" s="351"/>
      <c r="AL82" s="351"/>
      <c r="AM82" s="351"/>
      <c r="AN82" s="351"/>
      <c r="AO82" s="351"/>
      <c r="AP82" s="351"/>
      <c r="AQ82" s="351"/>
      <c r="AR82" s="351"/>
      <c r="AS82" s="351"/>
      <c r="AT82" s="351"/>
      <c r="AU82" s="351"/>
      <c r="AV82" s="351"/>
      <c r="AW82" s="351"/>
      <c r="AX82" s="351"/>
      <c r="AY82" s="351"/>
      <c r="AZ82" s="351"/>
      <c r="BA82" s="351"/>
      <c r="BB82" s="351"/>
      <c r="BC82" s="351"/>
      <c r="BD82" s="351"/>
      <c r="BE82" s="351"/>
      <c r="BF82" s="351"/>
      <c r="BG82" s="351"/>
      <c r="BH82" s="351"/>
      <c r="BI82" s="351"/>
      <c r="BJ82" s="351"/>
      <c r="BK82" s="351"/>
      <c r="BL82" s="351"/>
      <c r="BM82" s="351"/>
      <c r="BN82" s="351"/>
      <c r="BO82" s="351"/>
      <c r="BP82" s="351"/>
      <c r="BQ82" s="351"/>
      <c r="BR82" s="351"/>
      <c r="BS82" s="351"/>
      <c r="BT82" s="351"/>
      <c r="BU82" s="351"/>
      <c r="BV82" s="351"/>
      <c r="BW82" s="351"/>
      <c r="BX82" s="351"/>
      <c r="BY82" s="351"/>
      <c r="BZ82" s="351"/>
      <c r="CA82" s="351"/>
      <c r="CB82" s="351"/>
      <c r="CC82" s="351"/>
      <c r="CD82" s="351"/>
      <c r="CE82" s="351"/>
      <c r="CF82" s="351"/>
      <c r="CG82" s="351"/>
      <c r="CH82" s="351"/>
      <c r="CI82" s="351"/>
      <c r="CJ82" s="351"/>
      <c r="CK82" s="351"/>
      <c r="CL82" s="351"/>
      <c r="CM82" s="351"/>
      <c r="CN82" s="351"/>
      <c r="CO82" s="351"/>
      <c r="CP82" s="351"/>
      <c r="CQ82" s="351"/>
      <c r="CR82" s="351"/>
      <c r="CS82" s="351"/>
      <c r="CT82" s="351"/>
      <c r="CU82" s="351"/>
      <c r="CV82" s="351"/>
      <c r="CW82" s="351"/>
      <c r="CX82" s="351"/>
      <c r="CY82" s="351"/>
      <c r="CZ82" s="351"/>
      <c r="DA82" s="351"/>
      <c r="DB82" s="351"/>
      <c r="DC82" s="351"/>
      <c r="DD82" s="351"/>
      <c r="DE82" s="351"/>
      <c r="DF82" s="351"/>
      <c r="DG82" s="351"/>
      <c r="DH82" s="351"/>
      <c r="DI82" s="351"/>
      <c r="DJ82" s="351"/>
      <c r="DK82" s="351"/>
      <c r="DL82" s="351"/>
      <c r="DM82" s="351"/>
      <c r="DN82" s="351"/>
      <c r="DO82" s="351"/>
      <c r="DP82" s="351"/>
      <c r="DQ82" s="351"/>
      <c r="DR82" s="351"/>
      <c r="DS82" s="351"/>
      <c r="DT82" s="351"/>
      <c r="DU82" s="351"/>
      <c r="DV82" s="351"/>
      <c r="DW82" s="351"/>
      <c r="DX82" s="351"/>
      <c r="DY82" s="351"/>
      <c r="DZ82" s="351"/>
      <c r="EA82" s="351"/>
      <c r="EB82" s="351"/>
      <c r="EC82" s="351"/>
      <c r="ED82" s="351"/>
      <c r="EE82" s="351"/>
      <c r="EF82" s="351"/>
      <c r="EG82" s="351"/>
      <c r="EH82" s="351"/>
      <c r="EI82" s="351"/>
      <c r="EJ82" s="351"/>
      <c r="EK82" s="351"/>
      <c r="EL82" s="351"/>
      <c r="EM82" s="351"/>
      <c r="EN82" s="351"/>
      <c r="EO82" s="351"/>
      <c r="EP82" s="351"/>
      <c r="EQ82" s="351"/>
      <c r="ER82" s="351"/>
      <c r="ES82" s="351"/>
      <c r="ET82" s="351"/>
      <c r="EU82" s="351"/>
      <c r="EV82" s="351"/>
      <c r="EW82" s="351"/>
      <c r="EX82" s="351"/>
      <c r="EY82" s="351"/>
      <c r="EZ82" s="351"/>
      <c r="FA82" s="351"/>
      <c r="FB82" s="351"/>
      <c r="FC82" s="351"/>
      <c r="FD82" s="351"/>
      <c r="FE82" s="351"/>
      <c r="FF82" s="351"/>
      <c r="FG82" s="351"/>
      <c r="FH82" s="351"/>
      <c r="FI82" s="351"/>
      <c r="FJ82" s="351"/>
      <c r="FK82" s="351"/>
      <c r="FL82" s="351"/>
      <c r="FM82" s="351"/>
      <c r="FN82" s="351"/>
      <c r="FO82" s="351"/>
      <c r="FP82" s="351"/>
      <c r="FQ82" s="351"/>
      <c r="FR82" s="351"/>
      <c r="FS82" s="351"/>
      <c r="FT82" s="351"/>
      <c r="FU82" s="351"/>
      <c r="FV82" s="351"/>
      <c r="FW82" s="351"/>
      <c r="FX82" s="351"/>
      <c r="FY82" s="351"/>
      <c r="FZ82" s="351"/>
      <c r="GA82" s="351"/>
      <c r="GB82" s="351"/>
      <c r="GC82" s="351"/>
      <c r="GD82" s="351"/>
      <c r="GE82" s="351"/>
      <c r="GF82" s="351"/>
      <c r="GG82" s="351"/>
      <c r="GH82" s="351"/>
      <c r="GI82" s="351"/>
      <c r="GJ82" s="351"/>
      <c r="GK82" s="351"/>
      <c r="GL82" s="351"/>
      <c r="GM82" s="351"/>
      <c r="GN82" s="351"/>
      <c r="GO82" s="351"/>
      <c r="GP82" s="351"/>
      <c r="GQ82" s="351"/>
      <c r="GR82" s="351"/>
      <c r="GS82" s="351"/>
      <c r="GT82" s="351"/>
      <c r="GU82" s="351"/>
      <c r="GV82" s="351"/>
      <c r="GW82" s="351"/>
      <c r="GX82" s="351"/>
      <c r="GY82" s="351"/>
      <c r="GZ82" s="351"/>
      <c r="HA82" s="351"/>
      <c r="HB82" s="351"/>
      <c r="HC82" s="351"/>
      <c r="HD82" s="351"/>
      <c r="HE82" s="351"/>
      <c r="HF82" s="351"/>
      <c r="HG82" s="351"/>
      <c r="HH82" s="351"/>
      <c r="HI82" s="351"/>
      <c r="HJ82" s="351"/>
      <c r="HK82" s="351"/>
      <c r="HL82" s="351"/>
      <c r="HM82" s="351"/>
      <c r="HN82" s="351"/>
      <c r="HO82" s="351"/>
      <c r="HP82" s="351"/>
      <c r="HQ82" s="351"/>
      <c r="HR82" s="351"/>
      <c r="HS82" s="351"/>
      <c r="HT82" s="351"/>
      <c r="HU82" s="351"/>
      <c r="HV82" s="351"/>
      <c r="HW82" s="351"/>
      <c r="HX82" s="351"/>
      <c r="HY82" s="351"/>
      <c r="HZ82" s="351"/>
      <c r="IA82" s="351"/>
      <c r="IB82" s="351"/>
      <c r="IC82" s="351"/>
      <c r="ID82" s="351"/>
      <c r="IE82" s="351"/>
      <c r="IF82" s="351"/>
      <c r="IG82" s="351"/>
      <c r="IH82" s="351"/>
      <c r="II82" s="351"/>
      <c r="IJ82" s="351"/>
      <c r="IK82" s="351"/>
      <c r="IL82" s="351"/>
      <c r="IM82" s="351"/>
      <c r="IN82" s="351"/>
      <c r="IO82" s="351"/>
      <c r="IP82" s="351"/>
      <c r="IQ82" s="351"/>
      <c r="IR82" s="351"/>
      <c r="IS82" s="351"/>
      <c r="IT82" s="351"/>
      <c r="IU82" s="351"/>
    </row>
    <row r="83" spans="1:255">
      <c r="A83" s="351"/>
      <c r="B83" s="351"/>
      <c r="C83" s="351"/>
      <c r="D83" s="351"/>
      <c r="E83" s="380"/>
      <c r="F83" s="351"/>
      <c r="G83" s="351"/>
      <c r="H83" s="351"/>
      <c r="I83" s="351"/>
      <c r="J83" s="351"/>
      <c r="K83" s="351"/>
      <c r="L83" s="351"/>
      <c r="M83" s="351"/>
      <c r="N83" s="351"/>
      <c r="O83" s="351"/>
      <c r="P83" s="351"/>
      <c r="Q83" s="351"/>
      <c r="R83" s="352"/>
      <c r="S83" s="351"/>
      <c r="T83" s="351"/>
      <c r="U83" s="351"/>
      <c r="V83" s="351"/>
      <c r="W83" s="351"/>
      <c r="X83" s="351"/>
      <c r="Y83" s="351"/>
      <c r="Z83" s="351"/>
      <c r="AA83" s="351"/>
      <c r="AB83" s="351"/>
      <c r="AC83" s="351"/>
      <c r="AD83" s="351"/>
      <c r="AE83" s="351"/>
      <c r="AF83" s="351"/>
      <c r="AG83" s="351"/>
      <c r="AH83" s="351"/>
      <c r="AI83" s="351"/>
      <c r="AJ83" s="351"/>
      <c r="AK83" s="351"/>
      <c r="AL83" s="351"/>
      <c r="AM83" s="351"/>
      <c r="AN83" s="351"/>
      <c r="AO83" s="351"/>
      <c r="AP83" s="351"/>
      <c r="AQ83" s="351"/>
      <c r="AR83" s="351"/>
      <c r="AS83" s="351"/>
      <c r="AT83" s="351"/>
      <c r="AU83" s="351"/>
      <c r="AV83" s="351"/>
      <c r="AW83" s="351"/>
      <c r="AX83" s="351"/>
      <c r="AY83" s="351"/>
      <c r="AZ83" s="351"/>
      <c r="BA83" s="351"/>
      <c r="BB83" s="351"/>
      <c r="BC83" s="351"/>
      <c r="BD83" s="351"/>
      <c r="BE83" s="351"/>
      <c r="BF83" s="351"/>
      <c r="BG83" s="351"/>
      <c r="BH83" s="351"/>
      <c r="BI83" s="351"/>
      <c r="BJ83" s="351"/>
      <c r="BK83" s="351"/>
      <c r="BL83" s="351"/>
      <c r="BM83" s="351"/>
      <c r="BN83" s="351"/>
      <c r="BO83" s="351"/>
      <c r="BP83" s="351"/>
      <c r="BQ83" s="351"/>
      <c r="BR83" s="351"/>
      <c r="BS83" s="351"/>
      <c r="BT83" s="351"/>
      <c r="BU83" s="351"/>
      <c r="BV83" s="351"/>
      <c r="BW83" s="351"/>
      <c r="BX83" s="351"/>
      <c r="BY83" s="351"/>
      <c r="BZ83" s="351"/>
      <c r="CA83" s="351"/>
      <c r="CB83" s="351"/>
      <c r="CC83" s="351"/>
      <c r="CD83" s="351"/>
      <c r="CE83" s="351"/>
      <c r="CF83" s="351"/>
      <c r="CG83" s="351"/>
      <c r="CH83" s="351"/>
      <c r="CI83" s="351"/>
      <c r="CJ83" s="351"/>
      <c r="CK83" s="351"/>
      <c r="CL83" s="351"/>
      <c r="CM83" s="351"/>
      <c r="CN83" s="351"/>
      <c r="CO83" s="351"/>
      <c r="CP83" s="351"/>
      <c r="CQ83" s="351"/>
      <c r="CR83" s="351"/>
      <c r="CS83" s="351"/>
      <c r="CT83" s="351"/>
      <c r="CU83" s="351"/>
      <c r="CV83" s="351"/>
      <c r="CW83" s="351"/>
      <c r="CX83" s="351"/>
      <c r="CY83" s="351"/>
      <c r="CZ83" s="351"/>
      <c r="DA83" s="351"/>
      <c r="DB83" s="351"/>
      <c r="DC83" s="351"/>
      <c r="DD83" s="351"/>
      <c r="DE83" s="351"/>
      <c r="DF83" s="351"/>
      <c r="DG83" s="351"/>
      <c r="DH83" s="351"/>
      <c r="DI83" s="351"/>
      <c r="DJ83" s="351"/>
      <c r="DK83" s="351"/>
      <c r="DL83" s="351"/>
      <c r="DM83" s="351"/>
      <c r="DN83" s="351"/>
      <c r="DO83" s="351"/>
      <c r="DP83" s="351"/>
      <c r="DQ83" s="351"/>
      <c r="DR83" s="351"/>
      <c r="DS83" s="351"/>
      <c r="DT83" s="351"/>
      <c r="DU83" s="351"/>
      <c r="DV83" s="351"/>
      <c r="DW83" s="351"/>
      <c r="DX83" s="351"/>
      <c r="DY83" s="351"/>
      <c r="DZ83" s="351"/>
      <c r="EA83" s="351"/>
      <c r="EB83" s="351"/>
      <c r="EC83" s="351"/>
      <c r="ED83" s="351"/>
      <c r="EE83" s="351"/>
      <c r="EF83" s="351"/>
      <c r="EG83" s="351"/>
      <c r="EH83" s="351"/>
      <c r="EI83" s="351"/>
      <c r="EJ83" s="351"/>
      <c r="EK83" s="351"/>
      <c r="EL83" s="351"/>
      <c r="EM83" s="351"/>
      <c r="EN83" s="351"/>
      <c r="EO83" s="351"/>
      <c r="EP83" s="351"/>
      <c r="EQ83" s="351"/>
      <c r="ER83" s="351"/>
      <c r="ES83" s="351"/>
      <c r="ET83" s="351"/>
      <c r="EU83" s="351"/>
      <c r="EV83" s="351"/>
      <c r="EW83" s="351"/>
      <c r="EX83" s="351"/>
      <c r="EY83" s="351"/>
      <c r="EZ83" s="351"/>
      <c r="FA83" s="351"/>
      <c r="FB83" s="351"/>
      <c r="FC83" s="351"/>
      <c r="FD83" s="351"/>
      <c r="FE83" s="351"/>
      <c r="FF83" s="351"/>
      <c r="FG83" s="351"/>
      <c r="FH83" s="351"/>
      <c r="FI83" s="351"/>
      <c r="FJ83" s="351"/>
      <c r="FK83" s="351"/>
      <c r="FL83" s="351"/>
      <c r="FM83" s="351"/>
      <c r="FN83" s="351"/>
      <c r="FO83" s="351"/>
      <c r="FP83" s="351"/>
      <c r="FQ83" s="351"/>
      <c r="FR83" s="351"/>
      <c r="FS83" s="351"/>
      <c r="FT83" s="351"/>
      <c r="FU83" s="351"/>
      <c r="FV83" s="351"/>
      <c r="FW83" s="351"/>
      <c r="FX83" s="351"/>
      <c r="FY83" s="351"/>
      <c r="FZ83" s="351"/>
      <c r="GA83" s="351"/>
      <c r="GB83" s="351"/>
      <c r="GC83" s="351"/>
      <c r="GD83" s="351"/>
      <c r="GE83" s="351"/>
      <c r="GF83" s="351"/>
      <c r="GG83" s="351"/>
      <c r="GH83" s="351"/>
      <c r="GI83" s="351"/>
      <c r="GJ83" s="351"/>
      <c r="GK83" s="351"/>
      <c r="GL83" s="351"/>
      <c r="GM83" s="351"/>
      <c r="GN83" s="351"/>
      <c r="GO83" s="351"/>
      <c r="GP83" s="351"/>
      <c r="GQ83" s="351"/>
      <c r="GR83" s="351"/>
      <c r="GS83" s="351"/>
      <c r="GT83" s="351"/>
      <c r="GU83" s="351"/>
      <c r="GV83" s="351"/>
      <c r="GW83" s="351"/>
      <c r="GX83" s="351"/>
      <c r="GY83" s="351"/>
      <c r="GZ83" s="351"/>
      <c r="HA83" s="351"/>
      <c r="HB83" s="351"/>
      <c r="HC83" s="351"/>
      <c r="HD83" s="351"/>
      <c r="HE83" s="351"/>
      <c r="HF83" s="351"/>
      <c r="HG83" s="351"/>
      <c r="HH83" s="351"/>
      <c r="HI83" s="351"/>
      <c r="HJ83" s="351"/>
      <c r="HK83" s="351"/>
      <c r="HL83" s="351"/>
      <c r="HM83" s="351"/>
      <c r="HN83" s="351"/>
      <c r="HO83" s="351"/>
      <c r="HP83" s="351"/>
      <c r="HQ83" s="351"/>
      <c r="HR83" s="351"/>
      <c r="HS83" s="351"/>
      <c r="HT83" s="351"/>
      <c r="HU83" s="351"/>
      <c r="HV83" s="351"/>
      <c r="HW83" s="351"/>
      <c r="HX83" s="351"/>
      <c r="HY83" s="351"/>
      <c r="HZ83" s="351"/>
      <c r="IA83" s="351"/>
      <c r="IB83" s="351"/>
      <c r="IC83" s="351"/>
      <c r="ID83" s="351"/>
      <c r="IE83" s="351"/>
      <c r="IF83" s="351"/>
      <c r="IG83" s="351"/>
      <c r="IH83" s="351"/>
      <c r="II83" s="351"/>
      <c r="IJ83" s="351"/>
      <c r="IK83" s="351"/>
      <c r="IL83" s="351"/>
      <c r="IM83" s="351"/>
      <c r="IN83" s="351"/>
      <c r="IO83" s="351"/>
      <c r="IP83" s="351"/>
      <c r="IQ83" s="351"/>
      <c r="IR83" s="351"/>
      <c r="IS83" s="351"/>
      <c r="IT83" s="351"/>
      <c r="IU83" s="351"/>
    </row>
  </sheetData>
  <mergeCells count="7">
    <mergeCell ref="B64:L65"/>
    <mergeCell ref="N3:P3"/>
    <mergeCell ref="A1:L1"/>
    <mergeCell ref="D3:F3"/>
    <mergeCell ref="G3:I3"/>
    <mergeCell ref="J3:L3"/>
    <mergeCell ref="A4:C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G52"/>
  <sheetViews>
    <sheetView topLeftCell="A10" workbookViewId="0">
      <selection activeCell="G16" sqref="G16"/>
    </sheetView>
  </sheetViews>
  <sheetFormatPr defaultRowHeight="12.75"/>
  <cols>
    <col min="1" max="1" width="62.28515625" bestFit="1" customWidth="1"/>
    <col min="2" max="2" width="9.28515625" bestFit="1" customWidth="1"/>
    <col min="3" max="3" width="11.42578125" bestFit="1" customWidth="1"/>
    <col min="4" max="4" width="12.7109375" bestFit="1" customWidth="1"/>
    <col min="5" max="5" width="2.7109375" customWidth="1"/>
    <col min="7" max="7" width="12.28515625" bestFit="1" customWidth="1"/>
  </cols>
  <sheetData>
    <row r="1" spans="1:7" ht="23.25">
      <c r="A1" s="21" t="s">
        <v>12</v>
      </c>
      <c r="B1" s="21"/>
      <c r="C1" s="12"/>
      <c r="D1" s="12"/>
      <c r="E1" s="22"/>
    </row>
    <row r="2" spans="1:7" ht="15.75">
      <c r="A2" s="23" t="s">
        <v>125</v>
      </c>
      <c r="B2" s="23"/>
      <c r="C2" s="24"/>
      <c r="D2" s="25"/>
      <c r="E2" s="22"/>
    </row>
    <row r="3" spans="1:7" ht="15.75">
      <c r="A3" s="23"/>
      <c r="B3" s="23"/>
      <c r="C3" s="24"/>
      <c r="D3" s="135"/>
      <c r="E3" s="136"/>
    </row>
    <row r="4" spans="1:7" ht="15">
      <c r="A4" s="250"/>
      <c r="B4" s="250"/>
      <c r="C4" s="251"/>
      <c r="D4" s="514" t="s">
        <v>115</v>
      </c>
      <c r="E4" s="514"/>
    </row>
    <row r="5" spans="1:7" ht="15">
      <c r="A5" s="252"/>
      <c r="B5" s="252"/>
      <c r="C5" s="251"/>
      <c r="D5" s="138" t="s">
        <v>13</v>
      </c>
      <c r="E5" s="136"/>
    </row>
    <row r="6" spans="1:7" ht="17.25">
      <c r="A6" s="274"/>
      <c r="B6" s="274"/>
      <c r="C6" s="251"/>
      <c r="D6" s="139" t="s">
        <v>15</v>
      </c>
      <c r="E6" s="136"/>
    </row>
    <row r="7" spans="1:7" ht="15">
      <c r="A7" s="253" t="s">
        <v>18</v>
      </c>
      <c r="B7" s="253"/>
      <c r="C7" s="251"/>
      <c r="D7" s="140"/>
      <c r="E7" s="136"/>
    </row>
    <row r="8" spans="1:7" ht="17.25">
      <c r="A8" s="274" t="s">
        <v>113</v>
      </c>
      <c r="B8" s="274"/>
      <c r="C8" s="251"/>
      <c r="D8" s="142">
        <v>38629</v>
      </c>
      <c r="E8" s="136"/>
    </row>
    <row r="9" spans="1:7" ht="15">
      <c r="A9" s="274"/>
      <c r="B9" s="274"/>
      <c r="C9" s="251"/>
      <c r="D9" s="143"/>
      <c r="E9" s="136"/>
    </row>
    <row r="10" spans="1:7" ht="15">
      <c r="A10" s="274"/>
      <c r="B10" s="274"/>
      <c r="C10" s="251"/>
      <c r="D10" s="143"/>
      <c r="E10" s="136"/>
    </row>
    <row r="11" spans="1:7" ht="15">
      <c r="A11" s="253" t="s">
        <v>20</v>
      </c>
      <c r="B11" s="253"/>
      <c r="C11" s="251"/>
      <c r="D11" s="143"/>
      <c r="E11" s="136"/>
    </row>
    <row r="12" spans="1:7" ht="17.25">
      <c r="A12" s="254" t="s">
        <v>179</v>
      </c>
      <c r="B12" s="254"/>
      <c r="C12" s="251"/>
      <c r="D12" s="144">
        <v>23806</v>
      </c>
      <c r="E12" s="136"/>
    </row>
    <row r="13" spans="1:7" ht="15">
      <c r="A13" s="275"/>
      <c r="B13" s="275"/>
      <c r="C13" s="251"/>
      <c r="D13" s="143"/>
      <c r="E13" s="136"/>
    </row>
    <row r="14" spans="1:7" ht="15">
      <c r="A14" s="275"/>
      <c r="B14" s="275"/>
      <c r="C14" s="251"/>
      <c r="D14" s="143"/>
      <c r="E14" s="136"/>
    </row>
    <row r="15" spans="1:7" ht="15">
      <c r="A15" s="253" t="s">
        <v>21</v>
      </c>
      <c r="B15" s="253"/>
      <c r="C15" s="251"/>
      <c r="D15" s="140"/>
      <c r="E15" s="136"/>
    </row>
    <row r="16" spans="1:7" ht="32.25">
      <c r="A16" s="255" t="s">
        <v>22</v>
      </c>
      <c r="B16" s="255"/>
      <c r="C16" s="256"/>
      <c r="D16" s="145">
        <v>664000</v>
      </c>
      <c r="E16" s="136"/>
      <c r="G16" s="389"/>
    </row>
    <row r="17" spans="1:7" ht="15">
      <c r="A17" s="255"/>
      <c r="B17" s="255"/>
      <c r="C17" s="256"/>
      <c r="D17" s="146"/>
      <c r="E17" s="136"/>
    </row>
    <row r="18" spans="1:7" ht="15">
      <c r="A18" s="253" t="s">
        <v>23</v>
      </c>
      <c r="B18" s="255"/>
      <c r="C18" s="256"/>
      <c r="D18" s="146"/>
      <c r="E18" s="136"/>
    </row>
    <row r="19" spans="1:7" ht="15">
      <c r="A19" s="255" t="s">
        <v>24</v>
      </c>
      <c r="B19" s="255"/>
      <c r="C19" s="257">
        <v>0.5</v>
      </c>
      <c r="D19" s="147">
        <f>ROUND(+D16*$C19,-2)</f>
        <v>332000</v>
      </c>
      <c r="E19" s="148"/>
    </row>
    <row r="20" spans="1:7" ht="17.25">
      <c r="A20" s="255" t="s">
        <v>106</v>
      </c>
      <c r="B20" s="255"/>
      <c r="C20" s="257"/>
      <c r="D20" s="149">
        <f>ROUND(-D31*0.05,-2)</f>
        <v>-15800</v>
      </c>
      <c r="E20" s="148"/>
    </row>
    <row r="21" spans="1:7" ht="17.25">
      <c r="A21" s="396" t="s">
        <v>180</v>
      </c>
      <c r="B21" s="255"/>
      <c r="C21" s="257"/>
      <c r="D21" s="150">
        <f>SUM(D19:D20)</f>
        <v>316200</v>
      </c>
      <c r="E21" s="150"/>
    </row>
    <row r="22" spans="1:7" ht="17.25">
      <c r="A22" s="258"/>
      <c r="B22" s="258"/>
      <c r="C22" s="251"/>
      <c r="D22" s="151"/>
      <c r="E22" s="136"/>
    </row>
    <row r="23" spans="1:7" ht="15">
      <c r="A23" s="253" t="s">
        <v>25</v>
      </c>
      <c r="B23" s="253"/>
      <c r="C23" s="251"/>
      <c r="D23" s="140"/>
      <c r="E23" s="136"/>
    </row>
    <row r="24" spans="1:7" ht="17.25">
      <c r="A24" s="259" t="s">
        <v>26</v>
      </c>
      <c r="B24" s="259"/>
      <c r="C24" s="251"/>
      <c r="D24" s="153">
        <f>+D46</f>
        <v>200200</v>
      </c>
      <c r="E24" s="136"/>
    </row>
    <row r="25" spans="1:7" ht="15">
      <c r="A25" s="259"/>
      <c r="B25" s="259"/>
      <c r="C25" s="260"/>
      <c r="D25" s="138"/>
      <c r="E25" s="136"/>
    </row>
    <row r="26" spans="1:7" ht="15">
      <c r="A26" s="261" t="s">
        <v>27</v>
      </c>
      <c r="B26" s="261"/>
      <c r="C26" s="276"/>
      <c r="D26" s="154"/>
      <c r="E26" s="136"/>
    </row>
    <row r="27" spans="1:7" ht="15">
      <c r="A27" s="399" t="s">
        <v>104</v>
      </c>
      <c r="B27" s="399"/>
      <c r="C27" s="400"/>
      <c r="D27" s="397">
        <v>106000</v>
      </c>
      <c r="E27" s="155"/>
      <c r="F27" s="11"/>
      <c r="G27" s="289"/>
    </row>
    <row r="28" spans="1:7" ht="17.25">
      <c r="A28" s="399" t="s">
        <v>105</v>
      </c>
      <c r="B28" s="399"/>
      <c r="C28" s="401"/>
      <c r="D28" s="398">
        <v>10000</v>
      </c>
      <c r="E28" s="136"/>
    </row>
    <row r="29" spans="1:7" ht="15">
      <c r="A29" s="259" t="s">
        <v>28</v>
      </c>
      <c r="B29" s="259"/>
      <c r="C29" s="263"/>
      <c r="D29" s="154">
        <f>SUM(D27:D28)</f>
        <v>116000</v>
      </c>
      <c r="E29" s="154"/>
    </row>
    <row r="30" spans="1:7" ht="15">
      <c r="A30" s="259"/>
      <c r="B30" s="259"/>
      <c r="C30" s="263"/>
      <c r="D30" s="137"/>
      <c r="E30" s="137"/>
    </row>
    <row r="31" spans="1:7" ht="17.25">
      <c r="A31" s="259" t="s">
        <v>29</v>
      </c>
      <c r="B31" s="259"/>
      <c r="C31" s="263"/>
      <c r="D31" s="395">
        <f>+D29+D24</f>
        <v>316200</v>
      </c>
      <c r="E31" s="156"/>
    </row>
    <row r="32" spans="1:7" ht="15">
      <c r="A32" s="259"/>
      <c r="B32" s="259"/>
      <c r="C32" s="263"/>
      <c r="D32" s="137"/>
      <c r="E32" s="137"/>
    </row>
    <row r="33" spans="1:5" ht="17.25" hidden="1" customHeight="1">
      <c r="A33" s="252" t="s">
        <v>124</v>
      </c>
      <c r="B33" s="252"/>
      <c r="C33" s="264"/>
      <c r="D33" s="285">
        <f>+D31-D21</f>
        <v>0</v>
      </c>
      <c r="E33" s="285"/>
    </row>
    <row r="34" spans="1:5" ht="15">
      <c r="A34" s="252"/>
      <c r="B34" s="252"/>
      <c r="C34" s="264"/>
      <c r="D34" s="158"/>
      <c r="E34" s="155"/>
    </row>
    <row r="35" spans="1:5" ht="15">
      <c r="A35" s="259" t="s">
        <v>30</v>
      </c>
      <c r="B35" s="259"/>
      <c r="C35" s="264"/>
      <c r="D35" s="159">
        <f>+D12*2000/D8/24</f>
        <v>51.356062371102887</v>
      </c>
      <c r="E35" s="136"/>
    </row>
    <row r="36" spans="1:5" ht="15">
      <c r="A36" s="137"/>
      <c r="B36" s="137"/>
      <c r="C36" s="264"/>
      <c r="D36" s="159"/>
      <c r="E36" s="136"/>
    </row>
    <row r="37" spans="1:5" ht="15">
      <c r="A37" s="259" t="s">
        <v>31</v>
      </c>
      <c r="B37" s="259"/>
      <c r="C37" s="264"/>
      <c r="D37" s="160">
        <f>+D16/D12</f>
        <v>27.892128034949174</v>
      </c>
      <c r="E37" s="136"/>
    </row>
    <row r="38" spans="1:5" ht="15.75" thickBot="1">
      <c r="A38" s="252"/>
      <c r="B38" s="252"/>
      <c r="C38" s="264"/>
      <c r="D38" s="265"/>
      <c r="E38" s="136"/>
    </row>
    <row r="39" spans="1:5" ht="15">
      <c r="A39" s="277"/>
      <c r="B39" s="278"/>
      <c r="C39" s="279"/>
      <c r="D39" s="280"/>
      <c r="E39" s="136"/>
    </row>
    <row r="40" spans="1:5" ht="30">
      <c r="A40" s="266" t="s">
        <v>32</v>
      </c>
      <c r="B40" s="267" t="s">
        <v>33</v>
      </c>
      <c r="C40" s="268" t="s">
        <v>34</v>
      </c>
      <c r="D40" s="269" t="s">
        <v>35</v>
      </c>
      <c r="E40" s="136"/>
    </row>
    <row r="41" spans="1:5" ht="15">
      <c r="A41" s="402" t="s">
        <v>36</v>
      </c>
      <c r="B41" s="403">
        <v>300</v>
      </c>
      <c r="C41" s="404">
        <v>90</v>
      </c>
      <c r="D41" s="405">
        <f>ROUND(B41*C41,-2)</f>
        <v>27000</v>
      </c>
      <c r="E41" s="136"/>
    </row>
    <row r="42" spans="1:5" ht="15">
      <c r="A42" s="402" t="s">
        <v>37</v>
      </c>
      <c r="B42" s="403">
        <v>180</v>
      </c>
      <c r="C42" s="404">
        <v>150</v>
      </c>
      <c r="D42" s="405">
        <f>ROUND(B42*C42,-2)</f>
        <v>27000</v>
      </c>
      <c r="E42" s="136"/>
    </row>
    <row r="43" spans="1:5" ht="15">
      <c r="A43" s="402" t="s">
        <v>114</v>
      </c>
      <c r="B43" s="403">
        <v>950</v>
      </c>
      <c r="C43" s="404">
        <v>90</v>
      </c>
      <c r="D43" s="405">
        <f>ROUND(B43*C43,-2)</f>
        <v>85500</v>
      </c>
      <c r="E43" s="136"/>
    </row>
    <row r="44" spans="1:5" ht="26.25">
      <c r="A44" s="402" t="s">
        <v>187</v>
      </c>
      <c r="B44" s="403">
        <v>400</v>
      </c>
      <c r="C44" s="404">
        <v>90</v>
      </c>
      <c r="D44" s="405">
        <f>ROUND(B44*C44,-2)</f>
        <v>36000</v>
      </c>
      <c r="E44" s="136"/>
    </row>
    <row r="45" spans="1:5" ht="17.25">
      <c r="A45" s="402" t="s">
        <v>189</v>
      </c>
      <c r="B45" s="406">
        <v>206</v>
      </c>
      <c r="C45" s="407">
        <v>120</v>
      </c>
      <c r="D45" s="408">
        <f>ROUND(B45*C45,-2)</f>
        <v>24700</v>
      </c>
      <c r="E45" s="136"/>
    </row>
    <row r="46" spans="1:5" ht="17.25">
      <c r="A46" s="271" t="s">
        <v>38</v>
      </c>
      <c r="B46" s="272">
        <f>SUM(B41:B45)</f>
        <v>2036</v>
      </c>
      <c r="C46" s="270"/>
      <c r="D46" s="273">
        <f>SUM(D41:D45)</f>
        <v>200200</v>
      </c>
      <c r="E46" s="136"/>
    </row>
    <row r="47" spans="1:5" ht="15.75" thickBot="1">
      <c r="A47" s="281"/>
      <c r="B47" s="282"/>
      <c r="C47" s="283"/>
      <c r="D47" s="284"/>
      <c r="E47" s="136"/>
    </row>
    <row r="48" spans="1:5" ht="15">
      <c r="A48" s="262"/>
      <c r="B48" s="262"/>
      <c r="C48" s="256"/>
      <c r="D48" s="256"/>
      <c r="E48" s="136"/>
    </row>
    <row r="49" spans="1:5" ht="15">
      <c r="A49" s="137"/>
      <c r="B49" s="137"/>
      <c r="C49" s="137"/>
      <c r="D49" s="137"/>
      <c r="E49" s="137"/>
    </row>
    <row r="50" spans="1:5" ht="15">
      <c r="A50" s="137"/>
      <c r="B50" s="137"/>
      <c r="C50" s="137"/>
      <c r="D50" s="137"/>
      <c r="E50" s="137"/>
    </row>
    <row r="51" spans="1:5" ht="15">
      <c r="A51" s="137"/>
      <c r="B51" s="137"/>
      <c r="C51" s="137"/>
      <c r="D51" s="137"/>
      <c r="E51" s="137"/>
    </row>
    <row r="52" spans="1:5" ht="15">
      <c r="A52" s="137"/>
      <c r="B52" s="137"/>
      <c r="C52" s="137"/>
      <c r="D52" s="137"/>
      <c r="E52" s="137"/>
    </row>
  </sheetData>
  <mergeCells count="1">
    <mergeCell ref="D4:E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M53"/>
  <sheetViews>
    <sheetView workbookViewId="0">
      <selection activeCell="G52" sqref="G52"/>
    </sheetView>
  </sheetViews>
  <sheetFormatPr defaultRowHeight="12.75"/>
  <cols>
    <col min="1" max="1" width="72.5703125" bestFit="1" customWidth="1"/>
    <col min="3" max="3" width="11.28515625" bestFit="1" customWidth="1"/>
    <col min="4" max="4" width="12.85546875" bestFit="1" customWidth="1"/>
    <col min="5" max="5" width="3.85546875" customWidth="1"/>
  </cols>
  <sheetData>
    <row r="1" spans="1:5" ht="23.25">
      <c r="A1" s="21" t="s">
        <v>39</v>
      </c>
      <c r="B1" s="21"/>
      <c r="C1" s="12"/>
      <c r="D1" s="12"/>
    </row>
    <row r="2" spans="1:5" ht="15.75">
      <c r="A2" s="23" t="s">
        <v>125</v>
      </c>
      <c r="B2" s="23"/>
      <c r="C2" s="24"/>
      <c r="D2" s="135"/>
    </row>
    <row r="3" spans="1:5" ht="15">
      <c r="A3" s="26"/>
      <c r="B3" s="26"/>
      <c r="C3" s="24"/>
      <c r="D3" s="138" t="s">
        <v>40</v>
      </c>
      <c r="E3" s="137"/>
    </row>
    <row r="4" spans="1:5" ht="15">
      <c r="A4" s="26"/>
      <c r="B4" s="26"/>
      <c r="C4" s="24"/>
      <c r="D4" s="138" t="s">
        <v>15</v>
      </c>
      <c r="E4" s="137"/>
    </row>
    <row r="5" spans="1:5" ht="17.25">
      <c r="A5" s="12"/>
      <c r="B5" s="12"/>
      <c r="C5" s="24"/>
      <c r="D5" s="139" t="s">
        <v>115</v>
      </c>
      <c r="E5" s="137"/>
    </row>
    <row r="6" spans="1:5" ht="15">
      <c r="A6" s="27" t="s">
        <v>18</v>
      </c>
      <c r="B6" s="27"/>
      <c r="C6" s="24"/>
      <c r="D6" s="140"/>
      <c r="E6" s="137"/>
    </row>
    <row r="7" spans="1:5" ht="17.25">
      <c r="A7" s="12" t="s">
        <v>19</v>
      </c>
      <c r="B7" s="12"/>
      <c r="C7" s="24"/>
      <c r="D7" s="142">
        <v>99261</v>
      </c>
      <c r="E7" s="137"/>
    </row>
    <row r="8" spans="1:5" ht="15">
      <c r="A8" s="12"/>
      <c r="B8" s="12"/>
      <c r="C8" s="24"/>
      <c r="D8" s="143"/>
      <c r="E8" s="137"/>
    </row>
    <row r="9" spans="1:5" ht="15">
      <c r="A9" s="12"/>
      <c r="B9" s="12"/>
      <c r="C9" s="24"/>
      <c r="D9" s="143"/>
      <c r="E9" s="137"/>
    </row>
    <row r="10" spans="1:5" ht="15">
      <c r="A10" s="27" t="s">
        <v>20</v>
      </c>
      <c r="B10" s="27"/>
      <c r="C10" s="24"/>
      <c r="D10" s="143"/>
      <c r="E10" s="137"/>
    </row>
    <row r="11" spans="1:5" ht="17.25">
      <c r="A11" s="254" t="s">
        <v>179</v>
      </c>
      <c r="B11" s="28"/>
      <c r="C11" s="24"/>
      <c r="D11" s="144">
        <v>57292</v>
      </c>
      <c r="E11" s="137"/>
    </row>
    <row r="12" spans="1:5" ht="15">
      <c r="A12" s="29"/>
      <c r="B12" s="29"/>
      <c r="C12" s="24"/>
      <c r="D12" s="143"/>
      <c r="E12" s="137"/>
    </row>
    <row r="13" spans="1:5" ht="15">
      <c r="A13" s="29"/>
      <c r="B13" s="29"/>
      <c r="C13" s="24"/>
      <c r="D13" s="143"/>
      <c r="E13" s="137"/>
    </row>
    <row r="14" spans="1:5" ht="21">
      <c r="A14" s="30" t="s">
        <v>21</v>
      </c>
      <c r="B14" s="30"/>
      <c r="C14" s="24"/>
      <c r="D14" s="140"/>
      <c r="E14" s="137"/>
    </row>
    <row r="15" spans="1:5" ht="32.25">
      <c r="A15" s="31" t="s">
        <v>22</v>
      </c>
      <c r="B15" s="31"/>
      <c r="C15" s="32"/>
      <c r="D15" s="145">
        <v>1184000</v>
      </c>
      <c r="E15" s="137"/>
    </row>
    <row r="16" spans="1:5" ht="15">
      <c r="A16" s="31"/>
      <c r="B16" s="31"/>
      <c r="C16" s="32"/>
      <c r="D16" s="146"/>
      <c r="E16" s="137"/>
    </row>
    <row r="17" spans="1:13" ht="21">
      <c r="A17" s="30" t="s">
        <v>23</v>
      </c>
      <c r="B17" s="31"/>
      <c r="C17" s="32"/>
      <c r="D17" s="146"/>
      <c r="E17" s="137"/>
    </row>
    <row r="18" spans="1:13" ht="15">
      <c r="A18" s="31" t="s">
        <v>24</v>
      </c>
      <c r="B18" s="31"/>
      <c r="C18" s="67">
        <v>0.5</v>
      </c>
      <c r="D18" s="147">
        <f>ROUND(+D15*$C18,-2)</f>
        <v>592000</v>
      </c>
      <c r="E18" s="137"/>
    </row>
    <row r="19" spans="1:13" ht="15">
      <c r="A19" s="31" t="s">
        <v>216</v>
      </c>
      <c r="B19" s="31"/>
      <c r="C19" s="67"/>
      <c r="D19" s="147">
        <v>-102600</v>
      </c>
      <c r="E19" s="137"/>
      <c r="F19" s="515" t="s">
        <v>217</v>
      </c>
      <c r="G19" s="515"/>
      <c r="H19" s="515"/>
      <c r="I19" s="515"/>
      <c r="J19" s="515"/>
      <c r="K19" s="515"/>
      <c r="L19" s="515"/>
      <c r="M19" s="515"/>
    </row>
    <row r="20" spans="1:13" ht="17.25">
      <c r="A20" s="31" t="s">
        <v>106</v>
      </c>
      <c r="B20" s="31"/>
      <c r="C20" s="67"/>
      <c r="D20" s="149">
        <f>ROUND(-D36*0.05,-2)</f>
        <v>-23300</v>
      </c>
      <c r="E20" s="137"/>
      <c r="F20" s="515"/>
      <c r="G20" s="515"/>
      <c r="H20" s="515"/>
      <c r="I20" s="515"/>
      <c r="J20" s="515"/>
      <c r="K20" s="515"/>
      <c r="L20" s="515"/>
      <c r="M20" s="515"/>
    </row>
    <row r="21" spans="1:13" ht="17.25">
      <c r="A21" s="396" t="s">
        <v>180</v>
      </c>
      <c r="B21" s="31"/>
      <c r="C21" s="67"/>
      <c r="D21" s="150">
        <f>SUM(D18:D20)</f>
        <v>466100</v>
      </c>
      <c r="E21" s="137"/>
    </row>
    <row r="22" spans="1:13" ht="15">
      <c r="A22" s="12"/>
      <c r="B22" s="12"/>
      <c r="C22" s="24"/>
      <c r="D22" s="162"/>
      <c r="E22" s="137"/>
    </row>
    <row r="23" spans="1:13" ht="18.75">
      <c r="A23" s="33" t="s">
        <v>25</v>
      </c>
      <c r="B23" s="33"/>
      <c r="C23" s="24"/>
      <c r="D23" s="140"/>
      <c r="E23" s="137"/>
    </row>
    <row r="24" spans="1:13" ht="17.25">
      <c r="A24" s="34" t="s">
        <v>26</v>
      </c>
      <c r="B24" s="34"/>
      <c r="C24" s="24"/>
      <c r="D24" s="156">
        <f>+D51</f>
        <v>200200</v>
      </c>
      <c r="E24" s="137"/>
    </row>
    <row r="25" spans="1:13" ht="17.25">
      <c r="A25" s="34"/>
      <c r="B25" s="34"/>
      <c r="C25" s="35"/>
      <c r="D25" s="163"/>
      <c r="E25" s="137"/>
    </row>
    <row r="26" spans="1:13" ht="17.25">
      <c r="A26" s="36" t="s">
        <v>27</v>
      </c>
      <c r="B26" s="36"/>
      <c r="C26" s="37"/>
      <c r="D26" s="163"/>
      <c r="E26" s="137"/>
    </row>
    <row r="27" spans="1:13" ht="15">
      <c r="A27" s="41" t="s">
        <v>181</v>
      </c>
      <c r="B27" s="41"/>
      <c r="C27" s="40"/>
      <c r="D27" s="397">
        <v>50000</v>
      </c>
      <c r="E27" s="137"/>
      <c r="F27" s="11"/>
      <c r="G27" s="289"/>
    </row>
    <row r="28" spans="1:13" ht="15">
      <c r="A28" s="41" t="s">
        <v>182</v>
      </c>
      <c r="B28" s="41"/>
      <c r="C28" s="39"/>
      <c r="D28" s="397">
        <v>76500</v>
      </c>
      <c r="E28" s="137"/>
    </row>
    <row r="29" spans="1:13" ht="15">
      <c r="A29" s="41" t="s">
        <v>183</v>
      </c>
      <c r="B29" s="41"/>
      <c r="C29" s="32"/>
      <c r="D29" s="397">
        <v>17500</v>
      </c>
      <c r="E29" s="137"/>
    </row>
    <row r="30" spans="1:13" ht="30">
      <c r="A30" s="41" t="s">
        <v>184</v>
      </c>
      <c r="B30" s="41"/>
      <c r="C30" s="42"/>
      <c r="D30" s="397">
        <v>79600</v>
      </c>
      <c r="E30" s="137"/>
    </row>
    <row r="31" spans="1:13" ht="15">
      <c r="A31" s="41" t="s">
        <v>185</v>
      </c>
      <c r="B31" s="41"/>
      <c r="C31" s="43"/>
      <c r="D31" s="397">
        <v>70000</v>
      </c>
      <c r="E31" s="137"/>
    </row>
    <row r="32" spans="1:13" ht="15">
      <c r="A32" s="41" t="s">
        <v>186</v>
      </c>
      <c r="B32" s="41"/>
      <c r="C32" s="43"/>
      <c r="D32" s="397">
        <v>70000</v>
      </c>
      <c r="E32" s="137"/>
    </row>
    <row r="33" spans="1:5" ht="17.25">
      <c r="A33" s="41" t="s">
        <v>219</v>
      </c>
      <c r="B33" s="41"/>
      <c r="C33" s="43"/>
      <c r="D33" s="398">
        <f>-120600+22200+700</f>
        <v>-97700</v>
      </c>
      <c r="E33" s="137"/>
    </row>
    <row r="34" spans="1:5" ht="17.25">
      <c r="A34" s="34" t="s">
        <v>28</v>
      </c>
      <c r="B34" s="34"/>
      <c r="C34" s="32"/>
      <c r="D34" s="157">
        <f>SUM(D27:D33)</f>
        <v>265900</v>
      </c>
      <c r="E34" s="137"/>
    </row>
    <row r="35" spans="1:5" ht="15">
      <c r="A35" s="34"/>
      <c r="B35" s="34"/>
      <c r="C35" s="44"/>
      <c r="D35" s="164"/>
      <c r="E35" s="137"/>
    </row>
    <row r="36" spans="1:5" ht="17.25">
      <c r="A36" s="34" t="s">
        <v>29</v>
      </c>
      <c r="B36" s="34"/>
      <c r="C36" s="44"/>
      <c r="D36" s="395">
        <f>+D34+D24</f>
        <v>466100</v>
      </c>
      <c r="E36" s="137"/>
    </row>
    <row r="37" spans="1:5" ht="17.25">
      <c r="A37" s="34"/>
      <c r="B37" s="34"/>
      <c r="C37" s="44"/>
      <c r="D37" s="156"/>
      <c r="E37" s="137"/>
    </row>
    <row r="38" spans="1:5" ht="18" hidden="1" customHeight="1">
      <c r="A38" s="252" t="s">
        <v>124</v>
      </c>
      <c r="B38" s="26"/>
      <c r="C38" s="45"/>
      <c r="D38" s="285">
        <f>+D36-D21</f>
        <v>0</v>
      </c>
      <c r="E38" s="285"/>
    </row>
    <row r="39" spans="1:5" ht="15">
      <c r="A39" s="26"/>
      <c r="B39" s="26"/>
      <c r="C39" s="45"/>
      <c r="D39" s="165"/>
      <c r="E39" s="152"/>
    </row>
    <row r="40" spans="1:5" ht="15">
      <c r="A40" s="34" t="s">
        <v>30</v>
      </c>
      <c r="B40" s="34"/>
      <c r="C40" s="45"/>
      <c r="D40" s="159">
        <f>+D11*2000/D7/24</f>
        <v>48.09878334223243</v>
      </c>
      <c r="E40" s="137"/>
    </row>
    <row r="41" spans="1:5" ht="15">
      <c r="C41" s="45"/>
      <c r="D41" s="159"/>
      <c r="E41" s="137"/>
    </row>
    <row r="42" spans="1:5" ht="15">
      <c r="A42" s="34" t="s">
        <v>31</v>
      </c>
      <c r="B42" s="34"/>
      <c r="C42" s="45"/>
      <c r="D42" s="160">
        <f>+D15/D11</f>
        <v>20.666061579278086</v>
      </c>
      <c r="E42" s="137"/>
    </row>
    <row r="43" spans="1:5" ht="13.5" thickBot="1">
      <c r="A43" s="38"/>
      <c r="B43" s="38"/>
      <c r="C43" s="39"/>
      <c r="D43" s="39"/>
    </row>
    <row r="44" spans="1:5">
      <c r="A44" s="46"/>
      <c r="B44" s="47"/>
      <c r="C44" s="48"/>
      <c r="D44" s="49"/>
    </row>
    <row r="45" spans="1:5" ht="30">
      <c r="A45" s="50" t="s">
        <v>32</v>
      </c>
      <c r="B45" s="51" t="s">
        <v>33</v>
      </c>
      <c r="C45" s="52" t="s">
        <v>34</v>
      </c>
      <c r="D45" s="53" t="s">
        <v>35</v>
      </c>
    </row>
    <row r="46" spans="1:5" ht="15">
      <c r="A46" s="54" t="s">
        <v>36</v>
      </c>
      <c r="B46" s="55">
        <v>300</v>
      </c>
      <c r="C46" s="56">
        <v>90</v>
      </c>
      <c r="D46" s="57">
        <f>ROUND(B46*C46,-2)</f>
        <v>27000</v>
      </c>
    </row>
    <row r="47" spans="1:5" ht="15">
      <c r="A47" s="54" t="s">
        <v>37</v>
      </c>
      <c r="B47" s="55">
        <v>180</v>
      </c>
      <c r="C47" s="56">
        <v>150</v>
      </c>
      <c r="D47" s="57">
        <f>ROUND(B47*C47,-2)</f>
        <v>27000</v>
      </c>
    </row>
    <row r="48" spans="1:5" ht="15">
      <c r="A48" s="161" t="s">
        <v>114</v>
      </c>
      <c r="B48" s="55">
        <v>950</v>
      </c>
      <c r="C48" s="56">
        <v>90</v>
      </c>
      <c r="D48" s="57">
        <f>ROUND(B48*C48,-2)</f>
        <v>85500</v>
      </c>
    </row>
    <row r="49" spans="1:4" ht="15">
      <c r="A49" s="54" t="s">
        <v>187</v>
      </c>
      <c r="B49" s="55">
        <v>400</v>
      </c>
      <c r="C49" s="56">
        <v>90</v>
      </c>
      <c r="D49" s="57">
        <f>ROUND(B49*C49,-2)</f>
        <v>36000</v>
      </c>
    </row>
    <row r="50" spans="1:4" ht="17.25">
      <c r="A50" s="54" t="s">
        <v>188</v>
      </c>
      <c r="B50" s="58">
        <v>206</v>
      </c>
      <c r="C50" s="56">
        <v>120</v>
      </c>
      <c r="D50" s="59">
        <f>ROUND(B50*C50,-2)</f>
        <v>24700</v>
      </c>
    </row>
    <row r="51" spans="1:4" ht="17.25">
      <c r="A51" s="60" t="s">
        <v>38</v>
      </c>
      <c r="B51" s="61">
        <f>SUM(B46:B50)</f>
        <v>2036</v>
      </c>
      <c r="C51" s="56"/>
      <c r="D51" s="62">
        <f>SUM(D46:D50)</f>
        <v>200200</v>
      </c>
    </row>
    <row r="52" spans="1:4" ht="13.5" thickBot="1">
      <c r="A52" s="63"/>
      <c r="B52" s="64"/>
      <c r="C52" s="65"/>
      <c r="D52" s="66"/>
    </row>
    <row r="53" spans="1:4">
      <c r="A53" s="38"/>
      <c r="B53" s="38"/>
      <c r="C53" s="39"/>
      <c r="D53" s="39"/>
    </row>
  </sheetData>
  <mergeCells count="1">
    <mergeCell ref="F19:M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0"/>
  <sheetViews>
    <sheetView zoomScale="90" zoomScaleNormal="90" workbookViewId="0">
      <selection activeCell="A20" sqref="A20"/>
    </sheetView>
  </sheetViews>
  <sheetFormatPr defaultRowHeight="12.75"/>
  <cols>
    <col min="1" max="1" width="64.140625" customWidth="1"/>
    <col min="2" max="2" width="16.42578125" customWidth="1"/>
    <col min="3" max="3" width="14.28515625" bestFit="1" customWidth="1"/>
    <col min="5" max="5" width="14" bestFit="1" customWidth="1"/>
    <col min="6" max="6" width="15.5703125" bestFit="1" customWidth="1"/>
    <col min="7" max="7" width="9.140625" bestFit="1" customWidth="1"/>
    <col min="9" max="9" width="73.140625" bestFit="1" customWidth="1"/>
    <col min="11" max="11" width="13.42578125" bestFit="1" customWidth="1"/>
    <col min="13" max="13" width="14" bestFit="1" customWidth="1"/>
    <col min="14" max="14" width="14.28515625" bestFit="1" customWidth="1"/>
    <col min="15" max="15" width="9.140625" bestFit="1" customWidth="1"/>
    <col min="16" max="16" width="7.7109375" customWidth="1"/>
    <col min="17" max="17" width="13.42578125" customWidth="1"/>
    <col min="18" max="18" width="14" bestFit="1" customWidth="1"/>
    <col min="19" max="19" width="12.28515625" bestFit="1" customWidth="1"/>
    <col min="20" max="20" width="14.5703125" bestFit="1" customWidth="1"/>
  </cols>
  <sheetData>
    <row r="1" spans="1:21" ht="23.25">
      <c r="A1" s="290" t="s">
        <v>126</v>
      </c>
      <c r="B1" s="291"/>
      <c r="C1" s="292"/>
      <c r="D1" s="292"/>
      <c r="E1" s="292"/>
      <c r="F1" s="292"/>
      <c r="G1" s="293"/>
      <c r="I1" s="290" t="s">
        <v>126</v>
      </c>
      <c r="J1" s="291"/>
      <c r="K1" s="292"/>
      <c r="L1" s="292"/>
      <c r="M1" s="292"/>
      <c r="N1" s="292"/>
      <c r="O1" s="293"/>
    </row>
    <row r="2" spans="1:21" ht="15.75">
      <c r="A2" s="294" t="s">
        <v>175</v>
      </c>
      <c r="B2" s="295"/>
      <c r="C2" s="296"/>
      <c r="D2" s="296"/>
      <c r="E2" s="297"/>
      <c r="F2" s="297"/>
      <c r="G2" s="298"/>
      <c r="I2" s="294" t="s">
        <v>127</v>
      </c>
      <c r="J2" s="295"/>
      <c r="K2" s="296"/>
      <c r="L2" s="296"/>
      <c r="M2" s="297"/>
      <c r="N2" s="297"/>
      <c r="O2" s="298"/>
    </row>
    <row r="3" spans="1:21" ht="15.75">
      <c r="A3" s="294"/>
      <c r="B3" s="295"/>
      <c r="C3" s="296"/>
      <c r="D3" s="296"/>
      <c r="E3" s="297"/>
      <c r="F3" s="297"/>
      <c r="G3" s="298"/>
      <c r="I3" s="294" t="s">
        <v>210</v>
      </c>
      <c r="J3" s="295"/>
      <c r="K3" s="296"/>
      <c r="L3" s="296"/>
      <c r="M3" s="297"/>
      <c r="N3" s="297"/>
      <c r="O3" s="298"/>
    </row>
    <row r="4" spans="1:21" ht="42.75" customHeight="1">
      <c r="A4" s="495" t="s">
        <v>208</v>
      </c>
      <c r="B4" s="496"/>
      <c r="C4" s="497"/>
      <c r="D4" s="296"/>
      <c r="E4" s="297"/>
      <c r="F4" s="297"/>
      <c r="G4" s="298"/>
      <c r="I4" s="294"/>
      <c r="J4" s="295"/>
      <c r="K4" s="296"/>
      <c r="L4" s="296"/>
      <c r="M4" s="297"/>
      <c r="N4" s="297"/>
      <c r="O4" s="298"/>
    </row>
    <row r="5" spans="1:21" ht="15.75">
      <c r="A5" s="423"/>
      <c r="B5" s="296"/>
      <c r="C5" s="296"/>
      <c r="D5" s="296"/>
      <c r="E5" s="297"/>
      <c r="F5" s="297"/>
      <c r="G5" s="298"/>
      <c r="I5" s="294"/>
      <c r="J5" s="295"/>
      <c r="K5" s="296"/>
      <c r="L5" s="296"/>
      <c r="M5" s="297"/>
      <c r="N5" s="297"/>
      <c r="O5" s="298"/>
    </row>
    <row r="6" spans="1:21" ht="15">
      <c r="A6" s="492" t="s">
        <v>19</v>
      </c>
      <c r="B6" s="493"/>
      <c r="C6" s="493"/>
      <c r="D6" s="493"/>
      <c r="E6" s="493"/>
      <c r="F6" s="493"/>
      <c r="G6" s="494"/>
      <c r="I6" s="492" t="s">
        <v>19</v>
      </c>
      <c r="J6" s="493"/>
      <c r="K6" s="493"/>
      <c r="L6" s="493"/>
      <c r="M6" s="493"/>
      <c r="N6" s="493"/>
      <c r="O6" s="494"/>
    </row>
    <row r="7" spans="1:21" ht="15">
      <c r="A7" s="301"/>
      <c r="B7" s="297"/>
      <c r="C7" s="297"/>
      <c r="D7" s="297"/>
      <c r="E7" s="297"/>
      <c r="F7" s="297"/>
      <c r="G7" s="298"/>
      <c r="I7" s="301"/>
      <c r="J7" s="297"/>
      <c r="K7" s="297"/>
      <c r="L7" s="297"/>
      <c r="M7" s="297"/>
      <c r="N7" s="297"/>
      <c r="O7" s="298"/>
    </row>
    <row r="8" spans="1:21" ht="15.75">
      <c r="A8" s="301"/>
      <c r="B8" s="297"/>
      <c r="C8" s="302"/>
      <c r="D8" s="302"/>
      <c r="E8" s="302" t="s">
        <v>128</v>
      </c>
      <c r="F8" s="302" t="s">
        <v>80</v>
      </c>
      <c r="G8" s="298"/>
      <c r="I8" s="301"/>
      <c r="J8" s="297"/>
      <c r="K8" s="302"/>
      <c r="L8" s="302"/>
      <c r="M8" s="302" t="s">
        <v>128</v>
      </c>
      <c r="N8" s="302" t="s">
        <v>80</v>
      </c>
      <c r="O8" s="298"/>
    </row>
    <row r="9" spans="1:21" ht="15.75">
      <c r="A9" s="301"/>
      <c r="B9" s="297"/>
      <c r="C9" s="303" t="s">
        <v>97</v>
      </c>
      <c r="D9" s="303"/>
      <c r="E9" s="303" t="s">
        <v>129</v>
      </c>
      <c r="F9" s="303" t="s">
        <v>130</v>
      </c>
      <c r="G9" s="298"/>
      <c r="I9" s="301"/>
      <c r="J9" s="297"/>
      <c r="K9" s="303" t="s">
        <v>97</v>
      </c>
      <c r="L9" s="303"/>
      <c r="M9" s="303" t="s">
        <v>129</v>
      </c>
      <c r="N9" s="303" t="s">
        <v>130</v>
      </c>
      <c r="O9" s="298"/>
    </row>
    <row r="10" spans="1:21" ht="15.75">
      <c r="A10" s="304" t="s">
        <v>145</v>
      </c>
      <c r="B10" s="295"/>
      <c r="C10" s="305"/>
      <c r="D10" s="305"/>
      <c r="E10" s="305"/>
      <c r="F10" s="305"/>
      <c r="G10" s="298"/>
      <c r="I10" s="304" t="s">
        <v>131</v>
      </c>
      <c r="J10" s="295"/>
      <c r="K10" s="305"/>
      <c r="L10" s="305"/>
      <c r="M10" s="305"/>
      <c r="N10" s="305"/>
      <c r="O10" s="298"/>
    </row>
    <row r="11" spans="1:21" ht="15.75">
      <c r="A11" s="301" t="s">
        <v>132</v>
      </c>
      <c r="B11" s="297"/>
      <c r="C11" s="306">
        <v>299451</v>
      </c>
      <c r="D11" s="306"/>
      <c r="E11" s="307">
        <f>+M12</f>
        <v>2.4500000000000002</v>
      </c>
      <c r="F11" s="308">
        <f>C11*E11</f>
        <v>733654.95000000007</v>
      </c>
      <c r="G11" s="298"/>
      <c r="I11" s="301" t="s">
        <v>132</v>
      </c>
      <c r="J11" s="297"/>
      <c r="K11" s="306">
        <v>291373</v>
      </c>
      <c r="L11" s="306"/>
      <c r="M11" s="307">
        <v>1.79</v>
      </c>
      <c r="N11" s="308">
        <f>K11*M11</f>
        <v>521557.67</v>
      </c>
      <c r="O11" s="298"/>
      <c r="R11" s="327"/>
      <c r="S11" s="286"/>
      <c r="T11" s="389"/>
    </row>
    <row r="12" spans="1:21" ht="17.25">
      <c r="A12" s="309" t="s">
        <v>133</v>
      </c>
      <c r="B12" s="310"/>
      <c r="C12" s="311">
        <v>706622</v>
      </c>
      <c r="D12" s="311"/>
      <c r="E12" s="307">
        <f>+O31</f>
        <v>0.73</v>
      </c>
      <c r="F12" s="312">
        <f>C12*E12</f>
        <v>515834.06</v>
      </c>
      <c r="G12" s="298"/>
      <c r="I12" s="309" t="s">
        <v>133</v>
      </c>
      <c r="J12" s="310"/>
      <c r="K12" s="311">
        <v>885244</v>
      </c>
      <c r="L12" s="311"/>
      <c r="M12" s="307">
        <v>2.4500000000000002</v>
      </c>
      <c r="N12" s="312">
        <f>K12*M12</f>
        <v>2168847.8000000003</v>
      </c>
      <c r="O12" s="298"/>
    </row>
    <row r="13" spans="1:21" ht="17.25">
      <c r="A13" s="301" t="s">
        <v>80</v>
      </c>
      <c r="B13" s="297"/>
      <c r="C13" s="306">
        <f>SUM(C11:C12)</f>
        <v>1006073</v>
      </c>
      <c r="D13" s="311"/>
      <c r="E13" s="297"/>
      <c r="F13" s="308">
        <f>SUM(F11:F12)</f>
        <v>1249489.01</v>
      </c>
      <c r="G13" s="298"/>
      <c r="I13" s="301" t="s">
        <v>80</v>
      </c>
      <c r="J13" s="297"/>
      <c r="K13" s="306">
        <f>SUM(K11:K12)</f>
        <v>1176617</v>
      </c>
      <c r="L13" s="311"/>
      <c r="M13" s="297"/>
      <c r="N13" s="308">
        <f>SUM(N11:N12)</f>
        <v>2690405.47</v>
      </c>
      <c r="O13" s="298"/>
      <c r="T13" s="391"/>
    </row>
    <row r="14" spans="1:21" ht="15">
      <c r="A14" s="301"/>
      <c r="B14" s="297"/>
      <c r="C14" s="297"/>
      <c r="D14" s="297"/>
      <c r="E14" s="297"/>
      <c r="F14" s="297"/>
      <c r="G14" s="298"/>
      <c r="I14" s="301"/>
      <c r="J14" s="297"/>
      <c r="K14" s="297"/>
      <c r="L14" s="297"/>
      <c r="M14" s="297"/>
      <c r="N14" s="297"/>
      <c r="O14" s="298"/>
      <c r="T14" s="390"/>
      <c r="U14" s="11"/>
    </row>
    <row r="15" spans="1:21" ht="15.75">
      <c r="A15" s="294"/>
      <c r="B15" s="297"/>
      <c r="C15" s="297"/>
      <c r="D15" s="297"/>
      <c r="E15" s="297"/>
      <c r="F15" s="386"/>
      <c r="G15" s="298"/>
      <c r="I15" s="301"/>
      <c r="J15" s="297"/>
      <c r="K15" s="297"/>
      <c r="L15" s="297"/>
      <c r="M15" s="297"/>
      <c r="N15" s="297"/>
      <c r="O15" s="298"/>
      <c r="T15" s="390"/>
      <c r="U15" s="11"/>
    </row>
    <row r="16" spans="1:21" ht="15.75">
      <c r="A16" s="294" t="s">
        <v>176</v>
      </c>
      <c r="B16" s="297"/>
      <c r="C16" s="297"/>
      <c r="D16" s="297"/>
      <c r="E16" s="297"/>
      <c r="F16" s="308">
        <v>528491.43671045091</v>
      </c>
      <c r="G16" s="298"/>
      <c r="I16" s="301"/>
      <c r="J16" s="297"/>
      <c r="K16" s="297"/>
      <c r="L16" s="297"/>
      <c r="M16" s="297"/>
      <c r="N16" s="297"/>
      <c r="O16" s="298"/>
      <c r="T16" s="390"/>
      <c r="U16" s="11"/>
    </row>
    <row r="17" spans="1:21" ht="15.75">
      <c r="A17" s="294" t="s">
        <v>211</v>
      </c>
      <c r="B17" s="297"/>
      <c r="C17" s="297"/>
      <c r="D17" s="297"/>
      <c r="E17" s="297"/>
      <c r="F17" s="425">
        <f>-F16*50%</f>
        <v>-264245.71835522546</v>
      </c>
      <c r="G17" s="298"/>
      <c r="I17" s="294"/>
      <c r="J17" s="297"/>
      <c r="K17" s="297"/>
      <c r="L17" s="297"/>
      <c r="M17" s="297"/>
      <c r="N17" s="308"/>
      <c r="O17" s="298"/>
    </row>
    <row r="18" spans="1:21" ht="15.75">
      <c r="A18" s="429" t="s">
        <v>214</v>
      </c>
      <c r="B18" s="297"/>
      <c r="C18" s="297"/>
      <c r="D18" s="297"/>
      <c r="E18" s="297"/>
      <c r="F18" s="385">
        <f>SUM(F16:F17)</f>
        <v>264245.71835522546</v>
      </c>
      <c r="G18" s="298"/>
      <c r="I18" s="301"/>
      <c r="J18" s="297"/>
      <c r="K18" s="297"/>
      <c r="L18" s="297"/>
      <c r="M18" s="297"/>
      <c r="N18" s="297"/>
      <c r="O18" s="298"/>
      <c r="T18" s="390"/>
      <c r="U18" s="11"/>
    </row>
    <row r="19" spans="1:21" ht="17.25">
      <c r="A19" s="430"/>
      <c r="B19" s="430"/>
      <c r="C19" s="430"/>
      <c r="D19" s="430"/>
      <c r="E19" s="430"/>
      <c r="F19" s="430"/>
      <c r="G19" s="298"/>
      <c r="I19" s="301"/>
      <c r="J19" s="297"/>
      <c r="K19" s="297"/>
      <c r="L19" s="297"/>
      <c r="M19" s="297"/>
      <c r="N19" s="297"/>
      <c r="O19" s="298"/>
      <c r="T19" s="392"/>
      <c r="U19" s="11"/>
    </row>
    <row r="20" spans="1:21" ht="15.75">
      <c r="A20" s="301" t="s">
        <v>135</v>
      </c>
      <c r="B20" s="297"/>
      <c r="C20" s="297"/>
      <c r="D20" s="297"/>
      <c r="E20" s="297"/>
      <c r="F20" s="386">
        <f>F18-F13</f>
        <v>-985243.29164477461</v>
      </c>
      <c r="G20" s="298"/>
      <c r="I20" s="294" t="s">
        <v>134</v>
      </c>
      <c r="J20" s="297"/>
      <c r="K20" s="297"/>
      <c r="L20" s="297"/>
      <c r="M20" s="297"/>
      <c r="N20" s="308">
        <v>1226082</v>
      </c>
      <c r="O20" s="298"/>
      <c r="Q20" s="389"/>
      <c r="T20" s="390"/>
    </row>
    <row r="21" spans="1:21" ht="17.25">
      <c r="A21" s="294" t="s">
        <v>212</v>
      </c>
      <c r="B21" s="297"/>
      <c r="C21" s="383">
        <v>199583</v>
      </c>
      <c r="D21" s="297"/>
      <c r="E21" s="384">
        <f>(O26*M36)+(O31*M36)+O34</f>
        <v>-0.29675000000000007</v>
      </c>
      <c r="F21" s="314">
        <f>E21*C21</f>
        <v>-59226.255250000017</v>
      </c>
      <c r="G21" s="298"/>
      <c r="I21" s="294"/>
      <c r="J21" s="297"/>
      <c r="K21" s="297"/>
      <c r="L21" s="297"/>
      <c r="M21" s="297"/>
      <c r="N21" s="308"/>
      <c r="O21" s="298"/>
    </row>
    <row r="22" spans="1:21" ht="15">
      <c r="A22" s="430" t="s">
        <v>215</v>
      </c>
      <c r="B22" s="430"/>
      <c r="C22" s="430"/>
      <c r="D22" s="430"/>
      <c r="E22" s="430"/>
      <c r="F22" s="426">
        <f>SUM(F20:F21)</f>
        <v>-1044469.5468947747</v>
      </c>
      <c r="G22" s="298"/>
      <c r="I22" s="301" t="s">
        <v>135</v>
      </c>
      <c r="J22" s="297"/>
      <c r="K22" s="297"/>
      <c r="L22" s="297"/>
      <c r="M22" s="297"/>
      <c r="N22" s="306">
        <f>N20-N13</f>
        <v>-1464323.4700000002</v>
      </c>
      <c r="O22" s="298"/>
      <c r="T22" s="390"/>
      <c r="U22" s="11"/>
    </row>
    <row r="23" spans="1:21" ht="17.25">
      <c r="A23" s="430"/>
      <c r="B23" s="430"/>
      <c r="C23" s="430"/>
      <c r="D23" s="430"/>
      <c r="E23" s="430"/>
      <c r="F23" s="430"/>
      <c r="G23" s="298"/>
      <c r="I23" s="301"/>
      <c r="J23" s="297"/>
      <c r="K23" s="313"/>
      <c r="L23" s="297"/>
      <c r="M23" s="297"/>
      <c r="N23" s="314"/>
      <c r="O23" s="298"/>
    </row>
    <row r="24" spans="1:21" ht="17.25">
      <c r="A24" s="301" t="s">
        <v>136</v>
      </c>
      <c r="B24" s="297"/>
      <c r="C24" s="297"/>
      <c r="D24" s="297"/>
      <c r="E24" s="297"/>
      <c r="F24" s="306">
        <v>1205656</v>
      </c>
      <c r="G24" s="298"/>
      <c r="I24" s="301" t="s">
        <v>136</v>
      </c>
      <c r="J24" s="297"/>
      <c r="K24" s="297"/>
      <c r="L24" s="297"/>
      <c r="M24" s="297"/>
      <c r="N24" s="306">
        <f>+K13</f>
        <v>1176617</v>
      </c>
      <c r="O24" s="298"/>
      <c r="T24" s="391"/>
    </row>
    <row r="25" spans="1:21" ht="15">
      <c r="A25" s="301"/>
      <c r="B25" s="297"/>
      <c r="C25" s="297"/>
      <c r="D25" s="297"/>
      <c r="E25" s="297"/>
      <c r="F25" s="297"/>
      <c r="G25" s="298"/>
      <c r="I25" s="301"/>
      <c r="J25" s="297"/>
      <c r="K25" s="297"/>
      <c r="L25" s="297"/>
      <c r="M25" s="297"/>
      <c r="N25" s="297"/>
      <c r="O25" s="298"/>
    </row>
    <row r="26" spans="1:21" ht="15">
      <c r="A26" s="301" t="s">
        <v>137</v>
      </c>
      <c r="B26" s="297"/>
      <c r="C26" s="297"/>
      <c r="D26" s="297"/>
      <c r="E26" s="297"/>
      <c r="F26" s="315"/>
      <c r="G26" s="316">
        <f>F22/F24</f>
        <v>-0.86630809028012523</v>
      </c>
      <c r="I26" s="301" t="s">
        <v>137</v>
      </c>
      <c r="J26" s="297"/>
      <c r="K26" s="297"/>
      <c r="L26" s="297"/>
      <c r="M26" s="297"/>
      <c r="N26" s="315"/>
      <c r="O26" s="316">
        <f>ROUND(N22/N24,2)</f>
        <v>-1.24</v>
      </c>
    </row>
    <row r="27" spans="1:21" ht="15">
      <c r="A27" s="301"/>
      <c r="B27" s="297"/>
      <c r="C27" s="297"/>
      <c r="D27" s="297"/>
      <c r="E27" s="297"/>
      <c r="F27" s="297"/>
      <c r="G27" s="316"/>
      <c r="I27" s="301"/>
      <c r="J27" s="297"/>
      <c r="K27" s="297"/>
      <c r="L27" s="297"/>
      <c r="M27" s="297"/>
      <c r="N27" s="297"/>
      <c r="O27" s="316"/>
    </row>
    <row r="28" spans="1:21" ht="15">
      <c r="A28" s="301"/>
      <c r="B28" s="297"/>
      <c r="C28" s="297"/>
      <c r="D28" s="297"/>
      <c r="E28" s="297"/>
      <c r="F28" s="297"/>
      <c r="G28" s="316"/>
      <c r="I28" s="301"/>
      <c r="J28" s="297"/>
      <c r="K28" s="297"/>
      <c r="L28" s="297"/>
      <c r="M28" s="297"/>
      <c r="N28" s="297"/>
      <c r="O28" s="316"/>
    </row>
    <row r="29" spans="1:21" ht="15.75">
      <c r="A29" s="317" t="s">
        <v>178</v>
      </c>
      <c r="B29" s="295"/>
      <c r="C29" s="297"/>
      <c r="D29" s="297"/>
      <c r="E29" s="297"/>
      <c r="F29" s="318">
        <f>F16</f>
        <v>528491.43671045091</v>
      </c>
      <c r="G29" s="316"/>
      <c r="I29" s="317" t="s">
        <v>138</v>
      </c>
      <c r="J29" s="295"/>
      <c r="K29" s="297"/>
      <c r="L29" s="297"/>
      <c r="M29" s="297"/>
      <c r="N29" s="318">
        <f>431654*2</f>
        <v>863308</v>
      </c>
      <c r="O29" s="316"/>
    </row>
    <row r="30" spans="1:21" ht="17.25">
      <c r="A30" s="294" t="s">
        <v>211</v>
      </c>
      <c r="B30" s="430"/>
      <c r="C30" s="430"/>
      <c r="D30" s="430"/>
      <c r="E30" s="430"/>
      <c r="F30" s="428">
        <f>F29*50%</f>
        <v>264245.71835522546</v>
      </c>
      <c r="G30" s="316"/>
      <c r="I30" s="301" t="s">
        <v>136</v>
      </c>
      <c r="J30" s="297"/>
      <c r="K30" s="297"/>
      <c r="L30" s="297"/>
      <c r="M30" s="297"/>
      <c r="N30" s="319">
        <f>+K13</f>
        <v>1176617</v>
      </c>
      <c r="O30" s="316"/>
    </row>
    <row r="31" spans="1:21" ht="17.25">
      <c r="A31" s="430" t="s">
        <v>213</v>
      </c>
      <c r="B31" s="430"/>
      <c r="C31" s="430"/>
      <c r="D31" s="430"/>
      <c r="E31" s="430"/>
      <c r="F31" s="426">
        <f>F29-F30</f>
        <v>264245.71835522546</v>
      </c>
      <c r="G31" s="316"/>
      <c r="I31" s="301" t="s">
        <v>139</v>
      </c>
      <c r="J31" s="297"/>
      <c r="K31" s="297"/>
      <c r="L31" s="297"/>
      <c r="M31" s="297"/>
      <c r="N31" s="297"/>
      <c r="O31" s="320">
        <f>ROUND(+N29/N30,2)</f>
        <v>0.73</v>
      </c>
    </row>
    <row r="32" spans="1:21" ht="17.25">
      <c r="A32" s="301" t="s">
        <v>136</v>
      </c>
      <c r="B32" s="297"/>
      <c r="C32" s="297"/>
      <c r="D32" s="297"/>
      <c r="E32" s="297"/>
      <c r="F32" s="319">
        <f>F24</f>
        <v>1205656</v>
      </c>
      <c r="G32" s="316"/>
      <c r="I32" s="294" t="s">
        <v>140</v>
      </c>
      <c r="J32" s="295"/>
      <c r="K32" s="297"/>
      <c r="L32" s="297"/>
      <c r="M32" s="297"/>
      <c r="N32" s="297"/>
      <c r="O32" s="321">
        <f>SUM(O26:O31)</f>
        <v>-0.51</v>
      </c>
      <c r="P32" s="322"/>
    </row>
    <row r="33" spans="1:16" ht="17.25">
      <c r="A33" s="301" t="s">
        <v>139</v>
      </c>
      <c r="B33" s="297"/>
      <c r="C33" s="297"/>
      <c r="D33" s="297"/>
      <c r="E33" s="297"/>
      <c r="F33" s="297"/>
      <c r="G33" s="320">
        <f>ROUND(+F29/F32,2)</f>
        <v>0.44</v>
      </c>
      <c r="I33" s="294"/>
      <c r="J33" s="295"/>
      <c r="K33" s="297"/>
      <c r="L33" s="297"/>
      <c r="M33" s="297"/>
      <c r="N33" s="297"/>
      <c r="O33" s="321"/>
      <c r="P33" s="322"/>
    </row>
    <row r="34" spans="1:16" ht="15.75">
      <c r="A34" s="294" t="s">
        <v>140</v>
      </c>
      <c r="B34" s="295"/>
      <c r="C34" s="297"/>
      <c r="D34" s="297"/>
      <c r="E34" s="297"/>
      <c r="F34" s="297"/>
      <c r="G34" s="321">
        <f>SUM(G26:G33)</f>
        <v>-0.42630809028012523</v>
      </c>
      <c r="I34" s="309" t="s">
        <v>141</v>
      </c>
      <c r="J34" s="295"/>
      <c r="K34" s="297"/>
      <c r="L34" s="297"/>
      <c r="M34" s="323">
        <f>+K13/12*0.5</f>
        <v>49025.708333333336</v>
      </c>
      <c r="N34" s="297"/>
      <c r="O34" s="324">
        <f>ROUND(-M34/K13*2,2)</f>
        <v>-0.08</v>
      </c>
    </row>
    <row r="35" spans="1:16" ht="15.75">
      <c r="A35" s="309"/>
      <c r="B35" s="295"/>
      <c r="C35" s="297"/>
      <c r="D35" s="297"/>
      <c r="E35" s="297"/>
      <c r="F35" s="297"/>
      <c r="G35" s="321"/>
      <c r="I35" s="309"/>
      <c r="J35" s="295"/>
      <c r="K35" s="297"/>
      <c r="L35" s="297"/>
      <c r="M35" s="297"/>
      <c r="N35" s="297"/>
      <c r="O35" s="321"/>
    </row>
    <row r="36" spans="1:16" ht="20.25">
      <c r="A36" s="309"/>
      <c r="B36" s="297"/>
      <c r="C36" s="297"/>
      <c r="D36" s="297"/>
      <c r="E36" s="325"/>
      <c r="F36" s="297"/>
      <c r="G36" s="326"/>
      <c r="I36" s="309" t="s">
        <v>142</v>
      </c>
      <c r="J36" s="297"/>
      <c r="K36" s="297"/>
      <c r="L36" s="297"/>
      <c r="M36" s="325">
        <v>0.42499999999999999</v>
      </c>
      <c r="N36" s="297"/>
      <c r="O36" s="326">
        <f>-M36*O31</f>
        <v>-0.31024999999999997</v>
      </c>
      <c r="P36" s="327"/>
    </row>
    <row r="37" spans="1:16" ht="20.25">
      <c r="A37" s="309"/>
      <c r="B37" s="297"/>
      <c r="C37" s="297"/>
      <c r="D37" s="297"/>
      <c r="E37" s="328"/>
      <c r="F37" s="297"/>
      <c r="G37" s="326"/>
      <c r="I37" s="309"/>
      <c r="J37" s="297"/>
      <c r="K37" s="297"/>
      <c r="L37" s="297"/>
      <c r="M37" s="328"/>
      <c r="N37" s="297"/>
      <c r="O37" s="326"/>
      <c r="P37" s="327"/>
    </row>
    <row r="38" spans="1:16" ht="18">
      <c r="A38" s="294"/>
      <c r="B38" s="297"/>
      <c r="C38" s="297"/>
      <c r="D38" s="297"/>
      <c r="E38" s="328"/>
      <c r="F38" s="297"/>
      <c r="G38" s="329"/>
      <c r="I38" s="294" t="s">
        <v>205</v>
      </c>
      <c r="J38" s="297"/>
      <c r="K38" s="297"/>
      <c r="L38" s="297"/>
      <c r="M38" s="328"/>
      <c r="N38" s="297"/>
      <c r="O38" s="329">
        <f>+O32+O36+O34</f>
        <v>-0.90024999999999988</v>
      </c>
      <c r="P38" s="322"/>
    </row>
    <row r="39" spans="1:16" ht="18">
      <c r="A39" s="294"/>
      <c r="B39" s="297"/>
      <c r="C39" s="297"/>
      <c r="D39" s="297"/>
      <c r="E39" s="328"/>
      <c r="F39" s="297"/>
      <c r="G39" s="329"/>
      <c r="I39" s="294"/>
      <c r="J39" s="297"/>
      <c r="K39" s="297"/>
      <c r="L39" s="297"/>
      <c r="M39" s="328"/>
      <c r="N39" s="297"/>
      <c r="O39" s="329"/>
      <c r="P39" s="322"/>
    </row>
    <row r="40" spans="1:16" ht="18">
      <c r="A40" s="294"/>
      <c r="B40" s="297"/>
      <c r="C40" s="297"/>
      <c r="D40" s="297"/>
      <c r="E40" s="328"/>
      <c r="F40" s="297"/>
      <c r="G40" s="329"/>
      <c r="I40" s="294" t="s">
        <v>206</v>
      </c>
      <c r="J40" s="297"/>
      <c r="K40" s="297"/>
      <c r="L40" s="297"/>
      <c r="M40" s="328"/>
      <c r="N40" s="297"/>
      <c r="O40" s="329">
        <f>+O32+O34</f>
        <v>-0.59</v>
      </c>
      <c r="P40" s="322"/>
    </row>
    <row r="41" spans="1:16" ht="13.5" thickBot="1">
      <c r="A41" s="330"/>
      <c r="B41" s="331"/>
      <c r="C41" s="331"/>
      <c r="D41" s="331"/>
      <c r="E41" s="331"/>
      <c r="F41" s="331"/>
      <c r="G41" s="332"/>
      <c r="I41" s="330"/>
      <c r="J41" s="331"/>
      <c r="K41" s="331"/>
      <c r="L41" s="331"/>
      <c r="M41" s="331"/>
      <c r="N41" s="331"/>
      <c r="O41" s="332"/>
    </row>
    <row r="44" spans="1:16" ht="13.5" thickBot="1"/>
    <row r="45" spans="1:16" ht="23.25">
      <c r="A45" s="290" t="s">
        <v>143</v>
      </c>
      <c r="B45" s="291"/>
      <c r="C45" s="292"/>
      <c r="D45" s="292"/>
      <c r="E45" s="292"/>
      <c r="F45" s="292"/>
      <c r="G45" s="293"/>
      <c r="I45" s="290" t="s">
        <v>143</v>
      </c>
      <c r="J45" s="291"/>
      <c r="K45" s="292"/>
      <c r="L45" s="292"/>
      <c r="M45" s="292"/>
      <c r="N45" s="292"/>
      <c r="O45" s="293"/>
    </row>
    <row r="46" spans="1:16" ht="15.75">
      <c r="A46" s="294" t="s">
        <v>175</v>
      </c>
      <c r="B46" s="295"/>
      <c r="C46" s="296"/>
      <c r="D46" s="296"/>
      <c r="E46" s="297"/>
      <c r="F46" s="297"/>
      <c r="G46" s="298"/>
      <c r="I46" s="294" t="s">
        <v>127</v>
      </c>
      <c r="J46" s="295"/>
      <c r="K46" s="296"/>
      <c r="L46" s="296"/>
      <c r="M46" s="297"/>
      <c r="N46" s="297"/>
      <c r="O46" s="298"/>
    </row>
    <row r="47" spans="1:16" ht="15.75">
      <c r="A47" s="299"/>
      <c r="B47" s="300"/>
      <c r="C47" s="297"/>
      <c r="D47" s="297"/>
      <c r="E47" s="297"/>
      <c r="F47" s="297"/>
      <c r="G47" s="298"/>
      <c r="I47" s="299"/>
      <c r="J47" s="300"/>
      <c r="K47" s="297"/>
      <c r="L47" s="297"/>
      <c r="M47" s="297"/>
      <c r="N47" s="297"/>
      <c r="O47" s="298"/>
    </row>
    <row r="48" spans="1:16" ht="15">
      <c r="A48" s="492" t="s">
        <v>19</v>
      </c>
      <c r="B48" s="493"/>
      <c r="C48" s="493"/>
      <c r="D48" s="493"/>
      <c r="E48" s="493"/>
      <c r="F48" s="493"/>
      <c r="G48" s="494"/>
      <c r="I48" s="492" t="s">
        <v>19</v>
      </c>
      <c r="J48" s="493"/>
      <c r="K48" s="493"/>
      <c r="L48" s="493"/>
      <c r="M48" s="493"/>
      <c r="N48" s="493"/>
      <c r="O48" s="494"/>
    </row>
    <row r="49" spans="1:17" ht="15">
      <c r="A49" s="301"/>
      <c r="B49" s="297"/>
      <c r="C49" s="297"/>
      <c r="D49" s="297"/>
      <c r="E49" s="297"/>
      <c r="F49" s="297"/>
      <c r="G49" s="298"/>
      <c r="I49" s="301"/>
      <c r="J49" s="297"/>
      <c r="K49" s="297"/>
      <c r="L49" s="297"/>
      <c r="M49" s="297"/>
      <c r="N49" s="297"/>
      <c r="O49" s="298"/>
    </row>
    <row r="50" spans="1:17" ht="15.75">
      <c r="A50" s="301"/>
      <c r="B50" s="297"/>
      <c r="C50" s="302"/>
      <c r="D50" s="302"/>
      <c r="E50" s="302" t="s">
        <v>128</v>
      </c>
      <c r="F50" s="302" t="s">
        <v>80</v>
      </c>
      <c r="G50" s="298"/>
      <c r="I50" s="301"/>
      <c r="J50" s="297"/>
      <c r="K50" s="302"/>
      <c r="L50" s="302"/>
      <c r="M50" s="302" t="s">
        <v>128</v>
      </c>
      <c r="N50" s="302" t="s">
        <v>80</v>
      </c>
      <c r="O50" s="298"/>
    </row>
    <row r="51" spans="1:17" ht="15.75">
      <c r="A51" s="301"/>
      <c r="B51" s="297"/>
      <c r="C51" s="303" t="s">
        <v>97</v>
      </c>
      <c r="D51" s="303"/>
      <c r="E51" s="303" t="s">
        <v>129</v>
      </c>
      <c r="F51" s="303" t="s">
        <v>130</v>
      </c>
      <c r="G51" s="298"/>
      <c r="I51" s="301"/>
      <c r="J51" s="297"/>
      <c r="K51" s="303" t="s">
        <v>97</v>
      </c>
      <c r="L51" s="303"/>
      <c r="M51" s="303" t="s">
        <v>129</v>
      </c>
      <c r="N51" s="303" t="s">
        <v>130</v>
      </c>
      <c r="O51" s="298"/>
    </row>
    <row r="52" spans="1:17" ht="15.75">
      <c r="A52" s="304" t="s">
        <v>145</v>
      </c>
      <c r="B52" s="295"/>
      <c r="C52" s="305"/>
      <c r="D52" s="305"/>
      <c r="E52" s="305"/>
      <c r="F52" s="305"/>
      <c r="G52" s="298"/>
      <c r="I52" s="304" t="s">
        <v>131</v>
      </c>
      <c r="J52" s="295"/>
      <c r="K52" s="305"/>
      <c r="L52" s="305"/>
      <c r="M52" s="305"/>
      <c r="N52" s="305"/>
      <c r="O52" s="298"/>
    </row>
    <row r="53" spans="1:17" ht="15.75">
      <c r="A53" s="301" t="s">
        <v>132</v>
      </c>
      <c r="B53" s="297"/>
      <c r="C53" s="306">
        <v>63231</v>
      </c>
      <c r="D53" s="306"/>
      <c r="E53" s="307">
        <f>+M54</f>
        <v>2.7</v>
      </c>
      <c r="F53" s="308">
        <f>C53*E53</f>
        <v>170723.7</v>
      </c>
      <c r="G53" s="298"/>
      <c r="I53" s="301" t="s">
        <v>132</v>
      </c>
      <c r="J53" s="297"/>
      <c r="K53" s="306">
        <v>62533</v>
      </c>
      <c r="L53" s="306"/>
      <c r="M53" s="307">
        <v>1.94</v>
      </c>
      <c r="N53" s="308">
        <f>K53*M53</f>
        <v>121314.01999999999</v>
      </c>
      <c r="O53" s="298"/>
    </row>
    <row r="54" spans="1:17" ht="17.25">
      <c r="A54" s="309" t="s">
        <v>133</v>
      </c>
      <c r="B54" s="310"/>
      <c r="C54" s="311">
        <v>148568</v>
      </c>
      <c r="D54" s="311"/>
      <c r="E54" s="307">
        <f>+O73</f>
        <v>0.72</v>
      </c>
      <c r="F54" s="312">
        <f>C54*E54</f>
        <v>106968.95999999999</v>
      </c>
      <c r="G54" s="298"/>
      <c r="I54" s="309" t="s">
        <v>133</v>
      </c>
      <c r="J54" s="310"/>
      <c r="K54" s="311">
        <v>188839</v>
      </c>
      <c r="L54" s="311"/>
      <c r="M54" s="307">
        <v>2.7</v>
      </c>
      <c r="N54" s="312">
        <f>K54*M54</f>
        <v>509865.30000000005</v>
      </c>
      <c r="O54" s="298"/>
    </row>
    <row r="55" spans="1:17" ht="17.25">
      <c r="A55" s="301" t="s">
        <v>80</v>
      </c>
      <c r="B55" s="297"/>
      <c r="C55" s="306">
        <f>SUM(C53:C54)</f>
        <v>211799</v>
      </c>
      <c r="D55" s="311"/>
      <c r="E55" s="297"/>
      <c r="F55" s="308">
        <f>SUM(F53:F54)</f>
        <v>277692.66000000003</v>
      </c>
      <c r="G55" s="298"/>
      <c r="I55" s="301" t="s">
        <v>80</v>
      </c>
      <c r="J55" s="297"/>
      <c r="K55" s="306">
        <f>SUM(K53:K54)</f>
        <v>251372</v>
      </c>
      <c r="L55" s="311"/>
      <c r="M55" s="297"/>
      <c r="N55" s="308">
        <f>SUM(N53:N54)</f>
        <v>631179.32000000007</v>
      </c>
      <c r="O55" s="298"/>
    </row>
    <row r="56" spans="1:17" ht="15">
      <c r="A56" s="301"/>
      <c r="B56" s="297"/>
      <c r="C56" s="297"/>
      <c r="D56" s="297"/>
      <c r="E56" s="297"/>
      <c r="F56" s="297"/>
      <c r="G56" s="298"/>
      <c r="I56" s="301"/>
      <c r="J56" s="297"/>
      <c r="K56" s="297"/>
      <c r="L56" s="297"/>
      <c r="M56" s="297"/>
      <c r="N56" s="297"/>
      <c r="O56" s="298"/>
    </row>
    <row r="57" spans="1:17" ht="15.75">
      <c r="A57" s="294" t="s">
        <v>176</v>
      </c>
      <c r="B57" s="297"/>
      <c r="C57" s="297"/>
      <c r="D57" s="297"/>
      <c r="E57" s="297"/>
      <c r="F57" s="308">
        <v>153774.15208976623</v>
      </c>
      <c r="G57" s="298"/>
      <c r="I57" s="301"/>
      <c r="J57" s="297"/>
      <c r="K57" s="297"/>
      <c r="L57" s="297"/>
      <c r="M57" s="297"/>
      <c r="N57" s="297"/>
      <c r="O57" s="298"/>
    </row>
    <row r="58" spans="1:17" ht="15.75">
      <c r="A58" s="294" t="s">
        <v>211</v>
      </c>
      <c r="B58" s="297"/>
      <c r="C58" s="297"/>
      <c r="D58" s="297"/>
      <c r="E58" s="297"/>
      <c r="F58" s="425">
        <f>-F57*50%</f>
        <v>-76887.076044883113</v>
      </c>
      <c r="G58" s="298"/>
      <c r="I58" s="301"/>
      <c r="J58" s="297"/>
      <c r="K58" s="297"/>
      <c r="L58" s="297"/>
      <c r="M58" s="297"/>
      <c r="N58" s="297"/>
      <c r="O58" s="298"/>
    </row>
    <row r="59" spans="1:17" ht="15.75">
      <c r="A59" s="429" t="s">
        <v>214</v>
      </c>
      <c r="B59" s="430"/>
      <c r="C59" s="430"/>
      <c r="D59" s="430"/>
      <c r="E59" s="430"/>
      <c r="F59" s="426">
        <f>SUM(F57:F58)</f>
        <v>76887.076044883113</v>
      </c>
      <c r="G59" s="298"/>
      <c r="I59" s="301"/>
      <c r="J59" s="297"/>
      <c r="K59" s="297"/>
      <c r="L59" s="297"/>
      <c r="M59" s="297"/>
      <c r="N59" s="297"/>
      <c r="O59" s="298"/>
    </row>
    <row r="60" spans="1:17" ht="15">
      <c r="A60" s="430"/>
      <c r="B60" s="430"/>
      <c r="C60" s="430"/>
      <c r="D60" s="430"/>
      <c r="E60" s="430"/>
      <c r="F60" s="430"/>
      <c r="G60" s="298"/>
      <c r="I60" s="301"/>
      <c r="J60" s="297"/>
      <c r="K60" s="297"/>
      <c r="L60" s="297"/>
      <c r="M60" s="297"/>
      <c r="N60" s="297"/>
      <c r="O60" s="298"/>
    </row>
    <row r="61" spans="1:17" ht="15">
      <c r="A61" s="301" t="s">
        <v>135</v>
      </c>
      <c r="B61" s="297"/>
      <c r="C61" s="297"/>
      <c r="D61" s="297"/>
      <c r="E61" s="297"/>
      <c r="F61" s="386">
        <f>F59-F55</f>
        <v>-200805.58395511692</v>
      </c>
      <c r="G61" s="298"/>
      <c r="I61" s="301"/>
      <c r="J61" s="297"/>
      <c r="K61" s="297"/>
      <c r="L61" s="297"/>
      <c r="M61" s="297"/>
      <c r="N61" s="297"/>
      <c r="O61" s="298"/>
    </row>
    <row r="62" spans="1:17" ht="15.75">
      <c r="A62" s="294" t="s">
        <v>212</v>
      </c>
      <c r="B62" s="297"/>
      <c r="C62" s="383">
        <v>42056</v>
      </c>
      <c r="D62" s="297"/>
      <c r="E62" s="384">
        <f>+O80</f>
        <v>-1.1600000000000001</v>
      </c>
      <c r="F62" s="308">
        <f>E62*C62</f>
        <v>-48784.960000000006</v>
      </c>
      <c r="G62" s="298"/>
      <c r="I62" s="294" t="s">
        <v>134</v>
      </c>
      <c r="J62" s="297"/>
      <c r="K62" s="297"/>
      <c r="L62" s="297"/>
      <c r="M62" s="297"/>
      <c r="N62" s="308">
        <v>269162</v>
      </c>
      <c r="O62" s="298"/>
      <c r="Q62" s="389"/>
    </row>
    <row r="63" spans="1:17" ht="15.75">
      <c r="A63" s="294" t="s">
        <v>209</v>
      </c>
      <c r="B63" s="430"/>
      <c r="C63" s="430"/>
      <c r="D63" s="430"/>
      <c r="E63" s="430"/>
      <c r="F63" s="427">
        <v>4957.7399619857606</v>
      </c>
      <c r="G63" s="298"/>
      <c r="I63" s="301"/>
      <c r="J63" s="297"/>
      <c r="K63" s="297"/>
      <c r="L63" s="297"/>
      <c r="M63" s="297"/>
      <c r="N63" s="308"/>
      <c r="O63" s="298"/>
    </row>
    <row r="64" spans="1:17" ht="15">
      <c r="A64" s="430" t="s">
        <v>215</v>
      </c>
      <c r="B64" s="430"/>
      <c r="C64" s="430"/>
      <c r="D64" s="430"/>
      <c r="E64" s="430"/>
      <c r="F64" s="426">
        <f>SUM(F61:F63)</f>
        <v>-244632.80399313118</v>
      </c>
      <c r="G64" s="298"/>
      <c r="I64" s="301" t="s">
        <v>135</v>
      </c>
      <c r="J64" s="297"/>
      <c r="K64" s="297"/>
      <c r="L64" s="297"/>
      <c r="M64" s="297"/>
      <c r="N64" s="306">
        <f>N62-N55</f>
        <v>-362017.32000000007</v>
      </c>
      <c r="O64" s="298"/>
    </row>
    <row r="65" spans="1:15" ht="17.25">
      <c r="A65" s="430"/>
      <c r="B65" s="430"/>
      <c r="C65" s="430"/>
      <c r="D65" s="430"/>
      <c r="E65" s="430"/>
      <c r="F65" s="430"/>
      <c r="G65" s="298"/>
      <c r="I65" s="301"/>
      <c r="J65" s="297"/>
      <c r="K65" s="313"/>
      <c r="L65" s="297"/>
      <c r="M65" s="297"/>
      <c r="N65" s="314"/>
      <c r="O65" s="298"/>
    </row>
    <row r="66" spans="1:15" ht="15">
      <c r="A66" s="301" t="s">
        <v>136</v>
      </c>
      <c r="B66" s="297"/>
      <c r="C66" s="297"/>
      <c r="D66" s="297"/>
      <c r="E66" s="297"/>
      <c r="F66" s="306">
        <v>253855</v>
      </c>
      <c r="G66" s="298"/>
      <c r="I66" s="301" t="s">
        <v>136</v>
      </c>
      <c r="J66" s="297"/>
      <c r="K66" s="297"/>
      <c r="L66" s="297"/>
      <c r="M66" s="297"/>
      <c r="N66" s="306">
        <f>+K55</f>
        <v>251372</v>
      </c>
      <c r="O66" s="298"/>
    </row>
    <row r="67" spans="1:15" ht="15">
      <c r="A67" s="301"/>
      <c r="B67" s="297"/>
      <c r="C67" s="297"/>
      <c r="D67" s="297"/>
      <c r="E67" s="297"/>
      <c r="F67" s="297"/>
      <c r="G67" s="298"/>
      <c r="I67" s="301"/>
      <c r="J67" s="297"/>
      <c r="K67" s="297"/>
      <c r="L67" s="297"/>
      <c r="M67" s="297"/>
      <c r="N67" s="297"/>
      <c r="O67" s="298"/>
    </row>
    <row r="68" spans="1:15" ht="15">
      <c r="A68" s="301" t="s">
        <v>137</v>
      </c>
      <c r="B68" s="297"/>
      <c r="C68" s="297"/>
      <c r="D68" s="297"/>
      <c r="E68" s="297"/>
      <c r="F68" s="315"/>
      <c r="G68" s="316">
        <f>F64/F66</f>
        <v>-0.96367140293920217</v>
      </c>
      <c r="I68" s="301" t="s">
        <v>137</v>
      </c>
      <c r="J68" s="297"/>
      <c r="K68" s="297"/>
      <c r="L68" s="297"/>
      <c r="M68" s="297"/>
      <c r="N68" s="315"/>
      <c r="O68" s="316">
        <f>ROUND(N64/N66,2)</f>
        <v>-1.44</v>
      </c>
    </row>
    <row r="69" spans="1:15" ht="15">
      <c r="A69" s="301"/>
      <c r="B69" s="297"/>
      <c r="C69" s="297"/>
      <c r="D69" s="297"/>
      <c r="E69" s="297"/>
      <c r="F69" s="297"/>
      <c r="G69" s="316"/>
      <c r="I69" s="301"/>
      <c r="J69" s="297"/>
      <c r="K69" s="297"/>
      <c r="L69" s="297"/>
      <c r="M69" s="297"/>
      <c r="N69" s="297"/>
      <c r="O69" s="316"/>
    </row>
    <row r="70" spans="1:15" ht="15">
      <c r="A70" s="301"/>
      <c r="B70" s="297"/>
      <c r="C70" s="297"/>
      <c r="D70" s="297"/>
      <c r="E70" s="297"/>
      <c r="F70" s="297"/>
      <c r="G70" s="316"/>
      <c r="I70" s="301"/>
      <c r="J70" s="297"/>
      <c r="K70" s="297"/>
      <c r="L70" s="297"/>
      <c r="M70" s="297"/>
      <c r="N70" s="297"/>
      <c r="O70" s="316"/>
    </row>
    <row r="71" spans="1:15" ht="15.75">
      <c r="A71" s="317" t="s">
        <v>178</v>
      </c>
      <c r="B71" s="295"/>
      <c r="C71" s="297"/>
      <c r="D71" s="297"/>
      <c r="E71" s="297"/>
      <c r="F71" s="318">
        <f>F57</f>
        <v>153774.15208976623</v>
      </c>
      <c r="G71" s="316"/>
      <c r="I71" s="317" t="s">
        <v>138</v>
      </c>
      <c r="J71" s="295"/>
      <c r="K71" s="297"/>
      <c r="L71" s="297"/>
      <c r="M71" s="297"/>
      <c r="N71" s="318">
        <v>91522</v>
      </c>
      <c r="O71" s="316"/>
    </row>
    <row r="72" spans="1:15" ht="17.25">
      <c r="A72" s="294" t="s">
        <v>211</v>
      </c>
      <c r="B72" s="430"/>
      <c r="C72" s="430"/>
      <c r="D72" s="430"/>
      <c r="E72" s="430"/>
      <c r="F72" s="428">
        <f>F71*50%</f>
        <v>76887.076044883113</v>
      </c>
      <c r="G72" s="316"/>
      <c r="I72" s="301" t="s">
        <v>136</v>
      </c>
      <c r="J72" s="297"/>
      <c r="K72" s="297"/>
      <c r="L72" s="297"/>
      <c r="M72" s="297"/>
      <c r="N72" s="319">
        <v>126406</v>
      </c>
      <c r="O72" s="316"/>
    </row>
    <row r="73" spans="1:15" ht="17.25">
      <c r="A73" s="430" t="s">
        <v>213</v>
      </c>
      <c r="B73" s="430"/>
      <c r="C73" s="430"/>
      <c r="D73" s="430"/>
      <c r="E73" s="430"/>
      <c r="F73" s="426">
        <f>F71-F72</f>
        <v>76887.076044883113</v>
      </c>
      <c r="G73" s="316"/>
      <c r="I73" s="301" t="s">
        <v>139</v>
      </c>
      <c r="J73" s="297"/>
      <c r="K73" s="297"/>
      <c r="L73" s="297"/>
      <c r="M73" s="297"/>
      <c r="N73" s="297"/>
      <c r="O73" s="320">
        <f>ROUND(+N71/N72,2)</f>
        <v>0.72</v>
      </c>
    </row>
    <row r="74" spans="1:15" ht="17.25">
      <c r="A74" s="301" t="s">
        <v>136</v>
      </c>
      <c r="B74" s="297"/>
      <c r="C74" s="297"/>
      <c r="D74" s="297"/>
      <c r="E74" s="297"/>
      <c r="F74" s="319">
        <f>+F66</f>
        <v>253855</v>
      </c>
      <c r="G74" s="316"/>
      <c r="I74" s="294" t="s">
        <v>140</v>
      </c>
      <c r="J74" s="295"/>
      <c r="K74" s="297"/>
      <c r="L74" s="297"/>
      <c r="M74" s="297"/>
      <c r="N74" s="297"/>
      <c r="O74" s="321">
        <f>SUM(O68:O73)</f>
        <v>-0.72</v>
      </c>
    </row>
    <row r="75" spans="1:15" ht="17.25">
      <c r="A75" s="301" t="s">
        <v>139</v>
      </c>
      <c r="B75" s="297"/>
      <c r="C75" s="297"/>
      <c r="D75" s="297"/>
      <c r="E75" s="297"/>
      <c r="F75" s="297"/>
      <c r="G75" s="320">
        <f>ROUND(+F71/F74,2)</f>
        <v>0.61</v>
      </c>
      <c r="I75" s="294"/>
      <c r="J75" s="295"/>
      <c r="K75" s="297"/>
      <c r="L75" s="297"/>
      <c r="M75" s="297"/>
      <c r="N75" s="297"/>
      <c r="O75" s="321"/>
    </row>
    <row r="76" spans="1:15" ht="15.75">
      <c r="A76" s="294" t="s">
        <v>140</v>
      </c>
      <c r="B76" s="295"/>
      <c r="C76" s="297"/>
      <c r="D76" s="297"/>
      <c r="E76" s="297"/>
      <c r="F76" s="297"/>
      <c r="G76" s="321">
        <f>SUM(G68:G75)</f>
        <v>-0.35367140293920218</v>
      </c>
      <c r="I76" s="309" t="s">
        <v>141</v>
      </c>
      <c r="J76" s="295"/>
      <c r="K76" s="297"/>
      <c r="L76" s="297"/>
      <c r="M76" s="323">
        <f>+K55/12*0.5</f>
        <v>10473.833333333334</v>
      </c>
      <c r="N76" s="297"/>
      <c r="O76" s="324">
        <f>ROUND(-M76/K55*2,2)</f>
        <v>-0.08</v>
      </c>
    </row>
    <row r="77" spans="1:15" ht="15.75">
      <c r="A77" s="294"/>
      <c r="B77" s="295"/>
      <c r="C77" s="297"/>
      <c r="D77" s="297"/>
      <c r="E77" s="297"/>
      <c r="F77" s="297"/>
      <c r="G77" s="321"/>
      <c r="I77" s="294"/>
      <c r="J77" s="295"/>
      <c r="K77" s="297"/>
      <c r="L77" s="297"/>
      <c r="M77" s="297"/>
      <c r="N77" s="297"/>
      <c r="O77" s="321"/>
    </row>
    <row r="78" spans="1:15" ht="20.25">
      <c r="A78" s="309"/>
      <c r="B78" s="297"/>
      <c r="C78" s="297"/>
      <c r="D78" s="297"/>
      <c r="E78" s="325"/>
      <c r="F78" s="297"/>
      <c r="G78" s="326"/>
      <c r="I78" s="309" t="s">
        <v>142</v>
      </c>
      <c r="J78" s="297"/>
      <c r="K78" s="297"/>
      <c r="L78" s="297"/>
      <c r="M78" s="325">
        <v>0.5</v>
      </c>
      <c r="N78" s="297"/>
      <c r="O78" s="326">
        <f>-M78*O73</f>
        <v>-0.36</v>
      </c>
    </row>
    <row r="79" spans="1:15" ht="20.25">
      <c r="A79" s="309"/>
      <c r="B79" s="297"/>
      <c r="C79" s="297"/>
      <c r="D79" s="297"/>
      <c r="E79" s="328"/>
      <c r="F79" s="297"/>
      <c r="G79" s="326"/>
      <c r="I79" s="309"/>
      <c r="J79" s="297"/>
      <c r="K79" s="297"/>
      <c r="L79" s="297"/>
      <c r="M79" s="328"/>
      <c r="N79" s="297"/>
      <c r="O79" s="326"/>
    </row>
    <row r="80" spans="1:15" ht="18">
      <c r="A80" s="294"/>
      <c r="B80" s="297"/>
      <c r="C80" s="297"/>
      <c r="D80" s="297"/>
      <c r="E80" s="328"/>
      <c r="F80" s="297"/>
      <c r="G80" s="329"/>
      <c r="I80" s="294" t="s">
        <v>207</v>
      </c>
      <c r="J80" s="297"/>
      <c r="K80" s="297"/>
      <c r="L80" s="297"/>
      <c r="M80" s="328"/>
      <c r="N80" s="297"/>
      <c r="O80" s="329">
        <f>+O74+O78+O76</f>
        <v>-1.1600000000000001</v>
      </c>
    </row>
    <row r="81" spans="1:15" ht="13.5" thickBot="1">
      <c r="A81" s="330"/>
      <c r="B81" s="331"/>
      <c r="C81" s="331"/>
      <c r="D81" s="331"/>
      <c r="E81" s="331"/>
      <c r="F81" s="331"/>
      <c r="G81" s="332"/>
      <c r="I81" s="330"/>
      <c r="J81" s="331"/>
      <c r="K81" s="331"/>
      <c r="L81" s="331"/>
      <c r="M81" s="331"/>
      <c r="N81" s="331"/>
      <c r="O81" s="332"/>
    </row>
    <row r="83" spans="1:15" ht="13.5" thickBot="1"/>
    <row r="84" spans="1:15" ht="23.25">
      <c r="A84" s="290" t="s">
        <v>144</v>
      </c>
      <c r="B84" s="291"/>
      <c r="C84" s="292"/>
      <c r="D84" s="292"/>
      <c r="E84" s="292"/>
      <c r="F84" s="292"/>
      <c r="G84" s="293"/>
      <c r="I84" s="290" t="s">
        <v>144</v>
      </c>
      <c r="J84" s="291"/>
      <c r="K84" s="292"/>
      <c r="L84" s="292"/>
      <c r="M84" s="292"/>
      <c r="N84" s="292"/>
      <c r="O84" s="293"/>
    </row>
    <row r="85" spans="1:15" ht="15.75">
      <c r="A85" s="294" t="s">
        <v>127</v>
      </c>
      <c r="B85" s="295"/>
      <c r="C85" s="296"/>
      <c r="D85" s="296"/>
      <c r="E85" s="297"/>
      <c r="F85" s="297"/>
      <c r="G85" s="298"/>
      <c r="I85" s="294" t="s">
        <v>127</v>
      </c>
      <c r="J85" s="295"/>
      <c r="K85" s="296"/>
      <c r="L85" s="296"/>
      <c r="M85" s="297"/>
      <c r="N85" s="297"/>
      <c r="O85" s="298"/>
    </row>
    <row r="86" spans="1:15" ht="15.75">
      <c r="A86" s="299"/>
      <c r="B86" s="300"/>
      <c r="C86" s="297"/>
      <c r="D86" s="297"/>
      <c r="E86" s="297"/>
      <c r="F86" s="297"/>
      <c r="G86" s="298"/>
      <c r="I86" s="299"/>
      <c r="J86" s="300"/>
      <c r="K86" s="297"/>
      <c r="L86" s="297"/>
      <c r="M86" s="297"/>
      <c r="N86" s="297"/>
      <c r="O86" s="298"/>
    </row>
    <row r="87" spans="1:15" ht="15">
      <c r="A87" s="492" t="s">
        <v>19</v>
      </c>
      <c r="B87" s="493"/>
      <c r="C87" s="493"/>
      <c r="D87" s="493"/>
      <c r="E87" s="493"/>
      <c r="F87" s="493"/>
      <c r="G87" s="494"/>
      <c r="I87" s="492" t="s">
        <v>19</v>
      </c>
      <c r="J87" s="493"/>
      <c r="K87" s="493"/>
      <c r="L87" s="493"/>
      <c r="M87" s="493"/>
      <c r="N87" s="493"/>
      <c r="O87" s="494"/>
    </row>
    <row r="88" spans="1:15" ht="15">
      <c r="A88" s="301"/>
      <c r="B88" s="297"/>
      <c r="C88" s="297"/>
      <c r="D88" s="297"/>
      <c r="E88" s="297"/>
      <c r="F88" s="297"/>
      <c r="G88" s="298"/>
      <c r="I88" s="301"/>
      <c r="J88" s="297"/>
      <c r="K88" s="297"/>
      <c r="L88" s="297"/>
      <c r="M88" s="297"/>
      <c r="N88" s="297"/>
      <c r="O88" s="298"/>
    </row>
    <row r="89" spans="1:15" ht="15.75">
      <c r="A89" s="301"/>
      <c r="B89" s="297"/>
      <c r="C89" s="302"/>
      <c r="D89" s="302"/>
      <c r="E89" s="302" t="s">
        <v>128</v>
      </c>
      <c r="F89" s="302" t="s">
        <v>80</v>
      </c>
      <c r="G89" s="298"/>
      <c r="I89" s="301"/>
      <c r="J89" s="297"/>
      <c r="K89" s="302"/>
      <c r="L89" s="302"/>
      <c r="M89" s="302" t="s">
        <v>128</v>
      </c>
      <c r="N89" s="302" t="s">
        <v>80</v>
      </c>
      <c r="O89" s="298"/>
    </row>
    <row r="90" spans="1:15" ht="15.75">
      <c r="A90" s="301"/>
      <c r="B90" s="297"/>
      <c r="C90" s="303" t="s">
        <v>97</v>
      </c>
      <c r="D90" s="303"/>
      <c r="E90" s="303" t="s">
        <v>129</v>
      </c>
      <c r="F90" s="303" t="s">
        <v>130</v>
      </c>
      <c r="G90" s="298"/>
      <c r="I90" s="301"/>
      <c r="J90" s="297"/>
      <c r="K90" s="303" t="s">
        <v>97</v>
      </c>
      <c r="L90" s="303"/>
      <c r="M90" s="303" t="s">
        <v>129</v>
      </c>
      <c r="N90" s="303" t="s">
        <v>130</v>
      </c>
      <c r="O90" s="298"/>
    </row>
    <row r="91" spans="1:15" ht="15.75">
      <c r="A91" s="304" t="s">
        <v>145</v>
      </c>
      <c r="B91" s="295"/>
      <c r="C91" s="305"/>
      <c r="D91" s="305"/>
      <c r="E91" s="305"/>
      <c r="F91" s="305"/>
      <c r="G91" s="298"/>
      <c r="I91" s="304" t="s">
        <v>131</v>
      </c>
      <c r="J91" s="295"/>
      <c r="K91" s="305"/>
      <c r="L91" s="305"/>
      <c r="M91" s="305"/>
      <c r="N91" s="305"/>
      <c r="O91" s="298"/>
    </row>
    <row r="92" spans="1:15" ht="15.75">
      <c r="A92" s="301" t="s">
        <v>132</v>
      </c>
      <c r="B92" s="297"/>
      <c r="C92" s="306">
        <v>52930</v>
      </c>
      <c r="D92" s="306"/>
      <c r="E92" s="307">
        <f>+M93</f>
        <v>2.33</v>
      </c>
      <c r="F92" s="308">
        <f>C92*E92</f>
        <v>123326.90000000001</v>
      </c>
      <c r="G92" s="298"/>
      <c r="I92" s="301" t="s">
        <v>132</v>
      </c>
      <c r="J92" s="297"/>
      <c r="K92" s="306">
        <v>51847</v>
      </c>
      <c r="L92" s="306"/>
      <c r="M92" s="307">
        <v>1.67</v>
      </c>
      <c r="N92" s="308">
        <f>K92*M92</f>
        <v>86584.489999999991</v>
      </c>
      <c r="O92" s="298"/>
    </row>
    <row r="93" spans="1:15" ht="17.25">
      <c r="A93" s="309" t="s">
        <v>133</v>
      </c>
      <c r="B93" s="310"/>
      <c r="C93" s="311">
        <v>124468</v>
      </c>
      <c r="D93" s="311"/>
      <c r="E93" s="307">
        <f>+O112</f>
        <v>0.81</v>
      </c>
      <c r="F93" s="312">
        <f>C93*E93</f>
        <v>100819.08</v>
      </c>
      <c r="G93" s="298"/>
      <c r="I93" s="309" t="s">
        <v>133</v>
      </c>
      <c r="J93" s="310"/>
      <c r="K93" s="311">
        <v>157300</v>
      </c>
      <c r="L93" s="311"/>
      <c r="M93" s="307">
        <v>2.33</v>
      </c>
      <c r="N93" s="312">
        <f>K93*M93</f>
        <v>366509</v>
      </c>
      <c r="O93" s="298"/>
    </row>
    <row r="94" spans="1:15" ht="17.25">
      <c r="A94" s="301" t="s">
        <v>80</v>
      </c>
      <c r="B94" s="297"/>
      <c r="C94" s="306">
        <f>SUM(C92:C93)</f>
        <v>177398</v>
      </c>
      <c r="D94" s="311"/>
      <c r="E94" s="297"/>
      <c r="F94" s="308">
        <f>SUM(F92:F93)</f>
        <v>224145.98</v>
      </c>
      <c r="G94" s="298"/>
      <c r="I94" s="301" t="s">
        <v>80</v>
      </c>
      <c r="J94" s="297"/>
      <c r="K94" s="306">
        <f>SUM(K92:K93)</f>
        <v>209147</v>
      </c>
      <c r="L94" s="311"/>
      <c r="M94" s="297"/>
      <c r="N94" s="308">
        <f>SUM(N92:N93)</f>
        <v>453093.49</v>
      </c>
      <c r="O94" s="298"/>
    </row>
    <row r="95" spans="1:15" ht="15">
      <c r="A95" s="301"/>
      <c r="B95" s="297"/>
      <c r="C95" s="297"/>
      <c r="D95" s="297"/>
      <c r="E95" s="297"/>
      <c r="F95" s="297"/>
      <c r="G95" s="298"/>
      <c r="I95" s="301"/>
      <c r="J95" s="297"/>
      <c r="K95" s="297"/>
      <c r="L95" s="297"/>
      <c r="M95" s="297"/>
      <c r="N95" s="297"/>
      <c r="O95" s="298"/>
    </row>
    <row r="96" spans="1:15" ht="15.75">
      <c r="A96" s="294" t="s">
        <v>176</v>
      </c>
      <c r="B96" s="297"/>
      <c r="C96" s="297"/>
      <c r="D96" s="297"/>
      <c r="E96" s="297"/>
      <c r="F96" s="308">
        <v>145945.7483506508</v>
      </c>
      <c r="G96" s="298"/>
      <c r="I96" s="301"/>
      <c r="J96" s="297"/>
      <c r="K96" s="297"/>
      <c r="L96" s="297"/>
      <c r="M96" s="297"/>
      <c r="N96" s="297"/>
      <c r="O96" s="298"/>
    </row>
    <row r="97" spans="1:17" ht="15.75">
      <c r="A97" s="294" t="s">
        <v>211</v>
      </c>
      <c r="B97" s="297"/>
      <c r="C97" s="297"/>
      <c r="D97" s="297"/>
      <c r="E97" s="297"/>
      <c r="F97" s="425">
        <f>-F96*50%</f>
        <v>-72972.8741753254</v>
      </c>
      <c r="G97" s="298"/>
      <c r="I97" s="301"/>
      <c r="J97" s="297"/>
      <c r="K97" s="297"/>
      <c r="L97" s="297"/>
      <c r="M97" s="297"/>
      <c r="N97" s="297"/>
      <c r="O97" s="298"/>
    </row>
    <row r="98" spans="1:17" ht="15.75">
      <c r="A98" s="429" t="s">
        <v>214</v>
      </c>
      <c r="B98" s="430"/>
      <c r="C98" s="430"/>
      <c r="D98" s="430"/>
      <c r="E98" s="430"/>
      <c r="F98" s="426">
        <f>SUM(F96:F97)</f>
        <v>72972.8741753254</v>
      </c>
      <c r="G98" s="298"/>
      <c r="I98" s="301"/>
      <c r="J98" s="297"/>
      <c r="K98" s="297"/>
      <c r="L98" s="297"/>
      <c r="M98" s="297"/>
      <c r="N98" s="297"/>
      <c r="O98" s="298"/>
    </row>
    <row r="99" spans="1:17" ht="15">
      <c r="A99" s="430"/>
      <c r="B99" s="430"/>
      <c r="C99" s="430"/>
      <c r="D99" s="430"/>
      <c r="E99" s="430"/>
      <c r="F99" s="430"/>
      <c r="G99" s="298"/>
      <c r="I99" s="301"/>
      <c r="J99" s="297"/>
      <c r="K99" s="297"/>
      <c r="L99" s="297"/>
      <c r="M99" s="297"/>
      <c r="N99" s="297"/>
      <c r="O99" s="298"/>
    </row>
    <row r="100" spans="1:17" ht="15">
      <c r="A100" s="301" t="s">
        <v>135</v>
      </c>
      <c r="B100" s="297"/>
      <c r="C100" s="297"/>
      <c r="D100" s="297"/>
      <c r="E100" s="297"/>
      <c r="F100" s="386">
        <f>F98-F94</f>
        <v>-151173.1058246746</v>
      </c>
      <c r="G100" s="298"/>
      <c r="I100" s="301"/>
      <c r="J100" s="297"/>
      <c r="K100" s="297"/>
      <c r="L100" s="297"/>
      <c r="M100" s="297"/>
      <c r="N100" s="297"/>
      <c r="O100" s="298"/>
    </row>
    <row r="101" spans="1:17" ht="15.75">
      <c r="A101" s="294" t="s">
        <v>212</v>
      </c>
      <c r="B101" s="297"/>
      <c r="C101" s="383">
        <v>35317</v>
      </c>
      <c r="D101" s="297"/>
      <c r="E101" s="384">
        <f>+O119</f>
        <v>-0.77500000000000002</v>
      </c>
      <c r="F101" s="308">
        <f>E101*C101</f>
        <v>-27370.674999999999</v>
      </c>
      <c r="G101" s="298"/>
      <c r="I101" s="294" t="s">
        <v>134</v>
      </c>
      <c r="J101" s="297"/>
      <c r="K101" s="297"/>
      <c r="L101" s="297"/>
      <c r="M101" s="297"/>
      <c r="N101" s="308">
        <v>223798</v>
      </c>
      <c r="O101" s="298"/>
      <c r="Q101" s="388"/>
    </row>
    <row r="102" spans="1:17" ht="15.75">
      <c r="A102" s="294" t="s">
        <v>209</v>
      </c>
      <c r="B102" s="297"/>
      <c r="C102" s="297"/>
      <c r="D102" s="297"/>
      <c r="E102" s="297"/>
      <c r="F102" s="427">
        <v>4826.2600380142394</v>
      </c>
      <c r="G102" s="298"/>
      <c r="I102" s="301"/>
      <c r="J102" s="297"/>
      <c r="K102" s="297"/>
      <c r="L102" s="297"/>
      <c r="M102" s="297"/>
      <c r="N102" s="308"/>
      <c r="O102" s="298"/>
    </row>
    <row r="103" spans="1:17" ht="15">
      <c r="A103" s="430" t="s">
        <v>215</v>
      </c>
      <c r="B103" s="430"/>
      <c r="C103" s="430"/>
      <c r="D103" s="430"/>
      <c r="E103" s="430"/>
      <c r="F103" s="426">
        <f>SUM(F100:F102)</f>
        <v>-173717.52078666035</v>
      </c>
      <c r="G103" s="298"/>
      <c r="I103" s="301" t="s">
        <v>135</v>
      </c>
      <c r="J103" s="297"/>
      <c r="K103" s="297"/>
      <c r="L103" s="297"/>
      <c r="M103" s="297"/>
      <c r="N103" s="306">
        <f>N101-N94</f>
        <v>-229295.49</v>
      </c>
      <c r="O103" s="298"/>
    </row>
    <row r="104" spans="1:17" ht="17.25">
      <c r="A104" s="430"/>
      <c r="B104" s="430"/>
      <c r="C104" s="430"/>
      <c r="D104" s="430"/>
      <c r="E104" s="430"/>
      <c r="F104" s="430"/>
      <c r="G104" s="298"/>
      <c r="I104" s="301"/>
      <c r="J104" s="297"/>
      <c r="K104" s="313"/>
      <c r="L104" s="297"/>
      <c r="M104" s="297"/>
      <c r="N104" s="314"/>
      <c r="O104" s="298"/>
    </row>
    <row r="105" spans="1:17" ht="15">
      <c r="A105" s="301" t="s">
        <v>136</v>
      </c>
      <c r="B105" s="297"/>
      <c r="C105" s="297"/>
      <c r="D105" s="297"/>
      <c r="E105" s="297"/>
      <c r="F105" s="306">
        <v>212715</v>
      </c>
      <c r="G105" s="298"/>
      <c r="I105" s="301" t="s">
        <v>136</v>
      </c>
      <c r="J105" s="297"/>
      <c r="K105" s="297"/>
      <c r="L105" s="297"/>
      <c r="M105" s="297"/>
      <c r="N105" s="306">
        <f>+K94</f>
        <v>209147</v>
      </c>
      <c r="O105" s="298"/>
    </row>
    <row r="106" spans="1:17" ht="15">
      <c r="A106" s="301"/>
      <c r="B106" s="297"/>
      <c r="C106" s="297"/>
      <c r="D106" s="297"/>
      <c r="E106" s="297"/>
      <c r="F106" s="297"/>
      <c r="G106" s="298"/>
      <c r="I106" s="301"/>
      <c r="J106" s="297"/>
      <c r="K106" s="297"/>
      <c r="L106" s="297"/>
      <c r="M106" s="297"/>
      <c r="N106" s="297"/>
      <c r="O106" s="298"/>
    </row>
    <row r="107" spans="1:17" ht="15">
      <c r="A107" s="301" t="s">
        <v>137</v>
      </c>
      <c r="B107" s="297"/>
      <c r="C107" s="297"/>
      <c r="D107" s="297"/>
      <c r="E107" s="297"/>
      <c r="F107" s="315"/>
      <c r="G107" s="316">
        <f>F103/F105</f>
        <v>-0.81666793966885431</v>
      </c>
      <c r="I107" s="301" t="s">
        <v>137</v>
      </c>
      <c r="J107" s="297"/>
      <c r="K107" s="297"/>
      <c r="L107" s="297"/>
      <c r="M107" s="297"/>
      <c r="N107" s="315"/>
      <c r="O107" s="316">
        <f>ROUND(N103/N105,2)</f>
        <v>-1.1000000000000001</v>
      </c>
    </row>
    <row r="108" spans="1:17" ht="15">
      <c r="A108" s="301"/>
      <c r="B108" s="297"/>
      <c r="C108" s="297"/>
      <c r="D108" s="297"/>
      <c r="E108" s="297"/>
      <c r="F108" s="297"/>
      <c r="G108" s="316"/>
      <c r="I108" s="301"/>
      <c r="J108" s="297"/>
      <c r="K108" s="297"/>
      <c r="L108" s="297"/>
      <c r="M108" s="297"/>
      <c r="N108" s="297"/>
      <c r="O108" s="316"/>
    </row>
    <row r="109" spans="1:17" ht="15">
      <c r="A109" s="301"/>
      <c r="B109" s="297"/>
      <c r="C109" s="297"/>
      <c r="D109" s="297"/>
      <c r="E109" s="297"/>
      <c r="F109" s="297"/>
      <c r="G109" s="316"/>
      <c r="I109" s="301"/>
      <c r="J109" s="297"/>
      <c r="K109" s="297"/>
      <c r="L109" s="297"/>
      <c r="M109" s="297"/>
      <c r="N109" s="297"/>
      <c r="O109" s="316"/>
    </row>
    <row r="110" spans="1:17" ht="15.75">
      <c r="A110" s="317" t="s">
        <v>178</v>
      </c>
      <c r="B110" s="295"/>
      <c r="C110" s="297"/>
      <c r="D110" s="297"/>
      <c r="E110" s="297"/>
      <c r="F110" s="318">
        <f>F96</f>
        <v>145945.7483506508</v>
      </c>
      <c r="G110" s="316"/>
      <c r="I110" s="317" t="s">
        <v>138</v>
      </c>
      <c r="J110" s="295"/>
      <c r="K110" s="297"/>
      <c r="L110" s="297"/>
      <c r="M110" s="297"/>
      <c r="N110" s="318">
        <v>85285</v>
      </c>
      <c r="O110" s="316"/>
    </row>
    <row r="111" spans="1:17" ht="17.25">
      <c r="A111" s="294" t="s">
        <v>211</v>
      </c>
      <c r="B111" s="430"/>
      <c r="C111" s="430"/>
      <c r="D111" s="430"/>
      <c r="E111" s="430"/>
      <c r="F111" s="428">
        <f>F110*50%</f>
        <v>72972.8741753254</v>
      </c>
      <c r="G111" s="316"/>
      <c r="I111" s="301" t="s">
        <v>136</v>
      </c>
      <c r="J111" s="297"/>
      <c r="K111" s="297"/>
      <c r="L111" s="297"/>
      <c r="M111" s="297"/>
      <c r="N111" s="319">
        <v>105335</v>
      </c>
      <c r="O111" s="316"/>
    </row>
    <row r="112" spans="1:17" ht="17.25">
      <c r="A112" s="430" t="s">
        <v>213</v>
      </c>
      <c r="B112" s="430"/>
      <c r="C112" s="430"/>
      <c r="D112" s="430"/>
      <c r="E112" s="430"/>
      <c r="F112" s="426">
        <f>F110-F111</f>
        <v>72972.8741753254</v>
      </c>
      <c r="G112" s="316"/>
      <c r="I112" s="301" t="s">
        <v>139</v>
      </c>
      <c r="J112" s="297"/>
      <c r="K112" s="297"/>
      <c r="L112" s="297"/>
      <c r="M112" s="297"/>
      <c r="N112" s="297"/>
      <c r="O112" s="320">
        <f>ROUND(+N110/N111,2)</f>
        <v>0.81</v>
      </c>
    </row>
    <row r="113" spans="1:15" ht="17.25">
      <c r="A113" s="301" t="s">
        <v>136</v>
      </c>
      <c r="B113" s="297"/>
      <c r="C113" s="297"/>
      <c r="D113" s="297"/>
      <c r="E113" s="297"/>
      <c r="F113" s="319">
        <f>+F105</f>
        <v>212715</v>
      </c>
      <c r="G113" s="316"/>
      <c r="I113" s="294" t="s">
        <v>140</v>
      </c>
      <c r="J113" s="295"/>
      <c r="K113" s="297"/>
      <c r="L113" s="297"/>
      <c r="M113" s="297"/>
      <c r="N113" s="297"/>
      <c r="O113" s="321">
        <f>SUM(O107:O112)</f>
        <v>-0.29000000000000004</v>
      </c>
    </row>
    <row r="114" spans="1:15" ht="17.25">
      <c r="A114" s="301" t="s">
        <v>139</v>
      </c>
      <c r="B114" s="297"/>
      <c r="C114" s="297"/>
      <c r="D114" s="297"/>
      <c r="E114" s="297"/>
      <c r="F114" s="297"/>
      <c r="G114" s="320">
        <f>ROUND(+F110/F113,2)</f>
        <v>0.69</v>
      </c>
      <c r="I114" s="294"/>
      <c r="J114" s="295"/>
      <c r="K114" s="297"/>
      <c r="L114" s="297"/>
      <c r="M114" s="297"/>
      <c r="N114" s="297"/>
      <c r="O114" s="321"/>
    </row>
    <row r="115" spans="1:15" ht="15.75">
      <c r="A115" s="294" t="s">
        <v>140</v>
      </c>
      <c r="B115" s="295"/>
      <c r="C115" s="297"/>
      <c r="D115" s="297"/>
      <c r="E115" s="297"/>
      <c r="F115" s="297"/>
      <c r="G115" s="321">
        <f>SUM(G107:G114)</f>
        <v>-0.12666793966885437</v>
      </c>
      <c r="I115" s="309" t="s">
        <v>141</v>
      </c>
      <c r="J115" s="295"/>
      <c r="K115" s="297"/>
      <c r="L115" s="297"/>
      <c r="M115" s="323">
        <f>+K94/12*0.5</f>
        <v>8714.4583333333339</v>
      </c>
      <c r="N115" s="297"/>
      <c r="O115" s="324">
        <f>ROUND(-M115/K94*2,2)</f>
        <v>-0.08</v>
      </c>
    </row>
    <row r="116" spans="1:15" ht="15.75">
      <c r="A116" s="294"/>
      <c r="B116" s="295"/>
      <c r="C116" s="297"/>
      <c r="D116" s="297"/>
      <c r="E116" s="297"/>
      <c r="F116" s="297"/>
      <c r="G116" s="321"/>
      <c r="I116" s="294"/>
      <c r="J116" s="295"/>
      <c r="K116" s="297"/>
      <c r="L116" s="297"/>
      <c r="M116" s="297"/>
      <c r="N116" s="297"/>
      <c r="O116" s="321"/>
    </row>
    <row r="117" spans="1:15" ht="20.25">
      <c r="A117" s="309"/>
      <c r="B117" s="297"/>
      <c r="C117" s="297"/>
      <c r="D117" s="297"/>
      <c r="E117" s="325"/>
      <c r="F117" s="297"/>
      <c r="G117" s="326"/>
      <c r="I117" s="309" t="s">
        <v>142</v>
      </c>
      <c r="J117" s="297"/>
      <c r="K117" s="297"/>
      <c r="L117" s="297"/>
      <c r="M117" s="325">
        <v>0.5</v>
      </c>
      <c r="N117" s="297"/>
      <c r="O117" s="326">
        <f>-M117*O112</f>
        <v>-0.40500000000000003</v>
      </c>
    </row>
    <row r="118" spans="1:15" ht="20.25">
      <c r="A118" s="309"/>
      <c r="B118" s="297"/>
      <c r="C118" s="297"/>
      <c r="D118" s="297"/>
      <c r="E118" s="328"/>
      <c r="F118" s="297"/>
      <c r="G118" s="326"/>
      <c r="I118" s="309"/>
      <c r="J118" s="297"/>
      <c r="K118" s="297"/>
      <c r="L118" s="297"/>
      <c r="M118" s="328"/>
      <c r="N118" s="297"/>
      <c r="O118" s="326"/>
    </row>
    <row r="119" spans="1:15" ht="18">
      <c r="A119" s="294"/>
      <c r="B119" s="297"/>
      <c r="C119" s="297"/>
      <c r="D119" s="297"/>
      <c r="E119" s="328"/>
      <c r="F119" s="297"/>
      <c r="G119" s="329"/>
      <c r="I119" s="294" t="s">
        <v>207</v>
      </c>
      <c r="J119" s="297"/>
      <c r="K119" s="297"/>
      <c r="L119" s="297"/>
      <c r="M119" s="328"/>
      <c r="N119" s="297"/>
      <c r="O119" s="329">
        <f>+O113+O117+O115</f>
        <v>-0.77500000000000002</v>
      </c>
    </row>
    <row r="120" spans="1:15" ht="13.5" thickBot="1">
      <c r="A120" s="330"/>
      <c r="B120" s="331"/>
      <c r="C120" s="331"/>
      <c r="D120" s="331"/>
      <c r="E120" s="331"/>
      <c r="F120" s="331"/>
      <c r="G120" s="332"/>
      <c r="I120" s="330"/>
      <c r="J120" s="331"/>
      <c r="K120" s="331"/>
      <c r="L120" s="331"/>
      <c r="M120" s="331"/>
      <c r="N120" s="331"/>
      <c r="O120" s="332"/>
    </row>
  </sheetData>
  <mergeCells count="7">
    <mergeCell ref="A87:G87"/>
    <mergeCell ref="I87:O87"/>
    <mergeCell ref="A4:C4"/>
    <mergeCell ref="A6:G6"/>
    <mergeCell ref="I6:O6"/>
    <mergeCell ref="A48:G48"/>
    <mergeCell ref="I48:O4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6BBE9-326A-4A36-A417-DDDFED333820}">
  <dimension ref="A1:AC120"/>
  <sheetViews>
    <sheetView topLeftCell="A79" zoomScale="112" zoomScaleNormal="112" workbookViewId="0">
      <selection activeCell="A115" sqref="A115"/>
    </sheetView>
  </sheetViews>
  <sheetFormatPr defaultRowHeight="12.75"/>
  <cols>
    <col min="1" max="1" width="64.140625" customWidth="1"/>
    <col min="2" max="2" width="16.42578125" customWidth="1"/>
    <col min="3" max="3" width="14.28515625" bestFit="1" customWidth="1"/>
    <col min="5" max="5" width="14" bestFit="1" customWidth="1"/>
    <col min="6" max="6" width="15.5703125" bestFit="1" customWidth="1"/>
    <col min="7" max="7" width="9.140625" bestFit="1" customWidth="1"/>
    <col min="9" max="9" width="64.140625" customWidth="1"/>
    <col min="10" max="10" width="16.42578125" customWidth="1"/>
    <col min="11" max="11" width="14.28515625" bestFit="1" customWidth="1"/>
    <col min="13" max="13" width="14" bestFit="1" customWidth="1"/>
    <col min="14" max="14" width="15.5703125" bestFit="1" customWidth="1"/>
    <col min="17" max="17" width="73.140625" bestFit="1" customWidth="1"/>
    <col min="19" max="19" width="13.42578125" bestFit="1" customWidth="1"/>
    <col min="21" max="21" width="14" bestFit="1" customWidth="1"/>
    <col min="22" max="22" width="14.28515625" bestFit="1" customWidth="1"/>
    <col min="24" max="24" width="7.7109375" customWidth="1"/>
    <col min="25" max="25" width="13.42578125" customWidth="1"/>
    <col min="26" max="26" width="14" bestFit="1" customWidth="1"/>
    <col min="27" max="27" width="12.28515625" bestFit="1" customWidth="1"/>
    <col min="28" max="28" width="14.5703125" bestFit="1" customWidth="1"/>
    <col min="265" max="265" width="64.140625" customWidth="1"/>
    <col min="266" max="266" width="16.42578125" customWidth="1"/>
    <col min="267" max="267" width="14.28515625" bestFit="1" customWidth="1"/>
    <col min="269" max="269" width="14" bestFit="1" customWidth="1"/>
    <col min="270" max="270" width="15.5703125" bestFit="1" customWidth="1"/>
    <col min="273" max="273" width="73.140625" bestFit="1" customWidth="1"/>
    <col min="275" max="275" width="13.42578125" bestFit="1" customWidth="1"/>
    <col min="277" max="277" width="14" bestFit="1" customWidth="1"/>
    <col min="278" max="278" width="14.28515625" bestFit="1" customWidth="1"/>
    <col min="280" max="280" width="7.7109375" customWidth="1"/>
    <col min="281" max="281" width="13.42578125" customWidth="1"/>
    <col min="282" max="282" width="14" bestFit="1" customWidth="1"/>
    <col min="283" max="283" width="12.28515625" bestFit="1" customWidth="1"/>
    <col min="284" max="284" width="14.5703125" bestFit="1" customWidth="1"/>
    <col min="521" max="521" width="64.140625" customWidth="1"/>
    <col min="522" max="522" width="16.42578125" customWidth="1"/>
    <col min="523" max="523" width="14.28515625" bestFit="1" customWidth="1"/>
    <col min="525" max="525" width="14" bestFit="1" customWidth="1"/>
    <col min="526" max="526" width="15.5703125" bestFit="1" customWidth="1"/>
    <col min="529" max="529" width="73.140625" bestFit="1" customWidth="1"/>
    <col min="531" max="531" width="13.42578125" bestFit="1" customWidth="1"/>
    <col min="533" max="533" width="14" bestFit="1" customWidth="1"/>
    <col min="534" max="534" width="14.28515625" bestFit="1" customWidth="1"/>
    <col min="536" max="536" width="7.7109375" customWidth="1"/>
    <col min="537" max="537" width="13.42578125" customWidth="1"/>
    <col min="538" max="538" width="14" bestFit="1" customWidth="1"/>
    <col min="539" max="539" width="12.28515625" bestFit="1" customWidth="1"/>
    <col min="540" max="540" width="14.5703125" bestFit="1" customWidth="1"/>
    <col min="777" max="777" width="64.140625" customWidth="1"/>
    <col min="778" max="778" width="16.42578125" customWidth="1"/>
    <col min="779" max="779" width="14.28515625" bestFit="1" customWidth="1"/>
    <col min="781" max="781" width="14" bestFit="1" customWidth="1"/>
    <col min="782" max="782" width="15.5703125" bestFit="1" customWidth="1"/>
    <col min="785" max="785" width="73.140625" bestFit="1" customWidth="1"/>
    <col min="787" max="787" width="13.42578125" bestFit="1" customWidth="1"/>
    <col min="789" max="789" width="14" bestFit="1" customWidth="1"/>
    <col min="790" max="790" width="14.28515625" bestFit="1" customWidth="1"/>
    <col min="792" max="792" width="7.7109375" customWidth="1"/>
    <col min="793" max="793" width="13.42578125" customWidth="1"/>
    <col min="794" max="794" width="14" bestFit="1" customWidth="1"/>
    <col min="795" max="795" width="12.28515625" bestFit="1" customWidth="1"/>
    <col min="796" max="796" width="14.5703125" bestFit="1" customWidth="1"/>
    <col min="1033" max="1033" width="64.140625" customWidth="1"/>
    <col min="1034" max="1034" width="16.42578125" customWidth="1"/>
    <col min="1035" max="1035" width="14.28515625" bestFit="1" customWidth="1"/>
    <col min="1037" max="1037" width="14" bestFit="1" customWidth="1"/>
    <col min="1038" max="1038" width="15.5703125" bestFit="1" customWidth="1"/>
    <col min="1041" max="1041" width="73.140625" bestFit="1" customWidth="1"/>
    <col min="1043" max="1043" width="13.42578125" bestFit="1" customWidth="1"/>
    <col min="1045" max="1045" width="14" bestFit="1" customWidth="1"/>
    <col min="1046" max="1046" width="14.28515625" bestFit="1" customWidth="1"/>
    <col min="1048" max="1048" width="7.7109375" customWidth="1"/>
    <col min="1049" max="1049" width="13.42578125" customWidth="1"/>
    <col min="1050" max="1050" width="14" bestFit="1" customWidth="1"/>
    <col min="1051" max="1051" width="12.28515625" bestFit="1" customWidth="1"/>
    <col min="1052" max="1052" width="14.5703125" bestFit="1" customWidth="1"/>
    <col min="1289" max="1289" width="64.140625" customWidth="1"/>
    <col min="1290" max="1290" width="16.42578125" customWidth="1"/>
    <col min="1291" max="1291" width="14.28515625" bestFit="1" customWidth="1"/>
    <col min="1293" max="1293" width="14" bestFit="1" customWidth="1"/>
    <col min="1294" max="1294" width="15.5703125" bestFit="1" customWidth="1"/>
    <col min="1297" max="1297" width="73.140625" bestFit="1" customWidth="1"/>
    <col min="1299" max="1299" width="13.42578125" bestFit="1" customWidth="1"/>
    <col min="1301" max="1301" width="14" bestFit="1" customWidth="1"/>
    <col min="1302" max="1302" width="14.28515625" bestFit="1" customWidth="1"/>
    <col min="1304" max="1304" width="7.7109375" customWidth="1"/>
    <col min="1305" max="1305" width="13.42578125" customWidth="1"/>
    <col min="1306" max="1306" width="14" bestFit="1" customWidth="1"/>
    <col min="1307" max="1307" width="12.28515625" bestFit="1" customWidth="1"/>
    <col min="1308" max="1308" width="14.5703125" bestFit="1" customWidth="1"/>
    <col min="1545" max="1545" width="64.140625" customWidth="1"/>
    <col min="1546" max="1546" width="16.42578125" customWidth="1"/>
    <col min="1547" max="1547" width="14.28515625" bestFit="1" customWidth="1"/>
    <col min="1549" max="1549" width="14" bestFit="1" customWidth="1"/>
    <col min="1550" max="1550" width="15.5703125" bestFit="1" customWidth="1"/>
    <col min="1553" max="1553" width="73.140625" bestFit="1" customWidth="1"/>
    <col min="1555" max="1555" width="13.42578125" bestFit="1" customWidth="1"/>
    <col min="1557" max="1557" width="14" bestFit="1" customWidth="1"/>
    <col min="1558" max="1558" width="14.28515625" bestFit="1" customWidth="1"/>
    <col min="1560" max="1560" width="7.7109375" customWidth="1"/>
    <col min="1561" max="1561" width="13.42578125" customWidth="1"/>
    <col min="1562" max="1562" width="14" bestFit="1" customWidth="1"/>
    <col min="1563" max="1563" width="12.28515625" bestFit="1" customWidth="1"/>
    <col min="1564" max="1564" width="14.5703125" bestFit="1" customWidth="1"/>
    <col min="1801" max="1801" width="64.140625" customWidth="1"/>
    <col min="1802" max="1802" width="16.42578125" customWidth="1"/>
    <col min="1803" max="1803" width="14.28515625" bestFit="1" customWidth="1"/>
    <col min="1805" max="1805" width="14" bestFit="1" customWidth="1"/>
    <col min="1806" max="1806" width="15.5703125" bestFit="1" customWidth="1"/>
    <col min="1809" max="1809" width="73.140625" bestFit="1" customWidth="1"/>
    <col min="1811" max="1811" width="13.42578125" bestFit="1" customWidth="1"/>
    <col min="1813" max="1813" width="14" bestFit="1" customWidth="1"/>
    <col min="1814" max="1814" width="14.28515625" bestFit="1" customWidth="1"/>
    <col min="1816" max="1816" width="7.7109375" customWidth="1"/>
    <col min="1817" max="1817" width="13.42578125" customWidth="1"/>
    <col min="1818" max="1818" width="14" bestFit="1" customWidth="1"/>
    <col min="1819" max="1819" width="12.28515625" bestFit="1" customWidth="1"/>
    <col min="1820" max="1820" width="14.5703125" bestFit="1" customWidth="1"/>
    <col min="2057" max="2057" width="64.140625" customWidth="1"/>
    <col min="2058" max="2058" width="16.42578125" customWidth="1"/>
    <col min="2059" max="2059" width="14.28515625" bestFit="1" customWidth="1"/>
    <col min="2061" max="2061" width="14" bestFit="1" customWidth="1"/>
    <col min="2062" max="2062" width="15.5703125" bestFit="1" customWidth="1"/>
    <col min="2065" max="2065" width="73.140625" bestFit="1" customWidth="1"/>
    <col min="2067" max="2067" width="13.42578125" bestFit="1" customWidth="1"/>
    <col min="2069" max="2069" width="14" bestFit="1" customWidth="1"/>
    <col min="2070" max="2070" width="14.28515625" bestFit="1" customWidth="1"/>
    <col min="2072" max="2072" width="7.7109375" customWidth="1"/>
    <col min="2073" max="2073" width="13.42578125" customWidth="1"/>
    <col min="2074" max="2074" width="14" bestFit="1" customWidth="1"/>
    <col min="2075" max="2075" width="12.28515625" bestFit="1" customWidth="1"/>
    <col min="2076" max="2076" width="14.5703125" bestFit="1" customWidth="1"/>
    <col min="2313" max="2313" width="64.140625" customWidth="1"/>
    <col min="2314" max="2314" width="16.42578125" customWidth="1"/>
    <col min="2315" max="2315" width="14.28515625" bestFit="1" customWidth="1"/>
    <col min="2317" max="2317" width="14" bestFit="1" customWidth="1"/>
    <col min="2318" max="2318" width="15.5703125" bestFit="1" customWidth="1"/>
    <col min="2321" max="2321" width="73.140625" bestFit="1" customWidth="1"/>
    <col min="2323" max="2323" width="13.42578125" bestFit="1" customWidth="1"/>
    <col min="2325" max="2325" width="14" bestFit="1" customWidth="1"/>
    <col min="2326" max="2326" width="14.28515625" bestFit="1" customWidth="1"/>
    <col min="2328" max="2328" width="7.7109375" customWidth="1"/>
    <col min="2329" max="2329" width="13.42578125" customWidth="1"/>
    <col min="2330" max="2330" width="14" bestFit="1" customWidth="1"/>
    <col min="2331" max="2331" width="12.28515625" bestFit="1" customWidth="1"/>
    <col min="2332" max="2332" width="14.5703125" bestFit="1" customWidth="1"/>
    <col min="2569" max="2569" width="64.140625" customWidth="1"/>
    <col min="2570" max="2570" width="16.42578125" customWidth="1"/>
    <col min="2571" max="2571" width="14.28515625" bestFit="1" customWidth="1"/>
    <col min="2573" max="2573" width="14" bestFit="1" customWidth="1"/>
    <col min="2574" max="2574" width="15.5703125" bestFit="1" customWidth="1"/>
    <col min="2577" max="2577" width="73.140625" bestFit="1" customWidth="1"/>
    <col min="2579" max="2579" width="13.42578125" bestFit="1" customWidth="1"/>
    <col min="2581" max="2581" width="14" bestFit="1" customWidth="1"/>
    <col min="2582" max="2582" width="14.28515625" bestFit="1" customWidth="1"/>
    <col min="2584" max="2584" width="7.7109375" customWidth="1"/>
    <col min="2585" max="2585" width="13.42578125" customWidth="1"/>
    <col min="2586" max="2586" width="14" bestFit="1" customWidth="1"/>
    <col min="2587" max="2587" width="12.28515625" bestFit="1" customWidth="1"/>
    <col min="2588" max="2588" width="14.5703125" bestFit="1" customWidth="1"/>
    <col min="2825" max="2825" width="64.140625" customWidth="1"/>
    <col min="2826" max="2826" width="16.42578125" customWidth="1"/>
    <col min="2827" max="2827" width="14.28515625" bestFit="1" customWidth="1"/>
    <col min="2829" max="2829" width="14" bestFit="1" customWidth="1"/>
    <col min="2830" max="2830" width="15.5703125" bestFit="1" customWidth="1"/>
    <col min="2833" max="2833" width="73.140625" bestFit="1" customWidth="1"/>
    <col min="2835" max="2835" width="13.42578125" bestFit="1" customWidth="1"/>
    <col min="2837" max="2837" width="14" bestFit="1" customWidth="1"/>
    <col min="2838" max="2838" width="14.28515625" bestFit="1" customWidth="1"/>
    <col min="2840" max="2840" width="7.7109375" customWidth="1"/>
    <col min="2841" max="2841" width="13.42578125" customWidth="1"/>
    <col min="2842" max="2842" width="14" bestFit="1" customWidth="1"/>
    <col min="2843" max="2843" width="12.28515625" bestFit="1" customWidth="1"/>
    <col min="2844" max="2844" width="14.5703125" bestFit="1" customWidth="1"/>
    <col min="3081" max="3081" width="64.140625" customWidth="1"/>
    <col min="3082" max="3082" width="16.42578125" customWidth="1"/>
    <col min="3083" max="3083" width="14.28515625" bestFit="1" customWidth="1"/>
    <col min="3085" max="3085" width="14" bestFit="1" customWidth="1"/>
    <col min="3086" max="3086" width="15.5703125" bestFit="1" customWidth="1"/>
    <col min="3089" max="3089" width="73.140625" bestFit="1" customWidth="1"/>
    <col min="3091" max="3091" width="13.42578125" bestFit="1" customWidth="1"/>
    <col min="3093" max="3093" width="14" bestFit="1" customWidth="1"/>
    <col min="3094" max="3094" width="14.28515625" bestFit="1" customWidth="1"/>
    <col min="3096" max="3096" width="7.7109375" customWidth="1"/>
    <col min="3097" max="3097" width="13.42578125" customWidth="1"/>
    <col min="3098" max="3098" width="14" bestFit="1" customWidth="1"/>
    <col min="3099" max="3099" width="12.28515625" bestFit="1" customWidth="1"/>
    <col min="3100" max="3100" width="14.5703125" bestFit="1" customWidth="1"/>
    <col min="3337" max="3337" width="64.140625" customWidth="1"/>
    <col min="3338" max="3338" width="16.42578125" customWidth="1"/>
    <col min="3339" max="3339" width="14.28515625" bestFit="1" customWidth="1"/>
    <col min="3341" max="3341" width="14" bestFit="1" customWidth="1"/>
    <col min="3342" max="3342" width="15.5703125" bestFit="1" customWidth="1"/>
    <col min="3345" max="3345" width="73.140625" bestFit="1" customWidth="1"/>
    <col min="3347" max="3347" width="13.42578125" bestFit="1" customWidth="1"/>
    <col min="3349" max="3349" width="14" bestFit="1" customWidth="1"/>
    <col min="3350" max="3350" width="14.28515625" bestFit="1" customWidth="1"/>
    <col min="3352" max="3352" width="7.7109375" customWidth="1"/>
    <col min="3353" max="3353" width="13.42578125" customWidth="1"/>
    <col min="3354" max="3354" width="14" bestFit="1" customWidth="1"/>
    <col min="3355" max="3355" width="12.28515625" bestFit="1" customWidth="1"/>
    <col min="3356" max="3356" width="14.5703125" bestFit="1" customWidth="1"/>
    <col min="3593" max="3593" width="64.140625" customWidth="1"/>
    <col min="3594" max="3594" width="16.42578125" customWidth="1"/>
    <col min="3595" max="3595" width="14.28515625" bestFit="1" customWidth="1"/>
    <col min="3597" max="3597" width="14" bestFit="1" customWidth="1"/>
    <col min="3598" max="3598" width="15.5703125" bestFit="1" customWidth="1"/>
    <col min="3601" max="3601" width="73.140625" bestFit="1" customWidth="1"/>
    <col min="3603" max="3603" width="13.42578125" bestFit="1" customWidth="1"/>
    <col min="3605" max="3605" width="14" bestFit="1" customWidth="1"/>
    <col min="3606" max="3606" width="14.28515625" bestFit="1" customWidth="1"/>
    <col min="3608" max="3608" width="7.7109375" customWidth="1"/>
    <col min="3609" max="3609" width="13.42578125" customWidth="1"/>
    <col min="3610" max="3610" width="14" bestFit="1" customWidth="1"/>
    <col min="3611" max="3611" width="12.28515625" bestFit="1" customWidth="1"/>
    <col min="3612" max="3612" width="14.5703125" bestFit="1" customWidth="1"/>
    <col min="3849" max="3849" width="64.140625" customWidth="1"/>
    <col min="3850" max="3850" width="16.42578125" customWidth="1"/>
    <col min="3851" max="3851" width="14.28515625" bestFit="1" customWidth="1"/>
    <col min="3853" max="3853" width="14" bestFit="1" customWidth="1"/>
    <col min="3854" max="3854" width="15.5703125" bestFit="1" customWidth="1"/>
    <col min="3857" max="3857" width="73.140625" bestFit="1" customWidth="1"/>
    <col min="3859" max="3859" width="13.42578125" bestFit="1" customWidth="1"/>
    <col min="3861" max="3861" width="14" bestFit="1" customWidth="1"/>
    <col min="3862" max="3862" width="14.28515625" bestFit="1" customWidth="1"/>
    <col min="3864" max="3864" width="7.7109375" customWidth="1"/>
    <col min="3865" max="3865" width="13.42578125" customWidth="1"/>
    <col min="3866" max="3866" width="14" bestFit="1" customWidth="1"/>
    <col min="3867" max="3867" width="12.28515625" bestFit="1" customWidth="1"/>
    <col min="3868" max="3868" width="14.5703125" bestFit="1" customWidth="1"/>
    <col min="4105" max="4105" width="64.140625" customWidth="1"/>
    <col min="4106" max="4106" width="16.42578125" customWidth="1"/>
    <col min="4107" max="4107" width="14.28515625" bestFit="1" customWidth="1"/>
    <col min="4109" max="4109" width="14" bestFit="1" customWidth="1"/>
    <col min="4110" max="4110" width="15.5703125" bestFit="1" customWidth="1"/>
    <col min="4113" max="4113" width="73.140625" bestFit="1" customWidth="1"/>
    <col min="4115" max="4115" width="13.42578125" bestFit="1" customWidth="1"/>
    <col min="4117" max="4117" width="14" bestFit="1" customWidth="1"/>
    <col min="4118" max="4118" width="14.28515625" bestFit="1" customWidth="1"/>
    <col min="4120" max="4120" width="7.7109375" customWidth="1"/>
    <col min="4121" max="4121" width="13.42578125" customWidth="1"/>
    <col min="4122" max="4122" width="14" bestFit="1" customWidth="1"/>
    <col min="4123" max="4123" width="12.28515625" bestFit="1" customWidth="1"/>
    <col min="4124" max="4124" width="14.5703125" bestFit="1" customWidth="1"/>
    <col min="4361" max="4361" width="64.140625" customWidth="1"/>
    <col min="4362" max="4362" width="16.42578125" customWidth="1"/>
    <col min="4363" max="4363" width="14.28515625" bestFit="1" customWidth="1"/>
    <col min="4365" max="4365" width="14" bestFit="1" customWidth="1"/>
    <col min="4366" max="4366" width="15.5703125" bestFit="1" customWidth="1"/>
    <col min="4369" max="4369" width="73.140625" bestFit="1" customWidth="1"/>
    <col min="4371" max="4371" width="13.42578125" bestFit="1" customWidth="1"/>
    <col min="4373" max="4373" width="14" bestFit="1" customWidth="1"/>
    <col min="4374" max="4374" width="14.28515625" bestFit="1" customWidth="1"/>
    <col min="4376" max="4376" width="7.7109375" customWidth="1"/>
    <col min="4377" max="4377" width="13.42578125" customWidth="1"/>
    <col min="4378" max="4378" width="14" bestFit="1" customWidth="1"/>
    <col min="4379" max="4379" width="12.28515625" bestFit="1" customWidth="1"/>
    <col min="4380" max="4380" width="14.5703125" bestFit="1" customWidth="1"/>
    <col min="4617" max="4617" width="64.140625" customWidth="1"/>
    <col min="4618" max="4618" width="16.42578125" customWidth="1"/>
    <col min="4619" max="4619" width="14.28515625" bestFit="1" customWidth="1"/>
    <col min="4621" max="4621" width="14" bestFit="1" customWidth="1"/>
    <col min="4622" max="4622" width="15.5703125" bestFit="1" customWidth="1"/>
    <col min="4625" max="4625" width="73.140625" bestFit="1" customWidth="1"/>
    <col min="4627" max="4627" width="13.42578125" bestFit="1" customWidth="1"/>
    <col min="4629" max="4629" width="14" bestFit="1" customWidth="1"/>
    <col min="4630" max="4630" width="14.28515625" bestFit="1" customWidth="1"/>
    <col min="4632" max="4632" width="7.7109375" customWidth="1"/>
    <col min="4633" max="4633" width="13.42578125" customWidth="1"/>
    <col min="4634" max="4634" width="14" bestFit="1" customWidth="1"/>
    <col min="4635" max="4635" width="12.28515625" bestFit="1" customWidth="1"/>
    <col min="4636" max="4636" width="14.5703125" bestFit="1" customWidth="1"/>
    <col min="4873" max="4873" width="64.140625" customWidth="1"/>
    <col min="4874" max="4874" width="16.42578125" customWidth="1"/>
    <col min="4875" max="4875" width="14.28515625" bestFit="1" customWidth="1"/>
    <col min="4877" max="4877" width="14" bestFit="1" customWidth="1"/>
    <col min="4878" max="4878" width="15.5703125" bestFit="1" customWidth="1"/>
    <col min="4881" max="4881" width="73.140625" bestFit="1" customWidth="1"/>
    <col min="4883" max="4883" width="13.42578125" bestFit="1" customWidth="1"/>
    <col min="4885" max="4885" width="14" bestFit="1" customWidth="1"/>
    <col min="4886" max="4886" width="14.28515625" bestFit="1" customWidth="1"/>
    <col min="4888" max="4888" width="7.7109375" customWidth="1"/>
    <col min="4889" max="4889" width="13.42578125" customWidth="1"/>
    <col min="4890" max="4890" width="14" bestFit="1" customWidth="1"/>
    <col min="4891" max="4891" width="12.28515625" bestFit="1" customWidth="1"/>
    <col min="4892" max="4892" width="14.5703125" bestFit="1" customWidth="1"/>
    <col min="5129" max="5129" width="64.140625" customWidth="1"/>
    <col min="5130" max="5130" width="16.42578125" customWidth="1"/>
    <col min="5131" max="5131" width="14.28515625" bestFit="1" customWidth="1"/>
    <col min="5133" max="5133" width="14" bestFit="1" customWidth="1"/>
    <col min="5134" max="5134" width="15.5703125" bestFit="1" customWidth="1"/>
    <col min="5137" max="5137" width="73.140625" bestFit="1" customWidth="1"/>
    <col min="5139" max="5139" width="13.42578125" bestFit="1" customWidth="1"/>
    <col min="5141" max="5141" width="14" bestFit="1" customWidth="1"/>
    <col min="5142" max="5142" width="14.28515625" bestFit="1" customWidth="1"/>
    <col min="5144" max="5144" width="7.7109375" customWidth="1"/>
    <col min="5145" max="5145" width="13.42578125" customWidth="1"/>
    <col min="5146" max="5146" width="14" bestFit="1" customWidth="1"/>
    <col min="5147" max="5147" width="12.28515625" bestFit="1" customWidth="1"/>
    <col min="5148" max="5148" width="14.5703125" bestFit="1" customWidth="1"/>
    <col min="5385" max="5385" width="64.140625" customWidth="1"/>
    <col min="5386" max="5386" width="16.42578125" customWidth="1"/>
    <col min="5387" max="5387" width="14.28515625" bestFit="1" customWidth="1"/>
    <col min="5389" max="5389" width="14" bestFit="1" customWidth="1"/>
    <col min="5390" max="5390" width="15.5703125" bestFit="1" customWidth="1"/>
    <col min="5393" max="5393" width="73.140625" bestFit="1" customWidth="1"/>
    <col min="5395" max="5395" width="13.42578125" bestFit="1" customWidth="1"/>
    <col min="5397" max="5397" width="14" bestFit="1" customWidth="1"/>
    <col min="5398" max="5398" width="14.28515625" bestFit="1" customWidth="1"/>
    <col min="5400" max="5400" width="7.7109375" customWidth="1"/>
    <col min="5401" max="5401" width="13.42578125" customWidth="1"/>
    <col min="5402" max="5402" width="14" bestFit="1" customWidth="1"/>
    <col min="5403" max="5403" width="12.28515625" bestFit="1" customWidth="1"/>
    <col min="5404" max="5404" width="14.5703125" bestFit="1" customWidth="1"/>
    <col min="5641" max="5641" width="64.140625" customWidth="1"/>
    <col min="5642" max="5642" width="16.42578125" customWidth="1"/>
    <col min="5643" max="5643" width="14.28515625" bestFit="1" customWidth="1"/>
    <col min="5645" max="5645" width="14" bestFit="1" customWidth="1"/>
    <col min="5646" max="5646" width="15.5703125" bestFit="1" customWidth="1"/>
    <col min="5649" max="5649" width="73.140625" bestFit="1" customWidth="1"/>
    <col min="5651" max="5651" width="13.42578125" bestFit="1" customWidth="1"/>
    <col min="5653" max="5653" width="14" bestFit="1" customWidth="1"/>
    <col min="5654" max="5654" width="14.28515625" bestFit="1" customWidth="1"/>
    <col min="5656" max="5656" width="7.7109375" customWidth="1"/>
    <col min="5657" max="5657" width="13.42578125" customWidth="1"/>
    <col min="5658" max="5658" width="14" bestFit="1" customWidth="1"/>
    <col min="5659" max="5659" width="12.28515625" bestFit="1" customWidth="1"/>
    <col min="5660" max="5660" width="14.5703125" bestFit="1" customWidth="1"/>
    <col min="5897" max="5897" width="64.140625" customWidth="1"/>
    <col min="5898" max="5898" width="16.42578125" customWidth="1"/>
    <col min="5899" max="5899" width="14.28515625" bestFit="1" customWidth="1"/>
    <col min="5901" max="5901" width="14" bestFit="1" customWidth="1"/>
    <col min="5902" max="5902" width="15.5703125" bestFit="1" customWidth="1"/>
    <col min="5905" max="5905" width="73.140625" bestFit="1" customWidth="1"/>
    <col min="5907" max="5907" width="13.42578125" bestFit="1" customWidth="1"/>
    <col min="5909" max="5909" width="14" bestFit="1" customWidth="1"/>
    <col min="5910" max="5910" width="14.28515625" bestFit="1" customWidth="1"/>
    <col min="5912" max="5912" width="7.7109375" customWidth="1"/>
    <col min="5913" max="5913" width="13.42578125" customWidth="1"/>
    <col min="5914" max="5914" width="14" bestFit="1" customWidth="1"/>
    <col min="5915" max="5915" width="12.28515625" bestFit="1" customWidth="1"/>
    <col min="5916" max="5916" width="14.5703125" bestFit="1" customWidth="1"/>
    <col min="6153" max="6153" width="64.140625" customWidth="1"/>
    <col min="6154" max="6154" width="16.42578125" customWidth="1"/>
    <col min="6155" max="6155" width="14.28515625" bestFit="1" customWidth="1"/>
    <col min="6157" max="6157" width="14" bestFit="1" customWidth="1"/>
    <col min="6158" max="6158" width="15.5703125" bestFit="1" customWidth="1"/>
    <col min="6161" max="6161" width="73.140625" bestFit="1" customWidth="1"/>
    <col min="6163" max="6163" width="13.42578125" bestFit="1" customWidth="1"/>
    <col min="6165" max="6165" width="14" bestFit="1" customWidth="1"/>
    <col min="6166" max="6166" width="14.28515625" bestFit="1" customWidth="1"/>
    <col min="6168" max="6168" width="7.7109375" customWidth="1"/>
    <col min="6169" max="6169" width="13.42578125" customWidth="1"/>
    <col min="6170" max="6170" width="14" bestFit="1" customWidth="1"/>
    <col min="6171" max="6171" width="12.28515625" bestFit="1" customWidth="1"/>
    <col min="6172" max="6172" width="14.5703125" bestFit="1" customWidth="1"/>
    <col min="6409" max="6409" width="64.140625" customWidth="1"/>
    <col min="6410" max="6410" width="16.42578125" customWidth="1"/>
    <col min="6411" max="6411" width="14.28515625" bestFit="1" customWidth="1"/>
    <col min="6413" max="6413" width="14" bestFit="1" customWidth="1"/>
    <col min="6414" max="6414" width="15.5703125" bestFit="1" customWidth="1"/>
    <col min="6417" max="6417" width="73.140625" bestFit="1" customWidth="1"/>
    <col min="6419" max="6419" width="13.42578125" bestFit="1" customWidth="1"/>
    <col min="6421" max="6421" width="14" bestFit="1" customWidth="1"/>
    <col min="6422" max="6422" width="14.28515625" bestFit="1" customWidth="1"/>
    <col min="6424" max="6424" width="7.7109375" customWidth="1"/>
    <col min="6425" max="6425" width="13.42578125" customWidth="1"/>
    <col min="6426" max="6426" width="14" bestFit="1" customWidth="1"/>
    <col min="6427" max="6427" width="12.28515625" bestFit="1" customWidth="1"/>
    <col min="6428" max="6428" width="14.5703125" bestFit="1" customWidth="1"/>
    <col min="6665" max="6665" width="64.140625" customWidth="1"/>
    <col min="6666" max="6666" width="16.42578125" customWidth="1"/>
    <col min="6667" max="6667" width="14.28515625" bestFit="1" customWidth="1"/>
    <col min="6669" max="6669" width="14" bestFit="1" customWidth="1"/>
    <col min="6670" max="6670" width="15.5703125" bestFit="1" customWidth="1"/>
    <col min="6673" max="6673" width="73.140625" bestFit="1" customWidth="1"/>
    <col min="6675" max="6675" width="13.42578125" bestFit="1" customWidth="1"/>
    <col min="6677" max="6677" width="14" bestFit="1" customWidth="1"/>
    <col min="6678" max="6678" width="14.28515625" bestFit="1" customWidth="1"/>
    <col min="6680" max="6680" width="7.7109375" customWidth="1"/>
    <col min="6681" max="6681" width="13.42578125" customWidth="1"/>
    <col min="6682" max="6682" width="14" bestFit="1" customWidth="1"/>
    <col min="6683" max="6683" width="12.28515625" bestFit="1" customWidth="1"/>
    <col min="6684" max="6684" width="14.5703125" bestFit="1" customWidth="1"/>
    <col min="6921" max="6921" width="64.140625" customWidth="1"/>
    <col min="6922" max="6922" width="16.42578125" customWidth="1"/>
    <col min="6923" max="6923" width="14.28515625" bestFit="1" customWidth="1"/>
    <col min="6925" max="6925" width="14" bestFit="1" customWidth="1"/>
    <col min="6926" max="6926" width="15.5703125" bestFit="1" customWidth="1"/>
    <col min="6929" max="6929" width="73.140625" bestFit="1" customWidth="1"/>
    <col min="6931" max="6931" width="13.42578125" bestFit="1" customWidth="1"/>
    <col min="6933" max="6933" width="14" bestFit="1" customWidth="1"/>
    <col min="6934" max="6934" width="14.28515625" bestFit="1" customWidth="1"/>
    <col min="6936" max="6936" width="7.7109375" customWidth="1"/>
    <col min="6937" max="6937" width="13.42578125" customWidth="1"/>
    <col min="6938" max="6938" width="14" bestFit="1" customWidth="1"/>
    <col min="6939" max="6939" width="12.28515625" bestFit="1" customWidth="1"/>
    <col min="6940" max="6940" width="14.5703125" bestFit="1" customWidth="1"/>
    <col min="7177" max="7177" width="64.140625" customWidth="1"/>
    <col min="7178" max="7178" width="16.42578125" customWidth="1"/>
    <col min="7179" max="7179" width="14.28515625" bestFit="1" customWidth="1"/>
    <col min="7181" max="7181" width="14" bestFit="1" customWidth="1"/>
    <col min="7182" max="7182" width="15.5703125" bestFit="1" customWidth="1"/>
    <col min="7185" max="7185" width="73.140625" bestFit="1" customWidth="1"/>
    <col min="7187" max="7187" width="13.42578125" bestFit="1" customWidth="1"/>
    <col min="7189" max="7189" width="14" bestFit="1" customWidth="1"/>
    <col min="7190" max="7190" width="14.28515625" bestFit="1" customWidth="1"/>
    <col min="7192" max="7192" width="7.7109375" customWidth="1"/>
    <col min="7193" max="7193" width="13.42578125" customWidth="1"/>
    <col min="7194" max="7194" width="14" bestFit="1" customWidth="1"/>
    <col min="7195" max="7195" width="12.28515625" bestFit="1" customWidth="1"/>
    <col min="7196" max="7196" width="14.5703125" bestFit="1" customWidth="1"/>
    <col min="7433" max="7433" width="64.140625" customWidth="1"/>
    <col min="7434" max="7434" width="16.42578125" customWidth="1"/>
    <col min="7435" max="7435" width="14.28515625" bestFit="1" customWidth="1"/>
    <col min="7437" max="7437" width="14" bestFit="1" customWidth="1"/>
    <col min="7438" max="7438" width="15.5703125" bestFit="1" customWidth="1"/>
    <col min="7441" max="7441" width="73.140625" bestFit="1" customWidth="1"/>
    <col min="7443" max="7443" width="13.42578125" bestFit="1" customWidth="1"/>
    <col min="7445" max="7445" width="14" bestFit="1" customWidth="1"/>
    <col min="7446" max="7446" width="14.28515625" bestFit="1" customWidth="1"/>
    <col min="7448" max="7448" width="7.7109375" customWidth="1"/>
    <col min="7449" max="7449" width="13.42578125" customWidth="1"/>
    <col min="7450" max="7450" width="14" bestFit="1" customWidth="1"/>
    <col min="7451" max="7451" width="12.28515625" bestFit="1" customWidth="1"/>
    <col min="7452" max="7452" width="14.5703125" bestFit="1" customWidth="1"/>
    <col min="7689" max="7689" width="64.140625" customWidth="1"/>
    <col min="7690" max="7690" width="16.42578125" customWidth="1"/>
    <col min="7691" max="7691" width="14.28515625" bestFit="1" customWidth="1"/>
    <col min="7693" max="7693" width="14" bestFit="1" customWidth="1"/>
    <col min="7694" max="7694" width="15.5703125" bestFit="1" customWidth="1"/>
    <col min="7697" max="7697" width="73.140625" bestFit="1" customWidth="1"/>
    <col min="7699" max="7699" width="13.42578125" bestFit="1" customWidth="1"/>
    <col min="7701" max="7701" width="14" bestFit="1" customWidth="1"/>
    <col min="7702" max="7702" width="14.28515625" bestFit="1" customWidth="1"/>
    <col min="7704" max="7704" width="7.7109375" customWidth="1"/>
    <col min="7705" max="7705" width="13.42578125" customWidth="1"/>
    <col min="7706" max="7706" width="14" bestFit="1" customWidth="1"/>
    <col min="7707" max="7707" width="12.28515625" bestFit="1" customWidth="1"/>
    <col min="7708" max="7708" width="14.5703125" bestFit="1" customWidth="1"/>
    <col min="7945" max="7945" width="64.140625" customWidth="1"/>
    <col min="7946" max="7946" width="16.42578125" customWidth="1"/>
    <col min="7947" max="7947" width="14.28515625" bestFit="1" customWidth="1"/>
    <col min="7949" max="7949" width="14" bestFit="1" customWidth="1"/>
    <col min="7950" max="7950" width="15.5703125" bestFit="1" customWidth="1"/>
    <col min="7953" max="7953" width="73.140625" bestFit="1" customWidth="1"/>
    <col min="7955" max="7955" width="13.42578125" bestFit="1" customWidth="1"/>
    <col min="7957" max="7957" width="14" bestFit="1" customWidth="1"/>
    <col min="7958" max="7958" width="14.28515625" bestFit="1" customWidth="1"/>
    <col min="7960" max="7960" width="7.7109375" customWidth="1"/>
    <col min="7961" max="7961" width="13.42578125" customWidth="1"/>
    <col min="7962" max="7962" width="14" bestFit="1" customWidth="1"/>
    <col min="7963" max="7963" width="12.28515625" bestFit="1" customWidth="1"/>
    <col min="7964" max="7964" width="14.5703125" bestFit="1" customWidth="1"/>
    <col min="8201" max="8201" width="64.140625" customWidth="1"/>
    <col min="8202" max="8202" width="16.42578125" customWidth="1"/>
    <col min="8203" max="8203" width="14.28515625" bestFit="1" customWidth="1"/>
    <col min="8205" max="8205" width="14" bestFit="1" customWidth="1"/>
    <col min="8206" max="8206" width="15.5703125" bestFit="1" customWidth="1"/>
    <col min="8209" max="8209" width="73.140625" bestFit="1" customWidth="1"/>
    <col min="8211" max="8211" width="13.42578125" bestFit="1" customWidth="1"/>
    <col min="8213" max="8213" width="14" bestFit="1" customWidth="1"/>
    <col min="8214" max="8214" width="14.28515625" bestFit="1" customWidth="1"/>
    <col min="8216" max="8216" width="7.7109375" customWidth="1"/>
    <col min="8217" max="8217" width="13.42578125" customWidth="1"/>
    <col min="8218" max="8218" width="14" bestFit="1" customWidth="1"/>
    <col min="8219" max="8219" width="12.28515625" bestFit="1" customWidth="1"/>
    <col min="8220" max="8220" width="14.5703125" bestFit="1" customWidth="1"/>
    <col min="8457" max="8457" width="64.140625" customWidth="1"/>
    <col min="8458" max="8458" width="16.42578125" customWidth="1"/>
    <col min="8459" max="8459" width="14.28515625" bestFit="1" customWidth="1"/>
    <col min="8461" max="8461" width="14" bestFit="1" customWidth="1"/>
    <col min="8462" max="8462" width="15.5703125" bestFit="1" customWidth="1"/>
    <col min="8465" max="8465" width="73.140625" bestFit="1" customWidth="1"/>
    <col min="8467" max="8467" width="13.42578125" bestFit="1" customWidth="1"/>
    <col min="8469" max="8469" width="14" bestFit="1" customWidth="1"/>
    <col min="8470" max="8470" width="14.28515625" bestFit="1" customWidth="1"/>
    <col min="8472" max="8472" width="7.7109375" customWidth="1"/>
    <col min="8473" max="8473" width="13.42578125" customWidth="1"/>
    <col min="8474" max="8474" width="14" bestFit="1" customWidth="1"/>
    <col min="8475" max="8475" width="12.28515625" bestFit="1" customWidth="1"/>
    <col min="8476" max="8476" width="14.5703125" bestFit="1" customWidth="1"/>
    <col min="8713" max="8713" width="64.140625" customWidth="1"/>
    <col min="8714" max="8714" width="16.42578125" customWidth="1"/>
    <col min="8715" max="8715" width="14.28515625" bestFit="1" customWidth="1"/>
    <col min="8717" max="8717" width="14" bestFit="1" customWidth="1"/>
    <col min="8718" max="8718" width="15.5703125" bestFit="1" customWidth="1"/>
    <col min="8721" max="8721" width="73.140625" bestFit="1" customWidth="1"/>
    <col min="8723" max="8723" width="13.42578125" bestFit="1" customWidth="1"/>
    <col min="8725" max="8725" width="14" bestFit="1" customWidth="1"/>
    <col min="8726" max="8726" width="14.28515625" bestFit="1" customWidth="1"/>
    <col min="8728" max="8728" width="7.7109375" customWidth="1"/>
    <col min="8729" max="8729" width="13.42578125" customWidth="1"/>
    <col min="8730" max="8730" width="14" bestFit="1" customWidth="1"/>
    <col min="8731" max="8731" width="12.28515625" bestFit="1" customWidth="1"/>
    <col min="8732" max="8732" width="14.5703125" bestFit="1" customWidth="1"/>
    <col min="8969" max="8969" width="64.140625" customWidth="1"/>
    <col min="8970" max="8970" width="16.42578125" customWidth="1"/>
    <col min="8971" max="8971" width="14.28515625" bestFit="1" customWidth="1"/>
    <col min="8973" max="8973" width="14" bestFit="1" customWidth="1"/>
    <col min="8974" max="8974" width="15.5703125" bestFit="1" customWidth="1"/>
    <col min="8977" max="8977" width="73.140625" bestFit="1" customWidth="1"/>
    <col min="8979" max="8979" width="13.42578125" bestFit="1" customWidth="1"/>
    <col min="8981" max="8981" width="14" bestFit="1" customWidth="1"/>
    <col min="8982" max="8982" width="14.28515625" bestFit="1" customWidth="1"/>
    <col min="8984" max="8984" width="7.7109375" customWidth="1"/>
    <col min="8985" max="8985" width="13.42578125" customWidth="1"/>
    <col min="8986" max="8986" width="14" bestFit="1" customWidth="1"/>
    <col min="8987" max="8987" width="12.28515625" bestFit="1" customWidth="1"/>
    <col min="8988" max="8988" width="14.5703125" bestFit="1" customWidth="1"/>
    <col min="9225" max="9225" width="64.140625" customWidth="1"/>
    <col min="9226" max="9226" width="16.42578125" customWidth="1"/>
    <col min="9227" max="9227" width="14.28515625" bestFit="1" customWidth="1"/>
    <col min="9229" max="9229" width="14" bestFit="1" customWidth="1"/>
    <col min="9230" max="9230" width="15.5703125" bestFit="1" customWidth="1"/>
    <col min="9233" max="9233" width="73.140625" bestFit="1" customWidth="1"/>
    <col min="9235" max="9235" width="13.42578125" bestFit="1" customWidth="1"/>
    <col min="9237" max="9237" width="14" bestFit="1" customWidth="1"/>
    <col min="9238" max="9238" width="14.28515625" bestFit="1" customWidth="1"/>
    <col min="9240" max="9240" width="7.7109375" customWidth="1"/>
    <col min="9241" max="9241" width="13.42578125" customWidth="1"/>
    <col min="9242" max="9242" width="14" bestFit="1" customWidth="1"/>
    <col min="9243" max="9243" width="12.28515625" bestFit="1" customWidth="1"/>
    <col min="9244" max="9244" width="14.5703125" bestFit="1" customWidth="1"/>
    <col min="9481" max="9481" width="64.140625" customWidth="1"/>
    <col min="9482" max="9482" width="16.42578125" customWidth="1"/>
    <col min="9483" max="9483" width="14.28515625" bestFit="1" customWidth="1"/>
    <col min="9485" max="9485" width="14" bestFit="1" customWidth="1"/>
    <col min="9486" max="9486" width="15.5703125" bestFit="1" customWidth="1"/>
    <col min="9489" max="9489" width="73.140625" bestFit="1" customWidth="1"/>
    <col min="9491" max="9491" width="13.42578125" bestFit="1" customWidth="1"/>
    <col min="9493" max="9493" width="14" bestFit="1" customWidth="1"/>
    <col min="9494" max="9494" width="14.28515625" bestFit="1" customWidth="1"/>
    <col min="9496" max="9496" width="7.7109375" customWidth="1"/>
    <col min="9497" max="9497" width="13.42578125" customWidth="1"/>
    <col min="9498" max="9498" width="14" bestFit="1" customWidth="1"/>
    <col min="9499" max="9499" width="12.28515625" bestFit="1" customWidth="1"/>
    <col min="9500" max="9500" width="14.5703125" bestFit="1" customWidth="1"/>
    <col min="9737" max="9737" width="64.140625" customWidth="1"/>
    <col min="9738" max="9738" width="16.42578125" customWidth="1"/>
    <col min="9739" max="9739" width="14.28515625" bestFit="1" customWidth="1"/>
    <col min="9741" max="9741" width="14" bestFit="1" customWidth="1"/>
    <col min="9742" max="9742" width="15.5703125" bestFit="1" customWidth="1"/>
    <col min="9745" max="9745" width="73.140625" bestFit="1" customWidth="1"/>
    <col min="9747" max="9747" width="13.42578125" bestFit="1" customWidth="1"/>
    <col min="9749" max="9749" width="14" bestFit="1" customWidth="1"/>
    <col min="9750" max="9750" width="14.28515625" bestFit="1" customWidth="1"/>
    <col min="9752" max="9752" width="7.7109375" customWidth="1"/>
    <col min="9753" max="9753" width="13.42578125" customWidth="1"/>
    <col min="9754" max="9754" width="14" bestFit="1" customWidth="1"/>
    <col min="9755" max="9755" width="12.28515625" bestFit="1" customWidth="1"/>
    <col min="9756" max="9756" width="14.5703125" bestFit="1" customWidth="1"/>
    <col min="9993" max="9993" width="64.140625" customWidth="1"/>
    <col min="9994" max="9994" width="16.42578125" customWidth="1"/>
    <col min="9995" max="9995" width="14.28515625" bestFit="1" customWidth="1"/>
    <col min="9997" max="9997" width="14" bestFit="1" customWidth="1"/>
    <col min="9998" max="9998" width="15.5703125" bestFit="1" customWidth="1"/>
    <col min="10001" max="10001" width="73.140625" bestFit="1" customWidth="1"/>
    <col min="10003" max="10003" width="13.42578125" bestFit="1" customWidth="1"/>
    <col min="10005" max="10005" width="14" bestFit="1" customWidth="1"/>
    <col min="10006" max="10006" width="14.28515625" bestFit="1" customWidth="1"/>
    <col min="10008" max="10008" width="7.7109375" customWidth="1"/>
    <col min="10009" max="10009" width="13.42578125" customWidth="1"/>
    <col min="10010" max="10010" width="14" bestFit="1" customWidth="1"/>
    <col min="10011" max="10011" width="12.28515625" bestFit="1" customWidth="1"/>
    <col min="10012" max="10012" width="14.5703125" bestFit="1" customWidth="1"/>
    <col min="10249" max="10249" width="64.140625" customWidth="1"/>
    <col min="10250" max="10250" width="16.42578125" customWidth="1"/>
    <col min="10251" max="10251" width="14.28515625" bestFit="1" customWidth="1"/>
    <col min="10253" max="10253" width="14" bestFit="1" customWidth="1"/>
    <col min="10254" max="10254" width="15.5703125" bestFit="1" customWidth="1"/>
    <col min="10257" max="10257" width="73.140625" bestFit="1" customWidth="1"/>
    <col min="10259" max="10259" width="13.42578125" bestFit="1" customWidth="1"/>
    <col min="10261" max="10261" width="14" bestFit="1" customWidth="1"/>
    <col min="10262" max="10262" width="14.28515625" bestFit="1" customWidth="1"/>
    <col min="10264" max="10264" width="7.7109375" customWidth="1"/>
    <col min="10265" max="10265" width="13.42578125" customWidth="1"/>
    <col min="10266" max="10266" width="14" bestFit="1" customWidth="1"/>
    <col min="10267" max="10267" width="12.28515625" bestFit="1" customWidth="1"/>
    <col min="10268" max="10268" width="14.5703125" bestFit="1" customWidth="1"/>
    <col min="10505" max="10505" width="64.140625" customWidth="1"/>
    <col min="10506" max="10506" width="16.42578125" customWidth="1"/>
    <col min="10507" max="10507" width="14.28515625" bestFit="1" customWidth="1"/>
    <col min="10509" max="10509" width="14" bestFit="1" customWidth="1"/>
    <col min="10510" max="10510" width="15.5703125" bestFit="1" customWidth="1"/>
    <col min="10513" max="10513" width="73.140625" bestFit="1" customWidth="1"/>
    <col min="10515" max="10515" width="13.42578125" bestFit="1" customWidth="1"/>
    <col min="10517" max="10517" width="14" bestFit="1" customWidth="1"/>
    <col min="10518" max="10518" width="14.28515625" bestFit="1" customWidth="1"/>
    <col min="10520" max="10520" width="7.7109375" customWidth="1"/>
    <col min="10521" max="10521" width="13.42578125" customWidth="1"/>
    <col min="10522" max="10522" width="14" bestFit="1" customWidth="1"/>
    <col min="10523" max="10523" width="12.28515625" bestFit="1" customWidth="1"/>
    <col min="10524" max="10524" width="14.5703125" bestFit="1" customWidth="1"/>
    <col min="10761" max="10761" width="64.140625" customWidth="1"/>
    <col min="10762" max="10762" width="16.42578125" customWidth="1"/>
    <col min="10763" max="10763" width="14.28515625" bestFit="1" customWidth="1"/>
    <col min="10765" max="10765" width="14" bestFit="1" customWidth="1"/>
    <col min="10766" max="10766" width="15.5703125" bestFit="1" customWidth="1"/>
    <col min="10769" max="10769" width="73.140625" bestFit="1" customWidth="1"/>
    <col min="10771" max="10771" width="13.42578125" bestFit="1" customWidth="1"/>
    <col min="10773" max="10773" width="14" bestFit="1" customWidth="1"/>
    <col min="10774" max="10774" width="14.28515625" bestFit="1" customWidth="1"/>
    <col min="10776" max="10776" width="7.7109375" customWidth="1"/>
    <col min="10777" max="10777" width="13.42578125" customWidth="1"/>
    <col min="10778" max="10778" width="14" bestFit="1" customWidth="1"/>
    <col min="10779" max="10779" width="12.28515625" bestFit="1" customWidth="1"/>
    <col min="10780" max="10780" width="14.5703125" bestFit="1" customWidth="1"/>
    <col min="11017" max="11017" width="64.140625" customWidth="1"/>
    <col min="11018" max="11018" width="16.42578125" customWidth="1"/>
    <col min="11019" max="11019" width="14.28515625" bestFit="1" customWidth="1"/>
    <col min="11021" max="11021" width="14" bestFit="1" customWidth="1"/>
    <col min="11022" max="11022" width="15.5703125" bestFit="1" customWidth="1"/>
    <col min="11025" max="11025" width="73.140625" bestFit="1" customWidth="1"/>
    <col min="11027" max="11027" width="13.42578125" bestFit="1" customWidth="1"/>
    <col min="11029" max="11029" width="14" bestFit="1" customWidth="1"/>
    <col min="11030" max="11030" width="14.28515625" bestFit="1" customWidth="1"/>
    <col min="11032" max="11032" width="7.7109375" customWidth="1"/>
    <col min="11033" max="11033" width="13.42578125" customWidth="1"/>
    <col min="11034" max="11034" width="14" bestFit="1" customWidth="1"/>
    <col min="11035" max="11035" width="12.28515625" bestFit="1" customWidth="1"/>
    <col min="11036" max="11036" width="14.5703125" bestFit="1" customWidth="1"/>
    <col min="11273" max="11273" width="64.140625" customWidth="1"/>
    <col min="11274" max="11274" width="16.42578125" customWidth="1"/>
    <col min="11275" max="11275" width="14.28515625" bestFit="1" customWidth="1"/>
    <col min="11277" max="11277" width="14" bestFit="1" customWidth="1"/>
    <col min="11278" max="11278" width="15.5703125" bestFit="1" customWidth="1"/>
    <col min="11281" max="11281" width="73.140625" bestFit="1" customWidth="1"/>
    <col min="11283" max="11283" width="13.42578125" bestFit="1" customWidth="1"/>
    <col min="11285" max="11285" width="14" bestFit="1" customWidth="1"/>
    <col min="11286" max="11286" width="14.28515625" bestFit="1" customWidth="1"/>
    <col min="11288" max="11288" width="7.7109375" customWidth="1"/>
    <col min="11289" max="11289" width="13.42578125" customWidth="1"/>
    <col min="11290" max="11290" width="14" bestFit="1" customWidth="1"/>
    <col min="11291" max="11291" width="12.28515625" bestFit="1" customWidth="1"/>
    <col min="11292" max="11292" width="14.5703125" bestFit="1" customWidth="1"/>
    <col min="11529" max="11529" width="64.140625" customWidth="1"/>
    <col min="11530" max="11530" width="16.42578125" customWidth="1"/>
    <col min="11531" max="11531" width="14.28515625" bestFit="1" customWidth="1"/>
    <col min="11533" max="11533" width="14" bestFit="1" customWidth="1"/>
    <col min="11534" max="11534" width="15.5703125" bestFit="1" customWidth="1"/>
    <col min="11537" max="11537" width="73.140625" bestFit="1" customWidth="1"/>
    <col min="11539" max="11539" width="13.42578125" bestFit="1" customWidth="1"/>
    <col min="11541" max="11541" width="14" bestFit="1" customWidth="1"/>
    <col min="11542" max="11542" width="14.28515625" bestFit="1" customWidth="1"/>
    <col min="11544" max="11544" width="7.7109375" customWidth="1"/>
    <col min="11545" max="11545" width="13.42578125" customWidth="1"/>
    <col min="11546" max="11546" width="14" bestFit="1" customWidth="1"/>
    <col min="11547" max="11547" width="12.28515625" bestFit="1" customWidth="1"/>
    <col min="11548" max="11548" width="14.5703125" bestFit="1" customWidth="1"/>
    <col min="11785" max="11785" width="64.140625" customWidth="1"/>
    <col min="11786" max="11786" width="16.42578125" customWidth="1"/>
    <col min="11787" max="11787" width="14.28515625" bestFit="1" customWidth="1"/>
    <col min="11789" max="11789" width="14" bestFit="1" customWidth="1"/>
    <col min="11790" max="11790" width="15.5703125" bestFit="1" customWidth="1"/>
    <col min="11793" max="11793" width="73.140625" bestFit="1" customWidth="1"/>
    <col min="11795" max="11795" width="13.42578125" bestFit="1" customWidth="1"/>
    <col min="11797" max="11797" width="14" bestFit="1" customWidth="1"/>
    <col min="11798" max="11798" width="14.28515625" bestFit="1" customWidth="1"/>
    <col min="11800" max="11800" width="7.7109375" customWidth="1"/>
    <col min="11801" max="11801" width="13.42578125" customWidth="1"/>
    <col min="11802" max="11802" width="14" bestFit="1" customWidth="1"/>
    <col min="11803" max="11803" width="12.28515625" bestFit="1" customWidth="1"/>
    <col min="11804" max="11804" width="14.5703125" bestFit="1" customWidth="1"/>
    <col min="12041" max="12041" width="64.140625" customWidth="1"/>
    <col min="12042" max="12042" width="16.42578125" customWidth="1"/>
    <col min="12043" max="12043" width="14.28515625" bestFit="1" customWidth="1"/>
    <col min="12045" max="12045" width="14" bestFit="1" customWidth="1"/>
    <col min="12046" max="12046" width="15.5703125" bestFit="1" customWidth="1"/>
    <col min="12049" max="12049" width="73.140625" bestFit="1" customWidth="1"/>
    <col min="12051" max="12051" width="13.42578125" bestFit="1" customWidth="1"/>
    <col min="12053" max="12053" width="14" bestFit="1" customWidth="1"/>
    <col min="12054" max="12054" width="14.28515625" bestFit="1" customWidth="1"/>
    <col min="12056" max="12056" width="7.7109375" customWidth="1"/>
    <col min="12057" max="12057" width="13.42578125" customWidth="1"/>
    <col min="12058" max="12058" width="14" bestFit="1" customWidth="1"/>
    <col min="12059" max="12059" width="12.28515625" bestFit="1" customWidth="1"/>
    <col min="12060" max="12060" width="14.5703125" bestFit="1" customWidth="1"/>
    <col min="12297" max="12297" width="64.140625" customWidth="1"/>
    <col min="12298" max="12298" width="16.42578125" customWidth="1"/>
    <col min="12299" max="12299" width="14.28515625" bestFit="1" customWidth="1"/>
    <col min="12301" max="12301" width="14" bestFit="1" customWidth="1"/>
    <col min="12302" max="12302" width="15.5703125" bestFit="1" customWidth="1"/>
    <col min="12305" max="12305" width="73.140625" bestFit="1" customWidth="1"/>
    <col min="12307" max="12307" width="13.42578125" bestFit="1" customWidth="1"/>
    <col min="12309" max="12309" width="14" bestFit="1" customWidth="1"/>
    <col min="12310" max="12310" width="14.28515625" bestFit="1" customWidth="1"/>
    <col min="12312" max="12312" width="7.7109375" customWidth="1"/>
    <col min="12313" max="12313" width="13.42578125" customWidth="1"/>
    <col min="12314" max="12314" width="14" bestFit="1" customWidth="1"/>
    <col min="12315" max="12315" width="12.28515625" bestFit="1" customWidth="1"/>
    <col min="12316" max="12316" width="14.5703125" bestFit="1" customWidth="1"/>
    <col min="12553" max="12553" width="64.140625" customWidth="1"/>
    <col min="12554" max="12554" width="16.42578125" customWidth="1"/>
    <col min="12555" max="12555" width="14.28515625" bestFit="1" customWidth="1"/>
    <col min="12557" max="12557" width="14" bestFit="1" customWidth="1"/>
    <col min="12558" max="12558" width="15.5703125" bestFit="1" customWidth="1"/>
    <col min="12561" max="12561" width="73.140625" bestFit="1" customWidth="1"/>
    <col min="12563" max="12563" width="13.42578125" bestFit="1" customWidth="1"/>
    <col min="12565" max="12565" width="14" bestFit="1" customWidth="1"/>
    <col min="12566" max="12566" width="14.28515625" bestFit="1" customWidth="1"/>
    <col min="12568" max="12568" width="7.7109375" customWidth="1"/>
    <col min="12569" max="12569" width="13.42578125" customWidth="1"/>
    <col min="12570" max="12570" width="14" bestFit="1" customWidth="1"/>
    <col min="12571" max="12571" width="12.28515625" bestFit="1" customWidth="1"/>
    <col min="12572" max="12572" width="14.5703125" bestFit="1" customWidth="1"/>
    <col min="12809" max="12809" width="64.140625" customWidth="1"/>
    <col min="12810" max="12810" width="16.42578125" customWidth="1"/>
    <col min="12811" max="12811" width="14.28515625" bestFit="1" customWidth="1"/>
    <col min="12813" max="12813" width="14" bestFit="1" customWidth="1"/>
    <col min="12814" max="12814" width="15.5703125" bestFit="1" customWidth="1"/>
    <col min="12817" max="12817" width="73.140625" bestFit="1" customWidth="1"/>
    <col min="12819" max="12819" width="13.42578125" bestFit="1" customWidth="1"/>
    <col min="12821" max="12821" width="14" bestFit="1" customWidth="1"/>
    <col min="12822" max="12822" width="14.28515625" bestFit="1" customWidth="1"/>
    <col min="12824" max="12824" width="7.7109375" customWidth="1"/>
    <col min="12825" max="12825" width="13.42578125" customWidth="1"/>
    <col min="12826" max="12826" width="14" bestFit="1" customWidth="1"/>
    <col min="12827" max="12827" width="12.28515625" bestFit="1" customWidth="1"/>
    <col min="12828" max="12828" width="14.5703125" bestFit="1" customWidth="1"/>
    <col min="13065" max="13065" width="64.140625" customWidth="1"/>
    <col min="13066" max="13066" width="16.42578125" customWidth="1"/>
    <col min="13067" max="13067" width="14.28515625" bestFit="1" customWidth="1"/>
    <col min="13069" max="13069" width="14" bestFit="1" customWidth="1"/>
    <col min="13070" max="13070" width="15.5703125" bestFit="1" customWidth="1"/>
    <col min="13073" max="13073" width="73.140625" bestFit="1" customWidth="1"/>
    <col min="13075" max="13075" width="13.42578125" bestFit="1" customWidth="1"/>
    <col min="13077" max="13077" width="14" bestFit="1" customWidth="1"/>
    <col min="13078" max="13078" width="14.28515625" bestFit="1" customWidth="1"/>
    <col min="13080" max="13080" width="7.7109375" customWidth="1"/>
    <col min="13081" max="13081" width="13.42578125" customWidth="1"/>
    <col min="13082" max="13082" width="14" bestFit="1" customWidth="1"/>
    <col min="13083" max="13083" width="12.28515625" bestFit="1" customWidth="1"/>
    <col min="13084" max="13084" width="14.5703125" bestFit="1" customWidth="1"/>
    <col min="13321" max="13321" width="64.140625" customWidth="1"/>
    <col min="13322" max="13322" width="16.42578125" customWidth="1"/>
    <col min="13323" max="13323" width="14.28515625" bestFit="1" customWidth="1"/>
    <col min="13325" max="13325" width="14" bestFit="1" customWidth="1"/>
    <col min="13326" max="13326" width="15.5703125" bestFit="1" customWidth="1"/>
    <col min="13329" max="13329" width="73.140625" bestFit="1" customWidth="1"/>
    <col min="13331" max="13331" width="13.42578125" bestFit="1" customWidth="1"/>
    <col min="13333" max="13333" width="14" bestFit="1" customWidth="1"/>
    <col min="13334" max="13334" width="14.28515625" bestFit="1" customWidth="1"/>
    <col min="13336" max="13336" width="7.7109375" customWidth="1"/>
    <col min="13337" max="13337" width="13.42578125" customWidth="1"/>
    <col min="13338" max="13338" width="14" bestFit="1" customWidth="1"/>
    <col min="13339" max="13339" width="12.28515625" bestFit="1" customWidth="1"/>
    <col min="13340" max="13340" width="14.5703125" bestFit="1" customWidth="1"/>
    <col min="13577" max="13577" width="64.140625" customWidth="1"/>
    <col min="13578" max="13578" width="16.42578125" customWidth="1"/>
    <col min="13579" max="13579" width="14.28515625" bestFit="1" customWidth="1"/>
    <col min="13581" max="13581" width="14" bestFit="1" customWidth="1"/>
    <col min="13582" max="13582" width="15.5703125" bestFit="1" customWidth="1"/>
    <col min="13585" max="13585" width="73.140625" bestFit="1" customWidth="1"/>
    <col min="13587" max="13587" width="13.42578125" bestFit="1" customWidth="1"/>
    <col min="13589" max="13589" width="14" bestFit="1" customWidth="1"/>
    <col min="13590" max="13590" width="14.28515625" bestFit="1" customWidth="1"/>
    <col min="13592" max="13592" width="7.7109375" customWidth="1"/>
    <col min="13593" max="13593" width="13.42578125" customWidth="1"/>
    <col min="13594" max="13594" width="14" bestFit="1" customWidth="1"/>
    <col min="13595" max="13595" width="12.28515625" bestFit="1" customWidth="1"/>
    <col min="13596" max="13596" width="14.5703125" bestFit="1" customWidth="1"/>
    <col min="13833" max="13833" width="64.140625" customWidth="1"/>
    <col min="13834" max="13834" width="16.42578125" customWidth="1"/>
    <col min="13835" max="13835" width="14.28515625" bestFit="1" customWidth="1"/>
    <col min="13837" max="13837" width="14" bestFit="1" customWidth="1"/>
    <col min="13838" max="13838" width="15.5703125" bestFit="1" customWidth="1"/>
    <col min="13841" max="13841" width="73.140625" bestFit="1" customWidth="1"/>
    <col min="13843" max="13843" width="13.42578125" bestFit="1" customWidth="1"/>
    <col min="13845" max="13845" width="14" bestFit="1" customWidth="1"/>
    <col min="13846" max="13846" width="14.28515625" bestFit="1" customWidth="1"/>
    <col min="13848" max="13848" width="7.7109375" customWidth="1"/>
    <col min="13849" max="13849" width="13.42578125" customWidth="1"/>
    <col min="13850" max="13850" width="14" bestFit="1" customWidth="1"/>
    <col min="13851" max="13851" width="12.28515625" bestFit="1" customWidth="1"/>
    <col min="13852" max="13852" width="14.5703125" bestFit="1" customWidth="1"/>
    <col min="14089" max="14089" width="64.140625" customWidth="1"/>
    <col min="14090" max="14090" width="16.42578125" customWidth="1"/>
    <col min="14091" max="14091" width="14.28515625" bestFit="1" customWidth="1"/>
    <col min="14093" max="14093" width="14" bestFit="1" customWidth="1"/>
    <col min="14094" max="14094" width="15.5703125" bestFit="1" customWidth="1"/>
    <col min="14097" max="14097" width="73.140625" bestFit="1" customWidth="1"/>
    <col min="14099" max="14099" width="13.42578125" bestFit="1" customWidth="1"/>
    <col min="14101" max="14101" width="14" bestFit="1" customWidth="1"/>
    <col min="14102" max="14102" width="14.28515625" bestFit="1" customWidth="1"/>
    <col min="14104" max="14104" width="7.7109375" customWidth="1"/>
    <col min="14105" max="14105" width="13.42578125" customWidth="1"/>
    <col min="14106" max="14106" width="14" bestFit="1" customWidth="1"/>
    <col min="14107" max="14107" width="12.28515625" bestFit="1" customWidth="1"/>
    <col min="14108" max="14108" width="14.5703125" bestFit="1" customWidth="1"/>
    <col min="14345" max="14345" width="64.140625" customWidth="1"/>
    <col min="14346" max="14346" width="16.42578125" customWidth="1"/>
    <col min="14347" max="14347" width="14.28515625" bestFit="1" customWidth="1"/>
    <col min="14349" max="14349" width="14" bestFit="1" customWidth="1"/>
    <col min="14350" max="14350" width="15.5703125" bestFit="1" customWidth="1"/>
    <col min="14353" max="14353" width="73.140625" bestFit="1" customWidth="1"/>
    <col min="14355" max="14355" width="13.42578125" bestFit="1" customWidth="1"/>
    <col min="14357" max="14357" width="14" bestFit="1" customWidth="1"/>
    <col min="14358" max="14358" width="14.28515625" bestFit="1" customWidth="1"/>
    <col min="14360" max="14360" width="7.7109375" customWidth="1"/>
    <col min="14361" max="14361" width="13.42578125" customWidth="1"/>
    <col min="14362" max="14362" width="14" bestFit="1" customWidth="1"/>
    <col min="14363" max="14363" width="12.28515625" bestFit="1" customWidth="1"/>
    <col min="14364" max="14364" width="14.5703125" bestFit="1" customWidth="1"/>
    <col min="14601" max="14601" width="64.140625" customWidth="1"/>
    <col min="14602" max="14602" width="16.42578125" customWidth="1"/>
    <col min="14603" max="14603" width="14.28515625" bestFit="1" customWidth="1"/>
    <col min="14605" max="14605" width="14" bestFit="1" customWidth="1"/>
    <col min="14606" max="14606" width="15.5703125" bestFit="1" customWidth="1"/>
    <col min="14609" max="14609" width="73.140625" bestFit="1" customWidth="1"/>
    <col min="14611" max="14611" width="13.42578125" bestFit="1" customWidth="1"/>
    <col min="14613" max="14613" width="14" bestFit="1" customWidth="1"/>
    <col min="14614" max="14614" width="14.28515625" bestFit="1" customWidth="1"/>
    <col min="14616" max="14616" width="7.7109375" customWidth="1"/>
    <col min="14617" max="14617" width="13.42578125" customWidth="1"/>
    <col min="14618" max="14618" width="14" bestFit="1" customWidth="1"/>
    <col min="14619" max="14619" width="12.28515625" bestFit="1" customWidth="1"/>
    <col min="14620" max="14620" width="14.5703125" bestFit="1" customWidth="1"/>
    <col min="14857" max="14857" width="64.140625" customWidth="1"/>
    <col min="14858" max="14858" width="16.42578125" customWidth="1"/>
    <col min="14859" max="14859" width="14.28515625" bestFit="1" customWidth="1"/>
    <col min="14861" max="14861" width="14" bestFit="1" customWidth="1"/>
    <col min="14862" max="14862" width="15.5703125" bestFit="1" customWidth="1"/>
    <col min="14865" max="14865" width="73.140625" bestFit="1" customWidth="1"/>
    <col min="14867" max="14867" width="13.42578125" bestFit="1" customWidth="1"/>
    <col min="14869" max="14869" width="14" bestFit="1" customWidth="1"/>
    <col min="14870" max="14870" width="14.28515625" bestFit="1" customWidth="1"/>
    <col min="14872" max="14872" width="7.7109375" customWidth="1"/>
    <col min="14873" max="14873" width="13.42578125" customWidth="1"/>
    <col min="14874" max="14874" width="14" bestFit="1" customWidth="1"/>
    <col min="14875" max="14875" width="12.28515625" bestFit="1" customWidth="1"/>
    <col min="14876" max="14876" width="14.5703125" bestFit="1" customWidth="1"/>
    <col min="15113" max="15113" width="64.140625" customWidth="1"/>
    <col min="15114" max="15114" width="16.42578125" customWidth="1"/>
    <col min="15115" max="15115" width="14.28515625" bestFit="1" customWidth="1"/>
    <col min="15117" max="15117" width="14" bestFit="1" customWidth="1"/>
    <col min="15118" max="15118" width="15.5703125" bestFit="1" customWidth="1"/>
    <col min="15121" max="15121" width="73.140625" bestFit="1" customWidth="1"/>
    <col min="15123" max="15123" width="13.42578125" bestFit="1" customWidth="1"/>
    <col min="15125" max="15125" width="14" bestFit="1" customWidth="1"/>
    <col min="15126" max="15126" width="14.28515625" bestFit="1" customWidth="1"/>
    <col min="15128" max="15128" width="7.7109375" customWidth="1"/>
    <col min="15129" max="15129" width="13.42578125" customWidth="1"/>
    <col min="15130" max="15130" width="14" bestFit="1" customWidth="1"/>
    <col min="15131" max="15131" width="12.28515625" bestFit="1" customWidth="1"/>
    <col min="15132" max="15132" width="14.5703125" bestFit="1" customWidth="1"/>
    <col min="15369" max="15369" width="64.140625" customWidth="1"/>
    <col min="15370" max="15370" width="16.42578125" customWidth="1"/>
    <col min="15371" max="15371" width="14.28515625" bestFit="1" customWidth="1"/>
    <col min="15373" max="15373" width="14" bestFit="1" customWidth="1"/>
    <col min="15374" max="15374" width="15.5703125" bestFit="1" customWidth="1"/>
    <col min="15377" max="15377" width="73.140625" bestFit="1" customWidth="1"/>
    <col min="15379" max="15379" width="13.42578125" bestFit="1" customWidth="1"/>
    <col min="15381" max="15381" width="14" bestFit="1" customWidth="1"/>
    <col min="15382" max="15382" width="14.28515625" bestFit="1" customWidth="1"/>
    <col min="15384" max="15384" width="7.7109375" customWidth="1"/>
    <col min="15385" max="15385" width="13.42578125" customWidth="1"/>
    <col min="15386" max="15386" width="14" bestFit="1" customWidth="1"/>
    <col min="15387" max="15387" width="12.28515625" bestFit="1" customWidth="1"/>
    <col min="15388" max="15388" width="14.5703125" bestFit="1" customWidth="1"/>
    <col min="15625" max="15625" width="64.140625" customWidth="1"/>
    <col min="15626" max="15626" width="16.42578125" customWidth="1"/>
    <col min="15627" max="15627" width="14.28515625" bestFit="1" customWidth="1"/>
    <col min="15629" max="15629" width="14" bestFit="1" customWidth="1"/>
    <col min="15630" max="15630" width="15.5703125" bestFit="1" customWidth="1"/>
    <col min="15633" max="15633" width="73.140625" bestFit="1" customWidth="1"/>
    <col min="15635" max="15635" width="13.42578125" bestFit="1" customWidth="1"/>
    <col min="15637" max="15637" width="14" bestFit="1" customWidth="1"/>
    <col min="15638" max="15638" width="14.28515625" bestFit="1" customWidth="1"/>
    <col min="15640" max="15640" width="7.7109375" customWidth="1"/>
    <col min="15641" max="15641" width="13.42578125" customWidth="1"/>
    <col min="15642" max="15642" width="14" bestFit="1" customWidth="1"/>
    <col min="15643" max="15643" width="12.28515625" bestFit="1" customWidth="1"/>
    <col min="15644" max="15644" width="14.5703125" bestFit="1" customWidth="1"/>
    <col min="15881" max="15881" width="64.140625" customWidth="1"/>
    <col min="15882" max="15882" width="16.42578125" customWidth="1"/>
    <col min="15883" max="15883" width="14.28515625" bestFit="1" customWidth="1"/>
    <col min="15885" max="15885" width="14" bestFit="1" customWidth="1"/>
    <col min="15886" max="15886" width="15.5703125" bestFit="1" customWidth="1"/>
    <col min="15889" max="15889" width="73.140625" bestFit="1" customWidth="1"/>
    <col min="15891" max="15891" width="13.42578125" bestFit="1" customWidth="1"/>
    <col min="15893" max="15893" width="14" bestFit="1" customWidth="1"/>
    <col min="15894" max="15894" width="14.28515625" bestFit="1" customWidth="1"/>
    <col min="15896" max="15896" width="7.7109375" customWidth="1"/>
    <col min="15897" max="15897" width="13.42578125" customWidth="1"/>
    <col min="15898" max="15898" width="14" bestFit="1" customWidth="1"/>
    <col min="15899" max="15899" width="12.28515625" bestFit="1" customWidth="1"/>
    <col min="15900" max="15900" width="14.5703125" bestFit="1" customWidth="1"/>
    <col min="16137" max="16137" width="64.140625" customWidth="1"/>
    <col min="16138" max="16138" width="16.42578125" customWidth="1"/>
    <col min="16139" max="16139" width="14.28515625" bestFit="1" customWidth="1"/>
    <col min="16141" max="16141" width="14" bestFit="1" customWidth="1"/>
    <col min="16142" max="16142" width="15.5703125" bestFit="1" customWidth="1"/>
    <col min="16145" max="16145" width="73.140625" bestFit="1" customWidth="1"/>
    <col min="16147" max="16147" width="13.42578125" bestFit="1" customWidth="1"/>
    <col min="16149" max="16149" width="14" bestFit="1" customWidth="1"/>
    <col min="16150" max="16150" width="14.28515625" bestFit="1" customWidth="1"/>
    <col min="16152" max="16152" width="7.7109375" customWidth="1"/>
    <col min="16153" max="16153" width="13.42578125" customWidth="1"/>
    <col min="16154" max="16154" width="14" bestFit="1" customWidth="1"/>
    <col min="16155" max="16155" width="12.28515625" bestFit="1" customWidth="1"/>
    <col min="16156" max="16156" width="14.5703125" bestFit="1" customWidth="1"/>
  </cols>
  <sheetData>
    <row r="1" spans="1:29" ht="23.25">
      <c r="A1" s="290" t="s">
        <v>126</v>
      </c>
      <c r="B1" s="291"/>
      <c r="C1" s="292"/>
      <c r="D1" s="292"/>
      <c r="E1" s="292"/>
      <c r="F1" s="292"/>
      <c r="G1" s="293"/>
      <c r="I1" s="290" t="s">
        <v>126</v>
      </c>
      <c r="J1" s="291"/>
      <c r="K1" s="292"/>
      <c r="L1" s="292"/>
      <c r="M1" s="292"/>
      <c r="N1" s="292"/>
      <c r="O1" s="293"/>
      <c r="Q1" s="290" t="s">
        <v>126</v>
      </c>
      <c r="R1" s="291"/>
      <c r="S1" s="292"/>
      <c r="T1" s="292"/>
      <c r="U1" s="292"/>
      <c r="V1" s="292"/>
      <c r="W1" s="293"/>
    </row>
    <row r="2" spans="1:29" ht="15.75">
      <c r="A2" s="294" t="s">
        <v>175</v>
      </c>
      <c r="B2" s="447"/>
      <c r="C2" s="448"/>
      <c r="D2" s="448"/>
      <c r="E2" s="449"/>
      <c r="F2" s="449"/>
      <c r="G2" s="298"/>
      <c r="I2" s="294" t="s">
        <v>175</v>
      </c>
      <c r="J2" s="295"/>
      <c r="K2" s="296"/>
      <c r="L2" s="296"/>
      <c r="M2" s="297"/>
      <c r="N2" s="297"/>
      <c r="O2" s="298"/>
      <c r="Q2" s="294" t="s">
        <v>127</v>
      </c>
      <c r="R2" s="447"/>
      <c r="S2" s="448"/>
      <c r="T2" s="448"/>
      <c r="U2" s="449"/>
      <c r="V2" s="449"/>
      <c r="W2" s="298"/>
    </row>
    <row r="3" spans="1:29" ht="15.75">
      <c r="A3" s="294"/>
      <c r="B3" s="447"/>
      <c r="C3" s="448"/>
      <c r="D3" s="448"/>
      <c r="E3" s="449"/>
      <c r="F3" s="449"/>
      <c r="G3" s="298"/>
      <c r="I3" s="294"/>
      <c r="J3" s="295"/>
      <c r="K3" s="296"/>
      <c r="L3" s="296"/>
      <c r="M3" s="297"/>
      <c r="N3" s="297"/>
      <c r="O3" s="298"/>
      <c r="Q3" s="294" t="s">
        <v>210</v>
      </c>
      <c r="R3" s="447"/>
      <c r="S3" s="448"/>
      <c r="T3" s="448"/>
      <c r="U3" s="449"/>
      <c r="V3" s="449"/>
      <c r="W3" s="298"/>
    </row>
    <row r="4" spans="1:29" ht="42.75" customHeight="1">
      <c r="A4" s="498"/>
      <c r="B4" s="499"/>
      <c r="C4" s="499"/>
      <c r="D4" s="448"/>
      <c r="E4" s="449"/>
      <c r="F4" s="449"/>
      <c r="G4" s="298"/>
      <c r="I4" s="501" t="s">
        <v>208</v>
      </c>
      <c r="J4" s="496"/>
      <c r="K4" s="497"/>
      <c r="L4" s="296"/>
      <c r="M4" s="297"/>
      <c r="N4" s="297"/>
      <c r="O4" s="298"/>
      <c r="Q4" s="294"/>
      <c r="R4" s="447"/>
      <c r="S4" s="448"/>
      <c r="T4" s="448"/>
      <c r="U4" s="449"/>
      <c r="V4" s="449"/>
      <c r="W4" s="298"/>
    </row>
    <row r="5" spans="1:29" ht="15.75">
      <c r="A5" s="450"/>
      <c r="B5" s="448"/>
      <c r="C5" s="448"/>
      <c r="D5" s="448"/>
      <c r="E5" s="449"/>
      <c r="F5" s="449"/>
      <c r="G5" s="298"/>
      <c r="I5" s="475"/>
      <c r="J5" s="296"/>
      <c r="K5" s="296"/>
      <c r="L5" s="296"/>
      <c r="M5" s="297"/>
      <c r="N5" s="297"/>
      <c r="O5" s="298"/>
      <c r="Q5" s="294"/>
      <c r="R5" s="447"/>
      <c r="S5" s="448"/>
      <c r="T5" s="448"/>
      <c r="U5" s="449"/>
      <c r="V5" s="449"/>
      <c r="W5" s="298"/>
    </row>
    <row r="6" spans="1:29" ht="15">
      <c r="A6" s="492" t="s">
        <v>19</v>
      </c>
      <c r="B6" s="500"/>
      <c r="C6" s="500"/>
      <c r="D6" s="500"/>
      <c r="E6" s="500"/>
      <c r="F6" s="500"/>
      <c r="G6" s="494"/>
      <c r="I6" s="492" t="s">
        <v>19</v>
      </c>
      <c r="J6" s="493"/>
      <c r="K6" s="493"/>
      <c r="L6" s="493"/>
      <c r="M6" s="493"/>
      <c r="N6" s="493"/>
      <c r="O6" s="494"/>
      <c r="Q6" s="492" t="s">
        <v>19</v>
      </c>
      <c r="R6" s="500"/>
      <c r="S6" s="500"/>
      <c r="T6" s="500"/>
      <c r="U6" s="500"/>
      <c r="V6" s="500"/>
      <c r="W6" s="494"/>
    </row>
    <row r="7" spans="1:29" ht="15">
      <c r="A7" s="301"/>
      <c r="B7" s="449"/>
      <c r="C7" s="449"/>
      <c r="D7" s="449"/>
      <c r="E7" s="449"/>
      <c r="F7" s="449"/>
      <c r="G7" s="298"/>
      <c r="I7" s="301"/>
      <c r="J7" s="297"/>
      <c r="K7" s="297"/>
      <c r="L7" s="297"/>
      <c r="M7" s="297"/>
      <c r="N7" s="297"/>
      <c r="O7" s="298"/>
      <c r="Q7" s="301"/>
      <c r="R7" s="449"/>
      <c r="S7" s="449"/>
      <c r="T7" s="449"/>
      <c r="U7" s="449"/>
      <c r="V7" s="449"/>
      <c r="W7" s="298"/>
    </row>
    <row r="8" spans="1:29" ht="15.75">
      <c r="A8" s="301"/>
      <c r="B8" s="449"/>
      <c r="C8" s="451"/>
      <c r="D8" s="451"/>
      <c r="E8" s="451" t="s">
        <v>128</v>
      </c>
      <c r="F8" s="451" t="s">
        <v>80</v>
      </c>
      <c r="G8" s="298"/>
      <c r="I8" s="301"/>
      <c r="J8" s="297"/>
      <c r="K8" s="302"/>
      <c r="L8" s="302"/>
      <c r="M8" s="302" t="s">
        <v>128</v>
      </c>
      <c r="N8" s="302" t="s">
        <v>80</v>
      </c>
      <c r="O8" s="298"/>
      <c r="Q8" s="301"/>
      <c r="R8" s="449"/>
      <c r="S8" s="451"/>
      <c r="T8" s="451"/>
      <c r="U8" s="451" t="s">
        <v>128</v>
      </c>
      <c r="V8" s="451" t="s">
        <v>80</v>
      </c>
      <c r="W8" s="298"/>
    </row>
    <row r="9" spans="1:29" ht="15.75">
      <c r="A9" s="301"/>
      <c r="B9" s="449"/>
      <c r="C9" s="452" t="s">
        <v>97</v>
      </c>
      <c r="D9" s="452"/>
      <c r="E9" s="452" t="s">
        <v>129</v>
      </c>
      <c r="F9" s="452" t="s">
        <v>130</v>
      </c>
      <c r="G9" s="298"/>
      <c r="I9" s="301"/>
      <c r="J9" s="297"/>
      <c r="K9" s="303" t="s">
        <v>97</v>
      </c>
      <c r="L9" s="303"/>
      <c r="M9" s="303" t="s">
        <v>129</v>
      </c>
      <c r="N9" s="303" t="s">
        <v>130</v>
      </c>
      <c r="O9" s="298"/>
      <c r="Q9" s="301"/>
      <c r="R9" s="449"/>
      <c r="S9" s="452" t="s">
        <v>97</v>
      </c>
      <c r="T9" s="452"/>
      <c r="U9" s="452" t="s">
        <v>129</v>
      </c>
      <c r="V9" s="452" t="s">
        <v>130</v>
      </c>
      <c r="W9" s="298"/>
    </row>
    <row r="10" spans="1:29" ht="15.75">
      <c r="A10" s="304" t="s">
        <v>281</v>
      </c>
      <c r="B10" s="447"/>
      <c r="C10" s="453"/>
      <c r="D10" s="453"/>
      <c r="E10" s="453"/>
      <c r="F10" s="453"/>
      <c r="G10" s="298"/>
      <c r="I10" s="304" t="s">
        <v>145</v>
      </c>
      <c r="J10" s="295"/>
      <c r="K10" s="305"/>
      <c r="L10" s="305"/>
      <c r="M10" s="305"/>
      <c r="N10" s="305"/>
      <c r="O10" s="298"/>
      <c r="Q10" s="304" t="s">
        <v>131</v>
      </c>
      <c r="R10" s="447"/>
      <c r="S10" s="453"/>
      <c r="T10" s="453"/>
      <c r="U10" s="453"/>
      <c r="V10" s="453"/>
      <c r="W10" s="298"/>
    </row>
    <row r="11" spans="1:29" ht="15.75">
      <c r="A11" s="301" t="s">
        <v>132</v>
      </c>
      <c r="B11" s="449"/>
      <c r="C11" s="454">
        <f>SUM('Customer Counts'!G6:H8)</f>
        <v>305514</v>
      </c>
      <c r="D11" s="454"/>
      <c r="E11" s="455">
        <f>+M12</f>
        <v>0.73</v>
      </c>
      <c r="F11" s="456">
        <f>C11*E11</f>
        <v>223025.22</v>
      </c>
      <c r="G11" s="298"/>
      <c r="I11" s="301" t="s">
        <v>132</v>
      </c>
      <c r="J11" s="297"/>
      <c r="K11" s="306">
        <v>299451</v>
      </c>
      <c r="L11" s="306"/>
      <c r="M11" s="307">
        <f>+U12</f>
        <v>2.4500000000000002</v>
      </c>
      <c r="N11" s="308">
        <f>K11*M11</f>
        <v>733654.95000000007</v>
      </c>
      <c r="O11" s="298"/>
      <c r="Q11" s="301" t="s">
        <v>132</v>
      </c>
      <c r="R11" s="449"/>
      <c r="S11" s="454">
        <v>291373</v>
      </c>
      <c r="T11" s="454"/>
      <c r="U11" s="455">
        <v>1.79</v>
      </c>
      <c r="V11" s="456">
        <f>S11*U11</f>
        <v>521557.67</v>
      </c>
      <c r="W11" s="298"/>
      <c r="Z11" s="327"/>
      <c r="AA11" s="286"/>
      <c r="AB11" s="389"/>
    </row>
    <row r="12" spans="1:29" ht="17.25">
      <c r="A12" s="309" t="s">
        <v>133</v>
      </c>
      <c r="B12" s="430"/>
      <c r="C12" s="457">
        <f>SUM('Customer Counts'!G9:H17)</f>
        <v>931767</v>
      </c>
      <c r="D12" s="457"/>
      <c r="E12" s="455">
        <f>+O33</f>
        <v>0.44</v>
      </c>
      <c r="F12" s="458">
        <f>C12*E12</f>
        <v>409977.48</v>
      </c>
      <c r="G12" s="298"/>
      <c r="I12" s="309" t="s">
        <v>133</v>
      </c>
      <c r="J12" s="310"/>
      <c r="K12" s="311">
        <v>706622</v>
      </c>
      <c r="L12" s="311"/>
      <c r="M12" s="307">
        <f>+W31</f>
        <v>0.73</v>
      </c>
      <c r="N12" s="312">
        <f>K12*M12</f>
        <v>515834.06</v>
      </c>
      <c r="O12" s="298"/>
      <c r="Q12" s="309" t="s">
        <v>133</v>
      </c>
      <c r="R12" s="430"/>
      <c r="S12" s="457">
        <v>885244</v>
      </c>
      <c r="T12" s="457"/>
      <c r="U12" s="455">
        <v>2.4500000000000002</v>
      </c>
      <c r="V12" s="458">
        <f>S12*U12</f>
        <v>2168847.8000000003</v>
      </c>
      <c r="W12" s="298"/>
    </row>
    <row r="13" spans="1:29" ht="17.25">
      <c r="A13" s="301" t="s">
        <v>80</v>
      </c>
      <c r="B13" s="449"/>
      <c r="C13" s="454">
        <f>SUM(C11:C12)</f>
        <v>1237281</v>
      </c>
      <c r="D13" s="457"/>
      <c r="E13" s="449"/>
      <c r="F13" s="456">
        <f>SUM(F11:F12)</f>
        <v>633002.69999999995</v>
      </c>
      <c r="G13" s="298"/>
      <c r="I13" s="301" t="s">
        <v>80</v>
      </c>
      <c r="J13" s="297"/>
      <c r="K13" s="306">
        <f>SUM(K11:K12)</f>
        <v>1006073</v>
      </c>
      <c r="L13" s="311"/>
      <c r="M13" s="297"/>
      <c r="N13" s="308">
        <f>SUM(N11:N12)</f>
        <v>1249489.01</v>
      </c>
      <c r="O13" s="298"/>
      <c r="Q13" s="301" t="s">
        <v>80</v>
      </c>
      <c r="R13" s="449"/>
      <c r="S13" s="454">
        <f>SUM(S11:S12)</f>
        <v>1176617</v>
      </c>
      <c r="T13" s="457"/>
      <c r="U13" s="449"/>
      <c r="V13" s="456">
        <f>SUM(V11:V12)</f>
        <v>2690405.47</v>
      </c>
      <c r="W13" s="298"/>
      <c r="AB13" s="391"/>
    </row>
    <row r="14" spans="1:29" ht="15">
      <c r="A14" s="301"/>
      <c r="B14" s="449"/>
      <c r="C14" s="449"/>
      <c r="D14" s="449"/>
      <c r="E14" s="449"/>
      <c r="F14" s="449"/>
      <c r="G14" s="298"/>
      <c r="I14" s="301"/>
      <c r="J14" s="297"/>
      <c r="K14" s="297"/>
      <c r="L14" s="297"/>
      <c r="M14" s="297"/>
      <c r="N14" s="297"/>
      <c r="O14" s="298"/>
      <c r="Q14" s="301"/>
      <c r="R14" s="449"/>
      <c r="S14" s="449"/>
      <c r="T14" s="449"/>
      <c r="U14" s="449"/>
      <c r="V14" s="449"/>
      <c r="W14" s="298"/>
      <c r="AB14" s="390"/>
      <c r="AC14" s="11"/>
    </row>
    <row r="15" spans="1:29" ht="15.75">
      <c r="A15" s="294"/>
      <c r="B15" s="449"/>
      <c r="C15" s="449"/>
      <c r="D15" s="449"/>
      <c r="E15" s="449"/>
      <c r="F15" s="459"/>
      <c r="G15" s="298"/>
      <c r="I15" s="294"/>
      <c r="J15" s="297"/>
      <c r="K15" s="297"/>
      <c r="L15" s="297"/>
      <c r="M15" s="297"/>
      <c r="N15" s="386"/>
      <c r="O15" s="298"/>
      <c r="Q15" s="301"/>
      <c r="R15" s="449"/>
      <c r="S15" s="449"/>
      <c r="T15" s="449"/>
      <c r="U15" s="449"/>
      <c r="V15" s="449"/>
      <c r="W15" s="298"/>
      <c r="AB15" s="390"/>
      <c r="AC15" s="11"/>
    </row>
    <row r="16" spans="1:29" ht="15.75">
      <c r="A16" s="294" t="s">
        <v>282</v>
      </c>
      <c r="B16" s="449"/>
      <c r="C16" s="449"/>
      <c r="D16" s="449"/>
      <c r="E16" s="449"/>
      <c r="F16" s="456">
        <f>SUM('2020-2021 Recy. Tons &amp; Revenue'!O74:O85)</f>
        <v>281606.83174170979</v>
      </c>
      <c r="G16" s="298"/>
      <c r="I16" s="294" t="s">
        <v>176</v>
      </c>
      <c r="J16" s="297"/>
      <c r="K16" s="297"/>
      <c r="L16" s="297"/>
      <c r="M16" s="297"/>
      <c r="N16" s="308">
        <v>528491.43671045091</v>
      </c>
      <c r="O16" s="298"/>
      <c r="Q16" s="301"/>
      <c r="R16" s="449"/>
      <c r="S16" s="449"/>
      <c r="T16" s="449"/>
      <c r="U16" s="449"/>
      <c r="V16" s="449"/>
      <c r="W16" s="298"/>
      <c r="AB16" s="390"/>
      <c r="AC16" s="11"/>
    </row>
    <row r="17" spans="1:29" ht="15.75">
      <c r="A17" s="294" t="s">
        <v>211</v>
      </c>
      <c r="B17" s="449"/>
      <c r="C17" s="449"/>
      <c r="D17" s="449"/>
      <c r="E17" s="449"/>
      <c r="F17" s="425">
        <f>-F16*50%</f>
        <v>-140803.41587085489</v>
      </c>
      <c r="G17" s="298"/>
      <c r="I17" s="294" t="s">
        <v>211</v>
      </c>
      <c r="J17" s="297"/>
      <c r="K17" s="297"/>
      <c r="L17" s="297"/>
      <c r="M17" s="297"/>
      <c r="N17" s="425">
        <f>-N16*50%</f>
        <v>-264245.71835522546</v>
      </c>
      <c r="O17" s="298"/>
      <c r="Q17" s="294"/>
      <c r="R17" s="449"/>
      <c r="S17" s="449"/>
      <c r="T17" s="449"/>
      <c r="U17" s="449"/>
      <c r="V17" s="456"/>
      <c r="W17" s="298"/>
    </row>
    <row r="18" spans="1:29" ht="15.75">
      <c r="A18" s="429" t="s">
        <v>214</v>
      </c>
      <c r="B18" s="449"/>
      <c r="C18" s="449"/>
      <c r="D18" s="449"/>
      <c r="E18" s="449"/>
      <c r="F18" s="460">
        <f>SUM(F16:F17)</f>
        <v>140803.41587085489</v>
      </c>
      <c r="G18" s="298"/>
      <c r="I18" s="429" t="s">
        <v>214</v>
      </c>
      <c r="J18" s="297"/>
      <c r="K18" s="297"/>
      <c r="L18" s="297"/>
      <c r="M18" s="297"/>
      <c r="N18" s="385">
        <f>SUM(N16:N17)</f>
        <v>264245.71835522546</v>
      </c>
      <c r="O18" s="298"/>
      <c r="Q18" s="301"/>
      <c r="R18" s="449"/>
      <c r="S18" s="449"/>
      <c r="T18" s="449"/>
      <c r="U18" s="449"/>
      <c r="V18" s="449"/>
      <c r="W18" s="298"/>
      <c r="AB18" s="390"/>
      <c r="AC18" s="11"/>
    </row>
    <row r="19" spans="1:29" ht="17.25">
      <c r="A19" s="430"/>
      <c r="B19" s="430"/>
      <c r="C19" s="430"/>
      <c r="D19" s="430"/>
      <c r="E19" s="430"/>
      <c r="F19" s="430"/>
      <c r="G19" s="298"/>
      <c r="I19" s="309"/>
      <c r="J19" s="310"/>
      <c r="K19" s="310"/>
      <c r="L19" s="310"/>
      <c r="M19" s="310"/>
      <c r="N19" s="310"/>
      <c r="O19" s="298"/>
      <c r="Q19" s="301"/>
      <c r="R19" s="449"/>
      <c r="S19" s="449"/>
      <c r="T19" s="449"/>
      <c r="U19" s="449"/>
      <c r="V19" s="449"/>
      <c r="W19" s="298"/>
      <c r="AB19" s="392"/>
      <c r="AC19" s="11"/>
    </row>
    <row r="20" spans="1:29" ht="15.75">
      <c r="A20" s="301" t="s">
        <v>135</v>
      </c>
      <c r="B20" s="449"/>
      <c r="C20" s="449"/>
      <c r="D20" s="449"/>
      <c r="E20" s="449"/>
      <c r="F20" s="459"/>
      <c r="G20" s="298"/>
      <c r="I20" s="301" t="s">
        <v>135</v>
      </c>
      <c r="J20" s="297"/>
      <c r="K20" s="297"/>
      <c r="L20" s="297"/>
      <c r="M20" s="297"/>
      <c r="N20" s="386">
        <f>N18-N13</f>
        <v>-985243.29164477461</v>
      </c>
      <c r="O20" s="298"/>
      <c r="Q20" s="294" t="s">
        <v>134</v>
      </c>
      <c r="R20" s="449"/>
      <c r="S20" s="449"/>
      <c r="T20" s="449"/>
      <c r="U20" s="449"/>
      <c r="V20" s="456">
        <v>1226082</v>
      </c>
      <c r="W20" s="298"/>
      <c r="Y20" s="389"/>
      <c r="AB20" s="390"/>
    </row>
    <row r="21" spans="1:29" ht="17.25">
      <c r="A21" s="294"/>
      <c r="B21" s="449"/>
      <c r="C21" s="461"/>
      <c r="D21" s="449"/>
      <c r="E21" s="462"/>
      <c r="F21" s="463"/>
      <c r="G21" s="298"/>
      <c r="I21" s="294" t="s">
        <v>212</v>
      </c>
      <c r="J21" s="297"/>
      <c r="K21" s="383">
        <f>SUM('[1]Customer Counts'!G21:H22)</f>
        <v>199583</v>
      </c>
      <c r="L21" s="297"/>
      <c r="M21" s="384">
        <f>W38</f>
        <v>-0.90024999999999988</v>
      </c>
      <c r="N21" s="314">
        <f>M21*K21</f>
        <v>-179674.59574999998</v>
      </c>
      <c r="O21" s="298"/>
      <c r="Q21" s="294"/>
      <c r="R21" s="449"/>
      <c r="S21" s="449"/>
      <c r="T21" s="449"/>
      <c r="U21" s="449"/>
      <c r="V21" s="456"/>
      <c r="W21" s="298"/>
    </row>
    <row r="22" spans="1:29" ht="15">
      <c r="A22" s="430" t="s">
        <v>215</v>
      </c>
      <c r="B22" s="430"/>
      <c r="C22" s="430"/>
      <c r="D22" s="430"/>
      <c r="E22" s="430"/>
      <c r="F22" s="454">
        <f>F20-F13</f>
        <v>-633002.69999999995</v>
      </c>
      <c r="G22" s="298"/>
      <c r="I22" s="309" t="s">
        <v>215</v>
      </c>
      <c r="J22" s="310"/>
      <c r="K22" s="310"/>
      <c r="L22" s="310"/>
      <c r="M22" s="310"/>
      <c r="N22" s="476">
        <f>SUM(N20:N21)</f>
        <v>-1164917.8873947747</v>
      </c>
      <c r="O22" s="298"/>
      <c r="Q22" s="301" t="s">
        <v>135</v>
      </c>
      <c r="R22" s="449"/>
      <c r="S22" s="449"/>
      <c r="T22" s="449"/>
      <c r="U22" s="449"/>
      <c r="V22" s="454">
        <f>V20-V13</f>
        <v>-1464323.4700000002</v>
      </c>
      <c r="W22" s="298"/>
      <c r="AB22" s="390"/>
      <c r="AC22" s="11"/>
    </row>
    <row r="23" spans="1:29" ht="17.25">
      <c r="A23" s="430"/>
      <c r="B23" s="430"/>
      <c r="C23" s="430"/>
      <c r="D23" s="430"/>
      <c r="E23" s="430"/>
      <c r="F23" s="430"/>
      <c r="G23" s="298"/>
      <c r="I23" s="309"/>
      <c r="J23" s="310"/>
      <c r="K23" s="310"/>
      <c r="L23" s="310"/>
      <c r="M23" s="310"/>
      <c r="N23" s="310"/>
      <c r="O23" s="298"/>
      <c r="Q23" s="301"/>
      <c r="R23" s="449"/>
      <c r="S23" s="464"/>
      <c r="T23" s="449"/>
      <c r="U23" s="449"/>
      <c r="V23" s="463"/>
      <c r="W23" s="298"/>
    </row>
    <row r="24" spans="1:29" ht="17.25">
      <c r="A24" s="301" t="s">
        <v>136</v>
      </c>
      <c r="B24" s="449"/>
      <c r="C24" s="449"/>
      <c r="D24" s="449"/>
      <c r="E24" s="449"/>
      <c r="F24" s="454">
        <f>+C13</f>
        <v>1237281</v>
      </c>
      <c r="G24" s="298"/>
      <c r="I24" s="301" t="s">
        <v>136</v>
      </c>
      <c r="J24" s="297"/>
      <c r="K24" s="297"/>
      <c r="L24" s="297"/>
      <c r="M24" s="297"/>
      <c r="N24" s="306">
        <f>SUM('[1]Customer Counts'!G18:H29)</f>
        <v>1205656</v>
      </c>
      <c r="O24" s="298"/>
      <c r="Q24" s="301" t="s">
        <v>136</v>
      </c>
      <c r="R24" s="449"/>
      <c r="S24" s="449"/>
      <c r="T24" s="449"/>
      <c r="U24" s="449"/>
      <c r="V24" s="454">
        <f>+S13</f>
        <v>1176617</v>
      </c>
      <c r="W24" s="298"/>
      <c r="AB24" s="391"/>
    </row>
    <row r="25" spans="1:29" ht="15">
      <c r="A25" s="301"/>
      <c r="B25" s="449"/>
      <c r="C25" s="449"/>
      <c r="D25" s="449"/>
      <c r="E25" s="449"/>
      <c r="F25" s="449"/>
      <c r="G25" s="298"/>
      <c r="I25" s="301"/>
      <c r="J25" s="297"/>
      <c r="K25" s="297"/>
      <c r="L25" s="297"/>
      <c r="M25" s="297"/>
      <c r="N25" s="297"/>
      <c r="O25" s="298"/>
      <c r="Q25" s="301"/>
      <c r="R25" s="449"/>
      <c r="S25" s="449"/>
      <c r="T25" s="449"/>
      <c r="U25" s="449"/>
      <c r="V25" s="449"/>
      <c r="W25" s="298"/>
    </row>
    <row r="26" spans="1:29" ht="15">
      <c r="A26" s="301" t="s">
        <v>137</v>
      </c>
      <c r="B26" s="449"/>
      <c r="C26" s="449"/>
      <c r="D26" s="449"/>
      <c r="E26" s="449"/>
      <c r="F26" s="465"/>
      <c r="G26" s="316">
        <f>F22/F24</f>
        <v>-0.51160787242348338</v>
      </c>
      <c r="I26" s="301" t="s">
        <v>137</v>
      </c>
      <c r="J26" s="297"/>
      <c r="K26" s="297"/>
      <c r="L26" s="297"/>
      <c r="M26" s="297"/>
      <c r="N26" s="315"/>
      <c r="O26" s="316">
        <f>N22/N24</f>
        <v>-0.96621083243875094</v>
      </c>
      <c r="Q26" s="301" t="s">
        <v>137</v>
      </c>
      <c r="R26" s="449"/>
      <c r="S26" s="449"/>
      <c r="T26" s="449"/>
      <c r="U26" s="449"/>
      <c r="V26" s="465"/>
      <c r="W26" s="316">
        <f>ROUND(V22/V24,2)</f>
        <v>-1.24</v>
      </c>
    </row>
    <row r="27" spans="1:29" ht="15">
      <c r="A27" s="301"/>
      <c r="B27" s="449"/>
      <c r="C27" s="449"/>
      <c r="D27" s="449"/>
      <c r="E27" s="449"/>
      <c r="F27" s="449"/>
      <c r="G27" s="316"/>
      <c r="I27" s="301"/>
      <c r="J27" s="297"/>
      <c r="K27" s="297"/>
      <c r="L27" s="297"/>
      <c r="M27" s="297"/>
      <c r="N27" s="297"/>
      <c r="O27" s="316"/>
      <c r="Q27" s="301"/>
      <c r="R27" s="449"/>
      <c r="S27" s="449"/>
      <c r="T27" s="449"/>
      <c r="U27" s="449"/>
      <c r="V27" s="449"/>
      <c r="W27" s="316"/>
    </row>
    <row r="28" spans="1:29" ht="15">
      <c r="A28" s="301"/>
      <c r="B28" s="449"/>
      <c r="C28" s="449"/>
      <c r="D28" s="449"/>
      <c r="E28" s="449"/>
      <c r="F28" s="449"/>
      <c r="G28" s="316"/>
      <c r="I28" s="301"/>
      <c r="J28" s="297"/>
      <c r="K28" s="297"/>
      <c r="L28" s="297"/>
      <c r="M28" s="297"/>
      <c r="N28" s="297"/>
      <c r="O28" s="316"/>
      <c r="Q28" s="301"/>
      <c r="R28" s="449"/>
      <c r="S28" s="449"/>
      <c r="T28" s="449"/>
      <c r="U28" s="449"/>
      <c r="V28" s="449"/>
      <c r="W28" s="316"/>
    </row>
    <row r="29" spans="1:29" ht="15.75">
      <c r="A29" s="317" t="s">
        <v>283</v>
      </c>
      <c r="B29" s="447"/>
      <c r="C29" s="449"/>
      <c r="D29" s="449"/>
      <c r="E29" s="449"/>
      <c r="F29" s="466">
        <f>F16</f>
        <v>281606.83174170979</v>
      </c>
      <c r="G29" s="316"/>
      <c r="I29" s="317" t="s">
        <v>178</v>
      </c>
      <c r="J29" s="295"/>
      <c r="K29" s="297"/>
      <c r="L29" s="297"/>
      <c r="M29" s="297"/>
      <c r="N29" s="318">
        <f>N16</f>
        <v>528491.43671045091</v>
      </c>
      <c r="O29" s="316"/>
      <c r="Q29" s="317" t="s">
        <v>138</v>
      </c>
      <c r="R29" s="447"/>
      <c r="S29" s="449"/>
      <c r="T29" s="449"/>
      <c r="U29" s="449"/>
      <c r="V29" s="466">
        <f>431654*2</f>
        <v>863308</v>
      </c>
      <c r="W29" s="316"/>
    </row>
    <row r="30" spans="1:29" ht="17.25">
      <c r="A30" s="294" t="s">
        <v>211</v>
      </c>
      <c r="B30" s="430"/>
      <c r="C30" s="430"/>
      <c r="D30" s="430"/>
      <c r="E30" s="430"/>
      <c r="F30" s="428">
        <f>F29*50%</f>
        <v>140803.41587085489</v>
      </c>
      <c r="G30" s="316"/>
      <c r="I30" s="294" t="s">
        <v>211</v>
      </c>
      <c r="J30" s="310"/>
      <c r="K30" s="310"/>
      <c r="L30" s="310"/>
      <c r="M30" s="310"/>
      <c r="N30" s="428">
        <f>N29*50%</f>
        <v>264245.71835522546</v>
      </c>
      <c r="O30" s="316"/>
      <c r="Q30" s="301" t="s">
        <v>136</v>
      </c>
      <c r="R30" s="449"/>
      <c r="S30" s="449"/>
      <c r="T30" s="449"/>
      <c r="U30" s="449"/>
      <c r="V30" s="467">
        <f>+S13</f>
        <v>1176617</v>
      </c>
      <c r="W30" s="316"/>
    </row>
    <row r="31" spans="1:29" ht="17.25">
      <c r="A31" s="430" t="s">
        <v>213</v>
      </c>
      <c r="B31" s="430"/>
      <c r="C31" s="430"/>
      <c r="D31" s="430"/>
      <c r="E31" s="430"/>
      <c r="F31" s="426">
        <f>F29-F30</f>
        <v>140803.41587085489</v>
      </c>
      <c r="G31" s="316"/>
      <c r="I31" s="309" t="s">
        <v>213</v>
      </c>
      <c r="J31" s="310"/>
      <c r="K31" s="310"/>
      <c r="L31" s="310"/>
      <c r="M31" s="310"/>
      <c r="N31" s="476">
        <f>N29-N30</f>
        <v>264245.71835522546</v>
      </c>
      <c r="O31" s="316"/>
      <c r="Q31" s="301" t="s">
        <v>139</v>
      </c>
      <c r="R31" s="449"/>
      <c r="S31" s="449"/>
      <c r="T31" s="449"/>
      <c r="U31" s="449"/>
      <c r="V31" s="449"/>
      <c r="W31" s="468">
        <f>ROUND(+V29/V30,2)</f>
        <v>0.73</v>
      </c>
    </row>
    <row r="32" spans="1:29" ht="17.25">
      <c r="A32" s="301" t="s">
        <v>136</v>
      </c>
      <c r="B32" s="449"/>
      <c r="C32" s="449"/>
      <c r="D32" s="449"/>
      <c r="E32" s="449"/>
      <c r="F32" s="467">
        <f>F24</f>
        <v>1237281</v>
      </c>
      <c r="G32" s="316"/>
      <c r="I32" s="301" t="s">
        <v>136</v>
      </c>
      <c r="J32" s="297"/>
      <c r="K32" s="297"/>
      <c r="L32" s="297"/>
      <c r="M32" s="297"/>
      <c r="N32" s="319">
        <f>N24</f>
        <v>1205656</v>
      </c>
      <c r="O32" s="316"/>
      <c r="Q32" s="294" t="s">
        <v>140</v>
      </c>
      <c r="R32" s="447"/>
      <c r="S32" s="449"/>
      <c r="T32" s="449"/>
      <c r="U32" s="449"/>
      <c r="V32" s="449"/>
      <c r="W32" s="324">
        <f>SUM(W26:W31)</f>
        <v>-0.51</v>
      </c>
      <c r="X32" s="322"/>
    </row>
    <row r="33" spans="1:24" ht="17.25">
      <c r="A33" s="301" t="s">
        <v>139</v>
      </c>
      <c r="B33" s="449"/>
      <c r="C33" s="449"/>
      <c r="D33" s="449"/>
      <c r="E33" s="449"/>
      <c r="F33" s="449"/>
      <c r="G33" s="468">
        <f>ROUND(+F29/F32,2)</f>
        <v>0.23</v>
      </c>
      <c r="I33" s="301" t="s">
        <v>139</v>
      </c>
      <c r="J33" s="297"/>
      <c r="K33" s="297"/>
      <c r="L33" s="297"/>
      <c r="M33" s="297"/>
      <c r="N33" s="297"/>
      <c r="O33" s="468">
        <f>ROUND(+N29/N32,2)</f>
        <v>0.44</v>
      </c>
      <c r="Q33" s="294"/>
      <c r="R33" s="447"/>
      <c r="S33" s="449"/>
      <c r="T33" s="449"/>
      <c r="U33" s="449"/>
      <c r="V33" s="449"/>
      <c r="W33" s="324"/>
      <c r="X33" s="322"/>
    </row>
    <row r="34" spans="1:24" ht="18">
      <c r="A34" s="294" t="s">
        <v>284</v>
      </c>
      <c r="B34" s="447"/>
      <c r="C34" s="449"/>
      <c r="D34" s="449"/>
      <c r="E34" s="449"/>
      <c r="F34" s="449"/>
      <c r="G34" s="473">
        <f>SUM(G26:G33)</f>
        <v>-0.2816078724234834</v>
      </c>
      <c r="I34" s="294" t="s">
        <v>140</v>
      </c>
      <c r="J34" s="295"/>
      <c r="K34" s="297"/>
      <c r="L34" s="297"/>
      <c r="M34" s="297"/>
      <c r="N34" s="297"/>
      <c r="O34" s="324">
        <f>SUM(O26:O33)</f>
        <v>-0.52621083243875089</v>
      </c>
      <c r="Q34" s="309" t="s">
        <v>141</v>
      </c>
      <c r="R34" s="447"/>
      <c r="S34" s="449"/>
      <c r="T34" s="449"/>
      <c r="U34" s="469">
        <f>+S13/12*0.5</f>
        <v>49025.708333333336</v>
      </c>
      <c r="V34" s="449"/>
      <c r="W34" s="324">
        <f>ROUND(-U34/S13*2,2)</f>
        <v>-0.08</v>
      </c>
    </row>
    <row r="35" spans="1:24" ht="15.75">
      <c r="A35" s="309"/>
      <c r="B35" s="447"/>
      <c r="C35" s="449"/>
      <c r="D35" s="449"/>
      <c r="E35" s="449"/>
      <c r="F35" s="449"/>
      <c r="G35" s="324"/>
      <c r="I35" s="309"/>
      <c r="J35" s="295"/>
      <c r="K35" s="297"/>
      <c r="L35" s="297"/>
      <c r="M35" s="297"/>
      <c r="N35" s="297"/>
      <c r="O35" s="324"/>
      <c r="Q35" s="309"/>
      <c r="R35" s="447"/>
      <c r="S35" s="449"/>
      <c r="T35" s="449"/>
      <c r="U35" s="449"/>
      <c r="V35" s="449"/>
      <c r="W35" s="324"/>
    </row>
    <row r="36" spans="1:24" ht="20.25">
      <c r="A36" s="309"/>
      <c r="B36" s="449"/>
      <c r="C36" s="449"/>
      <c r="D36" s="449"/>
      <c r="E36" s="470"/>
      <c r="F36" s="449"/>
      <c r="G36" s="471"/>
      <c r="I36" s="309"/>
      <c r="J36" s="297"/>
      <c r="K36" s="297"/>
      <c r="L36" s="297"/>
      <c r="M36" s="325"/>
      <c r="N36" s="297"/>
      <c r="O36" s="471"/>
      <c r="Q36" s="309" t="s">
        <v>142</v>
      </c>
      <c r="R36" s="449"/>
      <c r="S36" s="449"/>
      <c r="T36" s="449"/>
      <c r="U36" s="470">
        <v>0.42499999999999999</v>
      </c>
      <c r="V36" s="449"/>
      <c r="W36" s="471">
        <f>-U36*W31</f>
        <v>-0.31024999999999997</v>
      </c>
      <c r="X36" s="327"/>
    </row>
    <row r="37" spans="1:24" ht="20.25">
      <c r="A37" s="294" t="s">
        <v>206</v>
      </c>
      <c r="B37" s="449"/>
      <c r="C37" s="449"/>
      <c r="D37" s="470">
        <v>0.5</v>
      </c>
      <c r="E37" s="472"/>
      <c r="F37" s="449"/>
      <c r="G37" s="329">
        <f>+G33*D37</f>
        <v>0.115</v>
      </c>
      <c r="I37" s="294" t="s">
        <v>206</v>
      </c>
      <c r="J37" s="297"/>
      <c r="K37" s="297"/>
      <c r="L37" s="325">
        <v>0.5</v>
      </c>
      <c r="M37" s="328"/>
      <c r="N37" s="297"/>
      <c r="O37" s="473">
        <f>+O33*L37</f>
        <v>0.22</v>
      </c>
      <c r="Q37" s="309"/>
      <c r="R37" s="449"/>
      <c r="S37" s="449"/>
      <c r="T37" s="449"/>
      <c r="U37" s="472"/>
      <c r="V37" s="449"/>
      <c r="W37" s="471"/>
      <c r="X37" s="327"/>
    </row>
    <row r="38" spans="1:24" ht="18">
      <c r="A38" s="294"/>
      <c r="B38" s="449"/>
      <c r="C38" s="449"/>
      <c r="D38" s="449"/>
      <c r="E38" s="472"/>
      <c r="F38" s="449"/>
      <c r="G38" s="473"/>
      <c r="I38" s="294"/>
      <c r="J38" s="297"/>
      <c r="K38" s="297"/>
      <c r="L38" s="297"/>
      <c r="M38" s="328"/>
      <c r="N38" s="297"/>
      <c r="O38" s="473"/>
      <c r="Q38" s="294" t="s">
        <v>205</v>
      </c>
      <c r="R38" s="449"/>
      <c r="S38" s="449"/>
      <c r="T38" s="449"/>
      <c r="U38" s="472"/>
      <c r="V38" s="449"/>
      <c r="W38" s="473">
        <f>+W32+W36+W34</f>
        <v>-0.90024999999999988</v>
      </c>
      <c r="X38" s="322"/>
    </row>
    <row r="39" spans="1:24" ht="18">
      <c r="A39" s="294" t="s">
        <v>206</v>
      </c>
      <c r="B39" s="449"/>
      <c r="C39" s="449"/>
      <c r="D39" s="449"/>
      <c r="E39" s="472"/>
      <c r="F39" s="449"/>
      <c r="G39" s="473">
        <f>+G34+G37</f>
        <v>-0.16660787242348341</v>
      </c>
      <c r="I39" s="294" t="s">
        <v>206</v>
      </c>
      <c r="J39" s="297"/>
      <c r="K39" s="297"/>
      <c r="L39" s="297"/>
      <c r="M39" s="328"/>
      <c r="N39" s="297"/>
      <c r="O39" s="473">
        <f>+O34+O37</f>
        <v>-0.30621083243875091</v>
      </c>
      <c r="Q39" s="294"/>
      <c r="R39" s="449"/>
      <c r="S39" s="449"/>
      <c r="T39" s="449"/>
      <c r="U39" s="472"/>
      <c r="V39" s="449"/>
      <c r="W39" s="473"/>
      <c r="X39" s="322"/>
    </row>
    <row r="40" spans="1:24" ht="18">
      <c r="A40" s="294"/>
      <c r="B40" s="449"/>
      <c r="C40" s="449"/>
      <c r="D40" s="449"/>
      <c r="E40" s="472"/>
      <c r="F40" s="449"/>
      <c r="G40" s="473"/>
      <c r="I40" s="294"/>
      <c r="J40" s="297"/>
      <c r="K40" s="297"/>
      <c r="L40" s="297"/>
      <c r="M40" s="328"/>
      <c r="N40" s="297"/>
      <c r="O40" s="473"/>
      <c r="Q40" s="294" t="s">
        <v>206</v>
      </c>
      <c r="R40" s="449"/>
      <c r="S40" s="449"/>
      <c r="T40" s="449"/>
      <c r="U40" s="472"/>
      <c r="V40" s="449"/>
      <c r="W40" s="473">
        <f>+W32+W34</f>
        <v>-0.59</v>
      </c>
      <c r="X40" s="322"/>
    </row>
    <row r="41" spans="1:24" ht="13.5" thickBot="1">
      <c r="A41" s="330"/>
      <c r="B41" s="331"/>
      <c r="C41" s="331"/>
      <c r="D41" s="331"/>
      <c r="E41" s="331"/>
      <c r="F41" s="331"/>
      <c r="G41" s="332"/>
      <c r="I41" s="330"/>
      <c r="J41" s="331"/>
      <c r="K41" s="331"/>
      <c r="L41" s="331"/>
      <c r="M41" s="331"/>
      <c r="N41" s="331"/>
      <c r="O41" s="332"/>
      <c r="Q41" s="330"/>
      <c r="R41" s="331"/>
      <c r="S41" s="331"/>
      <c r="T41" s="331"/>
      <c r="U41" s="331"/>
      <c r="V41" s="331"/>
      <c r="W41" s="332"/>
    </row>
    <row r="42" spans="1:24">
      <c r="I42" s="477"/>
      <c r="J42" s="12"/>
      <c r="K42" s="12"/>
      <c r="L42" s="12"/>
      <c r="M42" s="12"/>
      <c r="N42" s="12"/>
      <c r="O42" s="478"/>
    </row>
    <row r="43" spans="1:24">
      <c r="I43" s="477"/>
      <c r="J43" s="12"/>
      <c r="K43" s="12"/>
      <c r="L43" s="12"/>
      <c r="M43" s="12"/>
      <c r="N43" s="12"/>
      <c r="O43" s="478"/>
    </row>
    <row r="44" spans="1:24" ht="13.5" thickBot="1">
      <c r="I44" s="477"/>
      <c r="J44" s="12"/>
      <c r="K44" s="12"/>
      <c r="L44" s="12"/>
      <c r="M44" s="12"/>
      <c r="N44" s="12"/>
      <c r="O44" s="478"/>
    </row>
    <row r="45" spans="1:24" ht="23.25">
      <c r="A45" s="290" t="s">
        <v>143</v>
      </c>
      <c r="B45" s="291"/>
      <c r="C45" s="292"/>
      <c r="D45" s="292"/>
      <c r="E45" s="292"/>
      <c r="F45" s="292"/>
      <c r="G45" s="293"/>
      <c r="I45" s="290" t="s">
        <v>143</v>
      </c>
      <c r="J45" s="291"/>
      <c r="K45" s="292"/>
      <c r="L45" s="292"/>
      <c r="M45" s="292"/>
      <c r="N45" s="292"/>
      <c r="O45" s="293"/>
      <c r="Q45" s="290" t="s">
        <v>143</v>
      </c>
      <c r="R45" s="291"/>
      <c r="S45" s="292"/>
      <c r="T45" s="292"/>
      <c r="U45" s="292"/>
      <c r="V45" s="292"/>
      <c r="W45" s="293"/>
    </row>
    <row r="46" spans="1:24" ht="15.75">
      <c r="A46" s="294" t="s">
        <v>175</v>
      </c>
      <c r="B46" s="447"/>
      <c r="C46" s="448"/>
      <c r="D46" s="448"/>
      <c r="E46" s="449"/>
      <c r="F46" s="449"/>
      <c r="G46" s="298"/>
      <c r="I46" s="294" t="s">
        <v>175</v>
      </c>
      <c r="J46" s="295"/>
      <c r="K46" s="296"/>
      <c r="L46" s="296"/>
      <c r="M46" s="297"/>
      <c r="N46" s="297"/>
      <c r="O46" s="298"/>
      <c r="Q46" s="294" t="s">
        <v>127</v>
      </c>
      <c r="R46" s="447"/>
      <c r="S46" s="448"/>
      <c r="T46" s="448"/>
      <c r="U46" s="449"/>
      <c r="V46" s="449"/>
      <c r="W46" s="298"/>
    </row>
    <row r="47" spans="1:24" ht="15.75">
      <c r="A47" s="299"/>
      <c r="B47" s="474"/>
      <c r="C47" s="449"/>
      <c r="D47" s="449"/>
      <c r="E47" s="449"/>
      <c r="F47" s="449"/>
      <c r="G47" s="298"/>
      <c r="I47" s="299"/>
      <c r="J47" s="300"/>
      <c r="K47" s="297"/>
      <c r="L47" s="297"/>
      <c r="M47" s="297"/>
      <c r="N47" s="297"/>
      <c r="O47" s="298"/>
      <c r="Q47" s="299"/>
      <c r="R47" s="474"/>
      <c r="S47" s="449"/>
      <c r="T47" s="449"/>
      <c r="U47" s="449"/>
      <c r="V47" s="449"/>
      <c r="W47" s="298"/>
    </row>
    <row r="48" spans="1:24" ht="15">
      <c r="A48" s="492" t="s">
        <v>19</v>
      </c>
      <c r="B48" s="500"/>
      <c r="C48" s="500"/>
      <c r="D48" s="500"/>
      <c r="E48" s="500"/>
      <c r="F48" s="500"/>
      <c r="G48" s="494"/>
      <c r="I48" s="492" t="s">
        <v>19</v>
      </c>
      <c r="J48" s="493"/>
      <c r="K48" s="493"/>
      <c r="L48" s="493"/>
      <c r="M48" s="493"/>
      <c r="N48" s="493"/>
      <c r="O48" s="494"/>
      <c r="Q48" s="492" t="s">
        <v>19</v>
      </c>
      <c r="R48" s="500"/>
      <c r="S48" s="500"/>
      <c r="T48" s="500"/>
      <c r="U48" s="500"/>
      <c r="V48" s="500"/>
      <c r="W48" s="494"/>
    </row>
    <row r="49" spans="1:25" ht="15">
      <c r="A49" s="301"/>
      <c r="B49" s="449"/>
      <c r="C49" s="449"/>
      <c r="D49" s="449"/>
      <c r="E49" s="449"/>
      <c r="F49" s="449"/>
      <c r="G49" s="298"/>
      <c r="I49" s="301"/>
      <c r="J49" s="297"/>
      <c r="K49" s="297"/>
      <c r="L49" s="297"/>
      <c r="M49" s="297"/>
      <c r="N49" s="297"/>
      <c r="O49" s="298"/>
      <c r="Q49" s="301"/>
      <c r="R49" s="449"/>
      <c r="S49" s="449"/>
      <c r="T49" s="449"/>
      <c r="U49" s="449"/>
      <c r="V49" s="449"/>
      <c r="W49" s="298"/>
    </row>
    <row r="50" spans="1:25" ht="15.75">
      <c r="A50" s="301"/>
      <c r="B50" s="449"/>
      <c r="C50" s="451"/>
      <c r="D50" s="451"/>
      <c r="E50" s="451" t="s">
        <v>128</v>
      </c>
      <c r="F50" s="451" t="s">
        <v>80</v>
      </c>
      <c r="G50" s="298"/>
      <c r="I50" s="301"/>
      <c r="J50" s="297"/>
      <c r="K50" s="302"/>
      <c r="L50" s="302"/>
      <c r="M50" s="302" t="s">
        <v>128</v>
      </c>
      <c r="N50" s="302" t="s">
        <v>80</v>
      </c>
      <c r="O50" s="298"/>
      <c r="Q50" s="301"/>
      <c r="R50" s="449"/>
      <c r="S50" s="451"/>
      <c r="T50" s="451"/>
      <c r="U50" s="451" t="s">
        <v>128</v>
      </c>
      <c r="V50" s="451" t="s">
        <v>80</v>
      </c>
      <c r="W50" s="298"/>
    </row>
    <row r="51" spans="1:25" ht="15.75">
      <c r="A51" s="301"/>
      <c r="B51" s="449"/>
      <c r="C51" s="452" t="s">
        <v>97</v>
      </c>
      <c r="D51" s="452"/>
      <c r="E51" s="452" t="s">
        <v>129</v>
      </c>
      <c r="F51" s="452" t="s">
        <v>130</v>
      </c>
      <c r="G51" s="298"/>
      <c r="I51" s="301"/>
      <c r="J51" s="297"/>
      <c r="K51" s="303" t="s">
        <v>97</v>
      </c>
      <c r="L51" s="303"/>
      <c r="M51" s="303" t="s">
        <v>129</v>
      </c>
      <c r="N51" s="303" t="s">
        <v>130</v>
      </c>
      <c r="O51" s="298"/>
      <c r="Q51" s="301"/>
      <c r="R51" s="449"/>
      <c r="S51" s="452" t="s">
        <v>97</v>
      </c>
      <c r="T51" s="452"/>
      <c r="U51" s="452" t="s">
        <v>129</v>
      </c>
      <c r="V51" s="452" t="s">
        <v>130</v>
      </c>
      <c r="W51" s="298"/>
    </row>
    <row r="52" spans="1:25" ht="15.75">
      <c r="A52" s="304" t="s">
        <v>281</v>
      </c>
      <c r="B52" s="447"/>
      <c r="C52" s="453"/>
      <c r="D52" s="453"/>
      <c r="E52" s="453"/>
      <c r="F52" s="453"/>
      <c r="G52" s="298"/>
      <c r="I52" s="304" t="s">
        <v>145</v>
      </c>
      <c r="J52" s="295"/>
      <c r="K52" s="305"/>
      <c r="L52" s="305"/>
      <c r="M52" s="305"/>
      <c r="N52" s="305"/>
      <c r="O52" s="298"/>
      <c r="Q52" s="304" t="s">
        <v>131</v>
      </c>
      <c r="R52" s="447"/>
      <c r="S52" s="453"/>
      <c r="T52" s="453"/>
      <c r="U52" s="453"/>
      <c r="V52" s="453"/>
      <c r="W52" s="298"/>
    </row>
    <row r="53" spans="1:25" ht="15.75">
      <c r="A53" s="301" t="s">
        <v>132</v>
      </c>
      <c r="B53" s="449"/>
      <c r="C53" s="454">
        <f>SUM('Customer Counts'!F6:F8)</f>
        <v>63872</v>
      </c>
      <c r="D53" s="454"/>
      <c r="E53" s="455">
        <f>+M54</f>
        <v>0.72</v>
      </c>
      <c r="F53" s="456">
        <f>C53*E53</f>
        <v>45987.839999999997</v>
      </c>
      <c r="G53" s="298"/>
      <c r="I53" s="301" t="s">
        <v>132</v>
      </c>
      <c r="J53" s="297"/>
      <c r="K53" s="306">
        <v>63231</v>
      </c>
      <c r="L53" s="306"/>
      <c r="M53" s="307">
        <f>+U54</f>
        <v>2.7</v>
      </c>
      <c r="N53" s="308">
        <f>K53*M53</f>
        <v>170723.7</v>
      </c>
      <c r="O53" s="298"/>
      <c r="Q53" s="301" t="s">
        <v>132</v>
      </c>
      <c r="R53" s="449"/>
      <c r="S53" s="454">
        <v>62533</v>
      </c>
      <c r="T53" s="454"/>
      <c r="U53" s="455">
        <v>1.94</v>
      </c>
      <c r="V53" s="456">
        <f>S53*U53</f>
        <v>121314.01999999999</v>
      </c>
      <c r="W53" s="298"/>
    </row>
    <row r="54" spans="1:25" ht="17.25">
      <c r="A54" s="309" t="s">
        <v>133</v>
      </c>
      <c r="B54" s="430"/>
      <c r="C54" s="457">
        <f>SUM('Customer Counts'!F9:F17)</f>
        <v>192670</v>
      </c>
      <c r="D54" s="457"/>
      <c r="E54" s="455">
        <f>+O75</f>
        <v>0.61</v>
      </c>
      <c r="F54" s="458">
        <f>C54*E54</f>
        <v>117528.7</v>
      </c>
      <c r="G54" s="298"/>
      <c r="I54" s="309" t="s">
        <v>133</v>
      </c>
      <c r="J54" s="310"/>
      <c r="K54" s="311">
        <v>148568</v>
      </c>
      <c r="L54" s="311"/>
      <c r="M54" s="307">
        <f>+W73</f>
        <v>0.72</v>
      </c>
      <c r="N54" s="312">
        <f>K54*M54</f>
        <v>106968.95999999999</v>
      </c>
      <c r="O54" s="298"/>
      <c r="Q54" s="309" t="s">
        <v>133</v>
      </c>
      <c r="R54" s="430"/>
      <c r="S54" s="457">
        <v>188839</v>
      </c>
      <c r="T54" s="457"/>
      <c r="U54" s="455">
        <v>2.7</v>
      </c>
      <c r="V54" s="458">
        <f>S54*U54</f>
        <v>509865.30000000005</v>
      </c>
      <c r="W54" s="298"/>
    </row>
    <row r="55" spans="1:25" ht="17.25">
      <c r="A55" s="301" t="s">
        <v>80</v>
      </c>
      <c r="B55" s="449"/>
      <c r="C55" s="454">
        <f>SUM(C53:C54)</f>
        <v>256542</v>
      </c>
      <c r="D55" s="457"/>
      <c r="E55" s="449"/>
      <c r="F55" s="456">
        <f>SUM(F53:F54)</f>
        <v>163516.53999999998</v>
      </c>
      <c r="G55" s="298"/>
      <c r="I55" s="301" t="s">
        <v>80</v>
      </c>
      <c r="J55" s="297"/>
      <c r="K55" s="306">
        <f>SUM(K53:K54)</f>
        <v>211799</v>
      </c>
      <c r="L55" s="311"/>
      <c r="M55" s="297"/>
      <c r="N55" s="308">
        <f>SUM(N53:N54)</f>
        <v>277692.66000000003</v>
      </c>
      <c r="O55" s="298"/>
      <c r="Q55" s="301" t="s">
        <v>80</v>
      </c>
      <c r="R55" s="449"/>
      <c r="S55" s="454">
        <f>SUM(S53:S54)</f>
        <v>251372</v>
      </c>
      <c r="T55" s="457"/>
      <c r="U55" s="449"/>
      <c r="V55" s="456">
        <f>SUM(V53:V54)</f>
        <v>631179.32000000007</v>
      </c>
      <c r="W55" s="298"/>
    </row>
    <row r="56" spans="1:25" ht="15">
      <c r="A56" s="301"/>
      <c r="B56" s="449"/>
      <c r="C56" s="449"/>
      <c r="D56" s="449"/>
      <c r="E56" s="449"/>
      <c r="F56" s="449"/>
      <c r="G56" s="298"/>
      <c r="I56" s="301"/>
      <c r="J56" s="297"/>
      <c r="K56" s="297"/>
      <c r="L56" s="297"/>
      <c r="M56" s="297"/>
      <c r="N56" s="297"/>
      <c r="O56" s="298"/>
      <c r="Q56" s="301"/>
      <c r="R56" s="449"/>
      <c r="S56" s="449"/>
      <c r="T56" s="449"/>
      <c r="U56" s="449"/>
      <c r="V56" s="449"/>
      <c r="W56" s="298"/>
    </row>
    <row r="57" spans="1:25" ht="15.75">
      <c r="A57" s="294" t="str">
        <f>+A16</f>
        <v xml:space="preserve">Actual Commodity Revenue (Oct. 2019 - Sept. 2020) </v>
      </c>
      <c r="B57" s="449"/>
      <c r="C57" s="449"/>
      <c r="D57" s="449"/>
      <c r="E57" s="449"/>
      <c r="F57" s="456">
        <f>SUM('2020-2021 Recy. Tons &amp; Revenue'!J74:J85)</f>
        <v>66311.043460356566</v>
      </c>
      <c r="G57" s="298"/>
      <c r="I57" s="294" t="s">
        <v>176</v>
      </c>
      <c r="J57" s="297"/>
      <c r="K57" s="297"/>
      <c r="L57" s="297"/>
      <c r="M57" s="297"/>
      <c r="N57" s="308">
        <v>153774.15208976623</v>
      </c>
      <c r="O57" s="298"/>
      <c r="Q57" s="301"/>
      <c r="R57" s="449"/>
      <c r="S57" s="449"/>
      <c r="T57" s="449"/>
      <c r="U57" s="449"/>
      <c r="V57" s="449"/>
      <c r="W57" s="298"/>
    </row>
    <row r="58" spans="1:25" ht="15.75">
      <c r="A58" s="294" t="str">
        <f t="shared" ref="A58:A59" si="0">+A17</f>
        <v>Less: 50% retained by company</v>
      </c>
      <c r="B58" s="449"/>
      <c r="C58" s="449"/>
      <c r="D58" s="449"/>
      <c r="E58" s="449"/>
      <c r="F58" s="425">
        <f>-F57*50%</f>
        <v>-33155.521730178283</v>
      </c>
      <c r="G58" s="298"/>
      <c r="I58" s="294" t="s">
        <v>211</v>
      </c>
      <c r="J58" s="297"/>
      <c r="K58" s="297"/>
      <c r="L58" s="297"/>
      <c r="M58" s="297"/>
      <c r="N58" s="425">
        <f>-N57*50%</f>
        <v>-76887.076044883113</v>
      </c>
      <c r="O58" s="298"/>
      <c r="Q58" s="301"/>
      <c r="R58" s="449"/>
      <c r="S58" s="449"/>
      <c r="T58" s="449"/>
      <c r="U58" s="449"/>
      <c r="V58" s="449"/>
      <c r="W58" s="298"/>
    </row>
    <row r="59" spans="1:25" ht="15.75">
      <c r="A59" s="294" t="str">
        <f t="shared" si="0"/>
        <v>Net Commodity Revenue</v>
      </c>
      <c r="B59" s="430"/>
      <c r="C59" s="430"/>
      <c r="D59" s="430"/>
      <c r="E59" s="430"/>
      <c r="F59" s="426">
        <f>SUM(F57:F58)</f>
        <v>33155.521730178283</v>
      </c>
      <c r="G59" s="298"/>
      <c r="I59" s="429" t="s">
        <v>214</v>
      </c>
      <c r="J59" s="310"/>
      <c r="K59" s="310"/>
      <c r="L59" s="310"/>
      <c r="M59" s="310"/>
      <c r="N59" s="476">
        <f>SUM(N57:N58)</f>
        <v>76887.076044883113</v>
      </c>
      <c r="O59" s="298"/>
      <c r="Q59" s="301"/>
      <c r="R59" s="449"/>
      <c r="S59" s="449"/>
      <c r="T59" s="449"/>
      <c r="U59" s="449"/>
      <c r="V59" s="449"/>
      <c r="W59" s="298"/>
    </row>
    <row r="60" spans="1:25" ht="15">
      <c r="A60" s="430"/>
      <c r="B60" s="430"/>
      <c r="C60" s="430"/>
      <c r="D60" s="430"/>
      <c r="E60" s="430"/>
      <c r="F60" s="430"/>
      <c r="G60" s="298"/>
      <c r="I60" s="309"/>
      <c r="J60" s="310"/>
      <c r="K60" s="310"/>
      <c r="L60" s="310"/>
      <c r="M60" s="310"/>
      <c r="N60" s="310"/>
      <c r="O60" s="298"/>
      <c r="Q60" s="301"/>
      <c r="R60" s="449"/>
      <c r="S60" s="449"/>
      <c r="T60" s="449"/>
      <c r="U60" s="449"/>
      <c r="V60" s="449"/>
      <c r="W60" s="298"/>
    </row>
    <row r="61" spans="1:25" ht="15">
      <c r="A61" s="301"/>
      <c r="B61" s="449"/>
      <c r="C61" s="449"/>
      <c r="D61" s="449"/>
      <c r="E61" s="449"/>
      <c r="F61" s="459"/>
      <c r="G61" s="298"/>
      <c r="I61" s="301" t="s">
        <v>135</v>
      </c>
      <c r="J61" s="297"/>
      <c r="K61" s="297"/>
      <c r="L61" s="297"/>
      <c r="M61" s="297"/>
      <c r="N61" s="386">
        <f>N59-N55</f>
        <v>-200805.58395511692</v>
      </c>
      <c r="O61" s="298"/>
      <c r="Q61" s="301"/>
      <c r="R61" s="449"/>
      <c r="S61" s="449"/>
      <c r="T61" s="449"/>
      <c r="U61" s="449"/>
      <c r="V61" s="449"/>
      <c r="W61" s="298"/>
    </row>
    <row r="62" spans="1:25" ht="15.75">
      <c r="A62" s="294"/>
      <c r="B62" s="449"/>
      <c r="C62" s="461"/>
      <c r="D62" s="449"/>
      <c r="E62" s="462"/>
      <c r="F62" s="456"/>
      <c r="G62" s="298"/>
      <c r="I62" s="294" t="s">
        <v>212</v>
      </c>
      <c r="J62" s="297"/>
      <c r="K62" s="383">
        <v>42056</v>
      </c>
      <c r="L62" s="297"/>
      <c r="M62" s="384">
        <f>W80</f>
        <v>-1.1600000000000001</v>
      </c>
      <c r="N62" s="308">
        <f>M62*K62</f>
        <v>-48784.960000000006</v>
      </c>
      <c r="O62" s="298"/>
      <c r="Q62" s="294" t="s">
        <v>134</v>
      </c>
      <c r="R62" s="449"/>
      <c r="S62" s="449"/>
      <c r="T62" s="449"/>
      <c r="U62" s="449"/>
      <c r="V62" s="456">
        <v>269162</v>
      </c>
      <c r="W62" s="298"/>
      <c r="Y62" s="389"/>
    </row>
    <row r="63" spans="1:25" ht="15.75">
      <c r="A63" s="294"/>
      <c r="B63" s="430"/>
      <c r="C63" s="430"/>
      <c r="D63" s="430"/>
      <c r="E63" s="430"/>
      <c r="F63" s="386"/>
      <c r="G63" s="298"/>
      <c r="I63" s="294" t="s">
        <v>209</v>
      </c>
      <c r="J63" s="310"/>
      <c r="K63" s="310"/>
      <c r="L63" s="310"/>
      <c r="M63" s="310"/>
      <c r="N63" s="427">
        <v>4957.7399619857606</v>
      </c>
      <c r="O63" s="298"/>
      <c r="Q63" s="301"/>
      <c r="R63" s="449"/>
      <c r="S63" s="449"/>
      <c r="T63" s="449"/>
      <c r="U63" s="449"/>
      <c r="V63" s="456"/>
      <c r="W63" s="298"/>
    </row>
    <row r="64" spans="1:25" ht="15">
      <c r="A64" s="430" t="s">
        <v>215</v>
      </c>
      <c r="B64" s="430"/>
      <c r="C64" s="430"/>
      <c r="D64" s="430"/>
      <c r="E64" s="430"/>
      <c r="F64" s="426">
        <f>+F59-F55</f>
        <v>-130361.0182698217</v>
      </c>
      <c r="G64" s="298"/>
      <c r="I64" s="309" t="s">
        <v>215</v>
      </c>
      <c r="J64" s="310"/>
      <c r="K64" s="310"/>
      <c r="L64" s="310"/>
      <c r="M64" s="310"/>
      <c r="N64" s="476">
        <f>SUM(N61:N63)</f>
        <v>-244632.80399313118</v>
      </c>
      <c r="O64" s="298"/>
      <c r="Q64" s="301" t="s">
        <v>135</v>
      </c>
      <c r="R64" s="449"/>
      <c r="S64" s="449"/>
      <c r="T64" s="449"/>
      <c r="U64" s="449"/>
      <c r="V64" s="454">
        <f>V62-V55</f>
        <v>-362017.32000000007</v>
      </c>
      <c r="W64" s="298"/>
    </row>
    <row r="65" spans="1:23" ht="17.25">
      <c r="A65" s="430"/>
      <c r="B65" s="430"/>
      <c r="C65" s="430"/>
      <c r="D65" s="430"/>
      <c r="E65" s="430"/>
      <c r="F65" s="430"/>
      <c r="G65" s="298"/>
      <c r="I65" s="309"/>
      <c r="J65" s="310"/>
      <c r="K65" s="310"/>
      <c r="L65" s="310"/>
      <c r="M65" s="310"/>
      <c r="N65" s="310"/>
      <c r="O65" s="298"/>
      <c r="Q65" s="301"/>
      <c r="R65" s="449"/>
      <c r="S65" s="464"/>
      <c r="T65" s="449"/>
      <c r="U65" s="449"/>
      <c r="V65" s="463"/>
      <c r="W65" s="298"/>
    </row>
    <row r="66" spans="1:23" ht="15">
      <c r="A66" s="301" t="s">
        <v>136</v>
      </c>
      <c r="B66" s="449"/>
      <c r="C66" s="449"/>
      <c r="D66" s="449"/>
      <c r="E66" s="449"/>
      <c r="F66" s="454">
        <f>+C55</f>
        <v>256542</v>
      </c>
      <c r="G66" s="298"/>
      <c r="I66" s="301" t="s">
        <v>136</v>
      </c>
      <c r="J66" s="297"/>
      <c r="K66" s="297"/>
      <c r="L66" s="297"/>
      <c r="M66" s="297"/>
      <c r="N66" s="306">
        <v>253855</v>
      </c>
      <c r="O66" s="298"/>
      <c r="Q66" s="301" t="s">
        <v>136</v>
      </c>
      <c r="R66" s="449"/>
      <c r="S66" s="449"/>
      <c r="T66" s="449"/>
      <c r="U66" s="449"/>
      <c r="V66" s="454">
        <f>+S55</f>
        <v>251372</v>
      </c>
      <c r="W66" s="298"/>
    </row>
    <row r="67" spans="1:23" ht="15">
      <c r="A67" s="301"/>
      <c r="B67" s="449"/>
      <c r="C67" s="449"/>
      <c r="D67" s="449"/>
      <c r="E67" s="449"/>
      <c r="F67" s="449"/>
      <c r="G67" s="298"/>
      <c r="I67" s="301"/>
      <c r="J67" s="297"/>
      <c r="K67" s="297"/>
      <c r="L67" s="297"/>
      <c r="M67" s="297"/>
      <c r="N67" s="297"/>
      <c r="O67" s="298"/>
      <c r="Q67" s="301"/>
      <c r="R67" s="449"/>
      <c r="S67" s="449"/>
      <c r="T67" s="449"/>
      <c r="U67" s="449"/>
      <c r="V67" s="449"/>
      <c r="W67" s="298"/>
    </row>
    <row r="68" spans="1:23" ht="15">
      <c r="A68" s="301" t="s">
        <v>137</v>
      </c>
      <c r="B68" s="449"/>
      <c r="C68" s="449"/>
      <c r="D68" s="449"/>
      <c r="E68" s="449"/>
      <c r="F68" s="465"/>
      <c r="G68" s="316">
        <f>F64/F66</f>
        <v>-0.508146885382595</v>
      </c>
      <c r="I68" s="301" t="s">
        <v>137</v>
      </c>
      <c r="J68" s="297"/>
      <c r="K68" s="297"/>
      <c r="L68" s="297"/>
      <c r="M68" s="297"/>
      <c r="N68" s="315"/>
      <c r="O68" s="316">
        <f>N64/N66</f>
        <v>-0.96367140293920217</v>
      </c>
      <c r="Q68" s="301" t="s">
        <v>137</v>
      </c>
      <c r="R68" s="449"/>
      <c r="S68" s="449"/>
      <c r="T68" s="449"/>
      <c r="U68" s="449"/>
      <c r="V68" s="465"/>
      <c r="W68" s="316">
        <f>ROUND(V64/V66,2)</f>
        <v>-1.44</v>
      </c>
    </row>
    <row r="69" spans="1:23" ht="15">
      <c r="A69" s="301"/>
      <c r="B69" s="449"/>
      <c r="C69" s="449"/>
      <c r="D69" s="449"/>
      <c r="E69" s="449"/>
      <c r="F69" s="449"/>
      <c r="G69" s="316"/>
      <c r="I69" s="301"/>
      <c r="J69" s="297"/>
      <c r="K69" s="297"/>
      <c r="L69" s="297"/>
      <c r="M69" s="297"/>
      <c r="N69" s="297"/>
      <c r="O69" s="316"/>
      <c r="Q69" s="301"/>
      <c r="R69" s="449"/>
      <c r="S69" s="449"/>
      <c r="T69" s="449"/>
      <c r="U69" s="449"/>
      <c r="V69" s="449"/>
      <c r="W69" s="316"/>
    </row>
    <row r="70" spans="1:23" ht="15">
      <c r="A70" s="301"/>
      <c r="B70" s="449"/>
      <c r="C70" s="449"/>
      <c r="D70" s="449"/>
      <c r="E70" s="449"/>
      <c r="F70" s="449"/>
      <c r="G70" s="316"/>
      <c r="I70" s="301"/>
      <c r="J70" s="297"/>
      <c r="K70" s="297"/>
      <c r="L70" s="297"/>
      <c r="M70" s="297"/>
      <c r="N70" s="297"/>
      <c r="O70" s="316"/>
      <c r="Q70" s="301"/>
      <c r="R70" s="449"/>
      <c r="S70" s="449"/>
      <c r="T70" s="449"/>
      <c r="U70" s="449"/>
      <c r="V70" s="449"/>
      <c r="W70" s="316"/>
    </row>
    <row r="71" spans="1:23" ht="15.75">
      <c r="A71" s="317" t="str">
        <f>+A29</f>
        <v>Projected Revenue Oct. 2020 - Sep. 2021 (based on most recent 12 months)</v>
      </c>
      <c r="B71" s="447"/>
      <c r="C71" s="449"/>
      <c r="D71" s="449"/>
      <c r="E71" s="449"/>
      <c r="F71" s="466">
        <f>F57</f>
        <v>66311.043460356566</v>
      </c>
      <c r="G71" s="316"/>
      <c r="I71" s="317" t="s">
        <v>178</v>
      </c>
      <c r="J71" s="295"/>
      <c r="K71" s="297"/>
      <c r="L71" s="297"/>
      <c r="M71" s="297"/>
      <c r="N71" s="318">
        <f>N57</f>
        <v>153774.15208976623</v>
      </c>
      <c r="O71" s="316"/>
      <c r="Q71" s="317" t="s">
        <v>138</v>
      </c>
      <c r="R71" s="447"/>
      <c r="S71" s="449"/>
      <c r="T71" s="449"/>
      <c r="U71" s="449"/>
      <c r="V71" s="466">
        <v>91522</v>
      </c>
      <c r="W71" s="316"/>
    </row>
    <row r="72" spans="1:23" ht="17.25">
      <c r="A72" s="294" t="s">
        <v>211</v>
      </c>
      <c r="B72" s="430"/>
      <c r="C72" s="430"/>
      <c r="D72" s="430"/>
      <c r="E72" s="430"/>
      <c r="F72" s="428">
        <f>F71*50%</f>
        <v>33155.521730178283</v>
      </c>
      <c r="G72" s="316"/>
      <c r="I72" s="294" t="s">
        <v>211</v>
      </c>
      <c r="J72" s="310"/>
      <c r="K72" s="310"/>
      <c r="L72" s="310"/>
      <c r="M72" s="310"/>
      <c r="N72" s="428">
        <f>N71*50%</f>
        <v>76887.076044883113</v>
      </c>
      <c r="O72" s="316"/>
      <c r="Q72" s="301" t="s">
        <v>136</v>
      </c>
      <c r="R72" s="449"/>
      <c r="S72" s="449"/>
      <c r="T72" s="449"/>
      <c r="U72" s="449"/>
      <c r="V72" s="467">
        <v>126406</v>
      </c>
      <c r="W72" s="316"/>
    </row>
    <row r="73" spans="1:23" ht="17.25">
      <c r="A73" s="430" t="s">
        <v>213</v>
      </c>
      <c r="B73" s="430"/>
      <c r="C73" s="430"/>
      <c r="D73" s="430"/>
      <c r="E73" s="430"/>
      <c r="F73" s="426">
        <f>F71-F72</f>
        <v>33155.521730178283</v>
      </c>
      <c r="G73" s="316"/>
      <c r="I73" s="309" t="s">
        <v>213</v>
      </c>
      <c r="J73" s="310"/>
      <c r="K73" s="310"/>
      <c r="L73" s="310"/>
      <c r="M73" s="310"/>
      <c r="N73" s="476">
        <f>N71-N72</f>
        <v>76887.076044883113</v>
      </c>
      <c r="O73" s="316"/>
      <c r="Q73" s="301" t="s">
        <v>139</v>
      </c>
      <c r="R73" s="449"/>
      <c r="S73" s="449"/>
      <c r="T73" s="449"/>
      <c r="U73" s="449"/>
      <c r="V73" s="449"/>
      <c r="W73" s="468">
        <f>ROUND(+V71/V72,2)</f>
        <v>0.72</v>
      </c>
    </row>
    <row r="74" spans="1:23" ht="17.25">
      <c r="A74" s="301" t="s">
        <v>136</v>
      </c>
      <c r="B74" s="449"/>
      <c r="C74" s="449"/>
      <c r="D74" s="449"/>
      <c r="E74" s="449"/>
      <c r="F74" s="467">
        <f>+F66</f>
        <v>256542</v>
      </c>
      <c r="G74" s="316"/>
      <c r="I74" s="301" t="s">
        <v>136</v>
      </c>
      <c r="J74" s="297"/>
      <c r="K74" s="297"/>
      <c r="L74" s="297"/>
      <c r="M74" s="297"/>
      <c r="N74" s="319">
        <f>+N66</f>
        <v>253855</v>
      </c>
      <c r="O74" s="316"/>
      <c r="Q74" s="294" t="s">
        <v>140</v>
      </c>
      <c r="R74" s="447"/>
      <c r="S74" s="449"/>
      <c r="T74" s="449"/>
      <c r="U74" s="449"/>
      <c r="V74" s="449"/>
      <c r="W74" s="324">
        <f>SUM(W68:W73)</f>
        <v>-0.72</v>
      </c>
    </row>
    <row r="75" spans="1:23" ht="17.25">
      <c r="A75" s="301" t="s">
        <v>139</v>
      </c>
      <c r="B75" s="449"/>
      <c r="C75" s="449"/>
      <c r="D75" s="449"/>
      <c r="E75" s="449"/>
      <c r="F75" s="449"/>
      <c r="G75" s="468">
        <f>ROUND(+F71/F74,2)</f>
        <v>0.26</v>
      </c>
      <c r="I75" s="301" t="s">
        <v>139</v>
      </c>
      <c r="J75" s="297"/>
      <c r="K75" s="297"/>
      <c r="L75" s="297"/>
      <c r="M75" s="297"/>
      <c r="N75" s="297"/>
      <c r="O75" s="468">
        <f>ROUND(+N71/N74,2)</f>
        <v>0.61</v>
      </c>
      <c r="Q75" s="294"/>
      <c r="R75" s="447"/>
      <c r="S75" s="449"/>
      <c r="T75" s="449"/>
      <c r="U75" s="449"/>
      <c r="V75" s="449"/>
      <c r="W75" s="324"/>
    </row>
    <row r="76" spans="1:23" ht="18">
      <c r="A76" s="294" t="s">
        <v>284</v>
      </c>
      <c r="B76" s="447"/>
      <c r="C76" s="449"/>
      <c r="D76" s="449"/>
      <c r="E76" s="449"/>
      <c r="F76" s="449"/>
      <c r="G76" s="473">
        <f>SUM(G68:G75)</f>
        <v>-0.24814688538259499</v>
      </c>
      <c r="I76" s="294" t="s">
        <v>140</v>
      </c>
      <c r="J76" s="295"/>
      <c r="K76" s="297"/>
      <c r="L76" s="297"/>
      <c r="M76" s="297"/>
      <c r="N76" s="297"/>
      <c r="O76" s="324">
        <f>SUM(O68:O75)</f>
        <v>-0.35367140293920218</v>
      </c>
      <c r="Q76" s="309" t="s">
        <v>141</v>
      </c>
      <c r="R76" s="447"/>
      <c r="S76" s="449"/>
      <c r="T76" s="449"/>
      <c r="U76" s="469">
        <f>+S55/12*0.5</f>
        <v>10473.833333333334</v>
      </c>
      <c r="V76" s="449"/>
      <c r="W76" s="324">
        <f>ROUND(-U76/S55*2,2)</f>
        <v>-0.08</v>
      </c>
    </row>
    <row r="77" spans="1:23" ht="15.75">
      <c r="A77" s="294"/>
      <c r="B77" s="447"/>
      <c r="C77" s="449"/>
      <c r="D77" s="449"/>
      <c r="E77" s="449"/>
      <c r="F77" s="449"/>
      <c r="G77" s="324"/>
      <c r="I77" s="294"/>
      <c r="J77" s="295"/>
      <c r="K77" s="297"/>
      <c r="L77" s="297"/>
      <c r="M77" s="297"/>
      <c r="N77" s="297"/>
      <c r="O77" s="324"/>
      <c r="Q77" s="294"/>
      <c r="R77" s="447"/>
      <c r="S77" s="449"/>
      <c r="T77" s="449"/>
      <c r="U77" s="449"/>
      <c r="V77" s="449"/>
      <c r="W77" s="324"/>
    </row>
    <row r="78" spans="1:23" ht="20.25">
      <c r="A78" s="309"/>
      <c r="B78" s="449"/>
      <c r="C78" s="449"/>
      <c r="D78" s="449"/>
      <c r="E78" s="470"/>
      <c r="F78" s="449"/>
      <c r="G78" s="471"/>
      <c r="I78" s="309"/>
      <c r="J78" s="297"/>
      <c r="K78" s="297"/>
      <c r="L78" s="297"/>
      <c r="M78" s="325"/>
      <c r="N78" s="297"/>
      <c r="O78" s="471"/>
      <c r="Q78" s="309" t="s">
        <v>142</v>
      </c>
      <c r="R78" s="449"/>
      <c r="S78" s="449"/>
      <c r="T78" s="449"/>
      <c r="U78" s="470">
        <v>0.5</v>
      </c>
      <c r="V78" s="449"/>
      <c r="W78" s="471">
        <f>-U78*W73</f>
        <v>-0.36</v>
      </c>
    </row>
    <row r="79" spans="1:23" ht="20.25">
      <c r="A79" s="309"/>
      <c r="B79" s="449"/>
      <c r="C79" s="449"/>
      <c r="D79" s="449"/>
      <c r="E79" s="472"/>
      <c r="F79" s="449"/>
      <c r="G79" s="471"/>
      <c r="I79" s="309"/>
      <c r="J79" s="297"/>
      <c r="K79" s="297"/>
      <c r="L79" s="297"/>
      <c r="M79" s="328"/>
      <c r="N79" s="297"/>
      <c r="O79" s="471"/>
      <c r="Q79" s="309"/>
      <c r="R79" s="449"/>
      <c r="S79" s="449"/>
      <c r="T79" s="449"/>
      <c r="U79" s="472"/>
      <c r="V79" s="449"/>
      <c r="W79" s="471"/>
    </row>
    <row r="80" spans="1:23" ht="18">
      <c r="A80" s="294"/>
      <c r="B80" s="449"/>
      <c r="C80" s="449"/>
      <c r="D80" s="449"/>
      <c r="E80" s="472"/>
      <c r="F80" s="449"/>
      <c r="G80" s="473"/>
      <c r="I80" s="294"/>
      <c r="J80" s="297"/>
      <c r="K80" s="297"/>
      <c r="L80" s="297"/>
      <c r="M80" s="328"/>
      <c r="N80" s="297"/>
      <c r="O80" s="473"/>
      <c r="Q80" s="294" t="s">
        <v>207</v>
      </c>
      <c r="R80" s="449"/>
      <c r="S80" s="449"/>
      <c r="T80" s="449"/>
      <c r="U80" s="472"/>
      <c r="V80" s="449"/>
      <c r="W80" s="473">
        <f>+W74+W78+W76</f>
        <v>-1.1600000000000001</v>
      </c>
    </row>
    <row r="81" spans="1:23" ht="13.5" thickBot="1">
      <c r="A81" s="330"/>
      <c r="B81" s="331"/>
      <c r="C81" s="331"/>
      <c r="D81" s="331"/>
      <c r="E81" s="331"/>
      <c r="F81" s="331"/>
      <c r="G81" s="332"/>
      <c r="I81" s="330"/>
      <c r="J81" s="331"/>
      <c r="K81" s="331"/>
      <c r="L81" s="331"/>
      <c r="M81" s="331"/>
      <c r="N81" s="331"/>
      <c r="O81" s="332"/>
      <c r="Q81" s="330"/>
      <c r="R81" s="331"/>
      <c r="S81" s="331"/>
      <c r="T81" s="331"/>
      <c r="U81" s="331"/>
      <c r="V81" s="331"/>
      <c r="W81" s="332"/>
    </row>
    <row r="83" spans="1:23" ht="13.5" thickBot="1"/>
    <row r="84" spans="1:23" ht="23.25">
      <c r="A84" s="290" t="s">
        <v>144</v>
      </c>
      <c r="B84" s="291"/>
      <c r="C84" s="292"/>
      <c r="D84" s="292"/>
      <c r="E84" s="292"/>
      <c r="F84" s="292"/>
      <c r="G84" s="293"/>
      <c r="I84" s="290" t="s">
        <v>144</v>
      </c>
      <c r="J84" s="291"/>
      <c r="K84" s="292"/>
      <c r="L84" s="292"/>
      <c r="M84" s="292"/>
      <c r="N84" s="292"/>
      <c r="O84" s="293"/>
      <c r="Q84" s="290" t="s">
        <v>144</v>
      </c>
      <c r="R84" s="291"/>
      <c r="S84" s="292"/>
      <c r="T84" s="292"/>
      <c r="U84" s="292"/>
      <c r="V84" s="292"/>
      <c r="W84" s="293"/>
    </row>
    <row r="85" spans="1:23" ht="15.75">
      <c r="A85" s="294" t="s">
        <v>127</v>
      </c>
      <c r="B85" s="447"/>
      <c r="C85" s="448"/>
      <c r="D85" s="448"/>
      <c r="E85" s="449"/>
      <c r="F85" s="449"/>
      <c r="G85" s="298"/>
      <c r="I85" s="294" t="s">
        <v>127</v>
      </c>
      <c r="J85" s="295"/>
      <c r="K85" s="296"/>
      <c r="L85" s="296"/>
      <c r="M85" s="297"/>
      <c r="N85" s="297"/>
      <c r="O85" s="298"/>
      <c r="Q85" s="294" t="s">
        <v>127</v>
      </c>
      <c r="R85" s="447"/>
      <c r="S85" s="448"/>
      <c r="T85" s="448"/>
      <c r="U85" s="449"/>
      <c r="V85" s="449"/>
      <c r="W85" s="298"/>
    </row>
    <row r="86" spans="1:23" ht="15.75">
      <c r="A86" s="299"/>
      <c r="B86" s="474"/>
      <c r="C86" s="449"/>
      <c r="D86" s="449"/>
      <c r="E86" s="449"/>
      <c r="F86" s="449"/>
      <c r="G86" s="298"/>
      <c r="I86" s="299"/>
      <c r="J86" s="300"/>
      <c r="K86" s="297"/>
      <c r="L86" s="297"/>
      <c r="M86" s="297"/>
      <c r="N86" s="297"/>
      <c r="O86" s="298"/>
      <c r="Q86" s="299"/>
      <c r="R86" s="474"/>
      <c r="S86" s="449"/>
      <c r="T86" s="449"/>
      <c r="U86" s="449"/>
      <c r="V86" s="449"/>
      <c r="W86" s="298"/>
    </row>
    <row r="87" spans="1:23" ht="15">
      <c r="A87" s="492" t="s">
        <v>19</v>
      </c>
      <c r="B87" s="500"/>
      <c r="C87" s="500"/>
      <c r="D87" s="500"/>
      <c r="E87" s="500"/>
      <c r="F87" s="500"/>
      <c r="G87" s="494"/>
      <c r="I87" s="492" t="s">
        <v>19</v>
      </c>
      <c r="J87" s="493"/>
      <c r="K87" s="493"/>
      <c r="L87" s="493"/>
      <c r="M87" s="493"/>
      <c r="N87" s="493"/>
      <c r="O87" s="494"/>
      <c r="Q87" s="492" t="s">
        <v>19</v>
      </c>
      <c r="R87" s="500"/>
      <c r="S87" s="500"/>
      <c r="T87" s="500"/>
      <c r="U87" s="500"/>
      <c r="V87" s="500"/>
      <c r="W87" s="494"/>
    </row>
    <row r="88" spans="1:23" ht="15">
      <c r="A88" s="301"/>
      <c r="B88" s="449"/>
      <c r="C88" s="449"/>
      <c r="D88" s="449"/>
      <c r="E88" s="449"/>
      <c r="F88" s="449"/>
      <c r="G88" s="298"/>
      <c r="I88" s="301"/>
      <c r="J88" s="297"/>
      <c r="K88" s="297"/>
      <c r="L88" s="297"/>
      <c r="M88" s="297"/>
      <c r="N88" s="297"/>
      <c r="O88" s="298"/>
      <c r="Q88" s="301"/>
      <c r="R88" s="449"/>
      <c r="S88" s="449"/>
      <c r="T88" s="449"/>
      <c r="U88" s="449"/>
      <c r="V88" s="449"/>
      <c r="W88" s="298"/>
    </row>
    <row r="89" spans="1:23" ht="15.75">
      <c r="A89" s="301"/>
      <c r="B89" s="449"/>
      <c r="C89" s="451"/>
      <c r="D89" s="451"/>
      <c r="E89" s="451" t="s">
        <v>128</v>
      </c>
      <c r="F89" s="451" t="s">
        <v>80</v>
      </c>
      <c r="G89" s="298"/>
      <c r="I89" s="301"/>
      <c r="J89" s="297"/>
      <c r="K89" s="302"/>
      <c r="L89" s="302"/>
      <c r="M89" s="302" t="s">
        <v>128</v>
      </c>
      <c r="N89" s="302" t="s">
        <v>80</v>
      </c>
      <c r="O89" s="298"/>
      <c r="Q89" s="301"/>
      <c r="R89" s="449"/>
      <c r="S89" s="451"/>
      <c r="T89" s="451"/>
      <c r="U89" s="451" t="s">
        <v>128</v>
      </c>
      <c r="V89" s="451" t="s">
        <v>80</v>
      </c>
      <c r="W89" s="298"/>
    </row>
    <row r="90" spans="1:23" ht="15.75">
      <c r="A90" s="301"/>
      <c r="B90" s="449"/>
      <c r="C90" s="452" t="s">
        <v>97</v>
      </c>
      <c r="D90" s="452"/>
      <c r="E90" s="452" t="s">
        <v>129</v>
      </c>
      <c r="F90" s="452" t="s">
        <v>130</v>
      </c>
      <c r="G90" s="298"/>
      <c r="I90" s="301"/>
      <c r="J90" s="297"/>
      <c r="K90" s="303" t="s">
        <v>97</v>
      </c>
      <c r="L90" s="303"/>
      <c r="M90" s="303" t="s">
        <v>129</v>
      </c>
      <c r="N90" s="303" t="s">
        <v>130</v>
      </c>
      <c r="O90" s="298"/>
      <c r="Q90" s="301"/>
      <c r="R90" s="449"/>
      <c r="S90" s="452" t="s">
        <v>97</v>
      </c>
      <c r="T90" s="452"/>
      <c r="U90" s="452" t="s">
        <v>129</v>
      </c>
      <c r="V90" s="452" t="s">
        <v>130</v>
      </c>
      <c r="W90" s="298"/>
    </row>
    <row r="91" spans="1:23" ht="15.75">
      <c r="A91" s="304" t="str">
        <f>+A10</f>
        <v>Projected Revenue Oct. 2019 - Sep. 2020</v>
      </c>
      <c r="B91" s="447"/>
      <c r="C91" s="453"/>
      <c r="D91" s="453"/>
      <c r="E91" s="453"/>
      <c r="F91" s="453"/>
      <c r="G91" s="298"/>
      <c r="I91" s="304" t="s">
        <v>145</v>
      </c>
      <c r="J91" s="295"/>
      <c r="K91" s="305"/>
      <c r="L91" s="305"/>
      <c r="M91" s="305"/>
      <c r="N91" s="305"/>
      <c r="O91" s="298"/>
      <c r="Q91" s="304" t="s">
        <v>131</v>
      </c>
      <c r="R91" s="447"/>
      <c r="S91" s="453"/>
      <c r="T91" s="453"/>
      <c r="U91" s="453"/>
      <c r="V91" s="453"/>
      <c r="W91" s="298"/>
    </row>
    <row r="92" spans="1:23" ht="15.75">
      <c r="A92" s="301" t="s">
        <v>132</v>
      </c>
      <c r="B92" s="449"/>
      <c r="C92" s="454">
        <f>SUM('Customer Counts'!D6:D8)</f>
        <v>53609</v>
      </c>
      <c r="D92" s="454"/>
      <c r="E92" s="455">
        <f>+M93</f>
        <v>0.81</v>
      </c>
      <c r="F92" s="456">
        <f>C92*E92</f>
        <v>43423.29</v>
      </c>
      <c r="G92" s="298"/>
      <c r="I92" s="301" t="s">
        <v>132</v>
      </c>
      <c r="J92" s="297"/>
      <c r="K92" s="306">
        <v>52930</v>
      </c>
      <c r="L92" s="306"/>
      <c r="M92" s="307">
        <f>+U93</f>
        <v>2.33</v>
      </c>
      <c r="N92" s="308">
        <f>K92*M92</f>
        <v>123326.90000000001</v>
      </c>
      <c r="O92" s="298"/>
      <c r="Q92" s="301" t="s">
        <v>132</v>
      </c>
      <c r="R92" s="449"/>
      <c r="S92" s="454">
        <v>51847</v>
      </c>
      <c r="T92" s="454"/>
      <c r="U92" s="455">
        <v>1.67</v>
      </c>
      <c r="V92" s="456">
        <f>S92*U92</f>
        <v>86584.489999999991</v>
      </c>
      <c r="W92" s="298"/>
    </row>
    <row r="93" spans="1:23" ht="17.25">
      <c r="A93" s="309" t="s">
        <v>133</v>
      </c>
      <c r="B93" s="430"/>
      <c r="C93" s="457">
        <f>SUM('Customer Counts'!D9:D17)</f>
        <v>163351</v>
      </c>
      <c r="D93" s="457"/>
      <c r="E93" s="455">
        <f>+O114</f>
        <v>0.69</v>
      </c>
      <c r="F93" s="458">
        <f>C93*E93</f>
        <v>112712.18999999999</v>
      </c>
      <c r="G93" s="298"/>
      <c r="I93" s="309" t="s">
        <v>133</v>
      </c>
      <c r="J93" s="310"/>
      <c r="K93" s="311">
        <v>124468</v>
      </c>
      <c r="L93" s="311"/>
      <c r="M93" s="307">
        <f>+W112</f>
        <v>0.81</v>
      </c>
      <c r="N93" s="312">
        <f>K93*M93</f>
        <v>100819.08</v>
      </c>
      <c r="O93" s="298"/>
      <c r="Q93" s="309" t="s">
        <v>133</v>
      </c>
      <c r="R93" s="430"/>
      <c r="S93" s="457">
        <v>157300</v>
      </c>
      <c r="T93" s="457"/>
      <c r="U93" s="455">
        <v>2.33</v>
      </c>
      <c r="V93" s="458">
        <f>S93*U93</f>
        <v>366509</v>
      </c>
      <c r="W93" s="298"/>
    </row>
    <row r="94" spans="1:23" ht="17.25">
      <c r="A94" s="301" t="s">
        <v>80</v>
      </c>
      <c r="B94" s="449"/>
      <c r="C94" s="454">
        <f>SUM(C92:C93)</f>
        <v>216960</v>
      </c>
      <c r="D94" s="457"/>
      <c r="E94" s="449"/>
      <c r="F94" s="456">
        <f>SUM(F92:F93)</f>
        <v>156135.47999999998</v>
      </c>
      <c r="G94" s="298"/>
      <c r="I94" s="301" t="s">
        <v>80</v>
      </c>
      <c r="J94" s="297"/>
      <c r="K94" s="306">
        <f>SUM(K92:K93)</f>
        <v>177398</v>
      </c>
      <c r="L94" s="311"/>
      <c r="M94" s="297"/>
      <c r="N94" s="308">
        <f>SUM(N92:N93)</f>
        <v>224145.98</v>
      </c>
      <c r="O94" s="298"/>
      <c r="Q94" s="301" t="s">
        <v>80</v>
      </c>
      <c r="R94" s="449"/>
      <c r="S94" s="454">
        <f>SUM(S92:S93)</f>
        <v>209147</v>
      </c>
      <c r="T94" s="457"/>
      <c r="U94" s="449"/>
      <c r="V94" s="456">
        <f>SUM(V92:V93)</f>
        <v>453093.49</v>
      </c>
      <c r="W94" s="298"/>
    </row>
    <row r="95" spans="1:23" ht="15">
      <c r="A95" s="301"/>
      <c r="B95" s="449"/>
      <c r="C95" s="449"/>
      <c r="D95" s="449"/>
      <c r="E95" s="449"/>
      <c r="F95" s="449"/>
      <c r="G95" s="298"/>
      <c r="I95" s="301"/>
      <c r="J95" s="297"/>
      <c r="K95" s="297"/>
      <c r="L95" s="297"/>
      <c r="M95" s="297"/>
      <c r="N95" s="297"/>
      <c r="O95" s="298"/>
      <c r="Q95" s="301"/>
      <c r="R95" s="449"/>
      <c r="S95" s="449"/>
      <c r="T95" s="449"/>
      <c r="U95" s="449"/>
      <c r="V95" s="449"/>
      <c r="W95" s="298"/>
    </row>
    <row r="96" spans="1:23" ht="15.75">
      <c r="A96" s="294" t="str">
        <f>+A16</f>
        <v xml:space="preserve">Actual Commodity Revenue (Oct. 2019 - Sept. 2020) </v>
      </c>
      <c r="B96" s="449"/>
      <c r="C96" s="449"/>
      <c r="D96" s="449"/>
      <c r="E96" s="449"/>
      <c r="F96" s="456">
        <f>SUM('2020-2021 Recy. Tons &amp; Revenue'!L74:L85)</f>
        <v>65025.746670985172</v>
      </c>
      <c r="G96" s="298"/>
      <c r="I96" s="294" t="s">
        <v>176</v>
      </c>
      <c r="J96" s="297"/>
      <c r="K96" s="297"/>
      <c r="L96" s="297"/>
      <c r="M96" s="297"/>
      <c r="N96" s="308">
        <v>145945.7483506508</v>
      </c>
      <c r="O96" s="298"/>
      <c r="Q96" s="301"/>
      <c r="R96" s="449"/>
      <c r="S96" s="449"/>
      <c r="T96" s="449"/>
      <c r="U96" s="449"/>
      <c r="V96" s="449"/>
      <c r="W96" s="298"/>
    </row>
    <row r="97" spans="1:25" ht="15.75">
      <c r="A97" s="294" t="str">
        <f t="shared" ref="A97:A98" si="1">+A17</f>
        <v>Less: 50% retained by company</v>
      </c>
      <c r="B97" s="449"/>
      <c r="C97" s="449"/>
      <c r="D97" s="449"/>
      <c r="E97" s="449"/>
      <c r="F97" s="425">
        <f>-F96*50%</f>
        <v>-32512.873335492586</v>
      </c>
      <c r="G97" s="298"/>
      <c r="I97" s="294" t="s">
        <v>211</v>
      </c>
      <c r="J97" s="297"/>
      <c r="K97" s="297"/>
      <c r="L97" s="297"/>
      <c r="M97" s="297"/>
      <c r="N97" s="425">
        <f>-N96*50%</f>
        <v>-72972.8741753254</v>
      </c>
      <c r="O97" s="298"/>
      <c r="Q97" s="301"/>
      <c r="R97" s="449"/>
      <c r="S97" s="449"/>
      <c r="T97" s="449"/>
      <c r="U97" s="449"/>
      <c r="V97" s="449"/>
      <c r="W97" s="298"/>
    </row>
    <row r="98" spans="1:25" ht="15.75">
      <c r="A98" s="294" t="str">
        <f t="shared" si="1"/>
        <v>Net Commodity Revenue</v>
      </c>
      <c r="B98" s="430"/>
      <c r="C98" s="430"/>
      <c r="D98" s="430"/>
      <c r="E98" s="430"/>
      <c r="F98" s="426">
        <f>SUM(F96:F97)</f>
        <v>32512.873335492586</v>
      </c>
      <c r="G98" s="298"/>
      <c r="I98" s="429" t="s">
        <v>214</v>
      </c>
      <c r="J98" s="310"/>
      <c r="K98" s="310"/>
      <c r="L98" s="310"/>
      <c r="M98" s="310"/>
      <c r="N98" s="476">
        <f>SUM(N96:N97)</f>
        <v>72972.8741753254</v>
      </c>
      <c r="O98" s="298"/>
      <c r="Q98" s="301"/>
      <c r="R98" s="449"/>
      <c r="S98" s="449"/>
      <c r="T98" s="449"/>
      <c r="U98" s="449"/>
      <c r="V98" s="449"/>
      <c r="W98" s="298"/>
    </row>
    <row r="99" spans="1:25" ht="15">
      <c r="A99" s="430"/>
      <c r="B99" s="430"/>
      <c r="C99" s="430"/>
      <c r="D99" s="430"/>
      <c r="E99" s="430"/>
      <c r="F99" s="430"/>
      <c r="G99" s="298"/>
      <c r="I99" s="309"/>
      <c r="J99" s="310"/>
      <c r="K99" s="310"/>
      <c r="L99" s="310"/>
      <c r="M99" s="310"/>
      <c r="N99" s="310"/>
      <c r="O99" s="298"/>
      <c r="Q99" s="301"/>
      <c r="R99" s="449"/>
      <c r="S99" s="449"/>
      <c r="T99" s="449"/>
      <c r="U99" s="449"/>
      <c r="V99" s="449"/>
      <c r="W99" s="298"/>
    </row>
    <row r="100" spans="1:25" ht="15">
      <c r="A100" s="301"/>
      <c r="B100" s="449"/>
      <c r="C100" s="449"/>
      <c r="D100" s="449"/>
      <c r="E100" s="449"/>
      <c r="F100" s="459"/>
      <c r="G100" s="298"/>
      <c r="I100" s="301" t="s">
        <v>135</v>
      </c>
      <c r="J100" s="297"/>
      <c r="K100" s="297"/>
      <c r="L100" s="297"/>
      <c r="M100" s="297"/>
      <c r="N100" s="386">
        <f>N98-N94</f>
        <v>-151173.1058246746</v>
      </c>
      <c r="O100" s="298"/>
      <c r="Q100" s="301"/>
      <c r="R100" s="449"/>
      <c r="S100" s="449"/>
      <c r="T100" s="449"/>
      <c r="U100" s="449"/>
      <c r="V100" s="449"/>
      <c r="W100" s="298"/>
    </row>
    <row r="101" spans="1:25" ht="15.75">
      <c r="A101" s="294"/>
      <c r="B101" s="449"/>
      <c r="C101" s="461"/>
      <c r="D101" s="449"/>
      <c r="E101" s="462"/>
      <c r="F101" s="456"/>
      <c r="G101" s="298"/>
      <c r="I101" s="294" t="s">
        <v>212</v>
      </c>
      <c r="J101" s="297"/>
      <c r="K101" s="383">
        <v>35317</v>
      </c>
      <c r="L101" s="297"/>
      <c r="M101" s="384">
        <f>W119</f>
        <v>-0.77500000000000002</v>
      </c>
      <c r="N101" s="308">
        <f>M101*K101</f>
        <v>-27370.674999999999</v>
      </c>
      <c r="O101" s="298"/>
      <c r="Q101" s="294" t="s">
        <v>134</v>
      </c>
      <c r="R101" s="449"/>
      <c r="S101" s="449"/>
      <c r="T101" s="449"/>
      <c r="U101" s="449"/>
      <c r="V101" s="456">
        <v>223798</v>
      </c>
      <c r="W101" s="298"/>
      <c r="Y101" s="388"/>
    </row>
    <row r="102" spans="1:25" ht="15.75">
      <c r="A102" s="294"/>
      <c r="B102" s="449"/>
      <c r="C102" s="449"/>
      <c r="D102" s="449"/>
      <c r="E102" s="449"/>
      <c r="F102" s="386"/>
      <c r="G102" s="298"/>
      <c r="I102" s="294" t="s">
        <v>209</v>
      </c>
      <c r="J102" s="297"/>
      <c r="K102" s="297"/>
      <c r="L102" s="297"/>
      <c r="M102" s="297"/>
      <c r="N102" s="427">
        <v>4826.2600380142394</v>
      </c>
      <c r="O102" s="298"/>
      <c r="Q102" s="301"/>
      <c r="R102" s="449"/>
      <c r="S102" s="449"/>
      <c r="T102" s="449"/>
      <c r="U102" s="449"/>
      <c r="V102" s="456"/>
      <c r="W102" s="298"/>
    </row>
    <row r="103" spans="1:25" ht="15">
      <c r="A103" s="430" t="s">
        <v>215</v>
      </c>
      <c r="B103" s="430"/>
      <c r="C103" s="430"/>
      <c r="D103" s="430"/>
      <c r="E103" s="430"/>
      <c r="F103" s="426">
        <f>+F98-F94</f>
        <v>-123622.60666450739</v>
      </c>
      <c r="G103" s="298"/>
      <c r="I103" s="309" t="s">
        <v>215</v>
      </c>
      <c r="J103" s="310"/>
      <c r="K103" s="310"/>
      <c r="L103" s="310"/>
      <c r="M103" s="310"/>
      <c r="N103" s="476">
        <f>SUM(N100:N102)</f>
        <v>-173717.52078666035</v>
      </c>
      <c r="O103" s="298"/>
      <c r="Q103" s="301" t="s">
        <v>135</v>
      </c>
      <c r="R103" s="449"/>
      <c r="S103" s="449"/>
      <c r="T103" s="449"/>
      <c r="U103" s="449"/>
      <c r="V103" s="454">
        <f>V101-V94</f>
        <v>-229295.49</v>
      </c>
      <c r="W103" s="298"/>
    </row>
    <row r="104" spans="1:25" ht="17.25">
      <c r="A104" s="430"/>
      <c r="B104" s="430"/>
      <c r="C104" s="430"/>
      <c r="D104" s="430"/>
      <c r="E104" s="430"/>
      <c r="F104" s="430"/>
      <c r="G104" s="298"/>
      <c r="I104" s="309"/>
      <c r="J104" s="310"/>
      <c r="K104" s="310"/>
      <c r="L104" s="310"/>
      <c r="M104" s="310"/>
      <c r="N104" s="310"/>
      <c r="O104" s="298"/>
      <c r="Q104" s="301"/>
      <c r="R104" s="449"/>
      <c r="S104" s="464"/>
      <c r="T104" s="449"/>
      <c r="U104" s="449"/>
      <c r="V104" s="463"/>
      <c r="W104" s="298"/>
    </row>
    <row r="105" spans="1:25" ht="15">
      <c r="A105" s="301" t="s">
        <v>136</v>
      </c>
      <c r="B105" s="449"/>
      <c r="C105" s="449"/>
      <c r="D105" s="449"/>
      <c r="E105" s="449"/>
      <c r="F105" s="454">
        <f>+C94</f>
        <v>216960</v>
      </c>
      <c r="G105" s="298"/>
      <c r="I105" s="301" t="s">
        <v>136</v>
      </c>
      <c r="J105" s="297"/>
      <c r="K105" s="297"/>
      <c r="L105" s="297"/>
      <c r="M105" s="297"/>
      <c r="N105" s="306">
        <v>212715</v>
      </c>
      <c r="O105" s="298"/>
      <c r="Q105" s="301" t="s">
        <v>136</v>
      </c>
      <c r="R105" s="449"/>
      <c r="S105" s="449"/>
      <c r="T105" s="449"/>
      <c r="U105" s="449"/>
      <c r="V105" s="454">
        <f>+S94</f>
        <v>209147</v>
      </c>
      <c r="W105" s="298"/>
    </row>
    <row r="106" spans="1:25" ht="15">
      <c r="A106" s="301"/>
      <c r="B106" s="449"/>
      <c r="C106" s="449"/>
      <c r="D106" s="449"/>
      <c r="E106" s="449"/>
      <c r="F106" s="449"/>
      <c r="G106" s="298"/>
      <c r="I106" s="301"/>
      <c r="J106" s="297"/>
      <c r="K106" s="297"/>
      <c r="L106" s="297"/>
      <c r="M106" s="297"/>
      <c r="N106" s="297"/>
      <c r="O106" s="298"/>
      <c r="Q106" s="301"/>
      <c r="R106" s="449"/>
      <c r="S106" s="449"/>
      <c r="T106" s="449"/>
      <c r="U106" s="449"/>
      <c r="V106" s="449"/>
      <c r="W106" s="298"/>
    </row>
    <row r="107" spans="1:25" ht="15">
      <c r="A107" s="301" t="s">
        <v>137</v>
      </c>
      <c r="B107" s="449"/>
      <c r="C107" s="449"/>
      <c r="D107" s="449"/>
      <c r="E107" s="449"/>
      <c r="F107" s="465"/>
      <c r="G107" s="316">
        <f>F103/F105</f>
        <v>-0.56979446287107016</v>
      </c>
      <c r="I107" s="301" t="s">
        <v>137</v>
      </c>
      <c r="J107" s="297"/>
      <c r="K107" s="297"/>
      <c r="L107" s="297"/>
      <c r="M107" s="297"/>
      <c r="N107" s="315"/>
      <c r="O107" s="316">
        <f>N103/N105</f>
        <v>-0.81666793966885431</v>
      </c>
      <c r="Q107" s="301" t="s">
        <v>137</v>
      </c>
      <c r="R107" s="449"/>
      <c r="S107" s="449"/>
      <c r="T107" s="449"/>
      <c r="U107" s="449"/>
      <c r="V107" s="465"/>
      <c r="W107" s="316">
        <f>ROUND(V103/V105,2)</f>
        <v>-1.1000000000000001</v>
      </c>
    </row>
    <row r="108" spans="1:25" ht="15">
      <c r="A108" s="301"/>
      <c r="B108" s="449"/>
      <c r="C108" s="449"/>
      <c r="D108" s="449"/>
      <c r="E108" s="449"/>
      <c r="F108" s="449"/>
      <c r="G108" s="316"/>
      <c r="I108" s="301"/>
      <c r="J108" s="297"/>
      <c r="K108" s="297"/>
      <c r="L108" s="297"/>
      <c r="M108" s="297"/>
      <c r="N108" s="297"/>
      <c r="O108" s="316"/>
      <c r="Q108" s="301"/>
      <c r="R108" s="449"/>
      <c r="S108" s="449"/>
      <c r="T108" s="449"/>
      <c r="U108" s="449"/>
      <c r="V108" s="449"/>
      <c r="W108" s="316"/>
    </row>
    <row r="109" spans="1:25" ht="15">
      <c r="A109" s="301"/>
      <c r="B109" s="449"/>
      <c r="C109" s="449"/>
      <c r="D109" s="449"/>
      <c r="E109" s="449"/>
      <c r="F109" s="449"/>
      <c r="G109" s="316"/>
      <c r="I109" s="301"/>
      <c r="J109" s="297"/>
      <c r="K109" s="297"/>
      <c r="L109" s="297"/>
      <c r="M109" s="297"/>
      <c r="N109" s="297"/>
      <c r="O109" s="316"/>
      <c r="Q109" s="301"/>
      <c r="R109" s="449"/>
      <c r="S109" s="449"/>
      <c r="T109" s="449"/>
      <c r="U109" s="449"/>
      <c r="V109" s="449"/>
      <c r="W109" s="316"/>
    </row>
    <row r="110" spans="1:25" ht="15.75">
      <c r="A110" s="317" t="str">
        <f>+A71</f>
        <v>Projected Revenue Oct. 2020 - Sep. 2021 (based on most recent 12 months)</v>
      </c>
      <c r="B110" s="447"/>
      <c r="C110" s="449"/>
      <c r="D110" s="449"/>
      <c r="E110" s="449"/>
      <c r="F110" s="466">
        <f>F96</f>
        <v>65025.746670985172</v>
      </c>
      <c r="G110" s="316"/>
      <c r="I110" s="317" t="s">
        <v>178</v>
      </c>
      <c r="J110" s="295"/>
      <c r="K110" s="297"/>
      <c r="L110" s="297"/>
      <c r="M110" s="297"/>
      <c r="N110" s="318">
        <f>N96</f>
        <v>145945.7483506508</v>
      </c>
      <c r="O110" s="316"/>
      <c r="Q110" s="317" t="s">
        <v>138</v>
      </c>
      <c r="R110" s="447"/>
      <c r="S110" s="449"/>
      <c r="T110" s="449"/>
      <c r="U110" s="449"/>
      <c r="V110" s="466">
        <v>85285</v>
      </c>
      <c r="W110" s="316"/>
    </row>
    <row r="111" spans="1:25" ht="17.25">
      <c r="A111" s="294" t="s">
        <v>211</v>
      </c>
      <c r="B111" s="430"/>
      <c r="C111" s="430"/>
      <c r="D111" s="430"/>
      <c r="E111" s="430"/>
      <c r="F111" s="428">
        <f>F110*50%</f>
        <v>32512.873335492586</v>
      </c>
      <c r="G111" s="316"/>
      <c r="I111" s="294" t="s">
        <v>211</v>
      </c>
      <c r="J111" s="310"/>
      <c r="K111" s="310"/>
      <c r="L111" s="310"/>
      <c r="M111" s="310"/>
      <c r="N111" s="428">
        <f>N110*50%</f>
        <v>72972.8741753254</v>
      </c>
      <c r="O111" s="316"/>
      <c r="Q111" s="301" t="s">
        <v>136</v>
      </c>
      <c r="R111" s="449"/>
      <c r="S111" s="449"/>
      <c r="T111" s="449"/>
      <c r="U111" s="449"/>
      <c r="V111" s="467">
        <v>105335</v>
      </c>
      <c r="W111" s="316"/>
    </row>
    <row r="112" spans="1:25" ht="17.25">
      <c r="A112" s="430" t="s">
        <v>213</v>
      </c>
      <c r="B112" s="430"/>
      <c r="C112" s="430"/>
      <c r="D112" s="430"/>
      <c r="E112" s="430"/>
      <c r="F112" s="426">
        <f>F110-F111</f>
        <v>32512.873335492586</v>
      </c>
      <c r="G112" s="316"/>
      <c r="I112" s="309" t="s">
        <v>213</v>
      </c>
      <c r="J112" s="310"/>
      <c r="K112" s="310"/>
      <c r="L112" s="310"/>
      <c r="M112" s="310"/>
      <c r="N112" s="476">
        <f>N110-N111</f>
        <v>72972.8741753254</v>
      </c>
      <c r="O112" s="316"/>
      <c r="Q112" s="301" t="s">
        <v>139</v>
      </c>
      <c r="R112" s="449"/>
      <c r="S112" s="449"/>
      <c r="T112" s="449"/>
      <c r="U112" s="449"/>
      <c r="V112" s="449"/>
      <c r="W112" s="468">
        <f>ROUND(+V110/V111,2)</f>
        <v>0.81</v>
      </c>
    </row>
    <row r="113" spans="1:23" ht="17.25">
      <c r="A113" s="301" t="s">
        <v>136</v>
      </c>
      <c r="B113" s="449"/>
      <c r="C113" s="449"/>
      <c r="D113" s="449"/>
      <c r="E113" s="449"/>
      <c r="F113" s="467">
        <f>+F105</f>
        <v>216960</v>
      </c>
      <c r="G113" s="316"/>
      <c r="I113" s="301" t="s">
        <v>136</v>
      </c>
      <c r="J113" s="297"/>
      <c r="K113" s="297"/>
      <c r="L113" s="297"/>
      <c r="M113" s="297"/>
      <c r="N113" s="319">
        <f>+N105</f>
        <v>212715</v>
      </c>
      <c r="O113" s="316"/>
      <c r="Q113" s="294" t="s">
        <v>140</v>
      </c>
      <c r="R113" s="447"/>
      <c r="S113" s="449"/>
      <c r="T113" s="449"/>
      <c r="U113" s="449"/>
      <c r="V113" s="449"/>
      <c r="W113" s="324">
        <f>SUM(W107:W112)</f>
        <v>-0.29000000000000004</v>
      </c>
    </row>
    <row r="114" spans="1:23" ht="17.25">
      <c r="A114" s="301" t="s">
        <v>139</v>
      </c>
      <c r="B114" s="449"/>
      <c r="C114" s="449"/>
      <c r="D114" s="449"/>
      <c r="E114" s="449"/>
      <c r="F114" s="449"/>
      <c r="G114" s="468">
        <f>ROUND(+F110/F113,2)</f>
        <v>0.3</v>
      </c>
      <c r="I114" s="301" t="s">
        <v>139</v>
      </c>
      <c r="J114" s="297"/>
      <c r="K114" s="297"/>
      <c r="L114" s="297"/>
      <c r="M114" s="297"/>
      <c r="N114" s="297"/>
      <c r="O114" s="468">
        <f>ROUND(+N110/N113,2)</f>
        <v>0.69</v>
      </c>
      <c r="Q114" s="294"/>
      <c r="R114" s="447"/>
      <c r="S114" s="449"/>
      <c r="T114" s="449"/>
      <c r="U114" s="449"/>
      <c r="V114" s="449"/>
      <c r="W114" s="324"/>
    </row>
    <row r="115" spans="1:23" ht="18">
      <c r="A115" s="294" t="str">
        <f>+A76</f>
        <v>Residential Commodity Rebate (charge)</v>
      </c>
      <c r="B115" s="447"/>
      <c r="C115" s="449"/>
      <c r="D115" s="449"/>
      <c r="E115" s="449"/>
      <c r="F115" s="449"/>
      <c r="G115" s="473">
        <f>SUM(G107:G114)</f>
        <v>-0.26979446287107017</v>
      </c>
      <c r="I115" s="294" t="s">
        <v>140</v>
      </c>
      <c r="J115" s="295"/>
      <c r="K115" s="297"/>
      <c r="L115" s="297"/>
      <c r="M115" s="297"/>
      <c r="N115" s="297"/>
      <c r="O115" s="473">
        <f>SUM(O107:O114)</f>
        <v>-0.12666793966885437</v>
      </c>
      <c r="Q115" s="309" t="s">
        <v>141</v>
      </c>
      <c r="R115" s="447"/>
      <c r="S115" s="449"/>
      <c r="T115" s="449"/>
      <c r="U115" s="469">
        <f>+S94/12*0.5</f>
        <v>8714.4583333333339</v>
      </c>
      <c r="V115" s="449"/>
      <c r="W115" s="324">
        <f>ROUND(-U115/S94*2,2)</f>
        <v>-0.08</v>
      </c>
    </row>
    <row r="116" spans="1:23" ht="15.75">
      <c r="A116" s="294"/>
      <c r="B116" s="447"/>
      <c r="C116" s="449"/>
      <c r="D116" s="449"/>
      <c r="E116" s="449"/>
      <c r="F116" s="449"/>
      <c r="G116" s="324"/>
      <c r="I116" s="294"/>
      <c r="J116" s="295"/>
      <c r="K116" s="297"/>
      <c r="L116" s="297"/>
      <c r="M116" s="297"/>
      <c r="N116" s="297"/>
      <c r="O116" s="324"/>
      <c r="Q116" s="294"/>
      <c r="R116" s="447"/>
      <c r="S116" s="449"/>
      <c r="T116" s="449"/>
      <c r="U116" s="449"/>
      <c r="V116" s="449"/>
      <c r="W116" s="324"/>
    </row>
    <row r="117" spans="1:23" ht="20.25">
      <c r="A117" s="309"/>
      <c r="B117" s="449"/>
      <c r="C117" s="449"/>
      <c r="D117" s="449"/>
      <c r="E117" s="470"/>
      <c r="F117" s="449"/>
      <c r="G117" s="471"/>
      <c r="I117" s="309"/>
      <c r="J117" s="297"/>
      <c r="K117" s="297"/>
      <c r="L117" s="297"/>
      <c r="M117" s="325"/>
      <c r="N117" s="297"/>
      <c r="O117" s="471"/>
      <c r="Q117" s="309" t="s">
        <v>142</v>
      </c>
      <c r="R117" s="449"/>
      <c r="S117" s="449"/>
      <c r="T117" s="449"/>
      <c r="U117" s="470">
        <v>0.5</v>
      </c>
      <c r="V117" s="449"/>
      <c r="W117" s="471">
        <f>-U117*W112</f>
        <v>-0.40500000000000003</v>
      </c>
    </row>
    <row r="118" spans="1:23" ht="20.25">
      <c r="A118" s="309"/>
      <c r="B118" s="449"/>
      <c r="C118" s="449"/>
      <c r="D118" s="449"/>
      <c r="E118" s="472"/>
      <c r="F118" s="449"/>
      <c r="G118" s="471"/>
      <c r="I118" s="309"/>
      <c r="J118" s="297"/>
      <c r="K118" s="297"/>
      <c r="L118" s="297"/>
      <c r="M118" s="328"/>
      <c r="N118" s="297"/>
      <c r="O118" s="471"/>
      <c r="Q118" s="309"/>
      <c r="R118" s="449"/>
      <c r="S118" s="449"/>
      <c r="T118" s="449"/>
      <c r="U118" s="472"/>
      <c r="V118" s="449"/>
      <c r="W118" s="471"/>
    </row>
    <row r="119" spans="1:23" ht="18">
      <c r="A119" s="294"/>
      <c r="B119" s="449"/>
      <c r="C119" s="449"/>
      <c r="D119" s="449"/>
      <c r="E119" s="472"/>
      <c r="F119" s="449"/>
      <c r="G119" s="473"/>
      <c r="I119" s="294"/>
      <c r="J119" s="297"/>
      <c r="K119" s="297"/>
      <c r="L119" s="297"/>
      <c r="M119" s="328"/>
      <c r="N119" s="297"/>
      <c r="O119" s="473"/>
      <c r="Q119" s="294" t="s">
        <v>207</v>
      </c>
      <c r="R119" s="449"/>
      <c r="S119" s="449"/>
      <c r="T119" s="449"/>
      <c r="U119" s="472"/>
      <c r="V119" s="449"/>
      <c r="W119" s="473">
        <f>+W113+W117+W115</f>
        <v>-0.77500000000000002</v>
      </c>
    </row>
    <row r="120" spans="1:23" ht="13.5" thickBot="1">
      <c r="A120" s="330"/>
      <c r="B120" s="331"/>
      <c r="C120" s="331"/>
      <c r="D120" s="331"/>
      <c r="E120" s="331"/>
      <c r="F120" s="331"/>
      <c r="G120" s="332"/>
      <c r="I120" s="330"/>
      <c r="J120" s="331"/>
      <c r="K120" s="331"/>
      <c r="L120" s="331"/>
      <c r="M120" s="331"/>
      <c r="N120" s="331"/>
      <c r="O120" s="332"/>
      <c r="Q120" s="330"/>
      <c r="R120" s="331"/>
      <c r="S120" s="331"/>
      <c r="T120" s="331"/>
      <c r="U120" s="331"/>
      <c r="V120" s="331"/>
      <c r="W120" s="332"/>
    </row>
  </sheetData>
  <mergeCells count="11">
    <mergeCell ref="Q6:W6"/>
    <mergeCell ref="I48:O48"/>
    <mergeCell ref="Q48:W48"/>
    <mergeCell ref="I87:O87"/>
    <mergeCell ref="Q87:W87"/>
    <mergeCell ref="A4:C4"/>
    <mergeCell ref="A6:G6"/>
    <mergeCell ref="A48:G48"/>
    <mergeCell ref="A87:G87"/>
    <mergeCell ref="I4:K4"/>
    <mergeCell ref="I6:O6"/>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47"/>
  <sheetViews>
    <sheetView topLeftCell="A19" workbookViewId="0">
      <selection activeCell="A36" sqref="A36"/>
    </sheetView>
  </sheetViews>
  <sheetFormatPr defaultRowHeight="12.75"/>
  <cols>
    <col min="1" max="1" width="18.28515625" customWidth="1"/>
    <col min="2" max="4" width="9.28515625" bestFit="1" customWidth="1"/>
    <col min="5" max="5" width="4.42578125" customWidth="1"/>
    <col min="6" max="6" width="12.140625" bestFit="1" customWidth="1"/>
    <col min="7" max="7" width="10.140625" bestFit="1" customWidth="1"/>
    <col min="8" max="8" width="10.28515625" bestFit="1" customWidth="1"/>
    <col min="9" max="9" width="10.7109375" bestFit="1" customWidth="1"/>
    <col min="10" max="10" width="1.140625" customWidth="1"/>
    <col min="11" max="11" width="11.7109375" bestFit="1" customWidth="1"/>
    <col min="12" max="12" width="3.5703125" customWidth="1"/>
    <col min="13" max="14" width="9.28515625" bestFit="1" customWidth="1"/>
    <col min="15" max="15" width="10.42578125" bestFit="1" customWidth="1"/>
    <col min="16" max="16" width="2.7109375" customWidth="1"/>
    <col min="17" max="17" width="10.42578125" bestFit="1" customWidth="1"/>
    <col min="18" max="18" width="10.140625" bestFit="1" customWidth="1"/>
    <col min="19" max="19" width="10.28515625" bestFit="1" customWidth="1"/>
    <col min="20" max="20" width="10.42578125" bestFit="1" customWidth="1"/>
    <col min="21" max="21" width="4" customWidth="1"/>
    <col min="22" max="22" width="10.42578125" bestFit="1" customWidth="1"/>
    <col min="23" max="23" width="4" customWidth="1"/>
    <col min="24" max="26" width="11.5703125" bestFit="1" customWidth="1"/>
    <col min="27" max="27" width="5.140625" customWidth="1"/>
    <col min="28" max="28" width="18" bestFit="1" customWidth="1"/>
    <col min="32" max="32" width="9.28515625" style="82" bestFit="1" customWidth="1"/>
  </cols>
  <sheetData>
    <row r="1" spans="1:32" s="11" customFormat="1">
      <c r="AF1" s="82"/>
    </row>
    <row r="2" spans="1:32" s="11" customFormat="1">
      <c r="AF2" s="82"/>
    </row>
    <row r="3" spans="1:32" s="11" customFormat="1">
      <c r="B3" s="502" t="s">
        <v>74</v>
      </c>
      <c r="C3" s="502"/>
      <c r="D3" s="502"/>
      <c r="E3" s="502"/>
      <c r="F3" s="502"/>
      <c r="G3" s="502"/>
      <c r="H3" s="502"/>
      <c r="I3" s="502"/>
      <c r="J3" s="223"/>
      <c r="K3" s="223"/>
      <c r="M3" s="502" t="s">
        <v>75</v>
      </c>
      <c r="N3" s="502"/>
      <c r="O3" s="502"/>
      <c r="P3" s="502"/>
      <c r="Q3" s="502"/>
      <c r="R3" s="502"/>
      <c r="S3" s="502"/>
      <c r="T3" s="502"/>
      <c r="AF3" s="82"/>
    </row>
    <row r="4" spans="1:32" s="11" customFormat="1">
      <c r="B4" s="503" t="s">
        <v>76</v>
      </c>
      <c r="C4" s="503"/>
      <c r="D4" s="503"/>
      <c r="E4" s="83"/>
      <c r="F4" s="503" t="s">
        <v>107</v>
      </c>
      <c r="G4" s="503"/>
      <c r="H4" s="503"/>
      <c r="I4" s="503"/>
      <c r="J4" s="83"/>
      <c r="K4" s="83"/>
      <c r="M4" s="503" t="s">
        <v>76</v>
      </c>
      <c r="N4" s="503"/>
      <c r="O4" s="503"/>
      <c r="P4" s="83"/>
      <c r="Q4" s="503" t="s">
        <v>107</v>
      </c>
      <c r="R4" s="503"/>
      <c r="S4" s="503"/>
      <c r="T4" s="503"/>
      <c r="V4" s="201" t="s">
        <v>77</v>
      </c>
      <c r="AF4" s="82"/>
    </row>
    <row r="5" spans="1:32" s="11" customFormat="1" ht="15">
      <c r="A5" s="208" t="s">
        <v>45</v>
      </c>
      <c r="B5" s="84" t="s">
        <v>78</v>
      </c>
      <c r="C5" s="85" t="s">
        <v>79</v>
      </c>
      <c r="D5" s="85" t="s">
        <v>80</v>
      </c>
      <c r="E5" s="85"/>
      <c r="F5" s="85" t="s">
        <v>109</v>
      </c>
      <c r="G5" s="85" t="s">
        <v>110</v>
      </c>
      <c r="H5" s="85" t="s">
        <v>81</v>
      </c>
      <c r="I5" s="85" t="s">
        <v>80</v>
      </c>
      <c r="J5" s="85"/>
      <c r="K5" s="85" t="s">
        <v>116</v>
      </c>
      <c r="M5" s="84" t="s">
        <v>78</v>
      </c>
      <c r="N5" s="85" t="s">
        <v>79</v>
      </c>
      <c r="O5" s="85" t="s">
        <v>80</v>
      </c>
      <c r="P5" s="85"/>
      <c r="Q5" s="85" t="s">
        <v>109</v>
      </c>
      <c r="R5" s="85" t="s">
        <v>110</v>
      </c>
      <c r="S5" s="85" t="s">
        <v>81</v>
      </c>
      <c r="T5" s="85" t="s">
        <v>80</v>
      </c>
      <c r="V5" s="85" t="s">
        <v>80</v>
      </c>
      <c r="X5" s="85" t="s">
        <v>74</v>
      </c>
      <c r="Y5" s="208" t="s">
        <v>82</v>
      </c>
      <c r="Z5" s="208" t="s">
        <v>80</v>
      </c>
      <c r="AF5" s="86" t="s">
        <v>83</v>
      </c>
    </row>
    <row r="6" spans="1:32" s="11" customFormat="1">
      <c r="A6" s="11" t="s">
        <v>223</v>
      </c>
      <c r="B6" s="212">
        <v>6689</v>
      </c>
      <c r="C6" s="212">
        <v>11170</v>
      </c>
      <c r="D6" s="212">
        <f t="shared" ref="D6:D29" si="0">SUM(B6:C6)</f>
        <v>17859</v>
      </c>
      <c r="E6" s="212"/>
      <c r="F6" s="212">
        <v>21293</v>
      </c>
      <c r="G6" s="212">
        <v>65352</v>
      </c>
      <c r="H6" s="212">
        <v>36426</v>
      </c>
      <c r="I6" s="212">
        <f t="shared" ref="I6:I29" si="1">SUM(F6:H6)</f>
        <v>123071</v>
      </c>
      <c r="J6" s="212"/>
      <c r="K6" s="212">
        <f>+I6+D6</f>
        <v>140930</v>
      </c>
      <c r="L6" s="212"/>
      <c r="M6" s="212">
        <v>34616</v>
      </c>
      <c r="N6" s="212">
        <v>8373</v>
      </c>
      <c r="O6" s="212">
        <f t="shared" ref="O6:O29" si="2">SUM(M6:N6)</f>
        <v>42989</v>
      </c>
      <c r="P6" s="212"/>
      <c r="Q6" s="212">
        <v>43183</v>
      </c>
      <c r="R6" s="212">
        <v>16629</v>
      </c>
      <c r="S6" s="212">
        <v>18913</v>
      </c>
      <c r="T6" s="212">
        <f t="shared" ref="T6:T29" si="3">SUM(Q6:S6)</f>
        <v>78725</v>
      </c>
      <c r="V6" s="170">
        <f t="shared" ref="V6:V29" si="4">+T6+O6+I6+D6</f>
        <v>262644</v>
      </c>
      <c r="X6" s="170">
        <f>+I6+D6</f>
        <v>140930</v>
      </c>
      <c r="Y6" s="170">
        <f t="shared" ref="Y6:Y28" si="5">+T6+O6</f>
        <v>121714</v>
      </c>
      <c r="Z6" s="170">
        <f t="shared" ref="Z6:Z28" si="6">+Y6+X6</f>
        <v>262644</v>
      </c>
      <c r="AB6" s="170"/>
      <c r="AF6" s="87">
        <v>1665</v>
      </c>
    </row>
    <row r="7" spans="1:32" s="11" customFormat="1">
      <c r="A7" s="11" t="s">
        <v>56</v>
      </c>
      <c r="B7" s="212">
        <v>6689</v>
      </c>
      <c r="C7" s="212">
        <v>11170</v>
      </c>
      <c r="D7" s="212">
        <f t="shared" si="0"/>
        <v>17859</v>
      </c>
      <c r="E7" s="212"/>
      <c r="F7" s="212">
        <v>21293</v>
      </c>
      <c r="G7" s="212">
        <v>65352</v>
      </c>
      <c r="H7" s="212">
        <v>36426</v>
      </c>
      <c r="I7" s="212">
        <f t="shared" si="1"/>
        <v>123071</v>
      </c>
      <c r="J7" s="212"/>
      <c r="K7" s="212">
        <f t="shared" ref="K7:K29" si="7">+I7+D7</f>
        <v>140930</v>
      </c>
      <c r="L7" s="212"/>
      <c r="M7" s="212">
        <v>34616</v>
      </c>
      <c r="N7" s="212">
        <v>8373</v>
      </c>
      <c r="O7" s="212">
        <f t="shared" si="2"/>
        <v>42989</v>
      </c>
      <c r="P7" s="212"/>
      <c r="Q7" s="212">
        <v>43183</v>
      </c>
      <c r="R7" s="212">
        <v>16629</v>
      </c>
      <c r="S7" s="212">
        <v>18913</v>
      </c>
      <c r="T7" s="212">
        <f t="shared" si="3"/>
        <v>78725</v>
      </c>
      <c r="V7" s="170">
        <f t="shared" si="4"/>
        <v>262644</v>
      </c>
      <c r="X7" s="170">
        <f t="shared" ref="X7:X28" si="8">+I7+D7</f>
        <v>140930</v>
      </c>
      <c r="Y7" s="170">
        <f t="shared" si="5"/>
        <v>121714</v>
      </c>
      <c r="Z7" s="170">
        <f t="shared" si="6"/>
        <v>262644</v>
      </c>
      <c r="AC7" s="167"/>
      <c r="AD7" s="130"/>
      <c r="AF7" s="87">
        <v>1656</v>
      </c>
    </row>
    <row r="8" spans="1:32" s="11" customFormat="1">
      <c r="A8" s="11" t="s">
        <v>73</v>
      </c>
      <c r="B8" s="212">
        <v>6714</v>
      </c>
      <c r="C8" s="212">
        <v>11177</v>
      </c>
      <c r="D8" s="212">
        <f t="shared" si="0"/>
        <v>17891</v>
      </c>
      <c r="E8" s="212"/>
      <c r="F8" s="212">
        <v>21286</v>
      </c>
      <c r="G8" s="212">
        <v>65517</v>
      </c>
      <c r="H8" s="212">
        <v>36441</v>
      </c>
      <c r="I8" s="212">
        <f t="shared" si="1"/>
        <v>123244</v>
      </c>
      <c r="J8" s="212"/>
      <c r="K8" s="212">
        <f t="shared" si="7"/>
        <v>141135</v>
      </c>
      <c r="L8" s="212"/>
      <c r="M8" s="212">
        <v>34583</v>
      </c>
      <c r="N8" s="212">
        <v>8411</v>
      </c>
      <c r="O8" s="212">
        <f t="shared" si="2"/>
        <v>42994</v>
      </c>
      <c r="P8" s="212"/>
      <c r="Q8" s="212">
        <v>43231</v>
      </c>
      <c r="R8" s="212">
        <v>16641</v>
      </c>
      <c r="S8" s="212">
        <v>18942</v>
      </c>
      <c r="T8" s="212">
        <f t="shared" si="3"/>
        <v>78814</v>
      </c>
      <c r="V8" s="170">
        <f t="shared" si="4"/>
        <v>262943</v>
      </c>
      <c r="X8" s="170">
        <f t="shared" si="8"/>
        <v>141135</v>
      </c>
      <c r="Y8" s="170">
        <f t="shared" si="5"/>
        <v>121808</v>
      </c>
      <c r="Z8" s="170">
        <f t="shared" si="6"/>
        <v>262943</v>
      </c>
      <c r="AC8" s="209"/>
      <c r="AD8" s="210"/>
      <c r="AF8" s="87">
        <v>1647</v>
      </c>
    </row>
    <row r="9" spans="1:32" s="11" customFormat="1">
      <c r="A9" s="11" t="s">
        <v>224</v>
      </c>
      <c r="B9" s="212">
        <v>6712</v>
      </c>
      <c r="C9" s="212">
        <v>11209</v>
      </c>
      <c r="D9" s="212">
        <f t="shared" si="0"/>
        <v>17921</v>
      </c>
      <c r="E9" s="212"/>
      <c r="F9" s="212">
        <v>21217</v>
      </c>
      <c r="G9" s="212">
        <v>65517</v>
      </c>
      <c r="H9" s="212">
        <v>36483</v>
      </c>
      <c r="I9" s="212">
        <f t="shared" si="1"/>
        <v>123217</v>
      </c>
      <c r="J9" s="212"/>
      <c r="K9" s="212">
        <f t="shared" si="7"/>
        <v>141138</v>
      </c>
      <c r="L9" s="212"/>
      <c r="M9" s="212">
        <v>34602</v>
      </c>
      <c r="N9" s="212">
        <v>8411</v>
      </c>
      <c r="O9" s="212">
        <f t="shared" si="2"/>
        <v>43013</v>
      </c>
      <c r="P9" s="212"/>
      <c r="Q9" s="212">
        <v>43196</v>
      </c>
      <c r="R9" s="212">
        <v>16638</v>
      </c>
      <c r="S9" s="212">
        <v>18858</v>
      </c>
      <c r="T9" s="212">
        <f t="shared" si="3"/>
        <v>78692</v>
      </c>
      <c r="V9" s="170">
        <f t="shared" si="4"/>
        <v>262843</v>
      </c>
      <c r="X9" s="170">
        <f t="shared" si="8"/>
        <v>141138</v>
      </c>
      <c r="Y9" s="170">
        <f t="shared" si="5"/>
        <v>121705</v>
      </c>
      <c r="Z9" s="170">
        <f t="shared" si="6"/>
        <v>262843</v>
      </c>
      <c r="AC9" s="210"/>
      <c r="AD9" s="210"/>
      <c r="AF9" s="87">
        <v>1647</v>
      </c>
    </row>
    <row r="10" spans="1:32" s="11" customFormat="1">
      <c r="A10" s="11" t="s">
        <v>84</v>
      </c>
      <c r="B10" s="212">
        <v>6734</v>
      </c>
      <c r="C10" s="212">
        <v>11219</v>
      </c>
      <c r="D10" s="212">
        <f t="shared" si="0"/>
        <v>17953</v>
      </c>
      <c r="E10" s="212"/>
      <c r="F10" s="212">
        <v>21252</v>
      </c>
      <c r="G10" s="212">
        <v>65626</v>
      </c>
      <c r="H10" s="212">
        <v>36541</v>
      </c>
      <c r="I10" s="212">
        <f t="shared" si="1"/>
        <v>123419</v>
      </c>
      <c r="J10" s="212"/>
      <c r="K10" s="212">
        <f t="shared" si="7"/>
        <v>141372</v>
      </c>
      <c r="L10" s="212"/>
      <c r="M10" s="212">
        <v>34641</v>
      </c>
      <c r="N10" s="212">
        <v>8431</v>
      </c>
      <c r="O10" s="212">
        <f t="shared" si="2"/>
        <v>43072</v>
      </c>
      <c r="P10" s="212"/>
      <c r="Q10" s="212">
        <v>43236</v>
      </c>
      <c r="R10" s="212">
        <v>16651</v>
      </c>
      <c r="S10" s="212">
        <v>18899</v>
      </c>
      <c r="T10" s="212">
        <f t="shared" si="3"/>
        <v>78786</v>
      </c>
      <c r="V10" s="170">
        <f t="shared" si="4"/>
        <v>263230</v>
      </c>
      <c r="X10" s="170">
        <f t="shared" si="8"/>
        <v>141372</v>
      </c>
      <c r="Y10" s="170">
        <f t="shared" si="5"/>
        <v>121858</v>
      </c>
      <c r="Z10" s="170">
        <f t="shared" si="6"/>
        <v>263230</v>
      </c>
      <c r="AC10" s="210"/>
      <c r="AD10" s="210"/>
      <c r="AF10" s="87">
        <v>1644</v>
      </c>
    </row>
    <row r="11" spans="1:32" s="11" customFormat="1">
      <c r="A11" s="11" t="s">
        <v>85</v>
      </c>
      <c r="B11" s="212">
        <v>6749</v>
      </c>
      <c r="C11" s="212">
        <v>11238</v>
      </c>
      <c r="D11" s="212">
        <f t="shared" si="0"/>
        <v>17987</v>
      </c>
      <c r="E11" s="212"/>
      <c r="F11" s="212">
        <v>21279</v>
      </c>
      <c r="G11" s="212">
        <v>65698</v>
      </c>
      <c r="H11" s="212">
        <v>36670</v>
      </c>
      <c r="I11" s="212">
        <f t="shared" si="1"/>
        <v>123647</v>
      </c>
      <c r="J11" s="212"/>
      <c r="K11" s="212">
        <f t="shared" si="7"/>
        <v>141634</v>
      </c>
      <c r="L11" s="212"/>
      <c r="M11" s="212">
        <v>34633</v>
      </c>
      <c r="N11" s="212">
        <v>8418</v>
      </c>
      <c r="O11" s="212">
        <f t="shared" si="2"/>
        <v>43051</v>
      </c>
      <c r="P11" s="212"/>
      <c r="Q11" s="212">
        <v>43276</v>
      </c>
      <c r="R11" s="212">
        <v>16685</v>
      </c>
      <c r="S11" s="212">
        <v>18999</v>
      </c>
      <c r="T11" s="212">
        <f t="shared" si="3"/>
        <v>78960</v>
      </c>
      <c r="V11" s="170">
        <f t="shared" si="4"/>
        <v>263645</v>
      </c>
      <c r="X11" s="170">
        <f t="shared" si="8"/>
        <v>141634</v>
      </c>
      <c r="Y11" s="170">
        <f t="shared" si="5"/>
        <v>122011</v>
      </c>
      <c r="Z11" s="170">
        <f t="shared" si="6"/>
        <v>263645</v>
      </c>
      <c r="AC11" s="210"/>
      <c r="AD11" s="209"/>
      <c r="AF11" s="87">
        <v>1650</v>
      </c>
    </row>
    <row r="12" spans="1:32" s="11" customFormat="1">
      <c r="A12" s="11" t="s">
        <v>86</v>
      </c>
      <c r="B12" s="212">
        <v>6796</v>
      </c>
      <c r="C12" s="212">
        <v>11294</v>
      </c>
      <c r="D12" s="212">
        <f t="shared" si="0"/>
        <v>18090</v>
      </c>
      <c r="E12" s="212"/>
      <c r="F12" s="212">
        <v>21364</v>
      </c>
      <c r="G12" s="212">
        <v>66084</v>
      </c>
      <c r="H12" s="212">
        <v>37121</v>
      </c>
      <c r="I12" s="212">
        <f t="shared" si="1"/>
        <v>124569</v>
      </c>
      <c r="J12" s="212"/>
      <c r="K12" s="212">
        <f t="shared" si="7"/>
        <v>142659</v>
      </c>
      <c r="L12" s="212"/>
      <c r="M12" s="212">
        <v>34775</v>
      </c>
      <c r="N12" s="212">
        <v>8437</v>
      </c>
      <c r="O12" s="212">
        <f t="shared" si="2"/>
        <v>43212</v>
      </c>
      <c r="P12" s="212"/>
      <c r="Q12" s="212">
        <v>43370</v>
      </c>
      <c r="R12" s="212">
        <v>16721</v>
      </c>
      <c r="S12" s="212">
        <v>19071</v>
      </c>
      <c r="T12" s="212">
        <f t="shared" si="3"/>
        <v>79162</v>
      </c>
      <c r="V12" s="170">
        <f t="shared" si="4"/>
        <v>265033</v>
      </c>
      <c r="X12" s="170">
        <f t="shared" si="8"/>
        <v>142659</v>
      </c>
      <c r="Y12" s="170">
        <f t="shared" si="5"/>
        <v>122374</v>
      </c>
      <c r="Z12" s="170">
        <f t="shared" si="6"/>
        <v>265033</v>
      </c>
      <c r="AC12" s="210"/>
      <c r="AD12" s="209"/>
      <c r="AF12" s="87">
        <v>1650</v>
      </c>
    </row>
    <row r="13" spans="1:32" s="11" customFormat="1">
      <c r="A13" s="11" t="s">
        <v>61</v>
      </c>
      <c r="B13" s="212">
        <v>6819</v>
      </c>
      <c r="C13" s="212">
        <v>11333</v>
      </c>
      <c r="D13" s="212">
        <f t="shared" si="0"/>
        <v>18152</v>
      </c>
      <c r="E13" s="212"/>
      <c r="F13" s="212">
        <v>21460</v>
      </c>
      <c r="G13" s="212">
        <v>66317</v>
      </c>
      <c r="H13" s="212">
        <v>37461</v>
      </c>
      <c r="I13" s="212">
        <f t="shared" si="1"/>
        <v>125238</v>
      </c>
      <c r="J13" s="212"/>
      <c r="K13" s="212">
        <f t="shared" si="7"/>
        <v>143390</v>
      </c>
      <c r="L13" s="212"/>
      <c r="M13" s="212">
        <v>34915</v>
      </c>
      <c r="N13" s="212">
        <v>8472</v>
      </c>
      <c r="O13" s="212">
        <f t="shared" si="2"/>
        <v>43387</v>
      </c>
      <c r="P13" s="212"/>
      <c r="Q13" s="212">
        <v>43466</v>
      </c>
      <c r="R13" s="212">
        <v>16753</v>
      </c>
      <c r="S13" s="212">
        <v>19099</v>
      </c>
      <c r="T13" s="212">
        <f t="shared" si="3"/>
        <v>79318</v>
      </c>
      <c r="V13" s="170">
        <f t="shared" si="4"/>
        <v>266095</v>
      </c>
      <c r="X13" s="170">
        <f t="shared" si="8"/>
        <v>143390</v>
      </c>
      <c r="Y13" s="170">
        <f t="shared" si="5"/>
        <v>122705</v>
      </c>
      <c r="Z13" s="170">
        <f t="shared" si="6"/>
        <v>266095</v>
      </c>
      <c r="AC13" s="210"/>
      <c r="AD13" s="210"/>
      <c r="AF13" s="87">
        <v>1664</v>
      </c>
    </row>
    <row r="14" spans="1:32" s="11" customFormat="1">
      <c r="A14" s="11" t="s">
        <v>68</v>
      </c>
      <c r="B14" s="210">
        <v>6855</v>
      </c>
      <c r="C14" s="210">
        <v>11385</v>
      </c>
      <c r="D14" s="212">
        <f t="shared" si="0"/>
        <v>18240</v>
      </c>
      <c r="E14" s="212"/>
      <c r="F14" s="210">
        <v>21485</v>
      </c>
      <c r="G14" s="210">
        <v>66549</v>
      </c>
      <c r="H14" s="210">
        <v>37673</v>
      </c>
      <c r="I14" s="212">
        <f t="shared" si="1"/>
        <v>125707</v>
      </c>
      <c r="J14" s="212"/>
      <c r="K14" s="212">
        <f t="shared" si="7"/>
        <v>143947</v>
      </c>
      <c r="L14" s="212"/>
      <c r="M14" s="210">
        <v>35046</v>
      </c>
      <c r="N14" s="210">
        <v>8492</v>
      </c>
      <c r="O14" s="212">
        <f t="shared" si="2"/>
        <v>43538</v>
      </c>
      <c r="P14" s="212"/>
      <c r="Q14" s="210">
        <v>43533</v>
      </c>
      <c r="R14" s="210">
        <v>16752</v>
      </c>
      <c r="S14" s="210">
        <v>19156</v>
      </c>
      <c r="T14" s="212">
        <f t="shared" si="3"/>
        <v>79441</v>
      </c>
      <c r="V14" s="170">
        <f t="shared" si="4"/>
        <v>266926</v>
      </c>
      <c r="X14" s="170">
        <f t="shared" si="8"/>
        <v>143947</v>
      </c>
      <c r="Y14" s="170">
        <f t="shared" si="5"/>
        <v>122979</v>
      </c>
      <c r="Z14" s="170">
        <f t="shared" si="6"/>
        <v>266926</v>
      </c>
      <c r="AF14" s="87">
        <v>1661</v>
      </c>
    </row>
    <row r="15" spans="1:32" s="11" customFormat="1">
      <c r="A15" s="11" t="s">
        <v>69</v>
      </c>
      <c r="B15" s="212">
        <v>6895</v>
      </c>
      <c r="C15" s="212">
        <v>11431</v>
      </c>
      <c r="D15" s="212">
        <f t="shared" si="0"/>
        <v>18326</v>
      </c>
      <c r="E15" s="212"/>
      <c r="F15" s="212">
        <v>21533</v>
      </c>
      <c r="G15" s="212">
        <v>66706</v>
      </c>
      <c r="H15" s="212">
        <v>37845</v>
      </c>
      <c r="I15" s="212">
        <f t="shared" si="1"/>
        <v>126084</v>
      </c>
      <c r="J15" s="212"/>
      <c r="K15" s="212">
        <f t="shared" si="7"/>
        <v>144410</v>
      </c>
      <c r="L15" s="212"/>
      <c r="M15" s="212">
        <v>35090</v>
      </c>
      <c r="N15" s="210">
        <v>8525</v>
      </c>
      <c r="O15" s="212">
        <f t="shared" si="2"/>
        <v>43615</v>
      </c>
      <c r="P15" s="212"/>
      <c r="Q15" s="212">
        <v>43590</v>
      </c>
      <c r="R15" s="212">
        <v>16768</v>
      </c>
      <c r="S15" s="212">
        <v>19255</v>
      </c>
      <c r="T15" s="212">
        <f t="shared" si="3"/>
        <v>79613</v>
      </c>
      <c r="V15" s="170">
        <f t="shared" si="4"/>
        <v>267638</v>
      </c>
      <c r="X15" s="170">
        <f t="shared" si="8"/>
        <v>144410</v>
      </c>
      <c r="Y15" s="170">
        <f t="shared" si="5"/>
        <v>123228</v>
      </c>
      <c r="Z15" s="170">
        <f t="shared" si="6"/>
        <v>267638</v>
      </c>
      <c r="AF15" s="87">
        <v>1667</v>
      </c>
    </row>
    <row r="16" spans="1:32" s="11" customFormat="1">
      <c r="A16" s="11" t="s">
        <v>70</v>
      </c>
      <c r="B16" s="212">
        <v>6924</v>
      </c>
      <c r="C16" s="210">
        <v>11459</v>
      </c>
      <c r="D16" s="212">
        <f t="shared" si="0"/>
        <v>18383</v>
      </c>
      <c r="E16" s="212"/>
      <c r="F16" s="210">
        <v>21555</v>
      </c>
      <c r="G16" s="210">
        <v>66889</v>
      </c>
      <c r="H16" s="210">
        <v>37981</v>
      </c>
      <c r="I16" s="212">
        <f t="shared" si="1"/>
        <v>126425</v>
      </c>
      <c r="J16" s="212"/>
      <c r="K16" s="212">
        <f t="shared" si="7"/>
        <v>144808</v>
      </c>
      <c r="L16" s="212"/>
      <c r="M16" s="210">
        <v>35183</v>
      </c>
      <c r="N16" s="210">
        <v>8536</v>
      </c>
      <c r="O16" s="212">
        <f t="shared" si="2"/>
        <v>43719</v>
      </c>
      <c r="P16" s="212"/>
      <c r="Q16" s="210">
        <v>43626</v>
      </c>
      <c r="R16" s="210">
        <v>16790</v>
      </c>
      <c r="S16" s="210">
        <v>19280</v>
      </c>
      <c r="T16" s="212">
        <f t="shared" si="3"/>
        <v>79696</v>
      </c>
      <c r="V16" s="170">
        <f t="shared" si="4"/>
        <v>268223</v>
      </c>
      <c r="X16" s="170">
        <f t="shared" si="8"/>
        <v>144808</v>
      </c>
      <c r="Y16" s="170">
        <f t="shared" si="5"/>
        <v>123415</v>
      </c>
      <c r="Z16" s="170">
        <f t="shared" si="6"/>
        <v>268223</v>
      </c>
      <c r="AF16" s="87">
        <v>1659</v>
      </c>
    </row>
    <row r="17" spans="1:32" s="172" customFormat="1">
      <c r="A17" s="172" t="s">
        <v>71</v>
      </c>
      <c r="B17" s="479">
        <v>6938</v>
      </c>
      <c r="C17" s="479">
        <v>11361</v>
      </c>
      <c r="D17" s="224">
        <f t="shared" si="0"/>
        <v>18299</v>
      </c>
      <c r="E17" s="224"/>
      <c r="F17" s="479">
        <v>21525</v>
      </c>
      <c r="G17" s="479">
        <v>66732</v>
      </c>
      <c r="H17" s="479">
        <v>37874</v>
      </c>
      <c r="I17" s="224">
        <f t="shared" si="1"/>
        <v>126131</v>
      </c>
      <c r="J17" s="224"/>
      <c r="K17" s="224">
        <f t="shared" si="7"/>
        <v>144430</v>
      </c>
      <c r="L17" s="224"/>
      <c r="M17" s="479">
        <v>35012</v>
      </c>
      <c r="N17" s="479">
        <v>8482</v>
      </c>
      <c r="O17" s="479">
        <f t="shared" si="2"/>
        <v>43494</v>
      </c>
      <c r="P17" s="479"/>
      <c r="Q17" s="479">
        <v>43596</v>
      </c>
      <c r="R17" s="479">
        <v>16803</v>
      </c>
      <c r="S17" s="479">
        <v>19288</v>
      </c>
      <c r="T17" s="224">
        <f t="shared" si="3"/>
        <v>79687</v>
      </c>
      <c r="V17" s="175">
        <f t="shared" si="4"/>
        <v>267611</v>
      </c>
      <c r="X17" s="175">
        <f t="shared" si="8"/>
        <v>144430</v>
      </c>
      <c r="Y17" s="175">
        <f t="shared" si="5"/>
        <v>123181</v>
      </c>
      <c r="Z17" s="175">
        <f t="shared" si="6"/>
        <v>267611</v>
      </c>
      <c r="AF17" s="225">
        <v>1660</v>
      </c>
    </row>
    <row r="18" spans="1:32" s="11" customFormat="1">
      <c r="A18" s="11" t="s">
        <v>55</v>
      </c>
      <c r="B18" s="212"/>
      <c r="C18" s="212"/>
      <c r="D18" s="212">
        <f t="shared" si="0"/>
        <v>0</v>
      </c>
      <c r="E18" s="212"/>
      <c r="F18" s="212"/>
      <c r="G18" s="210"/>
      <c r="H18" s="210"/>
      <c r="I18" s="212">
        <f t="shared" si="1"/>
        <v>0</v>
      </c>
      <c r="J18" s="212"/>
      <c r="K18" s="224">
        <f t="shared" si="7"/>
        <v>0</v>
      </c>
      <c r="L18" s="212"/>
      <c r="M18" s="212"/>
      <c r="N18" s="212"/>
      <c r="O18" s="212">
        <f t="shared" si="2"/>
        <v>0</v>
      </c>
      <c r="P18" s="212"/>
      <c r="Q18" s="212"/>
      <c r="R18" s="212"/>
      <c r="S18" s="212"/>
      <c r="T18" s="212">
        <f t="shared" si="3"/>
        <v>0</v>
      </c>
      <c r="V18" s="170">
        <f t="shared" si="4"/>
        <v>0</v>
      </c>
      <c r="X18" s="170">
        <f t="shared" si="8"/>
        <v>0</v>
      </c>
      <c r="Y18" s="170">
        <f t="shared" si="5"/>
        <v>0</v>
      </c>
      <c r="Z18" s="170">
        <f t="shared" si="6"/>
        <v>0</v>
      </c>
      <c r="AF18" s="87"/>
    </row>
    <row r="19" spans="1:32" s="11" customFormat="1">
      <c r="A19" s="11" t="s">
        <v>56</v>
      </c>
      <c r="B19" s="212"/>
      <c r="C19" s="212"/>
      <c r="D19" s="212">
        <f t="shared" si="0"/>
        <v>0</v>
      </c>
      <c r="E19" s="212"/>
      <c r="F19" s="212"/>
      <c r="G19" s="210"/>
      <c r="H19" s="210"/>
      <c r="I19" s="212">
        <f t="shared" si="1"/>
        <v>0</v>
      </c>
      <c r="J19" s="212"/>
      <c r="K19" s="224">
        <f t="shared" si="7"/>
        <v>0</v>
      </c>
      <c r="L19" s="212"/>
      <c r="M19" s="212"/>
      <c r="N19" s="212"/>
      <c r="O19" s="212">
        <f t="shared" si="2"/>
        <v>0</v>
      </c>
      <c r="P19" s="212"/>
      <c r="Q19" s="212"/>
      <c r="R19" s="212"/>
      <c r="S19" s="212"/>
      <c r="T19" s="212">
        <f t="shared" si="3"/>
        <v>0</v>
      </c>
      <c r="V19" s="170">
        <f t="shared" si="4"/>
        <v>0</v>
      </c>
      <c r="X19" s="170">
        <f t="shared" si="8"/>
        <v>0</v>
      </c>
      <c r="Y19" s="170">
        <f t="shared" si="5"/>
        <v>0</v>
      </c>
      <c r="Z19" s="170">
        <f t="shared" si="6"/>
        <v>0</v>
      </c>
      <c r="AF19" s="87"/>
    </row>
    <row r="20" spans="1:32" s="11" customFormat="1" ht="15">
      <c r="A20" s="11" t="s">
        <v>73</v>
      </c>
      <c r="B20" s="212"/>
      <c r="C20" s="212"/>
      <c r="D20" s="212">
        <f t="shared" si="0"/>
        <v>0</v>
      </c>
      <c r="E20" s="213"/>
      <c r="F20" s="212"/>
      <c r="G20" s="210"/>
      <c r="H20" s="210"/>
      <c r="I20" s="212">
        <f t="shared" si="1"/>
        <v>0</v>
      </c>
      <c r="J20" s="212"/>
      <c r="K20" s="224">
        <f t="shared" si="7"/>
        <v>0</v>
      </c>
      <c r="L20" s="213"/>
      <c r="M20" s="212"/>
      <c r="N20" s="212"/>
      <c r="O20" s="212">
        <f t="shared" si="2"/>
        <v>0</v>
      </c>
      <c r="P20" s="212"/>
      <c r="Q20" s="212"/>
      <c r="R20" s="212"/>
      <c r="S20" s="212"/>
      <c r="T20" s="212">
        <f t="shared" si="3"/>
        <v>0</v>
      </c>
      <c r="U20" s="178"/>
      <c r="V20" s="170">
        <f t="shared" si="4"/>
        <v>0</v>
      </c>
      <c r="X20" s="170">
        <f t="shared" si="8"/>
        <v>0</v>
      </c>
      <c r="Y20" s="170">
        <f t="shared" si="5"/>
        <v>0</v>
      </c>
      <c r="Z20" s="170">
        <f t="shared" si="6"/>
        <v>0</v>
      </c>
      <c r="AF20" s="87"/>
    </row>
    <row r="21" spans="1:32" s="11" customFormat="1" ht="15">
      <c r="A21" s="11" t="s">
        <v>225</v>
      </c>
      <c r="B21" s="212"/>
      <c r="C21" s="212"/>
      <c r="D21" s="212">
        <f t="shared" si="0"/>
        <v>0</v>
      </c>
      <c r="E21" s="213"/>
      <c r="F21" s="212"/>
      <c r="G21" s="210"/>
      <c r="H21" s="210"/>
      <c r="I21" s="212">
        <f t="shared" si="1"/>
        <v>0</v>
      </c>
      <c r="J21" s="212"/>
      <c r="K21" s="224">
        <f t="shared" si="7"/>
        <v>0</v>
      </c>
      <c r="L21" s="213"/>
      <c r="M21" s="212"/>
      <c r="N21" s="212"/>
      <c r="O21" s="212">
        <f t="shared" si="2"/>
        <v>0</v>
      </c>
      <c r="P21" s="212"/>
      <c r="Q21" s="212"/>
      <c r="R21" s="212"/>
      <c r="S21" s="212"/>
      <c r="T21" s="212">
        <f t="shared" si="3"/>
        <v>0</v>
      </c>
      <c r="U21" s="178"/>
      <c r="V21" s="170">
        <f t="shared" si="4"/>
        <v>0</v>
      </c>
      <c r="X21" s="170">
        <f t="shared" si="8"/>
        <v>0</v>
      </c>
      <c r="Y21" s="170">
        <f t="shared" si="5"/>
        <v>0</v>
      </c>
      <c r="Z21" s="170">
        <f t="shared" si="6"/>
        <v>0</v>
      </c>
      <c r="AF21" s="87"/>
    </row>
    <row r="22" spans="1:32" s="11" customFormat="1" ht="15">
      <c r="A22" s="11" t="s">
        <v>84</v>
      </c>
      <c r="B22" s="212"/>
      <c r="C22" s="212"/>
      <c r="D22" s="212">
        <f t="shared" si="0"/>
        <v>0</v>
      </c>
      <c r="E22" s="213"/>
      <c r="F22" s="212"/>
      <c r="G22" s="210"/>
      <c r="H22" s="210"/>
      <c r="I22" s="212">
        <f t="shared" si="1"/>
        <v>0</v>
      </c>
      <c r="J22" s="212"/>
      <c r="K22" s="224">
        <f t="shared" si="7"/>
        <v>0</v>
      </c>
      <c r="L22" s="213"/>
      <c r="M22" s="212"/>
      <c r="N22" s="212"/>
      <c r="O22" s="212">
        <f t="shared" si="2"/>
        <v>0</v>
      </c>
      <c r="P22" s="212"/>
      <c r="Q22" s="212"/>
      <c r="R22" s="212"/>
      <c r="S22" s="212"/>
      <c r="T22" s="212">
        <f t="shared" si="3"/>
        <v>0</v>
      </c>
      <c r="U22" s="178"/>
      <c r="V22" s="170">
        <f t="shared" si="4"/>
        <v>0</v>
      </c>
      <c r="X22" s="170">
        <f t="shared" si="8"/>
        <v>0</v>
      </c>
      <c r="Y22" s="170">
        <f t="shared" si="5"/>
        <v>0</v>
      </c>
      <c r="Z22" s="170">
        <f t="shared" si="6"/>
        <v>0</v>
      </c>
      <c r="AF22" s="87"/>
    </row>
    <row r="23" spans="1:32" s="11" customFormat="1">
      <c r="A23" s="11" t="s">
        <v>85</v>
      </c>
      <c r="B23" s="212"/>
      <c r="C23" s="212"/>
      <c r="D23" s="212">
        <f t="shared" si="0"/>
        <v>0</v>
      </c>
      <c r="E23" s="212"/>
      <c r="F23" s="212"/>
      <c r="G23" s="210"/>
      <c r="H23" s="210"/>
      <c r="I23" s="212">
        <f t="shared" si="1"/>
        <v>0</v>
      </c>
      <c r="J23" s="212"/>
      <c r="K23" s="224">
        <f t="shared" si="7"/>
        <v>0</v>
      </c>
      <c r="L23" s="212"/>
      <c r="M23" s="212"/>
      <c r="N23" s="212"/>
      <c r="O23" s="212">
        <f t="shared" si="2"/>
        <v>0</v>
      </c>
      <c r="P23" s="212"/>
      <c r="Q23" s="212"/>
      <c r="R23" s="212"/>
      <c r="S23" s="212"/>
      <c r="T23" s="212">
        <f t="shared" si="3"/>
        <v>0</v>
      </c>
      <c r="V23" s="170">
        <f t="shared" si="4"/>
        <v>0</v>
      </c>
      <c r="X23" s="170">
        <f t="shared" si="8"/>
        <v>0</v>
      </c>
      <c r="Y23" s="170">
        <f t="shared" si="5"/>
        <v>0</v>
      </c>
      <c r="Z23" s="170">
        <f t="shared" si="6"/>
        <v>0</v>
      </c>
      <c r="AF23" s="87"/>
    </row>
    <row r="24" spans="1:32" s="11" customFormat="1">
      <c r="A24" s="11" t="s">
        <v>86</v>
      </c>
      <c r="B24" s="212"/>
      <c r="C24" s="212"/>
      <c r="D24" s="212">
        <f t="shared" si="0"/>
        <v>0</v>
      </c>
      <c r="E24" s="212"/>
      <c r="F24" s="212"/>
      <c r="G24" s="210"/>
      <c r="H24" s="210"/>
      <c r="I24" s="212">
        <f t="shared" si="1"/>
        <v>0</v>
      </c>
      <c r="J24" s="212"/>
      <c r="K24" s="224">
        <f t="shared" si="7"/>
        <v>0</v>
      </c>
      <c r="L24" s="212"/>
      <c r="M24" s="212"/>
      <c r="N24" s="212"/>
      <c r="O24" s="212">
        <f t="shared" si="2"/>
        <v>0</v>
      </c>
      <c r="P24" s="212"/>
      <c r="Q24" s="212"/>
      <c r="R24" s="212"/>
      <c r="S24" s="212"/>
      <c r="T24" s="212">
        <f t="shared" si="3"/>
        <v>0</v>
      </c>
      <c r="V24" s="170">
        <f t="shared" si="4"/>
        <v>0</v>
      </c>
      <c r="X24" s="170">
        <f t="shared" si="8"/>
        <v>0</v>
      </c>
      <c r="Y24" s="170">
        <f t="shared" si="5"/>
        <v>0</v>
      </c>
      <c r="Z24" s="170">
        <f t="shared" si="6"/>
        <v>0</v>
      </c>
      <c r="AF24" s="87"/>
    </row>
    <row r="25" spans="1:32" s="11" customFormat="1">
      <c r="A25" s="11" t="s">
        <v>61</v>
      </c>
      <c r="B25" s="212"/>
      <c r="C25" s="212"/>
      <c r="D25" s="212">
        <f t="shared" si="0"/>
        <v>0</v>
      </c>
      <c r="E25" s="212"/>
      <c r="F25" s="212"/>
      <c r="G25" s="210"/>
      <c r="H25" s="210"/>
      <c r="I25" s="212">
        <f t="shared" si="1"/>
        <v>0</v>
      </c>
      <c r="J25" s="212"/>
      <c r="K25" s="224">
        <f t="shared" si="7"/>
        <v>0</v>
      </c>
      <c r="L25" s="212"/>
      <c r="M25" s="212"/>
      <c r="N25" s="212"/>
      <c r="O25" s="212">
        <f t="shared" si="2"/>
        <v>0</v>
      </c>
      <c r="P25" s="212"/>
      <c r="Q25" s="212"/>
      <c r="R25" s="212"/>
      <c r="S25" s="212"/>
      <c r="T25" s="212">
        <f t="shared" si="3"/>
        <v>0</v>
      </c>
      <c r="V25" s="170">
        <f t="shared" si="4"/>
        <v>0</v>
      </c>
      <c r="X25" s="170">
        <f t="shared" si="8"/>
        <v>0</v>
      </c>
      <c r="Y25" s="170">
        <f t="shared" si="5"/>
        <v>0</v>
      </c>
      <c r="Z25" s="170">
        <f t="shared" si="6"/>
        <v>0</v>
      </c>
      <c r="AF25" s="87"/>
    </row>
    <row r="26" spans="1:32" s="11" customFormat="1">
      <c r="A26" s="11" t="s">
        <v>68</v>
      </c>
      <c r="B26" s="212"/>
      <c r="C26" s="212"/>
      <c r="D26" s="212">
        <f t="shared" si="0"/>
        <v>0</v>
      </c>
      <c r="E26" s="212"/>
      <c r="F26" s="212"/>
      <c r="G26" s="210"/>
      <c r="H26" s="210"/>
      <c r="I26" s="212">
        <f t="shared" si="1"/>
        <v>0</v>
      </c>
      <c r="J26" s="212"/>
      <c r="K26" s="224">
        <f t="shared" si="7"/>
        <v>0</v>
      </c>
      <c r="L26" s="212"/>
      <c r="M26" s="212"/>
      <c r="N26" s="212"/>
      <c r="O26" s="212">
        <f t="shared" si="2"/>
        <v>0</v>
      </c>
      <c r="P26" s="212"/>
      <c r="Q26" s="212"/>
      <c r="R26" s="212"/>
      <c r="S26" s="212"/>
      <c r="T26" s="212">
        <f t="shared" si="3"/>
        <v>0</v>
      </c>
      <c r="V26" s="170">
        <f t="shared" si="4"/>
        <v>0</v>
      </c>
      <c r="X26" s="170">
        <f t="shared" si="8"/>
        <v>0</v>
      </c>
      <c r="Y26" s="170">
        <f t="shared" si="5"/>
        <v>0</v>
      </c>
      <c r="Z26" s="170">
        <f t="shared" si="6"/>
        <v>0</v>
      </c>
      <c r="AF26" s="87"/>
    </row>
    <row r="27" spans="1:32" s="11" customFormat="1">
      <c r="A27" s="11" t="s">
        <v>69</v>
      </c>
      <c r="B27" s="212"/>
      <c r="C27" s="212"/>
      <c r="D27" s="212">
        <f t="shared" si="0"/>
        <v>0</v>
      </c>
      <c r="E27" s="212"/>
      <c r="F27" s="212"/>
      <c r="G27" s="210"/>
      <c r="H27" s="210"/>
      <c r="I27" s="212">
        <f t="shared" si="1"/>
        <v>0</v>
      </c>
      <c r="J27" s="212"/>
      <c r="K27" s="224">
        <f t="shared" si="7"/>
        <v>0</v>
      </c>
      <c r="L27" s="212"/>
      <c r="M27" s="212"/>
      <c r="N27" s="212"/>
      <c r="O27" s="212">
        <f t="shared" si="2"/>
        <v>0</v>
      </c>
      <c r="P27" s="212"/>
      <c r="Q27" s="212"/>
      <c r="R27" s="212"/>
      <c r="S27" s="212"/>
      <c r="T27" s="212">
        <f t="shared" si="3"/>
        <v>0</v>
      </c>
      <c r="V27" s="170">
        <f t="shared" si="4"/>
        <v>0</v>
      </c>
      <c r="X27" s="170">
        <f t="shared" si="8"/>
        <v>0</v>
      </c>
      <c r="Y27" s="170">
        <f t="shared" si="5"/>
        <v>0</v>
      </c>
      <c r="Z27" s="170">
        <f t="shared" si="6"/>
        <v>0</v>
      </c>
      <c r="AF27" s="87"/>
    </row>
    <row r="28" spans="1:32" s="11" customFormat="1">
      <c r="A28" s="11" t="s">
        <v>70</v>
      </c>
      <c r="B28" s="212"/>
      <c r="C28" s="212"/>
      <c r="D28" s="212">
        <f t="shared" si="0"/>
        <v>0</v>
      </c>
      <c r="E28" s="212"/>
      <c r="F28" s="212"/>
      <c r="G28" s="210"/>
      <c r="H28" s="210"/>
      <c r="I28" s="212">
        <f t="shared" si="1"/>
        <v>0</v>
      </c>
      <c r="J28" s="212"/>
      <c r="K28" s="224">
        <f t="shared" si="7"/>
        <v>0</v>
      </c>
      <c r="L28" s="212"/>
      <c r="M28" s="212"/>
      <c r="N28" s="212"/>
      <c r="O28" s="212">
        <f t="shared" si="2"/>
        <v>0</v>
      </c>
      <c r="P28" s="212"/>
      <c r="Q28" s="212"/>
      <c r="R28" s="212"/>
      <c r="S28" s="212"/>
      <c r="T28" s="212">
        <f t="shared" si="3"/>
        <v>0</v>
      </c>
      <c r="V28" s="170">
        <f t="shared" si="4"/>
        <v>0</v>
      </c>
      <c r="X28" s="170">
        <f t="shared" si="8"/>
        <v>0</v>
      </c>
      <c r="Y28" s="170">
        <f t="shared" si="5"/>
        <v>0</v>
      </c>
      <c r="Z28" s="170">
        <f t="shared" si="6"/>
        <v>0</v>
      </c>
      <c r="AF28" s="87"/>
    </row>
    <row r="29" spans="1:32" s="116" customFormat="1" ht="15">
      <c r="A29" s="11" t="s">
        <v>71</v>
      </c>
      <c r="B29" s="214"/>
      <c r="C29" s="214"/>
      <c r="D29" s="213">
        <f t="shared" si="0"/>
        <v>0</v>
      </c>
      <c r="E29" s="215"/>
      <c r="F29" s="214"/>
      <c r="G29" s="210"/>
      <c r="H29" s="210"/>
      <c r="I29" s="213">
        <f t="shared" si="1"/>
        <v>0</v>
      </c>
      <c r="J29" s="213"/>
      <c r="K29" s="248">
        <f t="shared" si="7"/>
        <v>0</v>
      </c>
      <c r="L29" s="215"/>
      <c r="M29" s="214"/>
      <c r="N29" s="214"/>
      <c r="O29" s="213">
        <f t="shared" si="2"/>
        <v>0</v>
      </c>
      <c r="P29" s="215"/>
      <c r="Q29" s="214"/>
      <c r="R29" s="214"/>
      <c r="S29" s="214"/>
      <c r="T29" s="213">
        <f t="shared" si="3"/>
        <v>0</v>
      </c>
      <c r="U29" s="216"/>
      <c r="V29" s="217">
        <f t="shared" si="4"/>
        <v>0</v>
      </c>
      <c r="X29" s="217">
        <f>+I29+D29</f>
        <v>0</v>
      </c>
      <c r="Y29" s="217">
        <f>+T29+O29</f>
        <v>0</v>
      </c>
      <c r="Z29" s="217">
        <f>+Y29+X29</f>
        <v>0</v>
      </c>
      <c r="AF29" s="88"/>
    </row>
    <row r="30" spans="1:32" s="11" customFormat="1" ht="15">
      <c r="A30" s="89"/>
      <c r="B30" s="90">
        <f>SUM(B6:B29)</f>
        <v>81514</v>
      </c>
      <c r="C30" s="90">
        <f t="shared" ref="C30:V30" si="9">SUM(C6:C29)</f>
        <v>135446</v>
      </c>
      <c r="D30" s="90">
        <f t="shared" si="9"/>
        <v>216960</v>
      </c>
      <c r="E30" s="90"/>
      <c r="F30" s="90">
        <f t="shared" si="9"/>
        <v>256542</v>
      </c>
      <c r="G30" s="90">
        <f t="shared" si="9"/>
        <v>792339</v>
      </c>
      <c r="H30" s="90">
        <f t="shared" si="9"/>
        <v>444942</v>
      </c>
      <c r="I30" s="90">
        <f t="shared" si="9"/>
        <v>1493823</v>
      </c>
      <c r="J30" s="90"/>
      <c r="K30" s="90">
        <f t="shared" si="9"/>
        <v>1710783</v>
      </c>
      <c r="L30" s="90"/>
      <c r="M30" s="90">
        <f t="shared" si="9"/>
        <v>417712</v>
      </c>
      <c r="N30" s="90">
        <f t="shared" si="9"/>
        <v>101361</v>
      </c>
      <c r="O30" s="90">
        <f t="shared" si="9"/>
        <v>519073</v>
      </c>
      <c r="P30" s="90"/>
      <c r="Q30" s="90">
        <f t="shared" si="9"/>
        <v>520486</v>
      </c>
      <c r="R30" s="90">
        <f t="shared" si="9"/>
        <v>200460</v>
      </c>
      <c r="S30" s="90">
        <f t="shared" si="9"/>
        <v>228673</v>
      </c>
      <c r="T30" s="90">
        <f t="shared" si="9"/>
        <v>949619</v>
      </c>
      <c r="U30" s="90"/>
      <c r="V30" s="90">
        <f t="shared" si="9"/>
        <v>3179475</v>
      </c>
      <c r="X30" s="187">
        <f>SUM(X6:X29)</f>
        <v>1710783</v>
      </c>
      <c r="Y30" s="187">
        <f>SUM(Y6:Y29)</f>
        <v>1468692</v>
      </c>
      <c r="Z30" s="187">
        <f>SUM(Z6:Z29)</f>
        <v>3179475</v>
      </c>
      <c r="AF30" s="82"/>
    </row>
    <row r="31" spans="1:32" s="11" customFormat="1">
      <c r="AF31" s="82"/>
    </row>
    <row r="32" spans="1:32" s="11" customFormat="1" ht="15">
      <c r="A32" s="1" t="s">
        <v>52</v>
      </c>
      <c r="B32" s="187">
        <f>AVERAGE(B6:B29)</f>
        <v>6792.833333333333</v>
      </c>
      <c r="C32" s="187">
        <f t="shared" ref="C32:S32" si="10">AVERAGE(C6:C29)</f>
        <v>11287.166666666666</v>
      </c>
      <c r="D32" s="187">
        <f>+C32+B32</f>
        <v>18080</v>
      </c>
      <c r="E32" s="187"/>
      <c r="F32" s="187">
        <f t="shared" si="10"/>
        <v>21378.5</v>
      </c>
      <c r="G32" s="187">
        <f t="shared" si="10"/>
        <v>66028.25</v>
      </c>
      <c r="H32" s="187">
        <f t="shared" si="10"/>
        <v>37078.5</v>
      </c>
      <c r="I32" s="187">
        <f>+H32+G32+F32</f>
        <v>124485.25</v>
      </c>
      <c r="J32" s="187"/>
      <c r="K32" s="187">
        <f t="shared" si="10"/>
        <v>71282.625</v>
      </c>
      <c r="L32" s="187"/>
      <c r="M32" s="187">
        <f t="shared" si="10"/>
        <v>34809.333333333336</v>
      </c>
      <c r="N32" s="187">
        <f t="shared" si="10"/>
        <v>8446.75</v>
      </c>
      <c r="O32" s="187">
        <f>+N32+M32</f>
        <v>43256.083333333336</v>
      </c>
      <c r="P32" s="187"/>
      <c r="Q32" s="187">
        <f t="shared" si="10"/>
        <v>43373.833333333336</v>
      </c>
      <c r="R32" s="187">
        <f t="shared" si="10"/>
        <v>16705</v>
      </c>
      <c r="S32" s="187">
        <f t="shared" si="10"/>
        <v>19056.083333333332</v>
      </c>
      <c r="T32" s="187">
        <f>+S32+R32+Q32</f>
        <v>79134.916666666657</v>
      </c>
      <c r="U32" s="187"/>
      <c r="V32" s="102">
        <f>+T32+O32+I32+D32</f>
        <v>264956.25</v>
      </c>
      <c r="X32" s="102">
        <f>+I32+D32</f>
        <v>142565.25</v>
      </c>
      <c r="Y32" s="102">
        <f>+T32+O32</f>
        <v>122391</v>
      </c>
      <c r="Z32" s="102">
        <f>+Y32+X32</f>
        <v>264956.25</v>
      </c>
      <c r="AF32" s="82"/>
    </row>
    <row r="33" spans="1:32" s="11" customFormat="1">
      <c r="B33" s="173">
        <f>+B32/$I$36</f>
        <v>0.17215133199014998</v>
      </c>
      <c r="C33" s="173">
        <f>+C32/$I$36</f>
        <v>0.28605159006720138</v>
      </c>
      <c r="D33" s="173">
        <f>+D32/$I$36</f>
        <v>0.45820292205735141</v>
      </c>
      <c r="E33" s="173"/>
      <c r="F33" s="173">
        <f>+F32/$I$36</f>
        <v>0.54179707794264864</v>
      </c>
      <c r="AF33" s="82"/>
    </row>
    <row r="34" spans="1:32" s="11" customFormat="1">
      <c r="B34" s="173"/>
      <c r="F34" s="218">
        <f>+F33+D33</f>
        <v>1</v>
      </c>
      <c r="AF34" s="82"/>
    </row>
    <row r="35" spans="1:32" s="11" customFormat="1">
      <c r="A35" s="117" t="s">
        <v>87</v>
      </c>
      <c r="AF35" s="82"/>
    </row>
    <row r="36" spans="1:32" s="11" customFormat="1">
      <c r="A36" s="107" t="s">
        <v>88</v>
      </c>
      <c r="I36" s="219">
        <f>+F32+D32</f>
        <v>39458.5</v>
      </c>
      <c r="J36" s="219"/>
      <c r="K36" s="219"/>
      <c r="AF36" s="82"/>
    </row>
    <row r="37" spans="1:32" s="11" customFormat="1" ht="15">
      <c r="A37" s="107" t="s">
        <v>89</v>
      </c>
      <c r="I37" s="220">
        <f>+G32+H32</f>
        <v>103106.75</v>
      </c>
      <c r="J37" s="220"/>
      <c r="K37" s="220"/>
      <c r="AF37" s="82"/>
    </row>
    <row r="38" spans="1:32" s="11" customFormat="1" ht="15">
      <c r="A38" s="107"/>
      <c r="I38" s="187">
        <f>SUM(I36:I37)</f>
        <v>142565.25</v>
      </c>
      <c r="J38" s="187"/>
      <c r="K38" s="187"/>
      <c r="AF38" s="82"/>
    </row>
    <row r="39" spans="1:32" s="11" customFormat="1">
      <c r="A39" s="117" t="s">
        <v>265</v>
      </c>
      <c r="AF39" s="82"/>
    </row>
    <row r="40" spans="1:32" s="11" customFormat="1">
      <c r="A40" s="107" t="s">
        <v>88</v>
      </c>
      <c r="I40" s="221">
        <f>+'KC 2020-2021 Preliminary Budget'!D8</f>
        <v>38629</v>
      </c>
      <c r="J40" s="221"/>
      <c r="K40" s="221"/>
      <c r="AF40" s="82"/>
    </row>
    <row r="41" spans="1:32" s="11" customFormat="1" ht="15">
      <c r="A41" s="107" t="s">
        <v>89</v>
      </c>
      <c r="I41" s="222">
        <f>+'SC 2020-2021 Preliminary Budget'!D7</f>
        <v>99261</v>
      </c>
      <c r="J41" s="222"/>
      <c r="K41" s="222"/>
      <c r="AF41" s="82"/>
    </row>
    <row r="42" spans="1:32" s="11" customFormat="1" ht="15">
      <c r="I42" s="187">
        <f>SUM(I40:I41)</f>
        <v>137890</v>
      </c>
      <c r="J42" s="187"/>
      <c r="K42" s="187"/>
      <c r="N42" s="211"/>
      <c r="AF42" s="82"/>
    </row>
    <row r="43" spans="1:32">
      <c r="N43" s="125"/>
      <c r="Q43" s="120"/>
      <c r="R43" s="120"/>
      <c r="S43" s="120"/>
    </row>
    <row r="44" spans="1:32">
      <c r="N44" s="125"/>
      <c r="Q44" s="120"/>
      <c r="R44" s="120"/>
      <c r="S44" s="120"/>
    </row>
    <row r="45" spans="1:32">
      <c r="N45" s="125"/>
      <c r="Q45" s="120"/>
      <c r="R45" s="120"/>
      <c r="S45" s="120"/>
    </row>
    <row r="46" spans="1:32">
      <c r="N46" s="125"/>
      <c r="Q46" s="120"/>
      <c r="R46" s="120"/>
      <c r="S46" s="120"/>
    </row>
    <row r="47" spans="1:32">
      <c r="N47" s="126"/>
      <c r="Q47" s="120"/>
      <c r="R47" s="120"/>
      <c r="S47" s="120"/>
    </row>
  </sheetData>
  <mergeCells count="6">
    <mergeCell ref="B3:I3"/>
    <mergeCell ref="M3:T3"/>
    <mergeCell ref="B4:D4"/>
    <mergeCell ref="F4:I4"/>
    <mergeCell ref="M4:O4"/>
    <mergeCell ref="Q4:T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65"/>
  <sheetViews>
    <sheetView workbookViewId="0">
      <pane xSplit="2" ySplit="6" topLeftCell="C7" activePane="bottomRight" state="frozen"/>
      <selection pane="topRight" activeCell="C1" sqref="C1"/>
      <selection pane="bottomLeft" activeCell="A7" sqref="A7"/>
      <selection pane="bottomRight" activeCell="G17" sqref="G17"/>
    </sheetView>
  </sheetViews>
  <sheetFormatPr defaultRowHeight="12.75"/>
  <cols>
    <col min="2" max="2" width="21.85546875" customWidth="1"/>
    <col min="3" max="4" width="12.28515625" bestFit="1" customWidth="1"/>
    <col min="5" max="5" width="13.28515625" customWidth="1"/>
    <col min="6" max="6" width="5.28515625" customWidth="1"/>
    <col min="7" max="7" width="12.85546875" bestFit="1" customWidth="1"/>
    <col min="8" max="8" width="11.85546875" bestFit="1" customWidth="1"/>
    <col min="9" max="9" width="3.7109375" customWidth="1"/>
    <col min="10" max="10" width="12.85546875" bestFit="1" customWidth="1"/>
    <col min="11" max="11" width="3.7109375" customWidth="1"/>
    <col min="12" max="12" width="12.7109375" bestFit="1" customWidth="1"/>
    <col min="13" max="13" width="2.5703125" customWidth="1"/>
    <col min="14" max="14" width="10.42578125" bestFit="1" customWidth="1"/>
    <col min="15" max="15" width="11.140625" bestFit="1" customWidth="1"/>
    <col min="16" max="16" width="10.42578125" bestFit="1" customWidth="1"/>
    <col min="17" max="17" width="2.5703125" customWidth="1"/>
    <col min="18" max="20" width="12.85546875" bestFit="1" customWidth="1"/>
    <col min="21" max="21" width="3" customWidth="1"/>
    <col min="22" max="22" width="8.85546875" bestFit="1" customWidth="1"/>
    <col min="23" max="23" width="2.7109375" customWidth="1"/>
    <col min="24" max="24" width="8.85546875" bestFit="1" customWidth="1"/>
    <col min="25" max="25" width="12.5703125" customWidth="1"/>
    <col min="26" max="26" width="11.42578125" customWidth="1"/>
    <col min="27" max="27" width="12.28515625" customWidth="1"/>
  </cols>
  <sheetData>
    <row r="1" spans="1:24" ht="20.25">
      <c r="A1" s="92" t="s">
        <v>90</v>
      </c>
      <c r="B1" s="80"/>
      <c r="C1" s="80"/>
      <c r="D1" s="80"/>
      <c r="E1" s="80"/>
      <c r="F1" s="80"/>
      <c r="G1" s="80"/>
      <c r="H1" s="80"/>
      <c r="I1" s="80"/>
      <c r="J1" s="80"/>
    </row>
    <row r="2" spans="1:24" ht="15.75">
      <c r="A2" s="93"/>
      <c r="B2" s="80"/>
      <c r="C2" s="80"/>
      <c r="D2" s="80"/>
      <c r="E2" s="80"/>
      <c r="F2" s="80"/>
      <c r="G2" s="80"/>
      <c r="H2" s="80"/>
      <c r="I2" s="80"/>
      <c r="J2" s="80"/>
    </row>
    <row r="3" spans="1:24" ht="15">
      <c r="A3" s="81" t="s">
        <v>91</v>
      </c>
      <c r="B3" s="80"/>
      <c r="C3" s="80"/>
      <c r="D3" s="80"/>
      <c r="E3" s="80"/>
      <c r="F3" s="80"/>
      <c r="G3" s="80"/>
      <c r="H3" s="80"/>
      <c r="I3" s="80"/>
      <c r="J3" s="80"/>
      <c r="R3" s="13" t="s">
        <v>92</v>
      </c>
      <c r="S3" s="13" t="s">
        <v>40</v>
      </c>
      <c r="V3" s="130" t="s">
        <v>275</v>
      </c>
      <c r="X3" s="130" t="s">
        <v>276</v>
      </c>
    </row>
    <row r="4" spans="1:24" ht="15">
      <c r="A4" s="80"/>
      <c r="B4" s="80"/>
      <c r="C4" s="504" t="s">
        <v>93</v>
      </c>
      <c r="D4" s="504"/>
      <c r="E4" s="504"/>
      <c r="F4" s="80"/>
      <c r="G4" s="504" t="s">
        <v>94</v>
      </c>
      <c r="H4" s="504"/>
      <c r="I4" s="504"/>
      <c r="J4" s="504"/>
      <c r="L4" s="13" t="s">
        <v>52</v>
      </c>
      <c r="N4" s="13" t="s">
        <v>92</v>
      </c>
      <c r="O4" s="13" t="s">
        <v>40</v>
      </c>
      <c r="R4" s="13" t="s">
        <v>15</v>
      </c>
      <c r="S4" s="13" t="s">
        <v>15</v>
      </c>
      <c r="V4" s="13" t="s">
        <v>52</v>
      </c>
      <c r="X4" s="13" t="s">
        <v>52</v>
      </c>
    </row>
    <row r="5" spans="1:24" ht="15">
      <c r="A5" s="80"/>
      <c r="B5" s="80"/>
      <c r="C5" s="13" t="s">
        <v>92</v>
      </c>
      <c r="D5" s="13" t="s">
        <v>40</v>
      </c>
      <c r="E5" s="80"/>
      <c r="F5" s="80"/>
      <c r="G5" s="13" t="s">
        <v>92</v>
      </c>
      <c r="H5" s="13" t="s">
        <v>40</v>
      </c>
      <c r="I5" s="13"/>
      <c r="J5" s="80"/>
      <c r="L5" s="13" t="s">
        <v>95</v>
      </c>
      <c r="N5" s="13" t="s">
        <v>15</v>
      </c>
      <c r="O5" s="13" t="s">
        <v>15</v>
      </c>
      <c r="P5" s="13" t="s">
        <v>80</v>
      </c>
      <c r="R5" s="13" t="s">
        <v>52</v>
      </c>
      <c r="S5" s="13" t="s">
        <v>52</v>
      </c>
      <c r="T5" s="13" t="s">
        <v>52</v>
      </c>
      <c r="V5" s="13" t="s">
        <v>95</v>
      </c>
      <c r="X5" s="13" t="s">
        <v>95</v>
      </c>
    </row>
    <row r="6" spans="1:24" ht="15">
      <c r="A6" s="81"/>
      <c r="B6" s="81"/>
      <c r="C6" s="14" t="s">
        <v>15</v>
      </c>
      <c r="D6" s="14" t="s">
        <v>15</v>
      </c>
      <c r="E6" s="14" t="s">
        <v>80</v>
      </c>
      <c r="F6" s="81"/>
      <c r="G6" s="14" t="s">
        <v>15</v>
      </c>
      <c r="H6" s="14" t="s">
        <v>15</v>
      </c>
      <c r="I6" s="14"/>
      <c r="J6" s="14" t="s">
        <v>80</v>
      </c>
      <c r="L6" s="14" t="s">
        <v>96</v>
      </c>
      <c r="M6" s="14"/>
      <c r="N6" s="14" t="s">
        <v>97</v>
      </c>
      <c r="O6" s="14" t="s">
        <v>97</v>
      </c>
      <c r="P6" s="14" t="s">
        <v>97</v>
      </c>
      <c r="R6" s="81" t="s">
        <v>98</v>
      </c>
      <c r="S6" s="81" t="s">
        <v>98</v>
      </c>
      <c r="T6" s="81" t="s">
        <v>98</v>
      </c>
      <c r="V6" s="14" t="s">
        <v>96</v>
      </c>
      <c r="X6" s="14" t="s">
        <v>96</v>
      </c>
    </row>
    <row r="7" spans="1:24">
      <c r="A7" s="11" t="s">
        <v>220</v>
      </c>
      <c r="C7" s="114">
        <f>+'King County Tonnage'!T3+'King County Tonnage'!T4</f>
        <v>3771.4</v>
      </c>
      <c r="D7" s="114">
        <f>+'Snohomish County Tonnage'!Q3+'Snohomish County Tonnage'!Q4</f>
        <v>3507.7</v>
      </c>
      <c r="E7" s="114">
        <f t="shared" ref="E7:E30" si="0">+D7+C7</f>
        <v>7279.1</v>
      </c>
      <c r="F7" s="11"/>
      <c r="G7" s="176">
        <f>+'CRC Prices &amp; Revenue'!M40</f>
        <v>46832.124972468766</v>
      </c>
      <c r="H7" s="176">
        <f>+'CRC Prices &amp; Revenue'!M137</f>
        <v>29219.705603047641</v>
      </c>
      <c r="I7" s="176"/>
      <c r="J7" s="176">
        <f>+H7+G7</f>
        <v>76051.830575516404</v>
      </c>
      <c r="K7" s="11"/>
      <c r="L7" s="177">
        <f t="shared" ref="L7:L18" si="1">+J7/E7</f>
        <v>10.44797166895858</v>
      </c>
      <c r="M7" s="11"/>
      <c r="N7" s="82">
        <f>+'Customer Counts'!D6+'Customer Counts'!F6+'Customer Counts'!O6+'Customer Counts'!Q6</f>
        <v>125324</v>
      </c>
      <c r="O7" s="170">
        <f>+'Customer Counts'!G6+'Customer Counts'!H6+'Customer Counts'!R6+'Customer Counts'!S6</f>
        <v>137320</v>
      </c>
      <c r="P7" s="82">
        <f>+O7+N7</f>
        <v>262644</v>
      </c>
      <c r="Q7" s="11"/>
      <c r="R7" s="114">
        <f t="shared" ref="R7:R12" si="2">+C7*2000/N7</f>
        <v>60.18639685934059</v>
      </c>
      <c r="S7" s="114">
        <f t="shared" ref="S7:T9" si="3">+D7*2000/O7</f>
        <v>51.087969705796681</v>
      </c>
      <c r="T7" s="114">
        <f t="shared" si="3"/>
        <v>55.42940253727479</v>
      </c>
      <c r="V7" s="286">
        <f>+G7/C7</f>
        <v>12.417702967722533</v>
      </c>
      <c r="W7" s="286"/>
      <c r="X7" s="286">
        <f>+H7/D7</f>
        <v>8.3301609610421767</v>
      </c>
    </row>
    <row r="8" spans="1:24">
      <c r="A8" t="s">
        <v>56</v>
      </c>
      <c r="C8" s="114">
        <f>+'King County Tonnage'!T7+'King County Tonnage'!T8</f>
        <v>3448.7000000000007</v>
      </c>
      <c r="D8" s="114">
        <f>+'Snohomish County Tonnage'!Q7+'Snohomish County Tonnage'!Q8</f>
        <v>3267.8</v>
      </c>
      <c r="E8" s="114">
        <f t="shared" si="0"/>
        <v>6716.5000000000009</v>
      </c>
      <c r="F8" s="11"/>
      <c r="G8" s="176">
        <f>+'CRC Prices &amp; Revenue'!M44</f>
        <v>51223.202003094775</v>
      </c>
      <c r="H8" s="176">
        <f>+'CRC Prices &amp; Revenue'!M141</f>
        <v>36905.810880583929</v>
      </c>
      <c r="I8" s="176"/>
      <c r="J8" s="176">
        <f t="shared" ref="J8:J30" si="4">+H8+G8</f>
        <v>88129.012883678704</v>
      </c>
      <c r="K8" s="11"/>
      <c r="L8" s="177">
        <f t="shared" si="1"/>
        <v>13.121270436042387</v>
      </c>
      <c r="M8" s="11"/>
      <c r="N8" s="82">
        <f>+'Customer Counts'!D7+'Customer Counts'!F7+'Customer Counts'!O7+'Customer Counts'!Q7</f>
        <v>125324</v>
      </c>
      <c r="O8" s="170">
        <f>+'Customer Counts'!G7+'Customer Counts'!H7+'Customer Counts'!R7+'Customer Counts'!S7</f>
        <v>137320</v>
      </c>
      <c r="P8" s="82">
        <f t="shared" ref="P8:P29" si="5">+O8+N8</f>
        <v>262644</v>
      </c>
      <c r="Q8" s="11"/>
      <c r="R8" s="114">
        <f t="shared" si="2"/>
        <v>55.036545274648127</v>
      </c>
      <c r="S8" s="114">
        <f t="shared" si="3"/>
        <v>47.593941159335856</v>
      </c>
      <c r="T8" s="114">
        <f t="shared" si="3"/>
        <v>51.145276495941282</v>
      </c>
      <c r="V8" s="286">
        <f t="shared" ref="V8:V13" si="6">+G8/C8</f>
        <v>14.85290167399158</v>
      </c>
      <c r="W8" s="286"/>
      <c r="X8" s="286">
        <f t="shared" ref="X8:X13" si="7">+H8/D8</f>
        <v>11.293778958499274</v>
      </c>
    </row>
    <row r="9" spans="1:24">
      <c r="A9" t="s">
        <v>73</v>
      </c>
      <c r="C9" s="114">
        <f>+'King County Tonnage'!T11+'King County Tonnage'!T12</f>
        <v>4002.8000000000006</v>
      </c>
      <c r="D9" s="114">
        <f>+'Snohomish County Tonnage'!Q11+'Snohomish County Tonnage'!Q12</f>
        <v>3676.18</v>
      </c>
      <c r="E9" s="114">
        <f t="shared" si="0"/>
        <v>7678.9800000000005</v>
      </c>
      <c r="F9" s="11"/>
      <c r="G9" s="176">
        <f>+'CRC Prices &amp; Revenue'!M48</f>
        <v>28073.678028549755</v>
      </c>
      <c r="H9" s="176">
        <f>+'CRC Prices &amp; Revenue'!M145</f>
        <v>8845.8614513809189</v>
      </c>
      <c r="I9" s="176"/>
      <c r="J9" s="176">
        <f t="shared" si="4"/>
        <v>36919.539479930674</v>
      </c>
      <c r="K9" s="11"/>
      <c r="L9" s="177">
        <f t="shared" si="1"/>
        <v>4.8078702483833364</v>
      </c>
      <c r="M9" s="11"/>
      <c r="N9" s="82">
        <f>+'Customer Counts'!D8+'Customer Counts'!F8+'Customer Counts'!O8+'Customer Counts'!Q8</f>
        <v>125402</v>
      </c>
      <c r="O9" s="170">
        <f>+'Customer Counts'!G8+'Customer Counts'!H8+'Customer Counts'!R8+'Customer Counts'!S8</f>
        <v>137541</v>
      </c>
      <c r="P9" s="82">
        <f t="shared" si="5"/>
        <v>262943</v>
      </c>
      <c r="Q9" s="11"/>
      <c r="R9" s="114">
        <f t="shared" si="2"/>
        <v>63.839492193106977</v>
      </c>
      <c r="S9" s="114">
        <f t="shared" si="3"/>
        <v>53.455769552351661</v>
      </c>
      <c r="T9" s="114">
        <f t="shared" si="3"/>
        <v>58.407943927010805</v>
      </c>
      <c r="V9" s="286">
        <f t="shared" si="6"/>
        <v>7.0135100501023659</v>
      </c>
      <c r="W9" s="286"/>
      <c r="X9" s="286">
        <f t="shared" si="7"/>
        <v>2.4062645059221581</v>
      </c>
    </row>
    <row r="10" spans="1:24">
      <c r="A10" s="11" t="s">
        <v>221</v>
      </c>
      <c r="C10" s="114">
        <f>+'King County Tonnage'!T15+'King County Tonnage'!T16</f>
        <v>3999.7000000000003</v>
      </c>
      <c r="D10" s="114">
        <f>+'Snohomish County Tonnage'!Q15+'Snohomish County Tonnage'!Q16</f>
        <v>3784.5</v>
      </c>
      <c r="E10" s="114">
        <f t="shared" si="0"/>
        <v>7784.2000000000007</v>
      </c>
      <c r="F10" s="11"/>
      <c r="G10" s="176">
        <f>+'CRC Prices &amp; Revenue'!M52</f>
        <v>45777.67718268709</v>
      </c>
      <c r="H10" s="176">
        <f>+'CRC Prices &amp; Revenue'!M149</f>
        <v>35248.709827798797</v>
      </c>
      <c r="I10" s="176"/>
      <c r="J10" s="176">
        <f t="shared" si="4"/>
        <v>81026.387010485894</v>
      </c>
      <c r="K10" s="11"/>
      <c r="L10" s="177">
        <f t="shared" si="1"/>
        <v>10.409083401054172</v>
      </c>
      <c r="M10" s="11"/>
      <c r="N10" s="82">
        <f>+'Customer Counts'!D9+'Customer Counts'!F9+'Customer Counts'!O9+'Customer Counts'!Q9</f>
        <v>125347</v>
      </c>
      <c r="O10" s="170">
        <f>+'Customer Counts'!G9+'Customer Counts'!H9+'Customer Counts'!R9+'Customer Counts'!S9</f>
        <v>137496</v>
      </c>
      <c r="P10" s="82">
        <f t="shared" si="5"/>
        <v>262843</v>
      </c>
      <c r="Q10" s="11"/>
      <c r="R10" s="114">
        <f t="shared" si="2"/>
        <v>63.818041117856836</v>
      </c>
      <c r="S10" s="114">
        <f t="shared" ref="S10:T12" si="8">+D10*2000/O10</f>
        <v>55.048874149066158</v>
      </c>
      <c r="T10" s="114">
        <f t="shared" si="8"/>
        <v>59.230795569979044</v>
      </c>
      <c r="V10" s="286">
        <f t="shared" si="6"/>
        <v>11.445277691498633</v>
      </c>
      <c r="W10" s="286"/>
      <c r="X10" s="286">
        <f t="shared" si="7"/>
        <v>9.3139674535074111</v>
      </c>
    </row>
    <row r="11" spans="1:24">
      <c r="A11" t="s">
        <v>84</v>
      </c>
      <c r="C11" s="114">
        <f>+'King County Tonnage'!T19+'King County Tonnage'!T20</f>
        <v>3465.9000000000005</v>
      </c>
      <c r="D11" s="114">
        <f>+'Snohomish County Tonnage'!Q19+'Snohomish County Tonnage'!Q20</f>
        <v>3254.7</v>
      </c>
      <c r="E11" s="114">
        <f t="shared" si="0"/>
        <v>6720.6</v>
      </c>
      <c r="F11" s="11"/>
      <c r="G11" s="176">
        <f>+'CRC Prices &amp; Revenue'!M56</f>
        <v>46764.699464205507</v>
      </c>
      <c r="H11" s="176">
        <f>+'CRC Prices &amp; Revenue'!M153</f>
        <v>27656.413188686456</v>
      </c>
      <c r="I11" s="176"/>
      <c r="J11" s="176">
        <f t="shared" si="4"/>
        <v>74421.112652891956</v>
      </c>
      <c r="K11" s="11"/>
      <c r="L11" s="177">
        <f t="shared" si="1"/>
        <v>11.073581622606904</v>
      </c>
      <c r="M11" s="11"/>
      <c r="N11" s="82">
        <f>+'Customer Counts'!D10+'Customer Counts'!F10+'Customer Counts'!O10+'Customer Counts'!Q10</f>
        <v>125513</v>
      </c>
      <c r="O11" s="170">
        <f>+'Customer Counts'!G10+'Customer Counts'!H10+'Customer Counts'!R10+'Customer Counts'!S10</f>
        <v>137717</v>
      </c>
      <c r="P11" s="82">
        <f t="shared" si="5"/>
        <v>263230</v>
      </c>
      <c r="Q11" s="11"/>
      <c r="R11" s="114">
        <f t="shared" si="2"/>
        <v>55.227745333152747</v>
      </c>
      <c r="S11" s="114">
        <f t="shared" si="8"/>
        <v>47.266495784834113</v>
      </c>
      <c r="T11" s="114">
        <f t="shared" si="8"/>
        <v>51.062568856133417</v>
      </c>
      <c r="V11" s="286">
        <f t="shared" si="6"/>
        <v>13.49280113800326</v>
      </c>
      <c r="W11" s="286"/>
      <c r="X11" s="286">
        <f t="shared" si="7"/>
        <v>8.4973770819695993</v>
      </c>
    </row>
    <row r="12" spans="1:24">
      <c r="A12" t="s">
        <v>85</v>
      </c>
      <c r="C12" s="114">
        <f>+'King County Tonnage'!T23+'King County Tonnage'!T24</f>
        <v>3545.2400000000002</v>
      </c>
      <c r="D12" s="114">
        <f>+'Snohomish County Tonnage'!Q23+'Snohomish County Tonnage'!Q24</f>
        <v>3349.8499999999995</v>
      </c>
      <c r="E12" s="114">
        <f t="shared" si="0"/>
        <v>6895.09</v>
      </c>
      <c r="F12" s="11"/>
      <c r="G12" s="176">
        <f>+'CRC Prices &amp; Revenue'!M60</f>
        <v>21959.023844120362</v>
      </c>
      <c r="H12" s="176">
        <f>+'CRC Prices &amp; Revenue'!M157</f>
        <v>12970.046767280002</v>
      </c>
      <c r="I12" s="176"/>
      <c r="J12" s="176">
        <f t="shared" si="4"/>
        <v>34929.070611400362</v>
      </c>
      <c r="K12" s="11"/>
      <c r="L12" s="177">
        <f t="shared" si="1"/>
        <v>5.0657889326173207</v>
      </c>
      <c r="M12" s="11"/>
      <c r="N12" s="82">
        <f>+'Customer Counts'!D11+'Customer Counts'!F11+'Customer Counts'!O11+'Customer Counts'!Q11</f>
        <v>125593</v>
      </c>
      <c r="O12" s="170">
        <f>+'Customer Counts'!G11+'Customer Counts'!H11+'Customer Counts'!R11+'Customer Counts'!S11</f>
        <v>138052</v>
      </c>
      <c r="P12" s="82">
        <f t="shared" si="5"/>
        <v>263645</v>
      </c>
      <c r="Q12" s="11"/>
      <c r="R12" s="114">
        <f t="shared" si="2"/>
        <v>56.456012675865701</v>
      </c>
      <c r="S12" s="114">
        <f t="shared" si="8"/>
        <v>48.530263958508378</v>
      </c>
      <c r="T12" s="114">
        <f t="shared" si="8"/>
        <v>52.305865842325858</v>
      </c>
      <c r="V12" s="286">
        <f t="shared" si="6"/>
        <v>6.1939456409496563</v>
      </c>
      <c r="W12" s="286"/>
      <c r="X12" s="286">
        <f t="shared" si="7"/>
        <v>3.8718291169097139</v>
      </c>
    </row>
    <row r="13" spans="1:24">
      <c r="A13" t="s">
        <v>86</v>
      </c>
      <c r="C13" s="114">
        <f>+'King County Tonnage'!T27+'King County Tonnage'!T28</f>
        <v>3780.5</v>
      </c>
      <c r="D13" s="114">
        <f>+'Snohomish County Tonnage'!Q27+'Snohomish County Tonnage'!Q28</f>
        <v>3726.0099999999998</v>
      </c>
      <c r="E13" s="114">
        <f t="shared" si="0"/>
        <v>7506.51</v>
      </c>
      <c r="F13" s="11"/>
      <c r="G13" s="176">
        <f>+'CRC Prices &amp; Revenue'!M64</f>
        <v>29688.520815819691</v>
      </c>
      <c r="H13" s="176">
        <f>+'CRC Prices &amp; Revenue'!M161</f>
        <v>23493.772796823087</v>
      </c>
      <c r="I13" s="176"/>
      <c r="J13" s="176">
        <f t="shared" si="4"/>
        <v>53182.293612642781</v>
      </c>
      <c r="K13" s="11"/>
      <c r="L13" s="177">
        <f t="shared" si="1"/>
        <v>7.0848228554471762</v>
      </c>
      <c r="M13" s="11"/>
      <c r="N13" s="82">
        <f>+'Customer Counts'!D12+'Customer Counts'!F12+'Customer Counts'!O12+'Customer Counts'!Q12</f>
        <v>126036</v>
      </c>
      <c r="O13" s="170">
        <f>+'Customer Counts'!G12+'Customer Counts'!H12+'Customer Counts'!R12+'Customer Counts'!S12</f>
        <v>138997</v>
      </c>
      <c r="P13" s="82">
        <f t="shared" si="5"/>
        <v>265033</v>
      </c>
      <c r="Q13" s="11"/>
      <c r="R13" s="114">
        <f t="shared" ref="R13:T14" si="9">+C13*2000/N13</f>
        <v>59.990796280427816</v>
      </c>
      <c r="S13" s="114">
        <f t="shared" si="9"/>
        <v>53.612811787304757</v>
      </c>
      <c r="T13" s="114">
        <f t="shared" si="9"/>
        <v>56.645851648662621</v>
      </c>
      <c r="V13" s="286">
        <f t="shared" si="6"/>
        <v>7.8530672704191753</v>
      </c>
      <c r="W13" s="286"/>
      <c r="X13" s="286">
        <f t="shared" si="7"/>
        <v>6.3053434630672189</v>
      </c>
    </row>
    <row r="14" spans="1:24">
      <c r="A14" t="s">
        <v>61</v>
      </c>
      <c r="C14" s="114">
        <f>+'King County Tonnage'!T31+'King County Tonnage'!T32</f>
        <v>3586.21</v>
      </c>
      <c r="D14" s="114">
        <f>+'Snohomish County Tonnage'!Q31+'Snohomish County Tonnage'!Q32</f>
        <v>3594.7000000000003</v>
      </c>
      <c r="E14" s="114">
        <f t="shared" si="0"/>
        <v>7180.91</v>
      </c>
      <c r="F14" s="11"/>
      <c r="G14" s="176">
        <f>+'CRC Prices &amp; Revenue'!M68</f>
        <v>46630.157317520825</v>
      </c>
      <c r="H14" s="176">
        <f>+'CRC Prices &amp; Revenue'!M165</f>
        <v>50532.234786065135</v>
      </c>
      <c r="I14" s="176"/>
      <c r="J14" s="176">
        <f t="shared" si="4"/>
        <v>97162.392103585968</v>
      </c>
      <c r="K14" s="11"/>
      <c r="L14" s="177">
        <f t="shared" si="1"/>
        <v>13.530651700632088</v>
      </c>
      <c r="M14" s="11"/>
      <c r="N14" s="82">
        <f>+'Customer Counts'!D13+'Customer Counts'!F13+'Customer Counts'!O13+'Customer Counts'!Q13</f>
        <v>126465</v>
      </c>
      <c r="O14" s="170">
        <f>+'Customer Counts'!G13+'Customer Counts'!H13+'Customer Counts'!R13+'Customer Counts'!S13</f>
        <v>139630</v>
      </c>
      <c r="P14" s="82">
        <f t="shared" si="5"/>
        <v>266095</v>
      </c>
      <c r="Q14" s="11"/>
      <c r="R14" s="114">
        <f t="shared" si="9"/>
        <v>56.714664136322305</v>
      </c>
      <c r="S14" s="114">
        <f t="shared" si="9"/>
        <v>51.488935042612624</v>
      </c>
      <c r="T14" s="114">
        <f t="shared" si="9"/>
        <v>53.972528608203838</v>
      </c>
      <c r="V14" s="286">
        <f>+G14/C14</f>
        <v>13.002628768956873</v>
      </c>
      <c r="W14" s="286"/>
      <c r="X14" s="286">
        <f>+H14/D14</f>
        <v>14.057427542233047</v>
      </c>
    </row>
    <row r="15" spans="1:24">
      <c r="A15" t="s">
        <v>68</v>
      </c>
      <c r="C15" s="114">
        <f>+'King County Tonnage'!T35+'King County Tonnage'!T36</f>
        <v>3887.3</v>
      </c>
      <c r="D15" s="114">
        <f>+'Snohomish County Tonnage'!Q35+'Snohomish County Tonnage'!Q36</f>
        <v>3803.33</v>
      </c>
      <c r="E15" s="114">
        <f t="shared" si="0"/>
        <v>7690.63</v>
      </c>
      <c r="F15" s="11"/>
      <c r="G15" s="176">
        <f>+'CRC Prices &amp; Revenue'!M72</f>
        <v>39536.859407622171</v>
      </c>
      <c r="H15" s="176">
        <f>+'CRC Prices &amp; Revenue'!M169</f>
        <v>44976.782572432254</v>
      </c>
      <c r="I15" s="176"/>
      <c r="J15" s="176">
        <f t="shared" si="4"/>
        <v>84513.641980054424</v>
      </c>
      <c r="K15" s="11"/>
      <c r="L15" s="177">
        <f t="shared" si="1"/>
        <v>10.989170195426697</v>
      </c>
      <c r="M15" s="11"/>
      <c r="N15" s="82">
        <f>+'Customer Counts'!D14+'Customer Counts'!F14+'Customer Counts'!O14+'Customer Counts'!Q14</f>
        <v>126796</v>
      </c>
      <c r="O15" s="170">
        <f>+'Customer Counts'!G14+'Customer Counts'!H14+'Customer Counts'!R14+'Customer Counts'!S14</f>
        <v>140130</v>
      </c>
      <c r="P15" s="82">
        <f t="shared" si="5"/>
        <v>266926</v>
      </c>
      <c r="Q15" s="11"/>
      <c r="R15" s="114">
        <f t="shared" ref="R15" si="10">+C15*2000/N15</f>
        <v>61.315814379002489</v>
      </c>
      <c r="S15" s="114">
        <f t="shared" ref="S15" si="11">+D15*2000/O15</f>
        <v>54.282880182687506</v>
      </c>
      <c r="T15" s="114">
        <f t="shared" ref="T15" si="12">+E15*2000/P15</f>
        <v>57.62368596539865</v>
      </c>
      <c r="V15" s="286">
        <f>+G15/C15</f>
        <v>10.170776479207206</v>
      </c>
      <c r="W15" s="286"/>
      <c r="X15" s="286">
        <f>+H15/D15</f>
        <v>11.825632425383086</v>
      </c>
    </row>
    <row r="16" spans="1:24">
      <c r="A16" t="s">
        <v>69</v>
      </c>
      <c r="C16" s="114">
        <f>+'King County Tonnage'!T39+'King County Tonnage'!T40</f>
        <v>4121.54</v>
      </c>
      <c r="D16" s="114">
        <f>+'Snohomish County Tonnage'!Q39+'Snohomish County Tonnage'!Q40</f>
        <v>3892.9100000000003</v>
      </c>
      <c r="E16" s="114">
        <f t="shared" si="0"/>
        <v>8014.4500000000007</v>
      </c>
      <c r="F16" s="11"/>
      <c r="G16" s="176">
        <f>+'CRC Prices &amp; Revenue'!M76</f>
        <v>43819.30022373909</v>
      </c>
      <c r="H16" s="176">
        <f>+'CRC Prices &amp; Revenue'!M173</f>
        <v>40688.43242421373</v>
      </c>
      <c r="I16" s="176"/>
      <c r="J16" s="176">
        <f t="shared" si="4"/>
        <v>84507.732647952827</v>
      </c>
      <c r="K16" s="11"/>
      <c r="L16" s="177">
        <f t="shared" si="1"/>
        <v>10.544420721066675</v>
      </c>
      <c r="M16" s="11"/>
      <c r="N16" s="82">
        <f>+'Customer Counts'!D15+'Customer Counts'!F15+'Customer Counts'!O15+'Customer Counts'!Q15</f>
        <v>127064</v>
      </c>
      <c r="O16" s="170">
        <f>+'Customer Counts'!G15+'Customer Counts'!H15+'Customer Counts'!R15+'Customer Counts'!S15</f>
        <v>140574</v>
      </c>
      <c r="P16" s="82">
        <f t="shared" si="5"/>
        <v>267638</v>
      </c>
      <c r="Q16" s="11"/>
      <c r="R16" s="114">
        <f t="shared" ref="R16" si="13">+C16*2000/N16</f>
        <v>64.873449600201468</v>
      </c>
      <c r="S16" s="114">
        <f t="shared" ref="S16" si="14">+D16*2000/O16</f>
        <v>55.385917737277168</v>
      </c>
      <c r="T16" s="114">
        <f t="shared" ref="T16" si="15">+E16*2000/P16</f>
        <v>59.890224855962167</v>
      </c>
      <c r="V16" s="286">
        <f>+G16/C16</f>
        <v>10.631778467208639</v>
      </c>
      <c r="X16" s="286">
        <f>+H16/D16</f>
        <v>10.451932468054419</v>
      </c>
    </row>
    <row r="17" spans="1:27">
      <c r="A17" t="s">
        <v>70</v>
      </c>
      <c r="C17" s="114">
        <f>+'King County Tonnage'!T43+'King County Tonnage'!T44</f>
        <v>3903.49</v>
      </c>
      <c r="D17" s="114">
        <f>+'Snohomish County Tonnage'!Q43+'Snohomish County Tonnage'!Q44</f>
        <v>3535.7500000000005</v>
      </c>
      <c r="E17" s="114">
        <f t="shared" si="0"/>
        <v>7439.24</v>
      </c>
      <c r="F17" s="11"/>
      <c r="G17" s="176">
        <f>+'CRC Prices &amp; Revenue'!M80</f>
        <v>71908.23000380813</v>
      </c>
      <c r="H17" s="176">
        <f>+'CRC Prices &amp; Revenue'!M177</f>
        <v>66764.781596795248</v>
      </c>
      <c r="I17" s="176"/>
      <c r="J17" s="176">
        <f t="shared" si="4"/>
        <v>138673.01160060338</v>
      </c>
      <c r="K17" s="11"/>
      <c r="L17" s="177">
        <f t="shared" si="1"/>
        <v>18.640749807857173</v>
      </c>
      <c r="M17" s="11"/>
      <c r="N17" s="82">
        <f>+'Customer Counts'!D16+'Customer Counts'!F16+'Customer Counts'!O16+'Customer Counts'!Q16</f>
        <v>127283</v>
      </c>
      <c r="O17" s="170">
        <f>+'Customer Counts'!G16+'Customer Counts'!H16+'Customer Counts'!R16+'Customer Counts'!S16</f>
        <v>140940</v>
      </c>
      <c r="P17" s="82">
        <f t="shared" si="5"/>
        <v>268223</v>
      </c>
      <c r="Q17" s="11"/>
      <c r="R17" s="114">
        <f t="shared" ref="R17" si="16">+C17*2000/N17</f>
        <v>61.335606483191</v>
      </c>
      <c r="S17" s="114">
        <f t="shared" ref="S17" si="17">+D17*2000/O17</f>
        <v>50.17383283666809</v>
      </c>
      <c r="T17" s="114">
        <f t="shared" ref="T17" si="18">+E17*2000/P17</f>
        <v>55.470559944523771</v>
      </c>
      <c r="V17" s="286">
        <f>+G17/C17</f>
        <v>18.421522792118882</v>
      </c>
      <c r="X17" s="286">
        <f>+H17/D17</f>
        <v>18.88277779729767</v>
      </c>
    </row>
    <row r="18" spans="1:27">
      <c r="A18" t="s">
        <v>71</v>
      </c>
      <c r="C18" s="114">
        <f>+'King County Tonnage'!T47+'King County Tonnage'!T48</f>
        <v>4193.99</v>
      </c>
      <c r="D18" s="114">
        <f>+'Snohomish County Tonnage'!Q47+'Snohomish County Tonnage'!Q48</f>
        <v>3791.37</v>
      </c>
      <c r="E18" s="114">
        <f t="shared" si="0"/>
        <v>7985.36</v>
      </c>
      <c r="F18" s="11"/>
      <c r="G18" s="176">
        <f>+'CRC Prices &amp; Revenue'!M84</f>
        <v>106808.13351164365</v>
      </c>
      <c r="H18" s="176">
        <f>+'CRC Prices &amp; Revenue'!M181</f>
        <v>96189.79460019627</v>
      </c>
      <c r="I18" s="176"/>
      <c r="J18" s="176">
        <f t="shared" si="4"/>
        <v>202997.92811183992</v>
      </c>
      <c r="K18" s="11"/>
      <c r="L18" s="177">
        <f t="shared" si="1"/>
        <v>25.421261923299628</v>
      </c>
      <c r="M18" s="11"/>
      <c r="N18" s="82">
        <f>+'Customer Counts'!D17+'Customer Counts'!F17+'Customer Counts'!O17+'Customer Counts'!Q17</f>
        <v>126914</v>
      </c>
      <c r="O18" s="170">
        <f>+'Customer Counts'!G17+'Customer Counts'!H17+'Customer Counts'!R17+'Customer Counts'!S17</f>
        <v>140697</v>
      </c>
      <c r="P18" s="82">
        <f t="shared" si="5"/>
        <v>267611</v>
      </c>
      <c r="Q18" s="11"/>
      <c r="R18" s="114">
        <f t="shared" ref="R18" si="19">+C18*2000/N18</f>
        <v>66.091841719589638</v>
      </c>
      <c r="S18" s="114">
        <f t="shared" ref="S18" si="20">+D18*2000/O18</f>
        <v>53.89411288087166</v>
      </c>
      <c r="T18" s="114">
        <f t="shared" ref="T18" si="21">+E18*2000/P18</f>
        <v>59.678862229131092</v>
      </c>
      <c r="V18" s="286">
        <f>+G18/C18</f>
        <v>25.46694997166032</v>
      </c>
      <c r="X18" s="286">
        <f>+H18/D18</f>
        <v>25.370722087318377</v>
      </c>
    </row>
    <row r="19" spans="1:27" ht="15">
      <c r="A19" t="s">
        <v>55</v>
      </c>
      <c r="C19" s="114"/>
      <c r="D19" s="114"/>
      <c r="E19" s="114">
        <f t="shared" si="0"/>
        <v>0</v>
      </c>
      <c r="F19" s="178"/>
      <c r="G19" s="176"/>
      <c r="H19" s="176"/>
      <c r="I19" s="179"/>
      <c r="J19" s="176">
        <f t="shared" si="4"/>
        <v>0</v>
      </c>
      <c r="K19" s="11"/>
      <c r="L19" s="177"/>
      <c r="M19" s="11"/>
      <c r="N19" s="82">
        <f>+'Customer Counts'!D18+'Customer Counts'!F18+'Customer Counts'!O18+'Customer Counts'!Q18</f>
        <v>0</v>
      </c>
      <c r="O19" s="170">
        <f>+'Customer Counts'!G18+'Customer Counts'!H18+'Customer Counts'!R18+'Customer Counts'!S18</f>
        <v>0</v>
      </c>
      <c r="P19" s="82">
        <f t="shared" si="5"/>
        <v>0</v>
      </c>
      <c r="Q19" s="11"/>
      <c r="R19" s="114"/>
      <c r="S19" s="114"/>
      <c r="T19" s="114"/>
    </row>
    <row r="20" spans="1:27" ht="15">
      <c r="A20" t="s">
        <v>56</v>
      </c>
      <c r="C20" s="114"/>
      <c r="D20" s="114"/>
      <c r="E20" s="114">
        <f t="shared" si="0"/>
        <v>0</v>
      </c>
      <c r="F20" s="178"/>
      <c r="G20" s="176"/>
      <c r="H20" s="176"/>
      <c r="I20" s="179"/>
      <c r="J20" s="176">
        <f t="shared" si="4"/>
        <v>0</v>
      </c>
      <c r="K20" s="11"/>
      <c r="L20" s="177"/>
      <c r="M20" s="11"/>
      <c r="N20" s="82">
        <f>+'Customer Counts'!D19+'Customer Counts'!F19+'Customer Counts'!O19+'Customer Counts'!Q19</f>
        <v>0</v>
      </c>
      <c r="O20" s="170">
        <f>+'Customer Counts'!G19+'Customer Counts'!H19+'Customer Counts'!R19+'Customer Counts'!S19</f>
        <v>0</v>
      </c>
      <c r="P20" s="82">
        <f t="shared" si="5"/>
        <v>0</v>
      </c>
      <c r="Q20" s="11"/>
      <c r="R20" s="114"/>
      <c r="S20" s="114"/>
      <c r="T20" s="114"/>
    </row>
    <row r="21" spans="1:27">
      <c r="A21" t="s">
        <v>73</v>
      </c>
      <c r="C21" s="114"/>
      <c r="D21" s="114"/>
      <c r="E21" s="114">
        <f t="shared" si="0"/>
        <v>0</v>
      </c>
      <c r="F21" s="11"/>
      <c r="G21" s="176"/>
      <c r="H21" s="176"/>
      <c r="I21" s="176"/>
      <c r="J21" s="176">
        <f t="shared" si="4"/>
        <v>0</v>
      </c>
      <c r="K21" s="11"/>
      <c r="L21" s="177"/>
      <c r="M21" s="11"/>
      <c r="N21" s="82">
        <f>+'Customer Counts'!D20+'Customer Counts'!F20+'Customer Counts'!O20+'Customer Counts'!Q20</f>
        <v>0</v>
      </c>
      <c r="O21" s="170">
        <f>+'Customer Counts'!G20+'Customer Counts'!H20+'Customer Counts'!R20+'Customer Counts'!S20</f>
        <v>0</v>
      </c>
      <c r="P21" s="82">
        <f t="shared" si="5"/>
        <v>0</v>
      </c>
      <c r="Q21" s="11"/>
      <c r="R21" s="114"/>
      <c r="S21" s="114"/>
      <c r="T21" s="114"/>
    </row>
    <row r="22" spans="1:27" ht="15">
      <c r="A22" s="11" t="s">
        <v>222</v>
      </c>
      <c r="C22" s="114"/>
      <c r="D22" s="114"/>
      <c r="E22" s="114">
        <f t="shared" si="0"/>
        <v>0</v>
      </c>
      <c r="F22" s="178"/>
      <c r="G22" s="176"/>
      <c r="H22" s="176"/>
      <c r="I22" s="179"/>
      <c r="J22" s="176">
        <f t="shared" si="4"/>
        <v>0</v>
      </c>
      <c r="K22" s="11"/>
      <c r="L22" s="177"/>
      <c r="M22" s="11"/>
      <c r="N22" s="82">
        <f>+'Customer Counts'!D21+'Customer Counts'!F21+'Customer Counts'!O21+'Customer Counts'!Q21</f>
        <v>0</v>
      </c>
      <c r="O22" s="170">
        <f>+'Customer Counts'!G21+'Customer Counts'!H21+'Customer Counts'!R21+'Customer Counts'!S21</f>
        <v>0</v>
      </c>
      <c r="P22" s="82">
        <f t="shared" si="5"/>
        <v>0</v>
      </c>
      <c r="Q22" s="11"/>
      <c r="R22" s="114"/>
      <c r="S22" s="114"/>
      <c r="T22" s="114"/>
    </row>
    <row r="23" spans="1:27" ht="15">
      <c r="A23" t="s">
        <v>84</v>
      </c>
      <c r="C23" s="114"/>
      <c r="D23" s="114"/>
      <c r="E23" s="114">
        <f t="shared" si="0"/>
        <v>0</v>
      </c>
      <c r="F23" s="178"/>
      <c r="G23" s="176"/>
      <c r="H23" s="176"/>
      <c r="I23" s="179"/>
      <c r="J23" s="176">
        <f t="shared" si="4"/>
        <v>0</v>
      </c>
      <c r="K23" s="11"/>
      <c r="L23" s="177"/>
      <c r="M23" s="11"/>
      <c r="N23" s="82">
        <f>+'Customer Counts'!D22+'Customer Counts'!F22+'Customer Counts'!O22+'Customer Counts'!Q22</f>
        <v>0</v>
      </c>
      <c r="O23" s="170">
        <f>+'Customer Counts'!G22+'Customer Counts'!H22+'Customer Counts'!R22+'Customer Counts'!S22</f>
        <v>0</v>
      </c>
      <c r="P23" s="82">
        <f t="shared" si="5"/>
        <v>0</v>
      </c>
      <c r="Q23" s="11"/>
      <c r="R23" s="114"/>
      <c r="S23" s="114"/>
      <c r="T23" s="114"/>
    </row>
    <row r="24" spans="1:27">
      <c r="A24" t="s">
        <v>85</v>
      </c>
      <c r="C24" s="114"/>
      <c r="D24" s="114"/>
      <c r="E24" s="114">
        <f t="shared" si="0"/>
        <v>0</v>
      </c>
      <c r="F24" s="11"/>
      <c r="G24" s="176"/>
      <c r="H24" s="176"/>
      <c r="I24" s="176"/>
      <c r="J24" s="176">
        <f t="shared" si="4"/>
        <v>0</v>
      </c>
      <c r="K24" s="11"/>
      <c r="L24" s="177"/>
      <c r="M24" s="11"/>
      <c r="N24" s="82">
        <f>+'Customer Counts'!D23+'Customer Counts'!F23+'Customer Counts'!O23+'Customer Counts'!Q23</f>
        <v>0</v>
      </c>
      <c r="O24" s="170">
        <f>+'Customer Counts'!G23+'Customer Counts'!H23+'Customer Counts'!R23+'Customer Counts'!S23</f>
        <v>0</v>
      </c>
      <c r="P24" s="82">
        <f t="shared" si="5"/>
        <v>0</v>
      </c>
      <c r="Q24" s="11"/>
      <c r="R24" s="114"/>
      <c r="S24" s="114"/>
      <c r="T24" s="114"/>
    </row>
    <row r="25" spans="1:27">
      <c r="A25" t="s">
        <v>86</v>
      </c>
      <c r="C25" s="114"/>
      <c r="D25" s="114"/>
      <c r="E25" s="114">
        <f t="shared" si="0"/>
        <v>0</v>
      </c>
      <c r="F25" s="11"/>
      <c r="G25" s="176"/>
      <c r="H25" s="176"/>
      <c r="I25" s="176"/>
      <c r="J25" s="176">
        <f t="shared" si="4"/>
        <v>0</v>
      </c>
      <c r="K25" s="11"/>
      <c r="L25" s="177"/>
      <c r="M25" s="11"/>
      <c r="N25" s="82">
        <f>+'Customer Counts'!D24+'Customer Counts'!F24+'Customer Counts'!O24+'Customer Counts'!Q24</f>
        <v>0</v>
      </c>
      <c r="O25" s="170">
        <f>+'Customer Counts'!G24+'Customer Counts'!H24+'Customer Counts'!R24+'Customer Counts'!S24</f>
        <v>0</v>
      </c>
      <c r="P25" s="82">
        <f t="shared" si="5"/>
        <v>0</v>
      </c>
      <c r="Q25" s="11"/>
      <c r="R25" s="114"/>
      <c r="S25" s="114"/>
      <c r="T25" s="114"/>
    </row>
    <row r="26" spans="1:27">
      <c r="A26" t="s">
        <v>61</v>
      </c>
      <c r="C26" s="114"/>
      <c r="D26" s="114"/>
      <c r="E26" s="114">
        <f t="shared" si="0"/>
        <v>0</v>
      </c>
      <c r="F26" s="11"/>
      <c r="G26" s="176"/>
      <c r="H26" s="176"/>
      <c r="I26" s="176"/>
      <c r="J26" s="176">
        <f t="shared" si="4"/>
        <v>0</v>
      </c>
      <c r="K26" s="11"/>
      <c r="L26" s="177"/>
      <c r="M26" s="11"/>
      <c r="N26" s="82">
        <f>+'Customer Counts'!D25+'Customer Counts'!F25+'Customer Counts'!O25+'Customer Counts'!Q25</f>
        <v>0</v>
      </c>
      <c r="O26" s="170">
        <f>+'Customer Counts'!G25+'Customer Counts'!H25+'Customer Counts'!R25+'Customer Counts'!S25</f>
        <v>0</v>
      </c>
      <c r="P26" s="82">
        <f t="shared" si="5"/>
        <v>0</v>
      </c>
      <c r="Q26" s="11"/>
      <c r="R26" s="114"/>
      <c r="S26" s="114"/>
      <c r="T26" s="114"/>
    </row>
    <row r="27" spans="1:27">
      <c r="A27" t="s">
        <v>68</v>
      </c>
      <c r="C27" s="114"/>
      <c r="D27" s="114"/>
      <c r="E27" s="114">
        <f t="shared" si="0"/>
        <v>0</v>
      </c>
      <c r="F27" s="11"/>
      <c r="G27" s="176"/>
      <c r="H27" s="176"/>
      <c r="I27" s="176"/>
      <c r="J27" s="176">
        <f t="shared" si="4"/>
        <v>0</v>
      </c>
      <c r="K27" s="11"/>
      <c r="L27" s="177"/>
      <c r="M27" s="11"/>
      <c r="N27" s="82">
        <f>+'Customer Counts'!D26+'Customer Counts'!F26+'Customer Counts'!O26+'Customer Counts'!Q26</f>
        <v>0</v>
      </c>
      <c r="O27" s="170">
        <f>+'Customer Counts'!G26+'Customer Counts'!H26+'Customer Counts'!R26+'Customer Counts'!S26</f>
        <v>0</v>
      </c>
      <c r="P27" s="82">
        <f t="shared" si="5"/>
        <v>0</v>
      </c>
      <c r="Q27" s="11"/>
      <c r="R27" s="114"/>
      <c r="S27" s="114"/>
      <c r="T27" s="114"/>
    </row>
    <row r="28" spans="1:27">
      <c r="A28" t="s">
        <v>69</v>
      </c>
      <c r="C28" s="114"/>
      <c r="D28" s="114"/>
      <c r="E28" s="114">
        <f t="shared" si="0"/>
        <v>0</v>
      </c>
      <c r="F28" s="11"/>
      <c r="G28" s="176"/>
      <c r="H28" s="176"/>
      <c r="I28" s="176"/>
      <c r="J28" s="176">
        <f t="shared" si="4"/>
        <v>0</v>
      </c>
      <c r="K28" s="11"/>
      <c r="L28" s="177"/>
      <c r="M28" s="11"/>
      <c r="N28" s="82">
        <f>+'Customer Counts'!D27+'Customer Counts'!F27+'Customer Counts'!O27+'Customer Counts'!Q27</f>
        <v>0</v>
      </c>
      <c r="O28" s="170">
        <f>+'Customer Counts'!G27+'Customer Counts'!H27+'Customer Counts'!R27+'Customer Counts'!S27</f>
        <v>0</v>
      </c>
      <c r="P28" s="82">
        <f t="shared" si="5"/>
        <v>0</v>
      </c>
      <c r="Q28" s="11"/>
      <c r="R28" s="114"/>
      <c r="S28" s="114"/>
      <c r="T28" s="114"/>
    </row>
    <row r="29" spans="1:27">
      <c r="A29" t="s">
        <v>70</v>
      </c>
      <c r="C29" s="114"/>
      <c r="D29" s="114"/>
      <c r="E29" s="114">
        <f t="shared" si="0"/>
        <v>0</v>
      </c>
      <c r="F29" s="11"/>
      <c r="G29" s="176"/>
      <c r="H29" s="176"/>
      <c r="I29" s="176"/>
      <c r="J29" s="176">
        <f t="shared" si="4"/>
        <v>0</v>
      </c>
      <c r="K29" s="11"/>
      <c r="L29" s="177"/>
      <c r="M29" s="11"/>
      <c r="N29" s="82">
        <f>+'Customer Counts'!D28+'Customer Counts'!F28+'Customer Counts'!O28+'Customer Counts'!Q28</f>
        <v>0</v>
      </c>
      <c r="O29" s="170">
        <f>+'Customer Counts'!G28+'Customer Counts'!H28+'Customer Counts'!R28+'Customer Counts'!S28</f>
        <v>0</v>
      </c>
      <c r="P29" s="82">
        <f t="shared" si="5"/>
        <v>0</v>
      </c>
      <c r="Q29" s="11"/>
      <c r="R29" s="114"/>
      <c r="S29" s="114"/>
      <c r="T29" s="114"/>
    </row>
    <row r="30" spans="1:27" s="79" customFormat="1" ht="16.5">
      <c r="A30" s="101" t="s">
        <v>71</v>
      </c>
      <c r="C30" s="99"/>
      <c r="D30" s="99"/>
      <c r="E30" s="180">
        <f t="shared" si="0"/>
        <v>0</v>
      </c>
      <c r="F30" s="181"/>
      <c r="G30" s="179"/>
      <c r="H30" s="179"/>
      <c r="I30" s="181"/>
      <c r="J30" s="179">
        <f t="shared" si="4"/>
        <v>0</v>
      </c>
      <c r="K30" s="181"/>
      <c r="L30" s="182"/>
      <c r="M30" s="178"/>
      <c r="N30" s="183">
        <f>+'Customer Counts'!D29+'Customer Counts'!F29+'Customer Counts'!O29+'Customer Counts'!Q29</f>
        <v>0</v>
      </c>
      <c r="O30" s="133">
        <f>+'Customer Counts'!G29+'Customer Counts'!H29+'Customer Counts'!R29+'Customer Counts'!S29</f>
        <v>0</v>
      </c>
      <c r="P30" s="183">
        <f>+O30+N30</f>
        <v>0</v>
      </c>
      <c r="Q30" s="178"/>
      <c r="R30" s="99"/>
      <c r="S30" s="99"/>
      <c r="T30" s="99"/>
      <c r="V30"/>
      <c r="W30"/>
      <c r="X30"/>
      <c r="Y30"/>
      <c r="Z30"/>
      <c r="AA30"/>
    </row>
    <row r="31" spans="1:27" ht="15">
      <c r="C31" s="184">
        <f>SUM(C7:C30)</f>
        <v>45706.770000000004</v>
      </c>
      <c r="D31" s="184">
        <f>SUM(D7:D30)</f>
        <v>43184.800000000003</v>
      </c>
      <c r="E31" s="184">
        <f>SUM(E7:E30)</f>
        <v>88891.57</v>
      </c>
      <c r="F31" s="184"/>
      <c r="G31" s="185">
        <f>SUM(G7:G30)</f>
        <v>579021.60677527986</v>
      </c>
      <c r="H31" s="185">
        <f>SUM(H7:H30)</f>
        <v>473492.34649530344</v>
      </c>
      <c r="I31" s="185"/>
      <c r="J31" s="185">
        <f>SUM(J7:J30)</f>
        <v>1052513.9532705834</v>
      </c>
      <c r="K31" s="11"/>
      <c r="L31" s="186">
        <f>+J31/E31</f>
        <v>11.840424837479903</v>
      </c>
      <c r="M31" s="11"/>
      <c r="N31" s="187">
        <f>SUM(N7:N30)</f>
        <v>1513061</v>
      </c>
      <c r="O31" s="187">
        <f>SUM(O7:O30)</f>
        <v>1666414</v>
      </c>
      <c r="P31" s="187">
        <f>SUM(P7:P30)</f>
        <v>3179475</v>
      </c>
      <c r="Q31" s="11"/>
      <c r="R31" s="184">
        <f>+C31*2000/N31</f>
        <v>60.416295179110435</v>
      </c>
      <c r="S31" s="184">
        <f>+D31*2000/O31</f>
        <v>51.829617369993294</v>
      </c>
      <c r="T31" s="184">
        <f>+E31*2000/P31</f>
        <v>55.915879193892074</v>
      </c>
    </row>
    <row r="32" spans="1:27">
      <c r="C32" s="11"/>
      <c r="D32" s="11"/>
      <c r="E32" s="11"/>
      <c r="F32" s="11"/>
      <c r="G32" s="11"/>
      <c r="H32" s="11"/>
      <c r="I32" s="11"/>
      <c r="J32" s="11"/>
      <c r="K32" s="11"/>
      <c r="L32" s="11"/>
      <c r="M32" s="11"/>
      <c r="N32" s="11"/>
      <c r="O32" s="11"/>
      <c r="P32" s="11"/>
      <c r="Q32" s="11"/>
      <c r="R32" s="11"/>
      <c r="S32" s="11"/>
      <c r="T32" s="11"/>
    </row>
    <row r="33" spans="1:27">
      <c r="C33" s="11"/>
      <c r="D33" s="11"/>
      <c r="E33" s="11"/>
      <c r="F33" s="11"/>
      <c r="G33" s="11"/>
      <c r="H33" s="11"/>
      <c r="I33" s="11"/>
      <c r="J33" s="11"/>
      <c r="K33" s="11"/>
      <c r="L33" s="11"/>
      <c r="M33" s="11"/>
      <c r="N33" s="11"/>
      <c r="O33" s="11"/>
      <c r="P33" s="11"/>
      <c r="Q33" s="11"/>
      <c r="R33" s="11"/>
      <c r="S33" s="11"/>
      <c r="T33" s="11"/>
    </row>
    <row r="34" spans="1:27" ht="15">
      <c r="A34" s="81" t="s">
        <v>99</v>
      </c>
      <c r="C34" s="11"/>
      <c r="D34" s="11"/>
      <c r="E34" s="11"/>
      <c r="F34" s="11"/>
      <c r="G34" s="11"/>
      <c r="H34" s="11"/>
      <c r="I34" s="11"/>
      <c r="J34" s="11"/>
      <c r="K34" s="11"/>
      <c r="L34" s="11"/>
      <c r="M34" s="11"/>
      <c r="N34" s="11"/>
      <c r="O34" s="11"/>
      <c r="P34" s="11"/>
      <c r="Q34" s="11"/>
      <c r="R34" s="11"/>
      <c r="S34" s="11"/>
      <c r="T34" s="11"/>
    </row>
    <row r="35" spans="1:27">
      <c r="A35" t="str">
        <f>+A7</f>
        <v>Oct., 2019</v>
      </c>
      <c r="C35" s="114">
        <f>+'King County Tonnage'!V3+'King County Tonnage'!V4</f>
        <v>1014.5999999999999</v>
      </c>
      <c r="D35" s="114">
        <f>+'Snohomish County Tonnage'!S3+'Snohomish County Tonnage'!S4</f>
        <v>2296.6999999999998</v>
      </c>
      <c r="E35" s="114">
        <f t="shared" ref="E35:E58" si="22">+D35+C35</f>
        <v>3311.2999999999997</v>
      </c>
      <c r="F35" s="11"/>
      <c r="G35" s="176">
        <f t="shared" ref="G35:H46" si="23">+C35/C7*G7</f>
        <v>12599.001431051282</v>
      </c>
      <c r="H35" s="176">
        <f t="shared" si="23"/>
        <v>19131.880679225567</v>
      </c>
      <c r="I35" s="176"/>
      <c r="J35" s="176">
        <f>+H35+G35</f>
        <v>31730.882110276849</v>
      </c>
      <c r="K35" s="11"/>
      <c r="L35" s="177">
        <f t="shared" ref="L35:L46" si="24">+J35/E35</f>
        <v>9.582605656472337</v>
      </c>
      <c r="M35" s="11"/>
      <c r="N35" s="82">
        <f>+'Customer Counts'!D6+'Customer Counts'!F6</f>
        <v>39152</v>
      </c>
      <c r="O35" s="170">
        <f>+'Customer Counts'!G6+'Customer Counts'!H6</f>
        <v>101778</v>
      </c>
      <c r="P35" s="82">
        <f>+O35+N35</f>
        <v>140930</v>
      </c>
      <c r="Q35" s="11"/>
      <c r="R35" s="114">
        <f t="shared" ref="R35:R40" si="25">+C35*2000/N35</f>
        <v>51.828769922353899</v>
      </c>
      <c r="S35" s="114">
        <f t="shared" ref="S35:T37" si="26">+D35*2000/O35</f>
        <v>45.131560848120422</v>
      </c>
      <c r="T35" s="114">
        <f t="shared" si="26"/>
        <v>46.992123749379118</v>
      </c>
      <c r="Z35" s="114"/>
      <c r="AA35" s="114"/>
    </row>
    <row r="36" spans="1:27">
      <c r="A36" t="str">
        <f t="shared" ref="A36:A58" si="27">+A8</f>
        <v>Nov</v>
      </c>
      <c r="C36" s="114">
        <f>+'King County Tonnage'!V7+'King County Tonnage'!V8</f>
        <v>916.5</v>
      </c>
      <c r="D36" s="114">
        <f>+'Snohomish County Tonnage'!S7+'Snohomish County Tonnage'!S8</f>
        <v>2149.7999999999997</v>
      </c>
      <c r="E36" s="114">
        <f t="shared" si="22"/>
        <v>3066.2999999999997</v>
      </c>
      <c r="F36" s="11"/>
      <c r="G36" s="176">
        <f t="shared" si="23"/>
        <v>13612.684384213284</v>
      </c>
      <c r="H36" s="176">
        <f t="shared" si="23"/>
        <v>24279.366004981737</v>
      </c>
      <c r="I36" s="176"/>
      <c r="J36" s="176">
        <f t="shared" ref="J36:J58" si="28">+H36+G36</f>
        <v>37892.050389195021</v>
      </c>
      <c r="K36" s="11"/>
      <c r="L36" s="177">
        <f t="shared" si="24"/>
        <v>12.357580924630671</v>
      </c>
      <c r="M36" s="11"/>
      <c r="N36" s="82">
        <f>+'Customer Counts'!D7+'Customer Counts'!F7</f>
        <v>39152</v>
      </c>
      <c r="O36" s="170">
        <f>+'Customer Counts'!G7+'Customer Counts'!H7</f>
        <v>101778</v>
      </c>
      <c r="P36" s="82">
        <f t="shared" ref="P36:P58" si="29">+O36+N36</f>
        <v>140930</v>
      </c>
      <c r="Q36" s="11"/>
      <c r="R36" s="114">
        <f t="shared" si="25"/>
        <v>46.817531671434409</v>
      </c>
      <c r="S36" s="114">
        <f t="shared" si="26"/>
        <v>42.244885928196652</v>
      </c>
      <c r="T36" s="114">
        <f t="shared" si="26"/>
        <v>43.515220322145737</v>
      </c>
      <c r="Z36" s="114"/>
      <c r="AA36" s="114"/>
    </row>
    <row r="37" spans="1:27">
      <c r="A37" t="str">
        <f t="shared" si="27"/>
        <v>Dec</v>
      </c>
      <c r="C37" s="114">
        <f>+'King County Tonnage'!V11+'King County Tonnage'!V12</f>
        <v>1088.1000000000001</v>
      </c>
      <c r="D37" s="114">
        <f>+'Snohomish County Tonnage'!S11+'Snohomish County Tonnage'!S12</f>
        <v>2397.4899999999998</v>
      </c>
      <c r="E37" s="114">
        <f t="shared" si="22"/>
        <v>3485.59</v>
      </c>
      <c r="F37" s="11"/>
      <c r="G37" s="176">
        <f t="shared" si="23"/>
        <v>7631.4002855163853</v>
      </c>
      <c r="H37" s="176">
        <f t="shared" si="23"/>
        <v>5768.9950903033141</v>
      </c>
      <c r="I37" s="176"/>
      <c r="J37" s="176">
        <f t="shared" si="28"/>
        <v>13400.395375819699</v>
      </c>
      <c r="K37" s="11"/>
      <c r="L37" s="177">
        <f t="shared" si="24"/>
        <v>3.8445128015112786</v>
      </c>
      <c r="M37" s="11"/>
      <c r="N37" s="82">
        <f>+'Customer Counts'!D8+'Customer Counts'!F8</f>
        <v>39177</v>
      </c>
      <c r="O37" s="170">
        <f>+'Customer Counts'!G8+'Customer Counts'!H8</f>
        <v>101958</v>
      </c>
      <c r="P37" s="82">
        <f t="shared" si="29"/>
        <v>141135</v>
      </c>
      <c r="Q37" s="11"/>
      <c r="R37" s="114">
        <f t="shared" si="25"/>
        <v>55.547898001378371</v>
      </c>
      <c r="S37" s="114">
        <f t="shared" si="26"/>
        <v>47.028972714254891</v>
      </c>
      <c r="T37" s="114">
        <f t="shared" si="26"/>
        <v>49.393701066354907</v>
      </c>
      <c r="Z37" s="114"/>
      <c r="AA37" s="114"/>
    </row>
    <row r="38" spans="1:27">
      <c r="A38" t="str">
        <f t="shared" si="27"/>
        <v>Jan., 2020</v>
      </c>
      <c r="B38" s="22"/>
      <c r="C38" s="114">
        <f>+'King County Tonnage'!V15+'King County Tonnage'!V16</f>
        <v>1008</v>
      </c>
      <c r="D38" s="114">
        <f>+'Snohomish County Tonnage'!S15+'Snohomish County Tonnage'!S16</f>
        <v>2513.5</v>
      </c>
      <c r="E38" s="171">
        <f t="shared" si="22"/>
        <v>3521.5</v>
      </c>
      <c r="F38" s="172"/>
      <c r="G38" s="176">
        <f t="shared" si="23"/>
        <v>11536.839913030622</v>
      </c>
      <c r="H38" s="176">
        <f t="shared" si="23"/>
        <v>23410.657194390878</v>
      </c>
      <c r="I38" s="176"/>
      <c r="J38" s="188">
        <f t="shared" si="28"/>
        <v>34947.497107421499</v>
      </c>
      <c r="K38" s="11"/>
      <c r="L38" s="177">
        <f t="shared" si="24"/>
        <v>9.9240372305612663</v>
      </c>
      <c r="M38" s="11"/>
      <c r="N38" s="82">
        <f>+'Customer Counts'!D9+'Customer Counts'!F9</f>
        <v>39138</v>
      </c>
      <c r="O38" s="170">
        <f>+'Customer Counts'!G9+'Customer Counts'!H9</f>
        <v>102000</v>
      </c>
      <c r="P38" s="82">
        <f t="shared" si="29"/>
        <v>141138</v>
      </c>
      <c r="Q38" s="11"/>
      <c r="R38" s="114">
        <f t="shared" si="25"/>
        <v>51.510041391997547</v>
      </c>
      <c r="S38" s="114">
        <f t="shared" ref="S38:T40" si="30">+D38*2000/O38</f>
        <v>49.284313725490193</v>
      </c>
      <c r="T38" s="114">
        <f t="shared" si="30"/>
        <v>49.901514829457696</v>
      </c>
      <c r="Z38" s="114"/>
      <c r="AA38" s="114"/>
    </row>
    <row r="39" spans="1:27">
      <c r="A39" t="str">
        <f t="shared" si="27"/>
        <v>Feb</v>
      </c>
      <c r="B39" s="22"/>
      <c r="C39" s="114">
        <f>+'King County Tonnage'!V19+'King County Tonnage'!V20</f>
        <v>923.8</v>
      </c>
      <c r="D39" s="114">
        <f>+'Snohomish County Tonnage'!S19+'Snohomish County Tonnage'!S20</f>
        <v>2146.8000000000002</v>
      </c>
      <c r="E39" s="171">
        <f t="shared" si="22"/>
        <v>3070.6000000000004</v>
      </c>
      <c r="F39" s="172"/>
      <c r="G39" s="176">
        <f t="shared" si="23"/>
        <v>12464.649691287412</v>
      </c>
      <c r="H39" s="176">
        <f t="shared" si="23"/>
        <v>18242.16911957234</v>
      </c>
      <c r="I39" s="176"/>
      <c r="J39" s="188">
        <f t="shared" si="28"/>
        <v>30706.818810859753</v>
      </c>
      <c r="K39" s="11"/>
      <c r="L39" s="177">
        <f t="shared" si="24"/>
        <v>10.00026666151884</v>
      </c>
      <c r="M39" s="11"/>
      <c r="N39" s="82">
        <f>+'Customer Counts'!D10+'Customer Counts'!F10</f>
        <v>39205</v>
      </c>
      <c r="O39" s="170">
        <f>+'Customer Counts'!G10+'Customer Counts'!H10</f>
        <v>102167</v>
      </c>
      <c r="P39" s="82">
        <f t="shared" si="29"/>
        <v>141372</v>
      </c>
      <c r="Q39" s="11"/>
      <c r="R39" s="114">
        <f t="shared" si="25"/>
        <v>47.126642009947709</v>
      </c>
      <c r="S39" s="114">
        <f t="shared" si="30"/>
        <v>42.025311499799351</v>
      </c>
      <c r="T39" s="114">
        <f t="shared" si="30"/>
        <v>43.440002263531682</v>
      </c>
      <c r="Z39" s="114"/>
      <c r="AA39" s="114"/>
    </row>
    <row r="40" spans="1:27">
      <c r="A40" t="str">
        <f t="shared" si="27"/>
        <v>Mar</v>
      </c>
      <c r="B40" s="22"/>
      <c r="C40" s="114">
        <f>+'King County Tonnage'!V23+'King County Tonnage'!V24</f>
        <v>1015.6699999999998</v>
      </c>
      <c r="D40" s="114">
        <f>+'Snohomish County Tonnage'!S23+'Snohomish County Tonnage'!S24</f>
        <v>2251.8799999999997</v>
      </c>
      <c r="E40" s="171">
        <f t="shared" si="22"/>
        <v>3267.5499999999993</v>
      </c>
      <c r="F40" s="172"/>
      <c r="G40" s="176">
        <f t="shared" si="23"/>
        <v>6291.0047691433374</v>
      </c>
      <c r="H40" s="176">
        <f t="shared" si="23"/>
        <v>8718.894551786645</v>
      </c>
      <c r="I40" s="176"/>
      <c r="J40" s="188">
        <f t="shared" si="28"/>
        <v>15009.899320929982</v>
      </c>
      <c r="K40" s="11"/>
      <c r="L40" s="177">
        <f t="shared" si="24"/>
        <v>4.5936249853651772</v>
      </c>
      <c r="M40" s="11"/>
      <c r="N40" s="82">
        <f>+'Customer Counts'!D11+'Customer Counts'!F11</f>
        <v>39266</v>
      </c>
      <c r="O40" s="170">
        <f>+'Customer Counts'!G11+'Customer Counts'!H11</f>
        <v>102368</v>
      </c>
      <c r="P40" s="82">
        <f t="shared" si="29"/>
        <v>141634</v>
      </c>
      <c r="Q40" s="11"/>
      <c r="R40" s="114">
        <f t="shared" si="25"/>
        <v>51.73279682167778</v>
      </c>
      <c r="S40" s="114">
        <f t="shared" si="30"/>
        <v>43.995779931228498</v>
      </c>
      <c r="T40" s="114">
        <f t="shared" si="30"/>
        <v>46.140757162828123</v>
      </c>
      <c r="Z40" s="114"/>
      <c r="AA40" s="114"/>
    </row>
    <row r="41" spans="1:27">
      <c r="A41" t="str">
        <f t="shared" si="27"/>
        <v>Apr</v>
      </c>
      <c r="B41" s="22"/>
      <c r="C41" s="114">
        <f>+'King County Tonnage'!V27+'King County Tonnage'!V28</f>
        <v>1097.0999999999999</v>
      </c>
      <c r="D41" s="114">
        <f>+'Snohomish County Tonnage'!S27+'Snohomish County Tonnage'!S28</f>
        <v>2416.3099999999995</v>
      </c>
      <c r="E41" s="171">
        <f t="shared" si="22"/>
        <v>3513.4099999999994</v>
      </c>
      <c r="F41" s="172"/>
      <c r="G41" s="176">
        <f t="shared" si="23"/>
        <v>8615.6001023768767</v>
      </c>
      <c r="H41" s="176">
        <f t="shared" si="23"/>
        <v>15235.664463243947</v>
      </c>
      <c r="I41" s="176"/>
      <c r="J41" s="188">
        <f t="shared" si="28"/>
        <v>23851.264565620826</v>
      </c>
      <c r="K41" s="11"/>
      <c r="L41" s="177">
        <f t="shared" si="24"/>
        <v>6.7886368415928766</v>
      </c>
      <c r="M41" s="11"/>
      <c r="N41" s="82">
        <f>+'Customer Counts'!D12+'Customer Counts'!F12</f>
        <v>39454</v>
      </c>
      <c r="O41" s="170">
        <f>+'Customer Counts'!G12+'Customer Counts'!H12</f>
        <v>103205</v>
      </c>
      <c r="P41" s="82">
        <f t="shared" si="29"/>
        <v>142659</v>
      </c>
      <c r="Q41" s="11"/>
      <c r="R41" s="114">
        <f t="shared" ref="R41:T42" si="31">+C41*2000/N41</f>
        <v>55.614132914279921</v>
      </c>
      <c r="S41" s="114">
        <f t="shared" si="31"/>
        <v>46.825444503657756</v>
      </c>
      <c r="T41" s="114">
        <f t="shared" si="31"/>
        <v>49.256058152657729</v>
      </c>
      <c r="Z41" s="114"/>
      <c r="AA41" s="171"/>
    </row>
    <row r="42" spans="1:27">
      <c r="A42" t="str">
        <f t="shared" si="27"/>
        <v>May</v>
      </c>
      <c r="B42" s="22"/>
      <c r="C42" s="114">
        <f>+'King County Tonnage'!V31+'King County Tonnage'!V32</f>
        <v>997.83999999999992</v>
      </c>
      <c r="D42" s="114">
        <f>+'Snohomish County Tonnage'!S31+'Snohomish County Tonnage'!S32</f>
        <v>2392.9799999999996</v>
      </c>
      <c r="E42" s="171">
        <f t="shared" si="22"/>
        <v>3390.8199999999997</v>
      </c>
      <c r="F42" s="172"/>
      <c r="G42" s="176">
        <f t="shared" si="23"/>
        <v>12974.543090815923</v>
      </c>
      <c r="H42" s="176">
        <f t="shared" si="23"/>
        <v>33639.142960012832</v>
      </c>
      <c r="I42" s="176"/>
      <c r="J42" s="188">
        <f t="shared" si="28"/>
        <v>46613.686050828757</v>
      </c>
      <c r="K42" s="11"/>
      <c r="L42" s="177">
        <f t="shared" si="24"/>
        <v>13.747024628505423</v>
      </c>
      <c r="M42" s="11"/>
      <c r="N42" s="82">
        <f>+'Customer Counts'!D13+'Customer Counts'!F13</f>
        <v>39612</v>
      </c>
      <c r="O42" s="170">
        <f>+'Customer Counts'!G13+'Customer Counts'!H13</f>
        <v>103778</v>
      </c>
      <c r="P42" s="82">
        <f t="shared" si="29"/>
        <v>143390</v>
      </c>
      <c r="Q42" s="11"/>
      <c r="R42" s="114">
        <f t="shared" si="31"/>
        <v>50.380692719377961</v>
      </c>
      <c r="S42" s="114">
        <f t="shared" si="31"/>
        <v>46.117288828075303</v>
      </c>
      <c r="T42" s="114">
        <f t="shared" si="31"/>
        <v>47.295069391170927</v>
      </c>
      <c r="Z42" s="114"/>
      <c r="AA42" s="171"/>
    </row>
    <row r="43" spans="1:27">
      <c r="A43" t="str">
        <f t="shared" si="27"/>
        <v>Jun</v>
      </c>
      <c r="B43" s="22"/>
      <c r="C43" s="114">
        <f>+'King County Tonnage'!V35+'King County Tonnage'!V36</f>
        <v>1042.0999999999999</v>
      </c>
      <c r="D43" s="114">
        <f>+'Snohomish County Tonnage'!S35+'Snohomish County Tonnage'!S36</f>
        <v>2545.0699999999997</v>
      </c>
      <c r="E43" s="171">
        <f t="shared" si="22"/>
        <v>3587.1699999999996</v>
      </c>
      <c r="F43" s="172"/>
      <c r="G43" s="176">
        <f t="shared" si="23"/>
        <v>10598.966168981826</v>
      </c>
      <c r="H43" s="176">
        <f t="shared" si="23"/>
        <v>30097.062316869728</v>
      </c>
      <c r="I43" s="176"/>
      <c r="J43" s="188">
        <f t="shared" si="28"/>
        <v>40696.028485851552</v>
      </c>
      <c r="K43" s="11"/>
      <c r="L43" s="177">
        <f t="shared" si="24"/>
        <v>11.344884264155743</v>
      </c>
      <c r="M43" s="11"/>
      <c r="N43" s="82">
        <f>+'Customer Counts'!D14+'Customer Counts'!F14</f>
        <v>39725</v>
      </c>
      <c r="O43" s="170">
        <f>+'Customer Counts'!G14+'Customer Counts'!H14</f>
        <v>104222</v>
      </c>
      <c r="P43" s="82">
        <f>+O43+N43</f>
        <v>143947</v>
      </c>
      <c r="Q43" s="11"/>
      <c r="R43" s="114">
        <f t="shared" ref="R43" si="32">+C43*2000/N43</f>
        <v>52.465701699181871</v>
      </c>
      <c r="S43" s="114">
        <f t="shared" ref="S43" si="33">+D43*2000/O43</f>
        <v>48.83940051044884</v>
      </c>
      <c r="T43" s="114">
        <f t="shared" ref="T43" si="34">+E43*2000/P43</f>
        <v>49.840149499468545</v>
      </c>
      <c r="Z43" s="171"/>
      <c r="AA43" s="171"/>
    </row>
    <row r="44" spans="1:27" ht="15">
      <c r="A44" t="str">
        <f t="shared" si="27"/>
        <v>Jul</v>
      </c>
      <c r="B44" s="22"/>
      <c r="C44" s="114">
        <f>+'King County Tonnage'!V39+'King County Tonnage'!V40</f>
        <v>1149.9000000000001</v>
      </c>
      <c r="D44" s="114">
        <f>+'Snohomish County Tonnage'!S39+'Snohomish County Tonnage'!S40</f>
        <v>2621.5499999999997</v>
      </c>
      <c r="E44" s="171">
        <f t="shared" si="22"/>
        <v>3771.45</v>
      </c>
      <c r="F44" s="189"/>
      <c r="G44" s="176">
        <f t="shared" si="23"/>
        <v>12225.482059443215</v>
      </c>
      <c r="H44" s="176">
        <f t="shared" si="23"/>
        <v>27400.263561628057</v>
      </c>
      <c r="I44" s="176"/>
      <c r="J44" s="188">
        <f t="shared" si="28"/>
        <v>39625.74562107127</v>
      </c>
      <c r="K44" s="11"/>
      <c r="L44" s="177">
        <f t="shared" si="24"/>
        <v>10.506766792896968</v>
      </c>
      <c r="M44" s="11"/>
      <c r="N44" s="82">
        <f>+'Customer Counts'!D15+'Customer Counts'!F15</f>
        <v>39859</v>
      </c>
      <c r="O44" s="170">
        <f>+'Customer Counts'!G15+'Customer Counts'!H15</f>
        <v>104551</v>
      </c>
      <c r="P44" s="82">
        <f>+O44+N44</f>
        <v>144410</v>
      </c>
      <c r="Q44" s="11"/>
      <c r="R44" s="114">
        <f t="shared" ref="R44" si="35">+C44*2000/N44</f>
        <v>57.698386813517651</v>
      </c>
      <c r="S44" s="114">
        <f t="shared" ref="S44" si="36">+D44*2000/O44</f>
        <v>50.148731241212417</v>
      </c>
      <c r="T44" s="114">
        <f t="shared" ref="T44" si="37">+E44*2000/P44</f>
        <v>52.232532373104355</v>
      </c>
      <c r="Z44" s="171"/>
      <c r="AA44" s="171"/>
    </row>
    <row r="45" spans="1:27" ht="15">
      <c r="A45" t="str">
        <f t="shared" si="27"/>
        <v>Aug</v>
      </c>
      <c r="B45" s="22"/>
      <c r="C45" s="114">
        <f>+'King County Tonnage'!V43+'King County Tonnage'!V44</f>
        <v>1078.8899999999999</v>
      </c>
      <c r="D45" s="114">
        <f>+'Snohomish County Tonnage'!S43+'Snohomish County Tonnage'!S44</f>
        <v>2364.71</v>
      </c>
      <c r="E45" s="171">
        <f t="shared" si="22"/>
        <v>3443.6</v>
      </c>
      <c r="F45" s="189"/>
      <c r="G45" s="176">
        <f t="shared" si="23"/>
        <v>19874.796725189139</v>
      </c>
      <c r="H45" s="176">
        <f t="shared" si="23"/>
        <v>44652.293485047776</v>
      </c>
      <c r="I45" s="176"/>
      <c r="J45" s="188">
        <f t="shared" si="28"/>
        <v>64527.090210236915</v>
      </c>
      <c r="K45" s="11"/>
      <c r="L45" s="177">
        <f t="shared" si="24"/>
        <v>18.73826524864587</v>
      </c>
      <c r="M45" s="11"/>
      <c r="N45" s="82">
        <f>+'Customer Counts'!D16+'Customer Counts'!F16</f>
        <v>39938</v>
      </c>
      <c r="O45" s="170">
        <f>+'Customer Counts'!G16+'Customer Counts'!H16</f>
        <v>104870</v>
      </c>
      <c r="P45" s="82">
        <f t="shared" si="29"/>
        <v>144808</v>
      </c>
      <c r="Q45" s="11"/>
      <c r="R45" s="114">
        <f t="shared" ref="R45" si="38">+C45*2000/N45</f>
        <v>54.028243777855664</v>
      </c>
      <c r="S45" s="114">
        <f t="shared" ref="S45" si="39">+D45*2000/O45</f>
        <v>45.097930771431294</v>
      </c>
      <c r="T45" s="114">
        <f t="shared" ref="T45" si="40">+E45*2000/P45</f>
        <v>47.560908237113971</v>
      </c>
      <c r="Z45" s="171"/>
      <c r="AA45" s="171"/>
    </row>
    <row r="46" spans="1:27">
      <c r="A46" t="str">
        <f t="shared" si="27"/>
        <v>Sep</v>
      </c>
      <c r="B46" s="22"/>
      <c r="C46" s="114">
        <f>+'King County Tonnage'!V47+'King County Tonnage'!V48</f>
        <v>1103.42</v>
      </c>
      <c r="D46" s="114">
        <f>+'Snohomish County Tonnage'!S47+'Snohomish County Tonnage'!S48</f>
        <v>2550.84</v>
      </c>
      <c r="E46" s="171">
        <f t="shared" si="22"/>
        <v>3654.26</v>
      </c>
      <c r="F46" s="172"/>
      <c r="G46" s="176">
        <f t="shared" si="23"/>
        <v>28100.741937729432</v>
      </c>
      <c r="H46" s="176">
        <f t="shared" si="23"/>
        <v>64716.652729215217</v>
      </c>
      <c r="I46" s="176"/>
      <c r="J46" s="188">
        <f t="shared" si="28"/>
        <v>92817.394666944645</v>
      </c>
      <c r="K46" s="11"/>
      <c r="L46" s="177">
        <f t="shared" si="24"/>
        <v>25.39977852340683</v>
      </c>
      <c r="M46" s="11"/>
      <c r="N46" s="82">
        <f>+'Customer Counts'!D17+'Customer Counts'!F17</f>
        <v>39824</v>
      </c>
      <c r="O46" s="170">
        <f>+'Customer Counts'!G17+'Customer Counts'!H17</f>
        <v>104606</v>
      </c>
      <c r="P46" s="82">
        <f t="shared" si="29"/>
        <v>144430</v>
      </c>
      <c r="Q46" s="11"/>
      <c r="R46" s="114">
        <f t="shared" ref="R46" si="41">+C46*2000/N46</f>
        <v>55.414825231016472</v>
      </c>
      <c r="S46" s="114">
        <f t="shared" ref="S46" si="42">+D46*2000/O46</f>
        <v>48.770433818327824</v>
      </c>
      <c r="T46" s="114">
        <f t="shared" ref="T46" si="43">+E46*2000/P46</f>
        <v>50.602506404486604</v>
      </c>
      <c r="Z46" s="171"/>
      <c r="AA46" s="171"/>
    </row>
    <row r="47" spans="1:27" ht="15">
      <c r="A47" t="str">
        <f t="shared" si="27"/>
        <v>Oct</v>
      </c>
      <c r="B47" s="22"/>
      <c r="C47" s="114"/>
      <c r="D47" s="114"/>
      <c r="E47" s="171">
        <f t="shared" si="22"/>
        <v>0</v>
      </c>
      <c r="F47" s="189"/>
      <c r="G47" s="188"/>
      <c r="H47" s="188"/>
      <c r="I47" s="179"/>
      <c r="J47" s="188">
        <f t="shared" si="28"/>
        <v>0</v>
      </c>
      <c r="K47" s="11"/>
      <c r="L47" s="177"/>
      <c r="M47" s="11"/>
      <c r="N47" s="82">
        <f>+'Customer Counts'!D18+'Customer Counts'!F18</f>
        <v>0</v>
      </c>
      <c r="O47" s="170">
        <f>+'Customer Counts'!G18+'Customer Counts'!H18</f>
        <v>0</v>
      </c>
      <c r="P47" s="82">
        <f t="shared" si="29"/>
        <v>0</v>
      </c>
      <c r="Q47" s="11"/>
      <c r="R47" s="114"/>
      <c r="S47" s="114"/>
      <c r="T47" s="114"/>
      <c r="Z47" s="171"/>
      <c r="AA47" s="171"/>
    </row>
    <row r="48" spans="1:27" ht="15">
      <c r="A48" t="str">
        <f t="shared" si="27"/>
        <v>Nov</v>
      </c>
      <c r="B48" s="22"/>
      <c r="C48" s="114"/>
      <c r="D48" s="114"/>
      <c r="E48" s="171">
        <f t="shared" si="22"/>
        <v>0</v>
      </c>
      <c r="F48" s="189"/>
      <c r="G48" s="188"/>
      <c r="H48" s="188"/>
      <c r="I48" s="179"/>
      <c r="J48" s="188">
        <f t="shared" si="28"/>
        <v>0</v>
      </c>
      <c r="K48" s="11"/>
      <c r="L48" s="177"/>
      <c r="M48" s="11"/>
      <c r="N48" s="82">
        <f>+'Customer Counts'!D19+'Customer Counts'!F19</f>
        <v>0</v>
      </c>
      <c r="O48" s="170">
        <f>+'Customer Counts'!G19+'Customer Counts'!H19</f>
        <v>0</v>
      </c>
      <c r="P48" s="82">
        <f t="shared" si="29"/>
        <v>0</v>
      </c>
      <c r="Q48" s="11"/>
      <c r="R48" s="114"/>
      <c r="S48" s="114"/>
      <c r="T48" s="114"/>
      <c r="Z48" s="171"/>
      <c r="AA48" s="171"/>
    </row>
    <row r="49" spans="1:27">
      <c r="A49" t="str">
        <f t="shared" si="27"/>
        <v>Dec</v>
      </c>
      <c r="B49" s="22"/>
      <c r="C49" s="114"/>
      <c r="D49" s="114"/>
      <c r="E49" s="171">
        <f t="shared" si="22"/>
        <v>0</v>
      </c>
      <c r="F49" s="172"/>
      <c r="G49" s="188"/>
      <c r="H49" s="188"/>
      <c r="I49" s="176"/>
      <c r="J49" s="188">
        <f t="shared" si="28"/>
        <v>0</v>
      </c>
      <c r="K49" s="11"/>
      <c r="L49" s="177"/>
      <c r="M49" s="11"/>
      <c r="N49" s="82">
        <f>+'Customer Counts'!D20+'Customer Counts'!F20</f>
        <v>0</v>
      </c>
      <c r="O49" s="170">
        <f>+'Customer Counts'!G20+'Customer Counts'!H20</f>
        <v>0</v>
      </c>
      <c r="P49" s="82">
        <f t="shared" si="29"/>
        <v>0</v>
      </c>
      <c r="Q49" s="11"/>
      <c r="R49" s="114"/>
      <c r="S49" s="114"/>
      <c r="T49" s="114"/>
      <c r="Z49" s="171"/>
      <c r="AA49" s="171"/>
    </row>
    <row r="50" spans="1:27" ht="15">
      <c r="A50" t="str">
        <f t="shared" si="27"/>
        <v>Jan. 2021</v>
      </c>
      <c r="B50" s="22"/>
      <c r="C50" s="114"/>
      <c r="D50" s="114"/>
      <c r="E50" s="171">
        <f t="shared" si="22"/>
        <v>0</v>
      </c>
      <c r="F50" s="189"/>
      <c r="G50" s="188"/>
      <c r="H50" s="188"/>
      <c r="I50" s="179"/>
      <c r="J50" s="188">
        <f t="shared" si="28"/>
        <v>0</v>
      </c>
      <c r="K50" s="11"/>
      <c r="L50" s="177"/>
      <c r="M50" s="11"/>
      <c r="N50" s="82">
        <f>+'Customer Counts'!D21+'Customer Counts'!F21</f>
        <v>0</v>
      </c>
      <c r="O50" s="170">
        <f>+'Customer Counts'!G21+'Customer Counts'!H21</f>
        <v>0</v>
      </c>
      <c r="P50" s="82">
        <f t="shared" si="29"/>
        <v>0</v>
      </c>
      <c r="Q50" s="11"/>
      <c r="R50" s="114"/>
      <c r="S50" s="114"/>
      <c r="T50" s="114"/>
      <c r="Z50" s="114"/>
      <c r="AA50" s="171"/>
    </row>
    <row r="51" spans="1:27" ht="15">
      <c r="A51" t="str">
        <f t="shared" si="27"/>
        <v>Feb</v>
      </c>
      <c r="B51" s="22"/>
      <c r="C51" s="114"/>
      <c r="D51" s="114"/>
      <c r="E51" s="171">
        <f t="shared" si="22"/>
        <v>0</v>
      </c>
      <c r="F51" s="189"/>
      <c r="G51" s="188"/>
      <c r="H51" s="188"/>
      <c r="I51" s="179"/>
      <c r="J51" s="188">
        <f t="shared" si="28"/>
        <v>0</v>
      </c>
      <c r="K51" s="11"/>
      <c r="L51" s="177"/>
      <c r="M51" s="11"/>
      <c r="N51" s="82">
        <f>+'Customer Counts'!D22+'Customer Counts'!F22</f>
        <v>0</v>
      </c>
      <c r="O51" s="170">
        <f>+'Customer Counts'!G22+'Customer Counts'!H22</f>
        <v>0</v>
      </c>
      <c r="P51" s="82">
        <f t="shared" si="29"/>
        <v>0</v>
      </c>
      <c r="Q51" s="11"/>
      <c r="R51" s="114"/>
      <c r="S51" s="114"/>
      <c r="T51" s="114"/>
      <c r="Z51" s="114"/>
      <c r="AA51" s="171"/>
    </row>
    <row r="52" spans="1:27">
      <c r="A52" t="str">
        <f t="shared" si="27"/>
        <v>Mar</v>
      </c>
      <c r="B52" s="22"/>
      <c r="C52" s="114"/>
      <c r="D52" s="114"/>
      <c r="E52" s="171">
        <f t="shared" si="22"/>
        <v>0</v>
      </c>
      <c r="F52" s="172"/>
      <c r="G52" s="188"/>
      <c r="H52" s="188"/>
      <c r="I52" s="176"/>
      <c r="J52" s="188">
        <f t="shared" si="28"/>
        <v>0</v>
      </c>
      <c r="K52" s="11"/>
      <c r="L52" s="177"/>
      <c r="M52" s="11"/>
      <c r="N52" s="82">
        <f>+'Customer Counts'!D23+'Customer Counts'!F23</f>
        <v>0</v>
      </c>
      <c r="O52" s="170">
        <f>+'Customer Counts'!G23+'Customer Counts'!H23</f>
        <v>0</v>
      </c>
      <c r="P52" s="82">
        <f t="shared" si="29"/>
        <v>0</v>
      </c>
      <c r="Q52" s="11"/>
      <c r="R52" s="114"/>
      <c r="S52" s="114"/>
      <c r="T52" s="114"/>
      <c r="Z52" s="114"/>
      <c r="AA52" s="171"/>
    </row>
    <row r="53" spans="1:27" ht="15">
      <c r="A53" t="str">
        <f t="shared" si="27"/>
        <v>Apr</v>
      </c>
      <c r="B53" s="22"/>
      <c r="C53" s="114"/>
      <c r="D53" s="114"/>
      <c r="E53" s="171">
        <f t="shared" si="22"/>
        <v>0</v>
      </c>
      <c r="F53" s="189"/>
      <c r="G53" s="188"/>
      <c r="H53" s="188"/>
      <c r="I53" s="179"/>
      <c r="J53" s="188">
        <f t="shared" si="28"/>
        <v>0</v>
      </c>
      <c r="K53" s="11"/>
      <c r="L53" s="177"/>
      <c r="M53" s="11"/>
      <c r="N53" s="82">
        <f>+'Customer Counts'!D24+'Customer Counts'!F24</f>
        <v>0</v>
      </c>
      <c r="O53" s="170">
        <f>+'Customer Counts'!G24+'Customer Counts'!H24</f>
        <v>0</v>
      </c>
      <c r="P53" s="82">
        <f t="shared" si="29"/>
        <v>0</v>
      </c>
      <c r="Q53" s="11"/>
      <c r="R53" s="114"/>
      <c r="S53" s="114"/>
      <c r="T53" s="114"/>
      <c r="Z53" s="114"/>
      <c r="AA53" s="171"/>
    </row>
    <row r="54" spans="1:27" ht="15">
      <c r="A54" t="str">
        <f t="shared" si="27"/>
        <v>May</v>
      </c>
      <c r="B54" s="22"/>
      <c r="C54" s="114"/>
      <c r="D54" s="114"/>
      <c r="E54" s="171">
        <f t="shared" si="22"/>
        <v>0</v>
      </c>
      <c r="F54" s="189"/>
      <c r="G54" s="188"/>
      <c r="H54" s="188"/>
      <c r="I54" s="179"/>
      <c r="J54" s="188">
        <f t="shared" si="28"/>
        <v>0</v>
      </c>
      <c r="K54" s="11"/>
      <c r="L54" s="177"/>
      <c r="M54" s="11"/>
      <c r="N54" s="82">
        <f>+'Customer Counts'!D25+'Customer Counts'!F25</f>
        <v>0</v>
      </c>
      <c r="O54" s="170">
        <f>+'Customer Counts'!G25+'Customer Counts'!H25</f>
        <v>0</v>
      </c>
      <c r="P54" s="82">
        <f t="shared" si="29"/>
        <v>0</v>
      </c>
      <c r="Q54" s="11"/>
      <c r="R54" s="114"/>
      <c r="S54" s="114"/>
      <c r="T54" s="114"/>
      <c r="Z54" s="114"/>
      <c r="AA54" s="171"/>
    </row>
    <row r="55" spans="1:27" ht="15">
      <c r="A55" t="str">
        <f t="shared" si="27"/>
        <v>Jun</v>
      </c>
      <c r="B55" s="22"/>
      <c r="C55" s="114"/>
      <c r="D55" s="114"/>
      <c r="E55" s="171">
        <f t="shared" si="22"/>
        <v>0</v>
      </c>
      <c r="F55" s="189"/>
      <c r="G55" s="188"/>
      <c r="H55" s="188"/>
      <c r="I55" s="179"/>
      <c r="J55" s="188">
        <f t="shared" si="28"/>
        <v>0</v>
      </c>
      <c r="K55" s="11"/>
      <c r="L55" s="177"/>
      <c r="M55" s="11"/>
      <c r="N55" s="82">
        <f>+'Customer Counts'!D26+'Customer Counts'!F26</f>
        <v>0</v>
      </c>
      <c r="O55" s="170">
        <f>+'Customer Counts'!G26+'Customer Counts'!H26</f>
        <v>0</v>
      </c>
      <c r="P55" s="82">
        <f t="shared" si="29"/>
        <v>0</v>
      </c>
      <c r="Q55" s="11"/>
      <c r="R55" s="114"/>
      <c r="S55" s="114"/>
      <c r="T55" s="114"/>
      <c r="Z55" s="114"/>
      <c r="AA55" s="171"/>
    </row>
    <row r="56" spans="1:27" ht="15">
      <c r="A56" t="str">
        <f t="shared" si="27"/>
        <v>Jul</v>
      </c>
      <c r="B56" s="22"/>
      <c r="C56" s="114"/>
      <c r="D56" s="114"/>
      <c r="E56" s="171">
        <f t="shared" si="22"/>
        <v>0</v>
      </c>
      <c r="F56" s="189"/>
      <c r="G56" s="188"/>
      <c r="H56" s="188"/>
      <c r="I56" s="179"/>
      <c r="J56" s="188">
        <f t="shared" si="28"/>
        <v>0</v>
      </c>
      <c r="K56" s="11"/>
      <c r="L56" s="177"/>
      <c r="M56" s="11"/>
      <c r="N56" s="82">
        <f>+'Customer Counts'!D27+'Customer Counts'!F27</f>
        <v>0</v>
      </c>
      <c r="O56" s="170">
        <f>+'Customer Counts'!G27+'Customer Counts'!H27</f>
        <v>0</v>
      </c>
      <c r="P56" s="82">
        <f t="shared" si="29"/>
        <v>0</v>
      </c>
      <c r="Q56" s="11"/>
      <c r="R56" s="114"/>
      <c r="S56" s="114"/>
      <c r="T56" s="114"/>
      <c r="V56" s="83"/>
      <c r="Z56" s="114"/>
      <c r="AA56" s="171"/>
    </row>
    <row r="57" spans="1:27" ht="15">
      <c r="A57" t="str">
        <f t="shared" si="27"/>
        <v>Aug</v>
      </c>
      <c r="B57" s="22"/>
      <c r="C57" s="114"/>
      <c r="D57" s="114"/>
      <c r="E57" s="171">
        <f t="shared" si="22"/>
        <v>0</v>
      </c>
      <c r="F57" s="189"/>
      <c r="G57" s="188"/>
      <c r="H57" s="188"/>
      <c r="I57" s="179"/>
      <c r="J57" s="188">
        <f t="shared" si="28"/>
        <v>0</v>
      </c>
      <c r="K57" s="11"/>
      <c r="L57" s="177"/>
      <c r="M57" s="11"/>
      <c r="N57" s="82">
        <f>+'Customer Counts'!D28+'Customer Counts'!F28</f>
        <v>0</v>
      </c>
      <c r="O57" s="170">
        <f>+'Customer Counts'!G28+'Customer Counts'!H28</f>
        <v>0</v>
      </c>
      <c r="P57" s="82">
        <f t="shared" si="29"/>
        <v>0</v>
      </c>
      <c r="Q57" s="11"/>
      <c r="R57" s="114"/>
      <c r="S57" s="114"/>
      <c r="T57" s="114"/>
      <c r="Z57" s="114"/>
      <c r="AA57" s="171"/>
    </row>
    <row r="58" spans="1:27" ht="15">
      <c r="A58" t="str">
        <f t="shared" si="27"/>
        <v>Sep</v>
      </c>
      <c r="B58" s="22"/>
      <c r="C58" s="99"/>
      <c r="D58" s="99"/>
      <c r="E58" s="190">
        <f t="shared" si="22"/>
        <v>0</v>
      </c>
      <c r="F58" s="189"/>
      <c r="G58" s="191"/>
      <c r="H58" s="191"/>
      <c r="I58" s="179"/>
      <c r="J58" s="191">
        <f t="shared" si="28"/>
        <v>0</v>
      </c>
      <c r="K58" s="11"/>
      <c r="L58" s="182"/>
      <c r="M58" s="11"/>
      <c r="N58" s="183">
        <f>+'Customer Counts'!D29+'Customer Counts'!F29</f>
        <v>0</v>
      </c>
      <c r="O58" s="133">
        <f>+'Customer Counts'!G29+'Customer Counts'!H29</f>
        <v>0</v>
      </c>
      <c r="P58" s="183">
        <f t="shared" si="29"/>
        <v>0</v>
      </c>
      <c r="Q58" s="11"/>
      <c r="R58" s="99"/>
      <c r="S58" s="99"/>
      <c r="T58" s="99"/>
      <c r="V58" s="394"/>
      <c r="W58" s="1"/>
      <c r="Z58" s="99"/>
      <c r="AA58" s="99"/>
    </row>
    <row r="59" spans="1:27" ht="15">
      <c r="C59" s="184">
        <f>SUM(C35:C58)</f>
        <v>12435.92</v>
      </c>
      <c r="D59" s="184">
        <f t="shared" ref="D59:P59" si="44">SUM(D35:D58)</f>
        <v>28647.629999999997</v>
      </c>
      <c r="E59" s="184">
        <f t="shared" si="44"/>
        <v>41083.549999999996</v>
      </c>
      <c r="F59" s="184"/>
      <c r="G59" s="185">
        <f t="shared" si="44"/>
        <v>156525.71055877872</v>
      </c>
      <c r="H59" s="185">
        <f t="shared" si="44"/>
        <v>315293.04215627804</v>
      </c>
      <c r="I59" s="184"/>
      <c r="J59" s="185">
        <f t="shared" si="44"/>
        <v>471818.75271505676</v>
      </c>
      <c r="K59" s="184"/>
      <c r="L59" s="186">
        <f>+J59/E59</f>
        <v>11.484371548102752</v>
      </c>
      <c r="M59" s="184"/>
      <c r="N59" s="187">
        <f t="shared" si="44"/>
        <v>473502</v>
      </c>
      <c r="O59" s="187">
        <f t="shared" si="44"/>
        <v>1237281</v>
      </c>
      <c r="P59" s="187">
        <f t="shared" si="44"/>
        <v>1710783</v>
      </c>
      <c r="Q59" s="11"/>
      <c r="R59" s="184">
        <f>+C59*2000/N59</f>
        <v>52.527423326617416</v>
      </c>
      <c r="S59" s="184">
        <f>+D59*2000/O59</f>
        <v>46.307395005661604</v>
      </c>
      <c r="T59" s="184">
        <f>+E59*2000/P59</f>
        <v>48.028943472082659</v>
      </c>
      <c r="V59" s="200"/>
      <c r="W59" s="506"/>
      <c r="X59" s="506"/>
      <c r="Y59" s="506"/>
    </row>
    <row r="60" spans="1:27">
      <c r="C60" s="11"/>
      <c r="D60" s="11"/>
      <c r="E60" s="11"/>
      <c r="F60" s="11"/>
      <c r="G60" s="11"/>
      <c r="H60" s="11"/>
      <c r="I60" s="11"/>
      <c r="J60" s="11"/>
      <c r="K60" s="11"/>
      <c r="L60" s="11"/>
      <c r="M60" s="11"/>
      <c r="N60" s="11"/>
      <c r="O60" s="11"/>
      <c r="P60" s="11"/>
      <c r="Q60" s="11"/>
      <c r="R60" s="11"/>
      <c r="S60" s="11"/>
      <c r="T60" s="11"/>
      <c r="V60" s="1"/>
      <c r="W60" s="506"/>
      <c r="X60" s="506"/>
      <c r="Y60" s="506"/>
    </row>
    <row r="61" spans="1:27" s="79" customFormat="1" ht="16.5">
      <c r="A61" s="94" t="s">
        <v>263</v>
      </c>
      <c r="C61" s="192">
        <f>+C66/24*12</f>
        <v>11903</v>
      </c>
      <c r="D61" s="192">
        <f>+D66/24*12</f>
        <v>28646</v>
      </c>
      <c r="E61" s="193">
        <f>+D61+C61</f>
        <v>40549</v>
      </c>
      <c r="F61" s="116"/>
      <c r="G61" s="194">
        <f>+G66/24*12</f>
        <v>332000</v>
      </c>
      <c r="H61" s="194">
        <f>+H66/24*12</f>
        <v>592000</v>
      </c>
      <c r="I61" s="194"/>
      <c r="J61" s="195">
        <f>+H61+G61</f>
        <v>924000</v>
      </c>
      <c r="K61" s="116"/>
      <c r="L61" s="196">
        <f>+J61/E61</f>
        <v>22.787245061530495</v>
      </c>
      <c r="M61" s="116"/>
      <c r="N61" s="197">
        <f>+N66/24*12</f>
        <v>463548</v>
      </c>
      <c r="O61" s="197">
        <f>+O66/24*12</f>
        <v>1191132</v>
      </c>
      <c r="P61" s="197">
        <f>+O61+N61</f>
        <v>1654680</v>
      </c>
      <c r="Q61" s="116"/>
      <c r="R61" s="193">
        <f>+C61*2000/N61</f>
        <v>51.356062371102887</v>
      </c>
      <c r="S61" s="193">
        <f>+D61*2000/O61</f>
        <v>48.09878334223243</v>
      </c>
      <c r="T61" s="193">
        <f>+E61*2000/P61</f>
        <v>49.011289191867917</v>
      </c>
      <c r="V61" s="287"/>
      <c r="W61" s="288"/>
    </row>
    <row r="62" spans="1:27">
      <c r="A62" s="95"/>
      <c r="C62" s="11"/>
      <c r="D62" s="11"/>
      <c r="E62" s="11"/>
      <c r="F62" s="11"/>
      <c r="G62" s="11"/>
      <c r="H62" s="11"/>
      <c r="I62" s="11"/>
      <c r="J62" s="11"/>
      <c r="K62" s="11"/>
      <c r="L62" s="11"/>
      <c r="M62" s="11"/>
      <c r="N62" s="11"/>
      <c r="O62" s="11"/>
      <c r="P62" s="11"/>
      <c r="Q62" s="11"/>
      <c r="R62" s="11"/>
      <c r="S62" s="11"/>
      <c r="T62" s="11"/>
    </row>
    <row r="63" spans="1:27" s="80" customFormat="1" ht="16.5">
      <c r="A63" s="80" t="s">
        <v>100</v>
      </c>
      <c r="C63" s="184">
        <f>+C59-C61</f>
        <v>532.92000000000007</v>
      </c>
      <c r="D63" s="184">
        <f>+D59-D61</f>
        <v>1.6299999999973807</v>
      </c>
      <c r="E63" s="184">
        <f>+E59-E61</f>
        <v>534.54999999999563</v>
      </c>
      <c r="F63" s="184"/>
      <c r="G63" s="185">
        <f>+G59-G61</f>
        <v>-175474.28944122128</v>
      </c>
      <c r="H63" s="185">
        <f>+H59-H61</f>
        <v>-276706.95784372196</v>
      </c>
      <c r="I63" s="185"/>
      <c r="J63" s="185">
        <f>+J59-J61</f>
        <v>-452181.24728494324</v>
      </c>
      <c r="K63" s="184"/>
      <c r="L63" s="184">
        <f>+L59-L61</f>
        <v>-11.302873513427743</v>
      </c>
      <c r="M63" s="184"/>
      <c r="N63" s="187">
        <f>+N59-N61</f>
        <v>9954</v>
      </c>
      <c r="O63" s="187">
        <f>+O59-O61</f>
        <v>46149</v>
      </c>
      <c r="P63" s="187">
        <f>+P59-P61</f>
        <v>56103</v>
      </c>
      <c r="Q63" s="184"/>
      <c r="R63" s="184">
        <f>+R59-R61</f>
        <v>1.1713609555145297</v>
      </c>
      <c r="S63" s="184">
        <f>+S59-S61</f>
        <v>-1.7913883365708259</v>
      </c>
      <c r="T63" s="184">
        <f>+T59-T61</f>
        <v>-0.98234571978525764</v>
      </c>
    </row>
    <row r="64" spans="1:27">
      <c r="C64" s="173">
        <f>+C63/C61</f>
        <v>4.4771906242123842E-2</v>
      </c>
      <c r="D64" s="173">
        <f>+D63/D61</f>
        <v>5.6901487118528961E-5</v>
      </c>
      <c r="E64" s="173">
        <f>+E63/E61</f>
        <v>1.3182815852425353E-2</v>
      </c>
      <c r="F64" s="173"/>
      <c r="G64" s="173">
        <f>+G63/G61</f>
        <v>-0.52853701638922068</v>
      </c>
      <c r="H64" s="173">
        <f>+H63/H61</f>
        <v>-0.46741040176304383</v>
      </c>
      <c r="I64" s="173"/>
      <c r="J64" s="173">
        <f>+J63/J61</f>
        <v>-0.48937364424777408</v>
      </c>
      <c r="K64" s="11"/>
      <c r="L64" s="173">
        <f>+L63/L61</f>
        <v>-0.49601755205192805</v>
      </c>
      <c r="M64" s="173"/>
      <c r="N64" s="173">
        <f>+N63/N61</f>
        <v>2.1473504362007817E-2</v>
      </c>
      <c r="O64" s="173">
        <f>+O63/O61</f>
        <v>3.8743816806197803E-2</v>
      </c>
      <c r="P64" s="173">
        <f>+P63/P61</f>
        <v>3.3905649430705634E-2</v>
      </c>
      <c r="Q64" s="173"/>
      <c r="R64" s="173">
        <f>+R63/R61</f>
        <v>2.280862086057503E-2</v>
      </c>
      <c r="S64" s="173">
        <f>+S63/S61</f>
        <v>-3.72439428212714E-2</v>
      </c>
      <c r="T64" s="173">
        <f>+T63/T61</f>
        <v>-2.0043254033567659E-2</v>
      </c>
    </row>
    <row r="65" spans="1:20">
      <c r="C65" s="11"/>
      <c r="D65" s="11"/>
      <c r="E65" s="11"/>
      <c r="F65" s="11"/>
      <c r="G65" s="11"/>
      <c r="H65" s="11"/>
      <c r="I65" s="11"/>
      <c r="J65" s="11"/>
      <c r="K65" s="11"/>
      <c r="L65" s="11"/>
      <c r="M65" s="11"/>
      <c r="N65" s="11"/>
      <c r="O65" s="11"/>
      <c r="P65" s="11"/>
      <c r="Q65" s="11"/>
      <c r="R65" s="11"/>
      <c r="S65" s="11"/>
      <c r="T65" s="11"/>
    </row>
    <row r="66" spans="1:20" s="79" customFormat="1" ht="16.5">
      <c r="A66" s="94" t="s">
        <v>264</v>
      </c>
      <c r="C66" s="192">
        <f>+'KC 2020-2021 Preliminary Budget'!D12</f>
        <v>23806</v>
      </c>
      <c r="D66" s="192">
        <f>+'SC 2020-2021 Preliminary Budget'!D11</f>
        <v>57292</v>
      </c>
      <c r="E66" s="193">
        <f>+D66+C66</f>
        <v>81098</v>
      </c>
      <c r="F66" s="116"/>
      <c r="G66" s="194">
        <f>+'KC 2020-2021 Preliminary Budget'!D16</f>
        <v>664000</v>
      </c>
      <c r="H66" s="194">
        <f>+'SC 2020-2021 Preliminary Budget'!D15</f>
        <v>1184000</v>
      </c>
      <c r="I66" s="194"/>
      <c r="J66" s="195">
        <f>+H66+G66</f>
        <v>1848000</v>
      </c>
      <c r="K66" s="116"/>
      <c r="L66" s="196">
        <f>+J66/E66</f>
        <v>22.787245061530495</v>
      </c>
      <c r="M66" s="116"/>
      <c r="N66" s="197">
        <f>+'KC 2020-2021 Preliminary Budget'!D8*24</f>
        <v>927096</v>
      </c>
      <c r="O66" s="197">
        <f>+'SC 2020-2021 Preliminary Budget'!D7*24</f>
        <v>2382264</v>
      </c>
      <c r="P66" s="197">
        <f>+O66+N66</f>
        <v>3309360</v>
      </c>
      <c r="Q66" s="116"/>
      <c r="R66" s="193">
        <f>+R61</f>
        <v>51.356062371102887</v>
      </c>
      <c r="S66" s="193">
        <f>+S61</f>
        <v>48.09878334223243</v>
      </c>
      <c r="T66" s="193">
        <f>+T61</f>
        <v>49.011289191867917</v>
      </c>
    </row>
    <row r="67" spans="1:20" s="79" customFormat="1" ht="9.75" customHeight="1">
      <c r="A67" s="94"/>
      <c r="C67" s="192"/>
      <c r="D67" s="192"/>
      <c r="E67" s="193"/>
      <c r="F67" s="116"/>
      <c r="G67" s="194"/>
      <c r="H67" s="194"/>
      <c r="I67" s="194"/>
      <c r="J67" s="195"/>
      <c r="K67" s="116"/>
      <c r="L67" s="196"/>
      <c r="M67" s="116"/>
      <c r="N67" s="197"/>
      <c r="O67" s="197"/>
      <c r="P67" s="197"/>
      <c r="Q67" s="116"/>
      <c r="R67" s="193"/>
      <c r="S67" s="193"/>
      <c r="T67" s="193"/>
    </row>
    <row r="68" spans="1:20" s="79" customFormat="1" ht="16.5">
      <c r="A68" s="103"/>
      <c r="C68" s="192"/>
      <c r="D68" s="192"/>
      <c r="E68" s="193"/>
      <c r="F68" s="116"/>
      <c r="G68" s="198"/>
      <c r="H68" s="198"/>
      <c r="I68" s="194"/>
      <c r="J68" s="199"/>
      <c r="K68" s="116"/>
      <c r="L68" s="196"/>
      <c r="M68" s="116"/>
      <c r="N68" s="197"/>
      <c r="O68" s="197"/>
      <c r="P68" s="197"/>
      <c r="Q68" s="116"/>
      <c r="R68" s="193"/>
      <c r="S68" s="193"/>
      <c r="T68" s="193"/>
    </row>
    <row r="69" spans="1:20" s="79" customFormat="1" ht="16.5">
      <c r="A69" s="94"/>
      <c r="C69" s="192"/>
      <c r="D69" s="192"/>
      <c r="E69" s="193"/>
      <c r="F69" s="116"/>
      <c r="G69" s="198"/>
      <c r="H69" s="198"/>
      <c r="I69" s="198"/>
      <c r="J69" s="198"/>
      <c r="K69" s="116"/>
      <c r="L69" s="196"/>
      <c r="M69" s="116"/>
      <c r="N69" s="197"/>
      <c r="O69" s="197"/>
      <c r="P69" s="197"/>
      <c r="Q69" s="116"/>
      <c r="R69" s="193"/>
      <c r="S69" s="193"/>
      <c r="T69" s="193"/>
    </row>
    <row r="70" spans="1:20" ht="15">
      <c r="A70" s="81" t="s">
        <v>101</v>
      </c>
      <c r="C70" s="11"/>
      <c r="D70" s="11"/>
      <c r="E70" s="11"/>
      <c r="F70" s="11"/>
      <c r="G70" s="11"/>
      <c r="H70" s="174"/>
      <c r="I70" s="11"/>
      <c r="J70" s="11"/>
      <c r="K70" s="11"/>
      <c r="L70" s="11"/>
      <c r="M70" s="11"/>
      <c r="N70" s="11"/>
      <c r="O70" s="11"/>
      <c r="P70" s="11"/>
      <c r="Q70" s="11"/>
      <c r="R70" s="507" t="s">
        <v>199</v>
      </c>
      <c r="S70" s="507"/>
      <c r="T70" s="11"/>
    </row>
    <row r="71" spans="1:20" ht="15">
      <c r="A71" s="81"/>
      <c r="C71" s="503" t="s">
        <v>108</v>
      </c>
      <c r="D71" s="503"/>
      <c r="E71" s="503"/>
      <c r="F71" s="11"/>
      <c r="G71" s="505" t="s">
        <v>112</v>
      </c>
      <c r="H71" s="505"/>
      <c r="I71" s="11"/>
      <c r="J71" s="11"/>
      <c r="K71" s="11"/>
      <c r="L71" s="11"/>
      <c r="M71" s="11"/>
      <c r="N71" s="201" t="s">
        <v>80</v>
      </c>
      <c r="O71" s="201" t="s">
        <v>80</v>
      </c>
      <c r="P71" s="201" t="s">
        <v>52</v>
      </c>
      <c r="Q71" s="11"/>
      <c r="R71" s="201" t="s">
        <v>117</v>
      </c>
      <c r="S71" s="201" t="s">
        <v>117</v>
      </c>
      <c r="T71" s="11"/>
    </row>
    <row r="72" spans="1:20" ht="15">
      <c r="A72" s="81"/>
      <c r="C72" s="130"/>
      <c r="D72" s="201" t="s">
        <v>14</v>
      </c>
      <c r="E72" s="201"/>
      <c r="F72" s="11"/>
      <c r="G72" s="201" t="s">
        <v>111</v>
      </c>
      <c r="H72" s="11"/>
      <c r="I72" s="11"/>
      <c r="J72" s="201" t="s">
        <v>111</v>
      </c>
      <c r="K72" s="11"/>
      <c r="L72" s="201" t="s">
        <v>14</v>
      </c>
      <c r="M72" s="11"/>
      <c r="N72" s="201" t="s">
        <v>92</v>
      </c>
      <c r="O72" s="201" t="s">
        <v>40</v>
      </c>
      <c r="P72" s="201" t="s">
        <v>95</v>
      </c>
      <c r="Q72" s="11"/>
      <c r="R72" s="201" t="s">
        <v>192</v>
      </c>
      <c r="S72" s="201" t="s">
        <v>192</v>
      </c>
      <c r="T72" s="11"/>
    </row>
    <row r="73" spans="1:20" ht="15">
      <c r="A73" s="81"/>
      <c r="C73" s="202" t="s">
        <v>16</v>
      </c>
      <c r="D73" s="202" t="s">
        <v>17</v>
      </c>
      <c r="E73" s="202" t="s">
        <v>80</v>
      </c>
      <c r="F73" s="11"/>
      <c r="G73" s="202" t="s">
        <v>81</v>
      </c>
      <c r="H73" s="202" t="s">
        <v>80</v>
      </c>
      <c r="I73" s="202"/>
      <c r="J73" s="202" t="s">
        <v>81</v>
      </c>
      <c r="K73" s="11"/>
      <c r="L73" s="202" t="s">
        <v>17</v>
      </c>
      <c r="M73" s="11"/>
      <c r="N73" s="202" t="s">
        <v>15</v>
      </c>
      <c r="O73" s="202" t="s">
        <v>15</v>
      </c>
      <c r="P73" s="202" t="s">
        <v>96</v>
      </c>
      <c r="Q73" s="11"/>
      <c r="R73" s="417" t="s">
        <v>193</v>
      </c>
      <c r="S73" s="417" t="s">
        <v>194</v>
      </c>
      <c r="T73" s="11"/>
    </row>
    <row r="74" spans="1:20">
      <c r="A74" t="str">
        <f t="shared" ref="A74:A97" si="45">+A35</f>
        <v>Oct., 2019</v>
      </c>
      <c r="C74" s="119">
        <f>+'King County Tonnage'!R3+'King County Tonnage'!S3</f>
        <v>414.7</v>
      </c>
      <c r="D74" s="119">
        <f>+'King County Tonnage'!P3+'King County Tonnage'!Q3</f>
        <v>436.7</v>
      </c>
      <c r="E74" s="114">
        <f t="shared" ref="E74:E97" si="46">+D74+C74</f>
        <v>851.4</v>
      </c>
      <c r="F74" s="11"/>
      <c r="G74" s="114">
        <f>+'Snohomish County Tonnage'!S3</f>
        <v>2025.5</v>
      </c>
      <c r="H74" s="114">
        <f t="shared" ref="H74:H97" si="47">+G74+E74</f>
        <v>2876.9</v>
      </c>
      <c r="I74" s="114"/>
      <c r="J74" s="176">
        <f t="shared" ref="J74:J79" si="48">+C74/E74*N74</f>
        <v>5149.6214207145349</v>
      </c>
      <c r="K74" s="11"/>
      <c r="L74" s="176">
        <f t="shared" ref="L74:L79" si="49">+N74-J74</f>
        <v>5422.8108860044304</v>
      </c>
      <c r="M74" s="11"/>
      <c r="N74" s="176">
        <f t="shared" ref="N74:N79" si="50">+E74/C7*G7</f>
        <v>10572.432306718965</v>
      </c>
      <c r="O74" s="176">
        <f t="shared" ref="O74:O79" si="51">+G74/D7*H7</f>
        <v>16872.741026590928</v>
      </c>
      <c r="P74" s="177">
        <f t="shared" ref="P74:P79" si="52">(O74+N74)/H74</f>
        <v>9.5398426547012036</v>
      </c>
      <c r="Q74" s="176"/>
      <c r="R74" s="413">
        <f t="shared" ref="R74:R79" si="53">(C74+G74)/H74</f>
        <v>0.84820466474330003</v>
      </c>
      <c r="S74" s="113">
        <f t="shared" ref="S74:S80" si="54">1-R74</f>
        <v>0.15179533525669997</v>
      </c>
      <c r="T74" s="119"/>
    </row>
    <row r="75" spans="1:20">
      <c r="A75" t="str">
        <f t="shared" si="45"/>
        <v>Nov</v>
      </c>
      <c r="C75" s="119">
        <f>+'King County Tonnage'!R7+'King County Tonnage'!S7</f>
        <v>404.7</v>
      </c>
      <c r="D75" s="119">
        <f>+'King County Tonnage'!P7+'King County Tonnage'!Q7</f>
        <v>358</v>
      </c>
      <c r="E75" s="114">
        <f t="shared" si="46"/>
        <v>762.7</v>
      </c>
      <c r="F75" s="11"/>
      <c r="G75" s="114">
        <f>+'Snohomish County Tonnage'!S7</f>
        <v>1924.6</v>
      </c>
      <c r="H75" s="114">
        <f t="shared" si="47"/>
        <v>2687.3</v>
      </c>
      <c r="I75" s="114"/>
      <c r="J75" s="176">
        <f t="shared" si="48"/>
        <v>6010.9693074643928</v>
      </c>
      <c r="K75" s="11"/>
      <c r="L75" s="176">
        <f t="shared" si="49"/>
        <v>5317.3387992889875</v>
      </c>
      <c r="M75" s="11"/>
      <c r="N75" s="176">
        <f t="shared" si="50"/>
        <v>11328.30810675338</v>
      </c>
      <c r="O75" s="176">
        <f t="shared" si="51"/>
        <v>21736.006983527699</v>
      </c>
      <c r="P75" s="177">
        <f t="shared" si="52"/>
        <v>12.303916604130942</v>
      </c>
      <c r="Q75" s="176"/>
      <c r="R75" s="413">
        <f t="shared" si="53"/>
        <v>0.86678078368622768</v>
      </c>
      <c r="S75" s="113">
        <f t="shared" si="54"/>
        <v>0.13321921631377232</v>
      </c>
      <c r="T75" s="119"/>
    </row>
    <row r="76" spans="1:20">
      <c r="A76" t="str">
        <f t="shared" si="45"/>
        <v>Dec</v>
      </c>
      <c r="C76" s="119">
        <f>+'King County Tonnage'!R11+'King County Tonnage'!S11</f>
        <v>470.2</v>
      </c>
      <c r="D76" s="119">
        <f>+'King County Tonnage'!P11+'King County Tonnage'!Q11</f>
        <v>426.3</v>
      </c>
      <c r="E76" s="114">
        <f t="shared" si="46"/>
        <v>896.5</v>
      </c>
      <c r="F76" s="11"/>
      <c r="G76" s="114">
        <f>+'Snohomish County Tonnage'!S11</f>
        <v>2129.25</v>
      </c>
      <c r="H76" s="114">
        <f t="shared" si="47"/>
        <v>3025.75</v>
      </c>
      <c r="I76" s="114"/>
      <c r="J76" s="176">
        <f t="shared" si="48"/>
        <v>3297.752425558132</v>
      </c>
      <c r="K76" s="11"/>
      <c r="L76" s="176">
        <f t="shared" si="49"/>
        <v>2989.859334358639</v>
      </c>
      <c r="M76" s="11"/>
      <c r="N76" s="176">
        <f t="shared" si="50"/>
        <v>6287.611759916771</v>
      </c>
      <c r="O76" s="176">
        <f t="shared" si="51"/>
        <v>5123.5386992347549</v>
      </c>
      <c r="P76" s="177">
        <f t="shared" si="52"/>
        <v>3.7713460990338019</v>
      </c>
      <c r="Q76" s="176"/>
      <c r="R76" s="413">
        <f t="shared" si="53"/>
        <v>0.85910931174089067</v>
      </c>
      <c r="S76" s="113">
        <f t="shared" si="54"/>
        <v>0.14089068825910933</v>
      </c>
      <c r="T76" s="119"/>
    </row>
    <row r="77" spans="1:20">
      <c r="A77" t="str">
        <f t="shared" si="45"/>
        <v>Jan., 2020</v>
      </c>
      <c r="C77" s="119">
        <f>+'King County Tonnage'!R15+'King County Tonnage'!S15</f>
        <v>408.1</v>
      </c>
      <c r="D77" s="119">
        <f>+'King County Tonnage'!P15+'King County Tonnage'!Q15</f>
        <v>434</v>
      </c>
      <c r="E77" s="114">
        <f t="shared" si="46"/>
        <v>842.1</v>
      </c>
      <c r="F77" s="11"/>
      <c r="G77" s="114">
        <f>+'Snohomish County Tonnage'!S15</f>
        <v>2247.3000000000002</v>
      </c>
      <c r="H77" s="171">
        <f t="shared" si="47"/>
        <v>3089.4</v>
      </c>
      <c r="I77" s="171"/>
      <c r="J77" s="176">
        <f t="shared" si="48"/>
        <v>4670.8178259005936</v>
      </c>
      <c r="K77" s="11"/>
      <c r="L77" s="176">
        <f t="shared" si="49"/>
        <v>4967.250518110407</v>
      </c>
      <c r="M77" s="11"/>
      <c r="N77" s="176">
        <f t="shared" si="50"/>
        <v>9638.0683440110006</v>
      </c>
      <c r="O77" s="176">
        <f t="shared" si="51"/>
        <v>20931.27905826721</v>
      </c>
      <c r="P77" s="177">
        <f t="shared" si="52"/>
        <v>9.8949140293513977</v>
      </c>
      <c r="Q77" s="176"/>
      <c r="R77" s="413">
        <f t="shared" si="53"/>
        <v>0.85951964782805723</v>
      </c>
      <c r="S77" s="113">
        <f t="shared" si="54"/>
        <v>0.14048035217194277</v>
      </c>
      <c r="T77" s="119"/>
    </row>
    <row r="78" spans="1:20">
      <c r="A78" t="str">
        <f t="shared" si="45"/>
        <v>Feb</v>
      </c>
      <c r="C78" s="119">
        <f>+'King County Tonnage'!R19+'King County Tonnage'!S19</f>
        <v>390.3</v>
      </c>
      <c r="D78" s="119">
        <f>+'King County Tonnage'!P19+'King County Tonnage'!Q19</f>
        <v>380.70000000000005</v>
      </c>
      <c r="E78" s="114">
        <f t="shared" si="46"/>
        <v>771</v>
      </c>
      <c r="F78" s="11"/>
      <c r="G78" s="114">
        <f>+'Snohomish County Tonnage'!S19</f>
        <v>1907.1000000000001</v>
      </c>
      <c r="H78" s="171">
        <f t="shared" si="47"/>
        <v>2678.1000000000004</v>
      </c>
      <c r="I78" s="171"/>
      <c r="J78" s="176">
        <f t="shared" si="48"/>
        <v>5266.2402841626717</v>
      </c>
      <c r="K78" s="11"/>
      <c r="L78" s="176">
        <f t="shared" si="49"/>
        <v>5136.7093932378411</v>
      </c>
      <c r="M78" s="11"/>
      <c r="N78" s="176">
        <f t="shared" si="50"/>
        <v>10402.949677400513</v>
      </c>
      <c r="O78" s="176">
        <f t="shared" si="51"/>
        <v>16205.347833024225</v>
      </c>
      <c r="P78" s="177">
        <f t="shared" si="52"/>
        <v>9.935513054189439</v>
      </c>
      <c r="Q78" s="176"/>
      <c r="R78" s="413">
        <f t="shared" si="53"/>
        <v>0.85784698106866797</v>
      </c>
      <c r="S78" s="113">
        <f t="shared" si="54"/>
        <v>0.14215301893133203</v>
      </c>
      <c r="T78" s="119"/>
    </row>
    <row r="79" spans="1:20">
      <c r="A79" t="str">
        <f t="shared" si="45"/>
        <v>Mar</v>
      </c>
      <c r="C79" s="119">
        <f>+'King County Tonnage'!R23+'King County Tonnage'!S23</f>
        <v>420.86</v>
      </c>
      <c r="D79" s="119">
        <f>+'King County Tonnage'!P23+'King County Tonnage'!Q23</f>
        <v>424.86</v>
      </c>
      <c r="E79" s="114">
        <f t="shared" si="46"/>
        <v>845.72</v>
      </c>
      <c r="F79" s="11"/>
      <c r="G79" s="114">
        <f>+'Snohomish County Tonnage'!S23</f>
        <v>2007.4899999999998</v>
      </c>
      <c r="H79" s="171">
        <f t="shared" si="47"/>
        <v>2853.21</v>
      </c>
      <c r="I79" s="171"/>
      <c r="J79" s="176">
        <f t="shared" si="48"/>
        <v>2606.7839624500721</v>
      </c>
      <c r="K79" s="11"/>
      <c r="L79" s="176">
        <f t="shared" si="49"/>
        <v>2631.5597450138712</v>
      </c>
      <c r="M79" s="11"/>
      <c r="N79" s="176">
        <f t="shared" si="50"/>
        <v>5238.3437074639432</v>
      </c>
      <c r="O79" s="176">
        <f t="shared" si="51"/>
        <v>7772.6582339050801</v>
      </c>
      <c r="P79" s="177">
        <f t="shared" si="52"/>
        <v>4.5601276952516727</v>
      </c>
      <c r="Q79" s="176"/>
      <c r="R79" s="413">
        <f t="shared" si="53"/>
        <v>0.85109403093358005</v>
      </c>
      <c r="S79" s="113">
        <f t="shared" si="54"/>
        <v>0.14890596906641995</v>
      </c>
      <c r="T79" s="119"/>
    </row>
    <row r="80" spans="1:20">
      <c r="A80" t="str">
        <f t="shared" si="45"/>
        <v>Apr</v>
      </c>
      <c r="C80" s="119">
        <f>+'King County Tonnage'!R27+'King County Tonnage'!S27</f>
        <v>453.36</v>
      </c>
      <c r="D80" s="119">
        <f>+'King County Tonnage'!P27+'King County Tonnage'!Q27</f>
        <v>489.22</v>
      </c>
      <c r="E80" s="114">
        <f t="shared" si="46"/>
        <v>942.58</v>
      </c>
      <c r="F80" s="11"/>
      <c r="G80" s="114">
        <f>+'Snohomish County Tonnage'!S27</f>
        <v>2165.8199999999997</v>
      </c>
      <c r="H80" s="171">
        <f t="shared" si="47"/>
        <v>3108.3999999999996</v>
      </c>
      <c r="I80" s="171"/>
      <c r="J80" s="176">
        <f t="shared" ref="J80:J85" si="55">+C80/E80*N80</f>
        <v>3560.2665777172374</v>
      </c>
      <c r="K80" s="11"/>
      <c r="L80" s="176">
        <f t="shared" ref="L80:L85" si="56">+N80-J80</f>
        <v>3841.877570034469</v>
      </c>
      <c r="M80" s="11"/>
      <c r="N80" s="176">
        <f t="shared" ref="N80:N85" si="57">+E80/C13*G13</f>
        <v>7402.1441477517064</v>
      </c>
      <c r="O80" s="176">
        <f t="shared" ref="O80:O85" si="58">+G80/D13*H13</f>
        <v>13656.238979180242</v>
      </c>
      <c r="P80" s="177">
        <f t="shared" ref="P80:P85" si="59">(O80+N80)/H80</f>
        <v>6.7746696457765898</v>
      </c>
      <c r="Q80" s="176"/>
      <c r="R80" s="413">
        <f t="shared" ref="R80:R85" si="60">(C80+G80)/H80</f>
        <v>0.84261356324797332</v>
      </c>
      <c r="S80" s="113">
        <f t="shared" si="54"/>
        <v>0.15738643675202668</v>
      </c>
      <c r="T80" s="119"/>
    </row>
    <row r="81" spans="1:20">
      <c r="A81" t="str">
        <f t="shared" si="45"/>
        <v>May</v>
      </c>
      <c r="C81" s="119">
        <f>+'King County Tonnage'!R31+'King County Tonnage'!S31</f>
        <v>428.33</v>
      </c>
      <c r="D81" s="119">
        <f>+'King County Tonnage'!P31+'King County Tonnage'!Q31</f>
        <v>409.63</v>
      </c>
      <c r="E81" s="114">
        <f t="shared" si="46"/>
        <v>837.96</v>
      </c>
      <c r="F81" s="11"/>
      <c r="G81" s="114">
        <f>+'Snohomish County Tonnage'!S31</f>
        <v>2144.8799999999997</v>
      </c>
      <c r="H81" s="171">
        <f t="shared" si="47"/>
        <v>2982.8399999999997</v>
      </c>
      <c r="I81" s="171"/>
      <c r="J81" s="176">
        <f t="shared" si="55"/>
        <v>5569.4159806072967</v>
      </c>
      <c r="K81" s="11"/>
      <c r="L81" s="176">
        <f t="shared" si="56"/>
        <v>5326.2668226278038</v>
      </c>
      <c r="M81" s="11"/>
      <c r="N81" s="176">
        <f t="shared" si="57"/>
        <v>10895.6828032351</v>
      </c>
      <c r="O81" s="176">
        <f t="shared" si="58"/>
        <v>30151.495186784814</v>
      </c>
      <c r="P81" s="177">
        <f t="shared" si="59"/>
        <v>13.76110619075107</v>
      </c>
      <c r="Q81" s="176"/>
      <c r="R81" s="413">
        <f t="shared" si="60"/>
        <v>0.86267114561961078</v>
      </c>
      <c r="S81" s="113">
        <f>1-R81</f>
        <v>0.13732885438038922</v>
      </c>
      <c r="T81" s="119"/>
    </row>
    <row r="82" spans="1:20">
      <c r="A82" t="str">
        <f t="shared" si="45"/>
        <v>Jun</v>
      </c>
      <c r="C82" s="119">
        <f>+'King County Tonnage'!R35+'King County Tonnage'!S35</f>
        <v>442.09999999999997</v>
      </c>
      <c r="D82" s="119">
        <f>+'King County Tonnage'!P35+'King County Tonnage'!Q35</f>
        <v>430.90000000000003</v>
      </c>
      <c r="E82" s="114">
        <f t="shared" si="46"/>
        <v>873</v>
      </c>
      <c r="F82" s="11"/>
      <c r="G82" s="114">
        <f>+'Snohomish County Tonnage'!S35</f>
        <v>2281.5099999999998</v>
      </c>
      <c r="H82" s="171">
        <f t="shared" si="47"/>
        <v>3154.5099999999998</v>
      </c>
      <c r="I82" s="171"/>
      <c r="J82" s="176">
        <f t="shared" si="55"/>
        <v>4496.5002814575055</v>
      </c>
      <c r="K82" s="11"/>
      <c r="L82" s="176">
        <f t="shared" si="56"/>
        <v>4382.5875848903852</v>
      </c>
      <c r="M82" s="11"/>
      <c r="N82" s="176">
        <f t="shared" si="57"/>
        <v>8879.0878663478907</v>
      </c>
      <c r="O82" s="176">
        <f t="shared" si="58"/>
        <v>26980.298634835763</v>
      </c>
      <c r="P82" s="177">
        <f t="shared" si="59"/>
        <v>11.367656625334412</v>
      </c>
      <c r="Q82" s="176"/>
      <c r="R82" s="413">
        <f t="shared" si="60"/>
        <v>0.86340192296109375</v>
      </c>
      <c r="S82" s="113">
        <f>1-R82</f>
        <v>0.13659807703890625</v>
      </c>
      <c r="T82" s="119"/>
    </row>
    <row r="83" spans="1:20">
      <c r="A83" t="str">
        <f t="shared" si="45"/>
        <v>Jul</v>
      </c>
      <c r="C83" s="119">
        <f>+'King County Tonnage'!R39+'King County Tonnage'!S39</f>
        <v>488.58000000000004</v>
      </c>
      <c r="D83" s="119">
        <f>+'King County Tonnage'!P39+'King County Tonnage'!Q39</f>
        <v>497.01</v>
      </c>
      <c r="E83" s="114">
        <f t="shared" si="46"/>
        <v>985.59</v>
      </c>
      <c r="F83" s="11"/>
      <c r="G83" s="114">
        <f>+'Snohomish County Tonnage'!S39</f>
        <v>2362.56</v>
      </c>
      <c r="H83" s="171">
        <f t="shared" si="47"/>
        <v>3348.15</v>
      </c>
      <c r="I83" s="171"/>
      <c r="J83" s="176">
        <f t="shared" si="55"/>
        <v>5194.4743235087972</v>
      </c>
      <c r="K83" s="11"/>
      <c r="L83" s="176">
        <f t="shared" si="56"/>
        <v>5284.1002159873642</v>
      </c>
      <c r="M83" s="11"/>
      <c r="N83" s="176">
        <f t="shared" si="57"/>
        <v>10478.574539496161</v>
      </c>
      <c r="O83" s="176">
        <f t="shared" si="58"/>
        <v>24693.317571726649</v>
      </c>
      <c r="P83" s="177">
        <f t="shared" si="59"/>
        <v>10.504873470789185</v>
      </c>
      <c r="Q83" s="176"/>
      <c r="R83" s="413">
        <f t="shared" si="60"/>
        <v>0.8515568298911339</v>
      </c>
      <c r="S83" s="113">
        <f>1-R83</f>
        <v>0.1484431701088661</v>
      </c>
      <c r="T83" s="119"/>
    </row>
    <row r="84" spans="1:20">
      <c r="A84" t="str">
        <f t="shared" si="45"/>
        <v>Aug</v>
      </c>
      <c r="C84" s="119">
        <f>+'King County Tonnage'!R43+'King County Tonnage'!S43</f>
        <v>466.83</v>
      </c>
      <c r="D84" s="119">
        <f>+'King County Tonnage'!P43+'King County Tonnage'!Q43</f>
        <v>450.25</v>
      </c>
      <c r="E84" s="114">
        <f t="shared" si="46"/>
        <v>917.07999999999993</v>
      </c>
      <c r="F84" s="11"/>
      <c r="G84" s="114">
        <f>+'Snohomish County Tonnage'!S43</f>
        <v>2104.88</v>
      </c>
      <c r="H84" s="171">
        <f t="shared" si="47"/>
        <v>3021.96</v>
      </c>
      <c r="I84" s="171"/>
      <c r="J84" s="176">
        <f t="shared" si="55"/>
        <v>8599.7194850448559</v>
      </c>
      <c r="K84" s="11"/>
      <c r="L84" s="176">
        <f t="shared" si="56"/>
        <v>8294.2906371515255</v>
      </c>
      <c r="M84" s="11"/>
      <c r="N84" s="176">
        <f t="shared" si="57"/>
        <v>16894.010122196381</v>
      </c>
      <c r="O84" s="176">
        <f t="shared" si="58"/>
        <v>39745.981329975926</v>
      </c>
      <c r="P84" s="177">
        <f t="shared" si="59"/>
        <v>18.742799855779797</v>
      </c>
      <c r="Q84" s="176"/>
      <c r="R84" s="413">
        <f t="shared" si="60"/>
        <v>0.85100729327985813</v>
      </c>
      <c r="S84" s="113">
        <f>1-R84</f>
        <v>0.14899270672014187</v>
      </c>
      <c r="T84" s="119"/>
    </row>
    <row r="85" spans="1:20">
      <c r="A85" t="str">
        <f t="shared" si="45"/>
        <v>Sep</v>
      </c>
      <c r="C85" s="119">
        <f>+'King County Tonnage'!R47+'King County Tonnage'!S47</f>
        <v>466.82</v>
      </c>
      <c r="D85" s="119">
        <f>+'King County Tonnage'!P47+'King County Tonnage'!Q47</f>
        <v>448.86</v>
      </c>
      <c r="E85" s="114">
        <f t="shared" si="46"/>
        <v>915.68000000000006</v>
      </c>
      <c r="F85" s="11"/>
      <c r="G85" s="114">
        <f>+'Snohomish County Tonnage'!S47</f>
        <v>2275.77</v>
      </c>
      <c r="H85" s="171">
        <f t="shared" si="47"/>
        <v>3191.45</v>
      </c>
      <c r="I85" s="171"/>
      <c r="J85" s="176">
        <f t="shared" si="55"/>
        <v>11888.481585770467</v>
      </c>
      <c r="K85" s="11"/>
      <c r="L85" s="176">
        <f t="shared" si="56"/>
        <v>11431.095164279453</v>
      </c>
      <c r="M85" s="11"/>
      <c r="N85" s="176">
        <f t="shared" si="57"/>
        <v>23319.576750049921</v>
      </c>
      <c r="O85" s="176">
        <f t="shared" si="58"/>
        <v>57737.928204656535</v>
      </c>
      <c r="P85" s="177">
        <f t="shared" si="59"/>
        <v>25.398331465229429</v>
      </c>
      <c r="Q85" s="176"/>
      <c r="R85" s="413">
        <f t="shared" si="60"/>
        <v>0.85935546538407315</v>
      </c>
      <c r="S85" s="113">
        <f>1-R85</f>
        <v>0.14064453461592685</v>
      </c>
      <c r="T85" s="119"/>
    </row>
    <row r="86" spans="1:20" ht="15">
      <c r="A86" t="str">
        <f t="shared" si="45"/>
        <v>Oct</v>
      </c>
      <c r="C86" s="119"/>
      <c r="D86" s="119"/>
      <c r="E86" s="114">
        <f t="shared" si="46"/>
        <v>0</v>
      </c>
      <c r="F86" s="11"/>
      <c r="G86" s="114"/>
      <c r="H86" s="171">
        <f t="shared" si="47"/>
        <v>0</v>
      </c>
      <c r="I86" s="190"/>
      <c r="J86" s="176"/>
      <c r="K86" s="11"/>
      <c r="L86" s="176"/>
      <c r="M86" s="11"/>
      <c r="N86" s="176"/>
      <c r="O86" s="176"/>
      <c r="P86" s="177"/>
      <c r="Q86" s="188"/>
      <c r="R86" s="413"/>
      <c r="S86" s="113"/>
      <c r="T86" s="119"/>
    </row>
    <row r="87" spans="1:20" ht="15">
      <c r="A87" t="str">
        <f t="shared" si="45"/>
        <v>Nov</v>
      </c>
      <c r="C87" s="119"/>
      <c r="D87" s="119"/>
      <c r="E87" s="114">
        <f t="shared" si="46"/>
        <v>0</v>
      </c>
      <c r="F87" s="11"/>
      <c r="G87" s="114"/>
      <c r="H87" s="171">
        <f t="shared" si="47"/>
        <v>0</v>
      </c>
      <c r="I87" s="190"/>
      <c r="J87" s="176"/>
      <c r="K87" s="11"/>
      <c r="L87" s="176"/>
      <c r="M87" s="11"/>
      <c r="N87" s="176"/>
      <c r="O87" s="176"/>
      <c r="P87" s="177"/>
      <c r="Q87" s="188"/>
      <c r="R87" s="413"/>
      <c r="S87" s="113"/>
      <c r="T87" s="119"/>
    </row>
    <row r="88" spans="1:20">
      <c r="A88" t="str">
        <f t="shared" si="45"/>
        <v>Dec</v>
      </c>
      <c r="C88" s="119"/>
      <c r="D88" s="119"/>
      <c r="E88" s="114">
        <f t="shared" si="46"/>
        <v>0</v>
      </c>
      <c r="F88" s="11"/>
      <c r="G88" s="114"/>
      <c r="H88" s="171">
        <f t="shared" si="47"/>
        <v>0</v>
      </c>
      <c r="I88" s="171"/>
      <c r="J88" s="176"/>
      <c r="K88" s="11"/>
      <c r="L88" s="176"/>
      <c r="M88" s="11"/>
      <c r="N88" s="176"/>
      <c r="O88" s="176"/>
      <c r="P88" s="177"/>
      <c r="Q88" s="188"/>
      <c r="R88" s="413"/>
      <c r="S88" s="113"/>
      <c r="T88" s="119"/>
    </row>
    <row r="89" spans="1:20" ht="15">
      <c r="A89" t="str">
        <f t="shared" si="45"/>
        <v>Jan. 2021</v>
      </c>
      <c r="C89" s="119"/>
      <c r="D89" s="119"/>
      <c r="E89" s="114">
        <f t="shared" si="46"/>
        <v>0</v>
      </c>
      <c r="F89" s="11"/>
      <c r="G89" s="114"/>
      <c r="H89" s="171">
        <f t="shared" si="47"/>
        <v>0</v>
      </c>
      <c r="I89" s="190"/>
      <c r="J89" s="176"/>
      <c r="K89" s="11"/>
      <c r="L89" s="176"/>
      <c r="M89" s="11"/>
      <c r="N89" s="176"/>
      <c r="O89" s="176"/>
      <c r="P89" s="177"/>
      <c r="Q89" s="188"/>
      <c r="R89" s="413"/>
      <c r="S89" s="113"/>
      <c r="T89" s="119"/>
    </row>
    <row r="90" spans="1:20" ht="15">
      <c r="A90" t="str">
        <f t="shared" si="45"/>
        <v>Feb</v>
      </c>
      <c r="C90" s="119"/>
      <c r="D90" s="119"/>
      <c r="E90" s="114">
        <f t="shared" si="46"/>
        <v>0</v>
      </c>
      <c r="F90" s="11"/>
      <c r="G90" s="114"/>
      <c r="H90" s="171">
        <f t="shared" si="47"/>
        <v>0</v>
      </c>
      <c r="I90" s="190"/>
      <c r="J90" s="176"/>
      <c r="K90" s="11"/>
      <c r="L90" s="176"/>
      <c r="M90" s="11"/>
      <c r="N90" s="176"/>
      <c r="O90" s="176"/>
      <c r="P90" s="177"/>
      <c r="Q90" s="188"/>
      <c r="R90" s="413"/>
      <c r="S90" s="113"/>
      <c r="T90" s="119"/>
    </row>
    <row r="91" spans="1:20">
      <c r="A91" t="str">
        <f t="shared" si="45"/>
        <v>Mar</v>
      </c>
      <c r="C91" s="119"/>
      <c r="D91" s="119"/>
      <c r="E91" s="114">
        <f t="shared" si="46"/>
        <v>0</v>
      </c>
      <c r="F91" s="11"/>
      <c r="G91" s="114"/>
      <c r="H91" s="171">
        <f t="shared" si="47"/>
        <v>0</v>
      </c>
      <c r="I91" s="171"/>
      <c r="J91" s="176"/>
      <c r="K91" s="11"/>
      <c r="L91" s="176"/>
      <c r="M91" s="11"/>
      <c r="N91" s="176"/>
      <c r="O91" s="176"/>
      <c r="P91" s="177"/>
      <c r="Q91" s="188"/>
      <c r="R91" s="413"/>
      <c r="S91" s="113"/>
      <c r="T91" s="119"/>
    </row>
    <row r="92" spans="1:20">
      <c r="A92" t="str">
        <f t="shared" si="45"/>
        <v>Apr</v>
      </c>
      <c r="C92" s="119"/>
      <c r="D92" s="119"/>
      <c r="E92" s="114">
        <f t="shared" si="46"/>
        <v>0</v>
      </c>
      <c r="F92" s="11"/>
      <c r="G92" s="114"/>
      <c r="H92" s="171">
        <f t="shared" si="47"/>
        <v>0</v>
      </c>
      <c r="I92" s="171"/>
      <c r="J92" s="176"/>
      <c r="K92" s="11"/>
      <c r="L92" s="176"/>
      <c r="M92" s="11"/>
      <c r="N92" s="176"/>
      <c r="O92" s="176"/>
      <c r="P92" s="177"/>
      <c r="Q92" s="188"/>
      <c r="R92" s="413"/>
      <c r="S92" s="113"/>
      <c r="T92" s="119"/>
    </row>
    <row r="93" spans="1:20">
      <c r="A93" t="str">
        <f t="shared" si="45"/>
        <v>May</v>
      </c>
      <c r="C93" s="119"/>
      <c r="D93" s="119"/>
      <c r="E93" s="114">
        <f t="shared" si="46"/>
        <v>0</v>
      </c>
      <c r="F93" s="11"/>
      <c r="G93" s="114"/>
      <c r="H93" s="171">
        <f t="shared" si="47"/>
        <v>0</v>
      </c>
      <c r="I93" s="171"/>
      <c r="J93" s="176"/>
      <c r="K93" s="11"/>
      <c r="L93" s="176"/>
      <c r="M93" s="11"/>
      <c r="N93" s="176"/>
      <c r="O93" s="176"/>
      <c r="P93" s="177"/>
      <c r="Q93" s="188"/>
      <c r="R93" s="413"/>
      <c r="S93" s="113"/>
      <c r="T93" s="119"/>
    </row>
    <row r="94" spans="1:20">
      <c r="A94" t="str">
        <f t="shared" si="45"/>
        <v>Jun</v>
      </c>
      <c r="C94" s="119"/>
      <c r="D94" s="119"/>
      <c r="E94" s="114">
        <f t="shared" si="46"/>
        <v>0</v>
      </c>
      <c r="F94" s="11"/>
      <c r="G94" s="114"/>
      <c r="H94" s="171">
        <f t="shared" si="47"/>
        <v>0</v>
      </c>
      <c r="I94" s="171"/>
      <c r="J94" s="176"/>
      <c r="K94" s="11"/>
      <c r="L94" s="176"/>
      <c r="M94" s="11"/>
      <c r="N94" s="176"/>
      <c r="O94" s="176"/>
      <c r="P94" s="177"/>
      <c r="Q94" s="188"/>
      <c r="R94" s="413"/>
      <c r="S94" s="113"/>
      <c r="T94" s="119"/>
    </row>
    <row r="95" spans="1:20">
      <c r="A95" t="str">
        <f t="shared" si="45"/>
        <v>Jul</v>
      </c>
      <c r="C95" s="119"/>
      <c r="D95" s="119"/>
      <c r="E95" s="114">
        <f t="shared" si="46"/>
        <v>0</v>
      </c>
      <c r="F95" s="11"/>
      <c r="G95" s="114"/>
      <c r="H95" s="171">
        <f t="shared" si="47"/>
        <v>0</v>
      </c>
      <c r="I95" s="171"/>
      <c r="J95" s="176"/>
      <c r="K95" s="11"/>
      <c r="L95" s="176"/>
      <c r="M95" s="11"/>
      <c r="N95" s="176"/>
      <c r="O95" s="176"/>
      <c r="P95" s="177"/>
      <c r="Q95" s="188"/>
      <c r="R95" s="413"/>
      <c r="S95" s="113"/>
      <c r="T95" s="119"/>
    </row>
    <row r="96" spans="1:20">
      <c r="A96" t="str">
        <f t="shared" si="45"/>
        <v>Aug</v>
      </c>
      <c r="C96" s="119"/>
      <c r="D96" s="119"/>
      <c r="E96" s="114">
        <f t="shared" si="46"/>
        <v>0</v>
      </c>
      <c r="F96" s="11"/>
      <c r="G96" s="114"/>
      <c r="H96" s="171">
        <f t="shared" si="47"/>
        <v>0</v>
      </c>
      <c r="I96" s="171"/>
      <c r="J96" s="176"/>
      <c r="K96" s="11"/>
      <c r="L96" s="176"/>
      <c r="M96" s="11"/>
      <c r="N96" s="176"/>
      <c r="O96" s="176"/>
      <c r="P96" s="177"/>
      <c r="Q96" s="188"/>
      <c r="R96" s="413"/>
      <c r="S96" s="113"/>
      <c r="T96" s="119"/>
    </row>
    <row r="97" spans="1:20" s="79" customFormat="1" ht="16.5">
      <c r="A97" t="str">
        <f t="shared" si="45"/>
        <v>Sep</v>
      </c>
      <c r="C97" s="387"/>
      <c r="D97" s="387"/>
      <c r="E97" s="99">
        <f t="shared" si="46"/>
        <v>0</v>
      </c>
      <c r="F97" s="116"/>
      <c r="G97" s="99"/>
      <c r="H97" s="203">
        <f t="shared" si="47"/>
        <v>0</v>
      </c>
      <c r="I97" s="204"/>
      <c r="J97" s="179"/>
      <c r="K97" s="178"/>
      <c r="L97" s="179"/>
      <c r="M97" s="249"/>
      <c r="N97" s="179"/>
      <c r="O97" s="179"/>
      <c r="P97" s="182"/>
      <c r="Q97" s="205"/>
      <c r="R97" s="418"/>
      <c r="S97" s="419"/>
      <c r="T97" s="169"/>
    </row>
    <row r="98" spans="1:20" ht="15">
      <c r="C98" s="184">
        <f>SUM(C74:C97)</f>
        <v>5254.88</v>
      </c>
      <c r="D98" s="184">
        <f t="shared" ref="D98:O98" si="61">SUM(D74:D97)</f>
        <v>5186.4299999999994</v>
      </c>
      <c r="E98" s="184">
        <f t="shared" si="61"/>
        <v>10441.31</v>
      </c>
      <c r="F98" s="184"/>
      <c r="G98" s="184">
        <f t="shared" si="61"/>
        <v>25576.660000000003</v>
      </c>
      <c r="H98" s="184">
        <f t="shared" si="61"/>
        <v>36017.969999999994</v>
      </c>
      <c r="I98" s="184"/>
      <c r="J98" s="185">
        <f t="shared" si="61"/>
        <v>66311.043460356566</v>
      </c>
      <c r="K98" s="185"/>
      <c r="L98" s="185">
        <f t="shared" si="61"/>
        <v>65025.746670985172</v>
      </c>
      <c r="M98" s="185"/>
      <c r="N98" s="185">
        <f t="shared" si="61"/>
        <v>131336.79013134172</v>
      </c>
      <c r="O98" s="185">
        <f t="shared" si="61"/>
        <v>281606.83174170979</v>
      </c>
      <c r="P98" s="186">
        <f>(O98+N98)/H98</f>
        <v>11.46493325062605</v>
      </c>
      <c r="Q98" s="185"/>
      <c r="R98" s="416">
        <f>(C98+G98)/H98</f>
        <v>0.85600437781474104</v>
      </c>
      <c r="S98" s="420">
        <f>1-R98</f>
        <v>0.14399562218525896</v>
      </c>
      <c r="T98" s="11"/>
    </row>
    <row r="99" spans="1:20" ht="15">
      <c r="B99" s="96"/>
      <c r="E99" s="173">
        <f>+E98/C59</f>
        <v>0.83960897143114455</v>
      </c>
      <c r="F99" s="11"/>
      <c r="G99" s="173">
        <f>+G98/D59</f>
        <v>0.89280195255244521</v>
      </c>
      <c r="H99" s="173">
        <f>+H98/E59</f>
        <v>0.87670052855705016</v>
      </c>
      <c r="I99" s="173"/>
      <c r="J99" s="11"/>
      <c r="K99" s="11"/>
      <c r="L99" s="11"/>
      <c r="M99" s="11"/>
      <c r="N99" s="173">
        <f>+N98/G59</f>
        <v>0.83907486931370279</v>
      </c>
      <c r="O99" s="173">
        <f>+O98/H59</f>
        <v>0.89315904282508285</v>
      </c>
      <c r="P99" s="11"/>
      <c r="Q99" s="173"/>
      <c r="R99" s="11"/>
      <c r="S99" s="11"/>
      <c r="T99" s="11"/>
    </row>
    <row r="100" spans="1:20" ht="15">
      <c r="B100" s="96"/>
      <c r="E100" s="173"/>
      <c r="F100" s="11"/>
      <c r="G100" s="173"/>
      <c r="H100" s="173"/>
      <c r="I100" s="173"/>
      <c r="J100" s="11"/>
      <c r="K100" s="11"/>
      <c r="L100" s="11"/>
      <c r="M100" s="11"/>
      <c r="N100" s="173"/>
      <c r="O100" s="173"/>
      <c r="P100" s="11"/>
      <c r="Q100" s="173"/>
      <c r="R100" s="11"/>
      <c r="S100" s="11"/>
      <c r="T100" s="11"/>
    </row>
    <row r="101" spans="1:20" ht="15">
      <c r="A101" s="96" t="s">
        <v>196</v>
      </c>
      <c r="C101" s="416">
        <f>+C98/E98</f>
        <v>0.50327784540445597</v>
      </c>
      <c r="D101" s="420">
        <f>-C101+1</f>
        <v>0.49672215459554403</v>
      </c>
      <c r="E101" s="420">
        <f>+D101+C101</f>
        <v>1</v>
      </c>
      <c r="F101" s="11"/>
      <c r="G101" s="173">
        <v>1</v>
      </c>
      <c r="H101" s="420"/>
      <c r="I101" s="11"/>
      <c r="K101" s="11"/>
      <c r="L101" s="11"/>
      <c r="M101" s="11"/>
      <c r="N101" s="11"/>
      <c r="O101" s="11"/>
      <c r="P101" s="11"/>
      <c r="Q101" s="11"/>
      <c r="R101" s="420">
        <f>+R98</f>
        <v>0.85600437781474104</v>
      </c>
      <c r="S101" s="420">
        <f>+S98</f>
        <v>0.14399562218525896</v>
      </c>
      <c r="T101" s="11"/>
    </row>
    <row r="102" spans="1:20">
      <c r="C102" s="421" t="s">
        <v>197</v>
      </c>
      <c r="D102" s="421" t="s">
        <v>198</v>
      </c>
      <c r="E102" s="422"/>
      <c r="F102" s="422"/>
      <c r="G102" s="421" t="s">
        <v>197</v>
      </c>
      <c r="I102" s="11"/>
      <c r="J102" s="11"/>
      <c r="K102" s="11"/>
      <c r="L102" s="11"/>
      <c r="M102" s="11"/>
      <c r="N102" s="11"/>
      <c r="O102" s="11"/>
      <c r="P102" s="11"/>
      <c r="Q102" s="11"/>
      <c r="R102" s="11"/>
      <c r="S102" s="11"/>
      <c r="T102" s="11"/>
    </row>
    <row r="103" spans="1:20">
      <c r="C103" s="11"/>
      <c r="D103" s="11"/>
      <c r="E103" s="11"/>
      <c r="F103" s="11"/>
      <c r="G103" s="11"/>
      <c r="H103" s="11"/>
      <c r="I103" s="11"/>
      <c r="J103" s="11"/>
      <c r="K103" s="11"/>
      <c r="L103" s="11"/>
      <c r="M103" s="11"/>
      <c r="N103" s="11"/>
      <c r="O103" s="11"/>
      <c r="P103" s="11"/>
      <c r="Q103" s="11"/>
      <c r="R103" s="11"/>
      <c r="S103" s="11"/>
      <c r="T103" s="11"/>
    </row>
    <row r="104" spans="1:20" ht="15">
      <c r="A104" s="81" t="s">
        <v>103</v>
      </c>
      <c r="C104" s="11"/>
      <c r="D104" s="11"/>
      <c r="E104" s="11"/>
      <c r="F104" s="11"/>
      <c r="G104" s="11"/>
      <c r="H104" s="11"/>
      <c r="I104" s="11"/>
      <c r="J104" s="11"/>
      <c r="K104" s="11"/>
      <c r="L104" s="11"/>
      <c r="M104" s="11"/>
      <c r="N104" s="11"/>
      <c r="O104" s="11"/>
      <c r="P104" s="11"/>
      <c r="Q104" s="11"/>
      <c r="R104" s="11"/>
      <c r="S104" s="11"/>
      <c r="T104" s="11"/>
    </row>
    <row r="105" spans="1:20">
      <c r="A105" t="str">
        <f t="shared" ref="A105:A128" si="62">+A74</f>
        <v>Oct., 2019</v>
      </c>
      <c r="C105" s="119">
        <f>+'King County Tonnage'!R4+'King County Tonnage'!S4</f>
        <v>30.4</v>
      </c>
      <c r="D105" s="119">
        <f>+'King County Tonnage'!P4+'King County Tonnage'!Q4</f>
        <v>60.2</v>
      </c>
      <c r="E105" s="114">
        <f t="shared" ref="E105:E128" si="63">+D105+C105</f>
        <v>90.6</v>
      </c>
      <c r="F105" s="11"/>
      <c r="G105" s="114">
        <f t="shared" ref="G105:G128" si="64">+D35-G74</f>
        <v>271.19999999999982</v>
      </c>
      <c r="H105" s="114">
        <f t="shared" ref="H105:H127" si="65">+G105+E105</f>
        <v>361.79999999999984</v>
      </c>
      <c r="I105" s="114"/>
      <c r="J105" s="176">
        <f t="shared" ref="J105:J110" si="66">+C105/E105*N105</f>
        <v>679.99670397022533</v>
      </c>
      <c r="K105" s="11"/>
      <c r="L105" s="176">
        <f t="shared" ref="L105:L110" si="67">+N105-J105</f>
        <v>1346.572420362091</v>
      </c>
      <c r="M105" s="11"/>
      <c r="N105" s="176">
        <f t="shared" ref="N105:N128" si="68">+G35-N74</f>
        <v>2026.5691243323163</v>
      </c>
      <c r="O105" s="176">
        <f t="shared" ref="O105:O128" si="69">+H35-O74</f>
        <v>2259.1396526346398</v>
      </c>
      <c r="P105" s="177">
        <f t="shared" ref="P105:P116" si="70">(O105+N105)/H105</f>
        <v>11.845519007647756</v>
      </c>
      <c r="Q105" s="170"/>
      <c r="R105" s="11"/>
      <c r="S105" s="119"/>
      <c r="T105" s="119"/>
    </row>
    <row r="106" spans="1:20">
      <c r="A106" t="str">
        <f t="shared" si="62"/>
        <v>Nov</v>
      </c>
      <c r="C106" s="119">
        <f>+'King County Tonnage'!R8+'King County Tonnage'!S8</f>
        <v>30</v>
      </c>
      <c r="D106" s="119">
        <f>+'King County Tonnage'!P8+'King County Tonnage'!Q8</f>
        <v>52.3</v>
      </c>
      <c r="E106" s="114">
        <f t="shared" si="63"/>
        <v>82.3</v>
      </c>
      <c r="F106" s="11"/>
      <c r="G106" s="114">
        <f t="shared" si="64"/>
        <v>225.19999999999982</v>
      </c>
      <c r="H106" s="114">
        <f t="shared" si="65"/>
        <v>307.49999999999983</v>
      </c>
      <c r="I106" s="114"/>
      <c r="J106" s="176">
        <f t="shared" si="66"/>
        <v>832.70095168647765</v>
      </c>
      <c r="K106" s="11"/>
      <c r="L106" s="176">
        <f t="shared" si="67"/>
        <v>1451.6753257734258</v>
      </c>
      <c r="M106" s="11"/>
      <c r="N106" s="176">
        <f t="shared" si="68"/>
        <v>2284.3762774599036</v>
      </c>
      <c r="O106" s="176">
        <f t="shared" si="69"/>
        <v>2543.3590214540382</v>
      </c>
      <c r="P106" s="177">
        <f t="shared" si="70"/>
        <v>15.699952191590063</v>
      </c>
      <c r="Q106" s="170"/>
      <c r="R106" s="11"/>
      <c r="S106" s="119"/>
      <c r="T106" s="119"/>
    </row>
    <row r="107" spans="1:20">
      <c r="A107" t="str">
        <f t="shared" si="62"/>
        <v>Dec</v>
      </c>
      <c r="C107" s="119">
        <f>+'King County Tonnage'!R12+'King County Tonnage'!S12</f>
        <v>31.5</v>
      </c>
      <c r="D107" s="119">
        <f>+'King County Tonnage'!P12+'King County Tonnage'!Q12</f>
        <v>63.6</v>
      </c>
      <c r="E107" s="114">
        <f t="shared" si="63"/>
        <v>95.1</v>
      </c>
      <c r="F107" s="11"/>
      <c r="G107" s="114">
        <f t="shared" si="64"/>
        <v>268.23999999999978</v>
      </c>
      <c r="H107" s="114">
        <f t="shared" si="65"/>
        <v>363.3399999999998</v>
      </c>
      <c r="I107" s="114"/>
      <c r="J107" s="176">
        <f t="shared" si="66"/>
        <v>445.10345485160724</v>
      </c>
      <c r="K107" s="11"/>
      <c r="L107" s="176">
        <f t="shared" si="67"/>
        <v>898.68507074800709</v>
      </c>
      <c r="M107" s="11"/>
      <c r="N107" s="176">
        <f t="shared" si="68"/>
        <v>1343.7885255996143</v>
      </c>
      <c r="O107" s="176">
        <f t="shared" si="69"/>
        <v>645.45639106855924</v>
      </c>
      <c r="P107" s="177">
        <f t="shared" si="70"/>
        <v>5.4748855525628191</v>
      </c>
      <c r="Q107" s="170"/>
      <c r="R107" s="11"/>
      <c r="S107" s="119"/>
      <c r="T107" s="119"/>
    </row>
    <row r="108" spans="1:20">
      <c r="A108" t="str">
        <f t="shared" si="62"/>
        <v>Jan., 2020</v>
      </c>
      <c r="C108" s="119">
        <f>+'King County Tonnage'!R16+'King County Tonnage'!S16</f>
        <v>34.699999999999996</v>
      </c>
      <c r="D108" s="119">
        <f>+'King County Tonnage'!P16+'King County Tonnage'!Q16</f>
        <v>64.899999999999991</v>
      </c>
      <c r="E108" s="114">
        <f t="shared" si="63"/>
        <v>99.6</v>
      </c>
      <c r="F108" s="11"/>
      <c r="G108" s="114">
        <f t="shared" si="64"/>
        <v>266.19999999999982</v>
      </c>
      <c r="H108" s="171">
        <f t="shared" si="65"/>
        <v>365.79999999999984</v>
      </c>
      <c r="I108" s="171"/>
      <c r="J108" s="176">
        <f t="shared" si="66"/>
        <v>661.51981370462727</v>
      </c>
      <c r="K108" s="11"/>
      <c r="L108" s="176">
        <f t="shared" si="67"/>
        <v>1237.2517553149946</v>
      </c>
      <c r="M108" s="11"/>
      <c r="N108" s="176">
        <f t="shared" si="68"/>
        <v>1898.7715690196219</v>
      </c>
      <c r="O108" s="176">
        <f t="shared" si="69"/>
        <v>2479.3781361236688</v>
      </c>
      <c r="P108" s="177">
        <f t="shared" si="70"/>
        <v>11.968697936422341</v>
      </c>
      <c r="Q108" s="175"/>
      <c r="R108" s="11"/>
      <c r="S108" s="119"/>
      <c r="T108" s="119"/>
    </row>
    <row r="109" spans="1:20">
      <c r="A109" t="str">
        <f t="shared" si="62"/>
        <v>Feb</v>
      </c>
      <c r="C109" s="119">
        <f>+'King County Tonnage'!R20+'King County Tonnage'!S20</f>
        <v>26.6</v>
      </c>
      <c r="D109" s="119">
        <f>+'King County Tonnage'!P20+'King County Tonnage'!Q20</f>
        <v>56</v>
      </c>
      <c r="E109" s="114">
        <f t="shared" si="63"/>
        <v>82.6</v>
      </c>
      <c r="F109" s="11"/>
      <c r="G109" s="114">
        <f t="shared" si="64"/>
        <v>239.70000000000005</v>
      </c>
      <c r="H109" s="171">
        <f t="shared" si="65"/>
        <v>322.30000000000007</v>
      </c>
      <c r="I109" s="171"/>
      <c r="J109" s="176">
        <f t="shared" si="66"/>
        <v>663.93729260764542</v>
      </c>
      <c r="K109" s="11"/>
      <c r="L109" s="176">
        <f t="shared" si="67"/>
        <v>1397.7627212792536</v>
      </c>
      <c r="M109" s="11"/>
      <c r="N109" s="176">
        <f t="shared" si="68"/>
        <v>2061.7000138868989</v>
      </c>
      <c r="O109" s="176">
        <f t="shared" si="69"/>
        <v>2036.8212865481146</v>
      </c>
      <c r="P109" s="177">
        <f t="shared" si="70"/>
        <v>12.716479368399046</v>
      </c>
      <c r="Q109" s="175"/>
      <c r="R109" s="11"/>
      <c r="S109" s="119"/>
      <c r="T109" s="119"/>
    </row>
    <row r="110" spans="1:20">
      <c r="A110" t="str">
        <f t="shared" si="62"/>
        <v>Mar</v>
      </c>
      <c r="C110" s="119">
        <f>+'King County Tonnage'!R24+'King County Tonnage'!S24</f>
        <v>30.86</v>
      </c>
      <c r="D110" s="119">
        <f>+'King County Tonnage'!P24+'King County Tonnage'!Q24</f>
        <v>53.190000000000005</v>
      </c>
      <c r="E110" s="114">
        <f t="shared" si="63"/>
        <v>84.050000000000011</v>
      </c>
      <c r="F110" s="11"/>
      <c r="G110" s="114">
        <f t="shared" si="64"/>
        <v>244.38999999999987</v>
      </c>
      <c r="H110" s="171">
        <f t="shared" si="65"/>
        <v>328.43999999999988</v>
      </c>
      <c r="I110" s="171"/>
      <c r="J110" s="176">
        <f t="shared" si="66"/>
        <v>386.49756529953714</v>
      </c>
      <c r="K110" s="11"/>
      <c r="L110" s="176">
        <f t="shared" si="67"/>
        <v>666.16349637985695</v>
      </c>
      <c r="M110" s="11"/>
      <c r="N110" s="176">
        <f t="shared" si="68"/>
        <v>1052.6610616793942</v>
      </c>
      <c r="O110" s="176">
        <f t="shared" si="69"/>
        <v>946.2363178815649</v>
      </c>
      <c r="P110" s="177">
        <f t="shared" si="70"/>
        <v>6.0860351344567034</v>
      </c>
      <c r="Q110" s="175"/>
      <c r="R110" s="11"/>
      <c r="S110" s="119"/>
      <c r="T110" s="119"/>
    </row>
    <row r="111" spans="1:20">
      <c r="A111" t="str">
        <f t="shared" si="62"/>
        <v>Apr</v>
      </c>
      <c r="C111" s="119">
        <f>+'King County Tonnage'!R28+'King County Tonnage'!S28</f>
        <v>33.58</v>
      </c>
      <c r="D111" s="119">
        <f>+'King County Tonnage'!P28+'King County Tonnage'!Q28</f>
        <v>49.07</v>
      </c>
      <c r="E111" s="114">
        <f t="shared" si="63"/>
        <v>82.65</v>
      </c>
      <c r="F111" s="11"/>
      <c r="G111" s="114">
        <f t="shared" si="64"/>
        <v>250.48999999999978</v>
      </c>
      <c r="H111" s="171">
        <f t="shared" si="65"/>
        <v>333.13999999999976</v>
      </c>
      <c r="I111" s="171"/>
      <c r="J111" s="176">
        <f>+C111/E111*N111</f>
        <v>493.01695046960936</v>
      </c>
      <c r="K111" s="11"/>
      <c r="L111" s="176">
        <f t="shared" ref="L111:L116" si="71">+N111-J111</f>
        <v>720.43900415556095</v>
      </c>
      <c r="M111" s="11"/>
      <c r="N111" s="176">
        <f t="shared" si="68"/>
        <v>1213.4559546251703</v>
      </c>
      <c r="O111" s="176">
        <f t="shared" si="69"/>
        <v>1579.4254840637059</v>
      </c>
      <c r="P111" s="177">
        <f t="shared" si="70"/>
        <v>8.383506749981624</v>
      </c>
      <c r="Q111" s="175"/>
      <c r="R111" s="11"/>
      <c r="S111" s="119"/>
      <c r="T111" s="119"/>
    </row>
    <row r="112" spans="1:20">
      <c r="A112" t="str">
        <f t="shared" si="62"/>
        <v>May</v>
      </c>
      <c r="C112" s="119">
        <f>+'King County Tonnage'!R32+'King County Tonnage'!S32</f>
        <v>32.15</v>
      </c>
      <c r="D112" s="119">
        <f>+'King County Tonnage'!P32+'King County Tonnage'!Q32</f>
        <v>54.28</v>
      </c>
      <c r="E112" s="114">
        <f t="shared" si="63"/>
        <v>86.43</v>
      </c>
      <c r="F112" s="11"/>
      <c r="G112" s="114">
        <f t="shared" si="64"/>
        <v>248.09999999999991</v>
      </c>
      <c r="H112" s="171">
        <f t="shared" si="65"/>
        <v>334.52999999999992</v>
      </c>
      <c r="I112" s="171"/>
      <c r="J112" s="176">
        <f>+C112/E112*N112</f>
        <v>773.28888401855193</v>
      </c>
      <c r="K112" s="11"/>
      <c r="L112" s="176">
        <f t="shared" si="71"/>
        <v>1305.5714035622709</v>
      </c>
      <c r="M112" s="11"/>
      <c r="N112" s="176">
        <f t="shared" si="68"/>
        <v>2078.8602875808228</v>
      </c>
      <c r="O112" s="176">
        <f t="shared" si="69"/>
        <v>3487.6477732280182</v>
      </c>
      <c r="P112" s="177">
        <f t="shared" si="70"/>
        <v>16.639787345854909</v>
      </c>
      <c r="Q112" s="175"/>
      <c r="R112" s="11"/>
      <c r="S112" s="119"/>
      <c r="T112" s="119"/>
    </row>
    <row r="113" spans="1:20">
      <c r="A113" t="str">
        <f t="shared" si="62"/>
        <v>Jun</v>
      </c>
      <c r="C113" s="119">
        <f>+'King County Tonnage'!R36+'King County Tonnage'!S36</f>
        <v>32.1</v>
      </c>
      <c r="D113" s="119">
        <f>+'King County Tonnage'!P36+'King County Tonnage'!Q36</f>
        <v>56.599999999999994</v>
      </c>
      <c r="E113" s="114">
        <f t="shared" si="63"/>
        <v>88.699999999999989</v>
      </c>
      <c r="F113" s="11"/>
      <c r="G113" s="114">
        <f t="shared" si="64"/>
        <v>263.55999999999995</v>
      </c>
      <c r="H113" s="171">
        <f t="shared" si="65"/>
        <v>352.25999999999993</v>
      </c>
      <c r="I113" s="171"/>
      <c r="J113" s="176">
        <f>+C113/E113*N113</f>
        <v>622.41368111104089</v>
      </c>
      <c r="K113" s="11"/>
      <c r="L113" s="176">
        <f t="shared" si="71"/>
        <v>1097.4646215228943</v>
      </c>
      <c r="M113" s="11"/>
      <c r="N113" s="176">
        <f t="shared" si="68"/>
        <v>1719.8783026339352</v>
      </c>
      <c r="O113" s="176">
        <f t="shared" si="69"/>
        <v>3116.7636820339649</v>
      </c>
      <c r="P113" s="177">
        <f t="shared" si="70"/>
        <v>13.730318471208484</v>
      </c>
      <c r="Q113" s="175"/>
      <c r="R113" s="11"/>
      <c r="S113" s="119"/>
      <c r="T113" s="119"/>
    </row>
    <row r="114" spans="1:20">
      <c r="A114" t="str">
        <f t="shared" si="62"/>
        <v>Jul</v>
      </c>
      <c r="C114" s="119">
        <f>+'King County Tonnage'!R40+'King County Tonnage'!S40</f>
        <v>36.33</v>
      </c>
      <c r="D114" s="119">
        <f>+'King County Tonnage'!P40+'King County Tonnage'!Q40</f>
        <v>56.269999999999996</v>
      </c>
      <c r="E114" s="114">
        <f t="shared" si="63"/>
        <v>92.6</v>
      </c>
      <c r="F114" s="11"/>
      <c r="G114" s="114">
        <f t="shared" si="64"/>
        <v>258.98999999999978</v>
      </c>
      <c r="H114" s="171">
        <f t="shared" si="65"/>
        <v>351.5899999999998</v>
      </c>
      <c r="I114" s="171"/>
      <c r="J114" s="176">
        <f>+C114/E114*N114</f>
        <v>685.36879265309346</v>
      </c>
      <c r="K114" s="11"/>
      <c r="L114" s="176">
        <f t="shared" si="71"/>
        <v>1061.5387272939602</v>
      </c>
      <c r="M114" s="11"/>
      <c r="N114" s="176">
        <f t="shared" si="68"/>
        <v>1746.9075199470535</v>
      </c>
      <c r="O114" s="176">
        <f t="shared" si="69"/>
        <v>2706.9459899014073</v>
      </c>
      <c r="P114" s="177">
        <f t="shared" si="70"/>
        <v>12.667747973060846</v>
      </c>
      <c r="Q114" s="175"/>
      <c r="R114" s="11"/>
      <c r="S114" s="119"/>
      <c r="T114" s="119"/>
    </row>
    <row r="115" spans="1:20">
      <c r="A115" t="str">
        <f t="shared" si="62"/>
        <v>Aug</v>
      </c>
      <c r="C115" s="119">
        <f>+'King County Tonnage'!R44+'King County Tonnage'!S44</f>
        <v>35.369999999999997</v>
      </c>
      <c r="D115" s="119">
        <f>+'King County Tonnage'!P44+'King County Tonnage'!Q44</f>
        <v>53.31</v>
      </c>
      <c r="E115" s="114">
        <f t="shared" si="63"/>
        <v>88.68</v>
      </c>
      <c r="F115" s="11"/>
      <c r="G115" s="114">
        <f t="shared" si="64"/>
        <v>259.82999999999993</v>
      </c>
      <c r="H115" s="171">
        <f t="shared" si="65"/>
        <v>348.50999999999993</v>
      </c>
      <c r="I115" s="171"/>
      <c r="J115" s="176">
        <f>+C115/E115*N115</f>
        <v>1188.8861315725508</v>
      </c>
      <c r="K115" s="11"/>
      <c r="L115" s="176">
        <f t="shared" si="71"/>
        <v>1791.9004714202065</v>
      </c>
      <c r="M115" s="11"/>
      <c r="N115" s="176">
        <f t="shared" si="68"/>
        <v>2980.7866029927573</v>
      </c>
      <c r="O115" s="176">
        <f t="shared" si="69"/>
        <v>4906.3121550718497</v>
      </c>
      <c r="P115" s="177">
        <f t="shared" si="70"/>
        <v>22.630910900876898</v>
      </c>
      <c r="Q115" s="175"/>
      <c r="R115" s="11"/>
      <c r="S115" s="119"/>
      <c r="T115" s="119"/>
    </row>
    <row r="116" spans="1:20">
      <c r="A116" t="str">
        <f t="shared" si="62"/>
        <v>Sep</v>
      </c>
      <c r="C116" s="119">
        <f>+'King County Tonnage'!R48+'King County Tonnage'!S48</f>
        <v>33.340000000000003</v>
      </c>
      <c r="D116" s="119">
        <f>+'King County Tonnage'!P48+'King County Tonnage'!Q48</f>
        <v>61.160000000000004</v>
      </c>
      <c r="E116" s="114">
        <f t="shared" si="63"/>
        <v>94.5</v>
      </c>
      <c r="F116" s="11"/>
      <c r="G116" s="114">
        <f t="shared" si="64"/>
        <v>275.07000000000016</v>
      </c>
      <c r="H116" s="171">
        <f t="shared" si="65"/>
        <v>369.57000000000016</v>
      </c>
      <c r="I116" s="171"/>
      <c r="J116" s="176">
        <f t="shared" ref="J116" si="72">+C116/E116*N116</f>
        <v>1686.815315949576</v>
      </c>
      <c r="K116" s="11"/>
      <c r="L116" s="176">
        <f t="shared" si="71"/>
        <v>3094.3498717299353</v>
      </c>
      <c r="M116" s="11"/>
      <c r="N116" s="176">
        <f t="shared" si="68"/>
        <v>4781.1651876795113</v>
      </c>
      <c r="O116" s="176">
        <f t="shared" si="69"/>
        <v>6978.7245245586819</v>
      </c>
      <c r="P116" s="177">
        <f t="shared" si="70"/>
        <v>31.820466250610679</v>
      </c>
      <c r="Q116" s="175"/>
      <c r="R116" s="11"/>
      <c r="S116" s="119"/>
      <c r="T116" s="119"/>
    </row>
    <row r="117" spans="1:20">
      <c r="A117" t="str">
        <f t="shared" si="62"/>
        <v>Oct</v>
      </c>
      <c r="C117" s="119"/>
      <c r="D117" s="119"/>
      <c r="E117" s="114">
        <f t="shared" si="63"/>
        <v>0</v>
      </c>
      <c r="F117" s="11"/>
      <c r="G117" s="114">
        <f t="shared" si="64"/>
        <v>0</v>
      </c>
      <c r="H117" s="171">
        <f t="shared" si="65"/>
        <v>0</v>
      </c>
      <c r="I117" s="171"/>
      <c r="J117" s="176"/>
      <c r="K117" s="11"/>
      <c r="L117" s="176"/>
      <c r="M117" s="11"/>
      <c r="N117" s="176">
        <f t="shared" si="68"/>
        <v>0</v>
      </c>
      <c r="O117" s="176">
        <f t="shared" si="69"/>
        <v>0</v>
      </c>
      <c r="P117" s="177"/>
      <c r="Q117" s="175"/>
      <c r="R117" s="11"/>
      <c r="S117" s="119"/>
      <c r="T117" s="119"/>
    </row>
    <row r="118" spans="1:20">
      <c r="A118" t="str">
        <f t="shared" si="62"/>
        <v>Nov</v>
      </c>
      <c r="C118" s="119"/>
      <c r="D118" s="119"/>
      <c r="E118" s="114">
        <f t="shared" si="63"/>
        <v>0</v>
      </c>
      <c r="F118" s="11"/>
      <c r="G118" s="114">
        <f t="shared" si="64"/>
        <v>0</v>
      </c>
      <c r="H118" s="171">
        <f t="shared" si="65"/>
        <v>0</v>
      </c>
      <c r="I118" s="171"/>
      <c r="J118" s="176"/>
      <c r="K118" s="11"/>
      <c r="L118" s="176"/>
      <c r="M118" s="11"/>
      <c r="N118" s="176">
        <f t="shared" si="68"/>
        <v>0</v>
      </c>
      <c r="O118" s="176">
        <f t="shared" si="69"/>
        <v>0</v>
      </c>
      <c r="P118" s="177"/>
      <c r="Q118" s="175"/>
      <c r="R118" s="11"/>
      <c r="S118" s="119"/>
      <c r="T118" s="119"/>
    </row>
    <row r="119" spans="1:20">
      <c r="A119" t="str">
        <f t="shared" si="62"/>
        <v>Dec</v>
      </c>
      <c r="C119" s="119"/>
      <c r="D119" s="119"/>
      <c r="E119" s="114">
        <f t="shared" si="63"/>
        <v>0</v>
      </c>
      <c r="F119" s="11"/>
      <c r="G119" s="114">
        <f t="shared" si="64"/>
        <v>0</v>
      </c>
      <c r="H119" s="171">
        <f t="shared" si="65"/>
        <v>0</v>
      </c>
      <c r="I119" s="171"/>
      <c r="J119" s="176"/>
      <c r="K119" s="11"/>
      <c r="L119" s="176"/>
      <c r="M119" s="11"/>
      <c r="N119" s="176">
        <f t="shared" si="68"/>
        <v>0</v>
      </c>
      <c r="O119" s="176">
        <f t="shared" si="69"/>
        <v>0</v>
      </c>
      <c r="P119" s="177"/>
      <c r="Q119" s="175"/>
      <c r="R119" s="11"/>
      <c r="S119" s="119"/>
      <c r="T119" s="119"/>
    </row>
    <row r="120" spans="1:20">
      <c r="A120" t="str">
        <f t="shared" si="62"/>
        <v>Jan. 2021</v>
      </c>
      <c r="C120" s="119"/>
      <c r="D120" s="119"/>
      <c r="E120" s="114">
        <f t="shared" si="63"/>
        <v>0</v>
      </c>
      <c r="F120" s="11"/>
      <c r="G120" s="114">
        <f t="shared" si="64"/>
        <v>0</v>
      </c>
      <c r="H120" s="171">
        <f t="shared" si="65"/>
        <v>0</v>
      </c>
      <c r="I120" s="171"/>
      <c r="J120" s="176"/>
      <c r="K120" s="11"/>
      <c r="L120" s="176"/>
      <c r="M120" s="11"/>
      <c r="N120" s="176">
        <f t="shared" si="68"/>
        <v>0</v>
      </c>
      <c r="O120" s="176">
        <f t="shared" si="69"/>
        <v>0</v>
      </c>
      <c r="P120" s="177"/>
      <c r="Q120" s="175"/>
      <c r="R120" s="11"/>
      <c r="S120" s="119"/>
      <c r="T120" s="119"/>
    </row>
    <row r="121" spans="1:20">
      <c r="A121" t="str">
        <f t="shared" si="62"/>
        <v>Feb</v>
      </c>
      <c r="C121" s="119"/>
      <c r="D121" s="119"/>
      <c r="E121" s="114">
        <f t="shared" si="63"/>
        <v>0</v>
      </c>
      <c r="F121" s="11"/>
      <c r="G121" s="114">
        <f t="shared" si="64"/>
        <v>0</v>
      </c>
      <c r="H121" s="171">
        <f t="shared" si="65"/>
        <v>0</v>
      </c>
      <c r="I121" s="171"/>
      <c r="J121" s="176"/>
      <c r="K121" s="11"/>
      <c r="L121" s="176"/>
      <c r="M121" s="11"/>
      <c r="N121" s="176">
        <f t="shared" si="68"/>
        <v>0</v>
      </c>
      <c r="O121" s="176">
        <f t="shared" si="69"/>
        <v>0</v>
      </c>
      <c r="P121" s="177"/>
      <c r="Q121" s="175"/>
      <c r="R121" s="11"/>
      <c r="S121" s="119"/>
      <c r="T121" s="119"/>
    </row>
    <row r="122" spans="1:20">
      <c r="A122" t="str">
        <f t="shared" si="62"/>
        <v>Mar</v>
      </c>
      <c r="C122" s="119"/>
      <c r="D122" s="119"/>
      <c r="E122" s="114">
        <f t="shared" si="63"/>
        <v>0</v>
      </c>
      <c r="F122" s="11"/>
      <c r="G122" s="114">
        <f t="shared" si="64"/>
        <v>0</v>
      </c>
      <c r="H122" s="171">
        <f t="shared" si="65"/>
        <v>0</v>
      </c>
      <c r="I122" s="171"/>
      <c r="J122" s="176"/>
      <c r="K122" s="11"/>
      <c r="L122" s="176"/>
      <c r="M122" s="11"/>
      <c r="N122" s="176">
        <f t="shared" si="68"/>
        <v>0</v>
      </c>
      <c r="O122" s="176">
        <f t="shared" si="69"/>
        <v>0</v>
      </c>
      <c r="P122" s="177"/>
      <c r="Q122" s="175"/>
      <c r="R122" s="11"/>
      <c r="S122" s="119"/>
      <c r="T122" s="119"/>
    </row>
    <row r="123" spans="1:20">
      <c r="A123" t="str">
        <f t="shared" si="62"/>
        <v>Apr</v>
      </c>
      <c r="C123" s="119"/>
      <c r="D123" s="119"/>
      <c r="E123" s="114">
        <f t="shared" si="63"/>
        <v>0</v>
      </c>
      <c r="F123" s="11"/>
      <c r="G123" s="114">
        <f t="shared" si="64"/>
        <v>0</v>
      </c>
      <c r="H123" s="171">
        <f t="shared" si="65"/>
        <v>0</v>
      </c>
      <c r="I123" s="171"/>
      <c r="J123" s="176"/>
      <c r="K123" s="11"/>
      <c r="L123" s="176"/>
      <c r="M123" s="11"/>
      <c r="N123" s="176">
        <f t="shared" si="68"/>
        <v>0</v>
      </c>
      <c r="O123" s="176">
        <f t="shared" si="69"/>
        <v>0</v>
      </c>
      <c r="P123" s="177"/>
      <c r="Q123" s="175"/>
      <c r="R123" s="11"/>
      <c r="S123" s="119"/>
      <c r="T123" s="119"/>
    </row>
    <row r="124" spans="1:20">
      <c r="A124" t="str">
        <f t="shared" si="62"/>
        <v>May</v>
      </c>
      <c r="C124" s="119"/>
      <c r="D124" s="119"/>
      <c r="E124" s="114">
        <f t="shared" si="63"/>
        <v>0</v>
      </c>
      <c r="F124" s="11"/>
      <c r="G124" s="114">
        <f t="shared" si="64"/>
        <v>0</v>
      </c>
      <c r="H124" s="171">
        <f t="shared" si="65"/>
        <v>0</v>
      </c>
      <c r="I124" s="171"/>
      <c r="J124" s="176"/>
      <c r="K124" s="11"/>
      <c r="L124" s="176"/>
      <c r="M124" s="11"/>
      <c r="N124" s="176">
        <f t="shared" si="68"/>
        <v>0</v>
      </c>
      <c r="O124" s="176">
        <f t="shared" si="69"/>
        <v>0</v>
      </c>
      <c r="P124" s="177"/>
      <c r="Q124" s="175"/>
      <c r="R124" s="11"/>
      <c r="S124" s="119"/>
      <c r="T124" s="119"/>
    </row>
    <row r="125" spans="1:20">
      <c r="A125" t="str">
        <f t="shared" si="62"/>
        <v>Jun</v>
      </c>
      <c r="C125" s="119"/>
      <c r="D125" s="119"/>
      <c r="E125" s="114">
        <f t="shared" si="63"/>
        <v>0</v>
      </c>
      <c r="F125" s="11"/>
      <c r="G125" s="114">
        <f t="shared" si="64"/>
        <v>0</v>
      </c>
      <c r="H125" s="171">
        <f t="shared" si="65"/>
        <v>0</v>
      </c>
      <c r="I125" s="171"/>
      <c r="J125" s="176"/>
      <c r="K125" s="11"/>
      <c r="L125" s="176"/>
      <c r="M125" s="11"/>
      <c r="N125" s="176">
        <f t="shared" si="68"/>
        <v>0</v>
      </c>
      <c r="O125" s="176">
        <f t="shared" si="69"/>
        <v>0</v>
      </c>
      <c r="P125" s="177"/>
      <c r="Q125" s="175"/>
      <c r="R125" s="11"/>
      <c r="S125" s="119"/>
      <c r="T125" s="119"/>
    </row>
    <row r="126" spans="1:20">
      <c r="A126" t="str">
        <f t="shared" si="62"/>
        <v>Jul</v>
      </c>
      <c r="C126" s="119"/>
      <c r="D126" s="119"/>
      <c r="E126" s="114">
        <f t="shared" si="63"/>
        <v>0</v>
      </c>
      <c r="F126" s="11"/>
      <c r="G126" s="114">
        <f t="shared" si="64"/>
        <v>0</v>
      </c>
      <c r="H126" s="171">
        <f t="shared" si="65"/>
        <v>0</v>
      </c>
      <c r="I126" s="171"/>
      <c r="J126" s="176"/>
      <c r="K126" s="11"/>
      <c r="L126" s="176"/>
      <c r="M126" s="11"/>
      <c r="N126" s="176">
        <f t="shared" si="68"/>
        <v>0</v>
      </c>
      <c r="O126" s="176">
        <f t="shared" si="69"/>
        <v>0</v>
      </c>
      <c r="P126" s="177"/>
      <c r="Q126" s="175"/>
      <c r="R126" s="11"/>
      <c r="S126" s="119"/>
      <c r="T126" s="119"/>
    </row>
    <row r="127" spans="1:20">
      <c r="A127" t="str">
        <f t="shared" si="62"/>
        <v>Aug</v>
      </c>
      <c r="C127" s="119"/>
      <c r="D127" s="119"/>
      <c r="E127" s="114">
        <f t="shared" si="63"/>
        <v>0</v>
      </c>
      <c r="F127" s="11"/>
      <c r="G127" s="114">
        <f t="shared" si="64"/>
        <v>0</v>
      </c>
      <c r="H127" s="171">
        <f t="shared" si="65"/>
        <v>0</v>
      </c>
      <c r="I127" s="171"/>
      <c r="J127" s="176"/>
      <c r="K127" s="11"/>
      <c r="L127" s="176"/>
      <c r="M127" s="11"/>
      <c r="N127" s="176">
        <f t="shared" si="68"/>
        <v>0</v>
      </c>
      <c r="O127" s="176">
        <f t="shared" si="69"/>
        <v>0</v>
      </c>
      <c r="P127" s="177"/>
      <c r="Q127" s="175"/>
      <c r="R127" s="11"/>
      <c r="S127" s="119"/>
      <c r="T127" s="119"/>
    </row>
    <row r="128" spans="1:20" ht="15">
      <c r="A128" t="str">
        <f t="shared" si="62"/>
        <v>Sep</v>
      </c>
      <c r="C128" s="169"/>
      <c r="D128" s="169"/>
      <c r="E128" s="99">
        <f t="shared" si="63"/>
        <v>0</v>
      </c>
      <c r="F128" s="11"/>
      <c r="G128" s="180">
        <f t="shared" si="64"/>
        <v>0</v>
      </c>
      <c r="H128" s="190">
        <f>+G128+E128</f>
        <v>0</v>
      </c>
      <c r="I128" s="171"/>
      <c r="J128" s="179"/>
      <c r="K128" s="178"/>
      <c r="L128" s="179"/>
      <c r="M128" s="249"/>
      <c r="N128" s="179">
        <f t="shared" si="68"/>
        <v>0</v>
      </c>
      <c r="O128" s="179">
        <f t="shared" si="69"/>
        <v>0</v>
      </c>
      <c r="P128" s="182"/>
      <c r="Q128" s="175"/>
      <c r="R128" s="11"/>
      <c r="S128" s="11"/>
      <c r="T128" s="11"/>
    </row>
    <row r="129" spans="1:20" ht="15">
      <c r="C129" s="184">
        <f>SUM(C105:C128)</f>
        <v>386.92999999999995</v>
      </c>
      <c r="D129" s="184">
        <f t="shared" ref="D129:O129" si="73">SUM(D105:D128)</f>
        <v>680.88</v>
      </c>
      <c r="E129" s="184">
        <f t="shared" si="73"/>
        <v>1067.81</v>
      </c>
      <c r="F129" s="184"/>
      <c r="G129" s="184">
        <f t="shared" si="73"/>
        <v>3070.9699999999989</v>
      </c>
      <c r="H129" s="184">
        <f t="shared" si="73"/>
        <v>4138.7799999999988</v>
      </c>
      <c r="I129" s="184"/>
      <c r="J129" s="186">
        <f t="shared" si="73"/>
        <v>9119.5455378945444</v>
      </c>
      <c r="K129" s="186"/>
      <c r="L129" s="185">
        <f t="shared" si="73"/>
        <v>16069.374889542456</v>
      </c>
      <c r="M129" s="185"/>
      <c r="N129" s="185">
        <f t="shared" si="73"/>
        <v>25188.920427436999</v>
      </c>
      <c r="O129" s="185">
        <f t="shared" si="73"/>
        <v>33686.21041456821</v>
      </c>
      <c r="P129" s="186">
        <f>(O129+N129)/H129</f>
        <v>14.225238075472777</v>
      </c>
      <c r="Q129" s="187"/>
      <c r="R129" s="11"/>
      <c r="S129" s="11"/>
      <c r="T129" s="11"/>
    </row>
    <row r="130" spans="1:20" ht="16.5">
      <c r="B130" s="96" t="s">
        <v>102</v>
      </c>
      <c r="C130" s="206">
        <f>+C129/E129</f>
        <v>0.36235847201281124</v>
      </c>
      <c r="D130" s="207">
        <f>+D129/E129</f>
        <v>0.63764152798718876</v>
      </c>
      <c r="E130" s="173">
        <f>+E129/C59</f>
        <v>8.5864978224369407E-2</v>
      </c>
      <c r="F130" s="11"/>
      <c r="G130" s="173">
        <f>+G129/D59</f>
        <v>0.10719804744755497</v>
      </c>
      <c r="H130" s="173">
        <f>+H129/E59</f>
        <v>0.10074056404570685</v>
      </c>
      <c r="I130" s="173"/>
      <c r="J130" s="11"/>
      <c r="K130" s="11"/>
      <c r="L130" s="11"/>
      <c r="M130" s="11"/>
      <c r="N130" s="173">
        <f>+N129/G59</f>
        <v>0.16092513068629721</v>
      </c>
      <c r="O130" s="173">
        <f>+O129/H59</f>
        <v>0.10684095717491703</v>
      </c>
      <c r="P130" s="11"/>
      <c r="Q130" s="173"/>
      <c r="R130" s="118"/>
      <c r="S130" s="11"/>
      <c r="T130" s="11"/>
    </row>
    <row r="131" spans="1:20">
      <c r="C131" s="11"/>
      <c r="D131" s="11"/>
      <c r="E131" s="11"/>
      <c r="F131" s="11"/>
      <c r="G131" s="11"/>
      <c r="H131" s="11"/>
      <c r="I131" s="11"/>
      <c r="J131" s="11"/>
      <c r="K131" s="11"/>
      <c r="L131" s="11"/>
      <c r="M131" s="11"/>
      <c r="N131" s="11"/>
      <c r="O131" s="11"/>
      <c r="P131" s="11"/>
      <c r="Q131" s="11"/>
      <c r="R131" s="11"/>
      <c r="S131" s="11"/>
      <c r="T131" s="11"/>
    </row>
    <row r="132" spans="1:20">
      <c r="C132" s="11"/>
      <c r="D132" s="11"/>
      <c r="E132" s="114"/>
      <c r="F132" s="11"/>
      <c r="G132" s="11"/>
      <c r="H132" s="11"/>
      <c r="I132" s="11"/>
      <c r="J132" s="11"/>
      <c r="K132" s="11"/>
      <c r="L132" s="11"/>
      <c r="M132" s="11"/>
      <c r="N132" s="11"/>
      <c r="O132" s="11"/>
      <c r="P132" s="11"/>
      <c r="Q132" s="11"/>
      <c r="R132" s="11"/>
      <c r="S132" s="11"/>
      <c r="T132" s="11"/>
    </row>
    <row r="133" spans="1:20" ht="16.5">
      <c r="A133" s="94"/>
      <c r="C133" s="192"/>
      <c r="D133" s="192"/>
      <c r="E133" s="193"/>
      <c r="F133" s="11"/>
      <c r="G133" s="194"/>
      <c r="H133" s="194"/>
      <c r="I133" s="11"/>
      <c r="J133" s="11"/>
      <c r="K133" s="11"/>
      <c r="L133" s="11"/>
      <c r="M133" s="11"/>
      <c r="N133" s="197"/>
      <c r="O133" s="197"/>
      <c r="P133" s="197"/>
      <c r="Q133" s="11"/>
      <c r="R133" s="11"/>
      <c r="S133" s="11"/>
      <c r="T133" s="11"/>
    </row>
    <row r="134" spans="1:20">
      <c r="C134" s="11"/>
      <c r="D134" s="11"/>
      <c r="F134" s="11"/>
      <c r="G134" s="11"/>
      <c r="H134" s="11"/>
      <c r="I134" s="11"/>
      <c r="J134" s="11"/>
      <c r="K134" s="11"/>
      <c r="L134" s="11"/>
      <c r="M134" s="11"/>
      <c r="N134" s="11"/>
      <c r="O134" s="11"/>
      <c r="P134" s="11"/>
      <c r="Q134" s="11"/>
      <c r="R134" s="11"/>
      <c r="S134" s="11"/>
      <c r="T134" s="11"/>
    </row>
    <row r="135" spans="1:20">
      <c r="C135" s="11"/>
      <c r="D135" s="11"/>
      <c r="F135" s="11"/>
      <c r="G135" s="11"/>
      <c r="H135" s="11"/>
      <c r="I135" s="11"/>
      <c r="J135" s="11"/>
      <c r="K135" s="11"/>
      <c r="L135" s="11"/>
      <c r="M135" s="11"/>
      <c r="N135" s="11"/>
      <c r="O135" s="11"/>
      <c r="P135" s="11"/>
      <c r="Q135" s="11"/>
      <c r="R135" s="11"/>
      <c r="S135" s="11"/>
      <c r="T135" s="11"/>
    </row>
    <row r="159" spans="5:5">
      <c r="E159" s="114"/>
    </row>
    <row r="160" spans="5:5">
      <c r="E160" s="114"/>
    </row>
    <row r="161" spans="5:5">
      <c r="E161" s="114"/>
    </row>
    <row r="162" spans="5:5">
      <c r="E162" s="114"/>
    </row>
    <row r="163" spans="5:5">
      <c r="E163" s="114"/>
    </row>
    <row r="164" spans="5:5">
      <c r="E164" s="114"/>
    </row>
    <row r="165" spans="5:5">
      <c r="E165" s="114"/>
    </row>
  </sheetData>
  <mergeCells count="6">
    <mergeCell ref="C4:E4"/>
    <mergeCell ref="G4:J4"/>
    <mergeCell ref="C71:E71"/>
    <mergeCell ref="G71:H71"/>
    <mergeCell ref="W59:Y60"/>
    <mergeCell ref="R70:S70"/>
  </mergeCells>
  <pageMargins left="0.7" right="0.7" top="0.75" bottom="0.75" header="0.3" footer="0.3"/>
  <pageSetup orientation="portrait" verticalDpi="599"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48"/>
  <sheetViews>
    <sheetView workbookViewId="0">
      <pane xSplit="2" ySplit="1" topLeftCell="C23" activePane="bottomRight" state="frozen"/>
      <selection pane="topRight" activeCell="C1" sqref="C1"/>
      <selection pane="bottomLeft" activeCell="A2" sqref="A2"/>
      <selection pane="bottomRight" activeCell="A47" sqref="A47"/>
    </sheetView>
  </sheetViews>
  <sheetFormatPr defaultRowHeight="12.75"/>
  <cols>
    <col min="1" max="1" width="14.42578125" bestFit="1" customWidth="1"/>
    <col min="2" max="2" width="8.5703125" bestFit="1" customWidth="1"/>
    <col min="3" max="3" width="7.140625" bestFit="1" customWidth="1"/>
    <col min="4" max="4" width="7.7109375" bestFit="1" customWidth="1"/>
    <col min="5" max="5" width="7.42578125" bestFit="1" customWidth="1"/>
    <col min="6" max="6" width="6.7109375" bestFit="1" customWidth="1"/>
    <col min="7" max="7" width="12.140625" bestFit="1" customWidth="1"/>
    <col min="8" max="8" width="8.28515625" bestFit="1" customWidth="1"/>
    <col min="9" max="9" width="10.28515625" bestFit="1" customWidth="1"/>
    <col min="10" max="10" width="14.7109375" bestFit="1" customWidth="1"/>
    <col min="11" max="11" width="6.7109375" bestFit="1" customWidth="1"/>
    <col min="12" max="12" width="9.5703125" bestFit="1" customWidth="1"/>
    <col min="13" max="13" width="11.7109375" bestFit="1" customWidth="1"/>
    <col min="14" max="14" width="11.5703125" bestFit="1" customWidth="1"/>
    <col min="15" max="15" width="7.85546875" bestFit="1" customWidth="1"/>
    <col min="16" max="16" width="16.28515625" bestFit="1" customWidth="1"/>
    <col min="17" max="17" width="11.28515625" bestFit="1" customWidth="1"/>
    <col min="18" max="18" width="16.28515625" bestFit="1" customWidth="1"/>
    <col min="19" max="19" width="12" bestFit="1" customWidth="1"/>
    <col min="20" max="20" width="11" bestFit="1" customWidth="1"/>
    <col min="22" max="22" width="9.28515625" bestFit="1" customWidth="1"/>
  </cols>
  <sheetData>
    <row r="1" spans="1:22" ht="15">
      <c r="A1" s="81" t="s">
        <v>226</v>
      </c>
      <c r="B1" s="81" t="s">
        <v>227</v>
      </c>
      <c r="C1" s="81" t="s">
        <v>228</v>
      </c>
      <c r="D1" s="81" t="s">
        <v>229</v>
      </c>
      <c r="E1" s="81" t="s">
        <v>230</v>
      </c>
      <c r="F1" s="81" t="s">
        <v>231</v>
      </c>
      <c r="G1" s="81" t="s">
        <v>232</v>
      </c>
      <c r="H1" s="81" t="s">
        <v>233</v>
      </c>
      <c r="I1" s="81" t="s">
        <v>234</v>
      </c>
      <c r="J1" s="81" t="s">
        <v>235</v>
      </c>
      <c r="K1" s="81" t="s">
        <v>236</v>
      </c>
      <c r="L1" s="81" t="s">
        <v>237</v>
      </c>
      <c r="M1" s="81" t="s">
        <v>238</v>
      </c>
      <c r="N1" s="81" t="s">
        <v>239</v>
      </c>
      <c r="O1" s="81" t="s">
        <v>240</v>
      </c>
      <c r="P1" s="81" t="s">
        <v>241</v>
      </c>
      <c r="Q1" s="81" t="s">
        <v>242</v>
      </c>
      <c r="R1" s="81" t="s">
        <v>243</v>
      </c>
      <c r="S1" s="81" t="s">
        <v>244</v>
      </c>
      <c r="T1" s="81" t="s">
        <v>245</v>
      </c>
      <c r="U1" s="81"/>
      <c r="V1" s="14" t="s">
        <v>74</v>
      </c>
    </row>
    <row r="2" spans="1:22" ht="15">
      <c r="A2" s="81" t="s">
        <v>246</v>
      </c>
      <c r="B2" s="81"/>
      <c r="C2" s="81"/>
      <c r="D2" s="81"/>
      <c r="E2" s="81"/>
      <c r="F2" s="81"/>
      <c r="G2" s="81"/>
      <c r="H2" s="81"/>
      <c r="I2" s="81"/>
      <c r="J2" s="81"/>
      <c r="K2" s="81"/>
      <c r="L2" s="81"/>
      <c r="M2" s="81"/>
      <c r="N2" s="81"/>
      <c r="O2" s="81"/>
      <c r="P2" s="81"/>
      <c r="Q2" s="81"/>
      <c r="R2" s="81"/>
      <c r="S2" s="81"/>
      <c r="T2" s="81"/>
      <c r="U2" s="81"/>
      <c r="V2" s="14"/>
    </row>
    <row r="3" spans="1:22">
      <c r="A3" t="s">
        <v>19</v>
      </c>
      <c r="B3" t="s">
        <v>247</v>
      </c>
      <c r="C3" s="70">
        <v>19.2</v>
      </c>
      <c r="D3" s="70">
        <v>237.6</v>
      </c>
      <c r="E3" s="70">
        <v>64.7</v>
      </c>
      <c r="F3" s="70">
        <v>62</v>
      </c>
      <c r="G3" s="70">
        <v>345.8</v>
      </c>
      <c r="H3" s="70">
        <v>600.4</v>
      </c>
      <c r="I3" s="70">
        <v>81</v>
      </c>
      <c r="J3" s="70">
        <v>63.3</v>
      </c>
      <c r="K3" s="70">
        <v>31</v>
      </c>
      <c r="L3" s="70">
        <v>370.4</v>
      </c>
      <c r="M3" s="70">
        <v>0.2</v>
      </c>
      <c r="N3" s="70">
        <v>124.2</v>
      </c>
      <c r="O3" s="70">
        <v>68.7</v>
      </c>
      <c r="P3" s="70">
        <v>149.80000000000001</v>
      </c>
      <c r="Q3" s="70">
        <v>286.89999999999998</v>
      </c>
      <c r="R3" s="70">
        <v>355.4</v>
      </c>
      <c r="S3" s="70">
        <v>59.3</v>
      </c>
      <c r="T3" s="70">
        <f>SUM(C3:S3)</f>
        <v>2919.9</v>
      </c>
      <c r="V3" s="226">
        <f>+S3+R3+Q3+P3+E3</f>
        <v>916.09999999999991</v>
      </c>
    </row>
    <row r="4" spans="1:22">
      <c r="A4" t="s">
        <v>248</v>
      </c>
      <c r="B4" t="s">
        <v>247</v>
      </c>
      <c r="C4" s="70">
        <v>0.6</v>
      </c>
      <c r="D4" s="70">
        <v>119.7</v>
      </c>
      <c r="E4" s="70">
        <v>7.9</v>
      </c>
      <c r="F4" s="70">
        <v>1.1000000000000001</v>
      </c>
      <c r="G4" s="70">
        <v>163.6</v>
      </c>
      <c r="H4" s="70">
        <v>245.2</v>
      </c>
      <c r="I4" s="70">
        <v>9.1</v>
      </c>
      <c r="J4" s="70">
        <v>4.5</v>
      </c>
      <c r="K4" s="70">
        <v>2.2000000000000002</v>
      </c>
      <c r="L4" s="70">
        <v>158.69999999999999</v>
      </c>
      <c r="M4" s="70"/>
      <c r="N4" s="70">
        <v>2</v>
      </c>
      <c r="O4" s="70">
        <v>46.3</v>
      </c>
      <c r="P4" s="70">
        <v>5.2</v>
      </c>
      <c r="Q4" s="70">
        <v>55</v>
      </c>
      <c r="R4" s="70">
        <v>5.7</v>
      </c>
      <c r="S4" s="70">
        <v>24.7</v>
      </c>
      <c r="T4" s="70">
        <f t="shared" ref="T4:T8" si="0">SUM(C4:S4)</f>
        <v>851.5</v>
      </c>
      <c r="V4" s="226">
        <f>+S4+R4+Q4+P4+E4</f>
        <v>98.500000000000014</v>
      </c>
    </row>
    <row r="5" spans="1:22">
      <c r="C5" s="70"/>
      <c r="D5" s="70"/>
      <c r="E5" s="70"/>
      <c r="F5" s="70"/>
      <c r="G5" s="70"/>
      <c r="H5" s="70"/>
      <c r="I5" s="70"/>
      <c r="J5" s="70"/>
      <c r="K5" s="70"/>
      <c r="L5" s="70"/>
      <c r="M5" s="70"/>
      <c r="N5" s="70"/>
      <c r="O5" s="70"/>
      <c r="P5" s="70"/>
      <c r="Q5" s="70"/>
      <c r="R5" s="70"/>
      <c r="S5" s="70"/>
      <c r="T5" s="70"/>
      <c r="V5" s="226"/>
    </row>
    <row r="6" spans="1:22" ht="15">
      <c r="A6" s="81" t="s">
        <v>249</v>
      </c>
      <c r="T6" s="70"/>
    </row>
    <row r="7" spans="1:22">
      <c r="A7" t="s">
        <v>19</v>
      </c>
      <c r="B7" t="s">
        <v>247</v>
      </c>
      <c r="C7" s="70">
        <v>12.9</v>
      </c>
      <c r="D7" s="70">
        <v>211.8</v>
      </c>
      <c r="E7" s="70">
        <v>62.2</v>
      </c>
      <c r="F7" s="70">
        <v>59.6</v>
      </c>
      <c r="G7" s="70">
        <v>319.2</v>
      </c>
      <c r="H7" s="70">
        <v>561.1</v>
      </c>
      <c r="I7" s="70">
        <v>78.7</v>
      </c>
      <c r="J7" s="70">
        <v>48.1</v>
      </c>
      <c r="K7" s="70">
        <v>27.7</v>
      </c>
      <c r="L7" s="70">
        <v>329.5</v>
      </c>
      <c r="M7" s="70">
        <v>0.4</v>
      </c>
      <c r="N7" s="70">
        <v>117</v>
      </c>
      <c r="O7" s="70">
        <v>69.599999999999994</v>
      </c>
      <c r="P7" s="70">
        <v>126.8</v>
      </c>
      <c r="Q7" s="70">
        <v>231.2</v>
      </c>
      <c r="R7" s="70">
        <v>346.4</v>
      </c>
      <c r="S7" s="70">
        <v>58.3</v>
      </c>
      <c r="T7" s="70">
        <f t="shared" si="0"/>
        <v>2660.5000000000005</v>
      </c>
      <c r="U7" s="70"/>
      <c r="V7" s="70">
        <f>+S7+R7+Q7+P7+E7</f>
        <v>824.9</v>
      </c>
    </row>
    <row r="8" spans="1:22">
      <c r="A8" t="s">
        <v>248</v>
      </c>
      <c r="B8" t="s">
        <v>247</v>
      </c>
      <c r="C8" s="70">
        <v>0.5</v>
      </c>
      <c r="D8" s="70">
        <v>114.5</v>
      </c>
      <c r="E8" s="70">
        <v>9.3000000000000007</v>
      </c>
      <c r="F8" s="70">
        <v>0.9</v>
      </c>
      <c r="G8" s="70">
        <v>140.6</v>
      </c>
      <c r="H8" s="70">
        <v>232.8</v>
      </c>
      <c r="I8" s="70">
        <v>8.1</v>
      </c>
      <c r="J8" s="70">
        <v>3.5</v>
      </c>
      <c r="K8" s="70">
        <v>2</v>
      </c>
      <c r="L8" s="70">
        <v>147.9</v>
      </c>
      <c r="M8" s="70"/>
      <c r="N8" s="70">
        <v>1.6</v>
      </c>
      <c r="O8" s="70">
        <v>44.2</v>
      </c>
      <c r="P8" s="70">
        <v>4.9000000000000004</v>
      </c>
      <c r="Q8" s="70">
        <v>47.4</v>
      </c>
      <c r="R8" s="70">
        <v>5.4</v>
      </c>
      <c r="S8" s="70">
        <v>24.6</v>
      </c>
      <c r="T8" s="70">
        <f t="shared" si="0"/>
        <v>788.2</v>
      </c>
      <c r="U8" s="70"/>
      <c r="V8" s="70">
        <f>+S8+R8+Q8+P8+E8</f>
        <v>91.600000000000009</v>
      </c>
    </row>
    <row r="9" spans="1:22">
      <c r="C9" s="70"/>
      <c r="D9" s="70"/>
      <c r="E9" s="70"/>
      <c r="F9" s="70"/>
      <c r="G9" s="70"/>
      <c r="H9" s="70"/>
      <c r="I9" s="70"/>
      <c r="J9" s="70"/>
      <c r="K9" s="70"/>
      <c r="L9" s="70"/>
      <c r="M9" s="70"/>
      <c r="N9" s="70"/>
      <c r="O9" s="70"/>
      <c r="P9" s="70"/>
      <c r="Q9" s="70"/>
      <c r="R9" s="70"/>
      <c r="S9" s="70"/>
      <c r="T9" s="70"/>
      <c r="U9" s="70"/>
      <c r="V9" s="70"/>
    </row>
    <row r="10" spans="1:22" ht="15">
      <c r="A10" s="81" t="s">
        <v>250</v>
      </c>
      <c r="C10" s="70"/>
      <c r="D10" s="70"/>
      <c r="E10" s="70"/>
      <c r="F10" s="70"/>
      <c r="G10" s="70"/>
      <c r="H10" s="70"/>
      <c r="I10" s="70"/>
      <c r="J10" s="70"/>
      <c r="K10" s="70"/>
      <c r="L10" s="70"/>
      <c r="M10" s="70"/>
      <c r="N10" s="70"/>
      <c r="O10" s="70"/>
      <c r="P10" s="70"/>
      <c r="Q10" s="70"/>
      <c r="R10" s="70"/>
      <c r="S10" s="70"/>
      <c r="T10" s="70"/>
      <c r="U10" s="70"/>
      <c r="V10" s="70"/>
    </row>
    <row r="11" spans="1:22">
      <c r="A11" t="s">
        <v>19</v>
      </c>
      <c r="B11" t="s">
        <v>247</v>
      </c>
      <c r="C11" s="70">
        <v>13.9</v>
      </c>
      <c r="D11" s="70">
        <v>237.7</v>
      </c>
      <c r="E11" s="70">
        <v>85.7</v>
      </c>
      <c r="F11" s="70">
        <v>70.7</v>
      </c>
      <c r="G11" s="70">
        <v>376.2</v>
      </c>
      <c r="H11" s="70">
        <v>619.6</v>
      </c>
      <c r="I11" s="70">
        <v>99.8</v>
      </c>
      <c r="J11" s="70">
        <v>55.7</v>
      </c>
      <c r="K11" s="70">
        <v>30.7</v>
      </c>
      <c r="L11" s="70">
        <v>361.1</v>
      </c>
      <c r="M11" s="70">
        <v>0.4</v>
      </c>
      <c r="N11" s="70">
        <v>142.69999999999999</v>
      </c>
      <c r="O11" s="70">
        <v>80.599999999999994</v>
      </c>
      <c r="P11" s="70">
        <v>134</v>
      </c>
      <c r="Q11" s="70">
        <v>292.3</v>
      </c>
      <c r="R11" s="70">
        <v>407.8</v>
      </c>
      <c r="S11" s="70">
        <v>62.4</v>
      </c>
      <c r="T11" s="70">
        <f>SUM(C11:S11)</f>
        <v>3071.3000000000006</v>
      </c>
      <c r="U11" s="70"/>
      <c r="V11" s="70">
        <f>+S11+R11+Q11+P11+E11</f>
        <v>982.2</v>
      </c>
    </row>
    <row r="12" spans="1:22">
      <c r="A12" t="s">
        <v>248</v>
      </c>
      <c r="B12" t="s">
        <v>247</v>
      </c>
      <c r="C12" s="70">
        <v>0.5</v>
      </c>
      <c r="D12" s="70">
        <v>129.9</v>
      </c>
      <c r="E12" s="70">
        <v>10.8</v>
      </c>
      <c r="F12" s="70">
        <v>1.3</v>
      </c>
      <c r="G12" s="70">
        <v>169.6</v>
      </c>
      <c r="H12" s="70">
        <v>282.89999999999998</v>
      </c>
      <c r="I12" s="70">
        <v>8.6</v>
      </c>
      <c r="J12" s="70">
        <v>4.5999999999999996</v>
      </c>
      <c r="K12" s="70">
        <v>2</v>
      </c>
      <c r="L12" s="70">
        <v>171.9</v>
      </c>
      <c r="M12" s="70"/>
      <c r="N12" s="70">
        <v>1.8</v>
      </c>
      <c r="O12" s="70">
        <v>52.5</v>
      </c>
      <c r="P12" s="70">
        <v>5</v>
      </c>
      <c r="Q12" s="70">
        <v>58.6</v>
      </c>
      <c r="R12" s="70">
        <v>6</v>
      </c>
      <c r="S12" s="70">
        <v>25.5</v>
      </c>
      <c r="T12" s="70">
        <f t="shared" ref="T12:T16" si="1">SUM(C12:S12)</f>
        <v>931.5</v>
      </c>
      <c r="U12" s="70"/>
      <c r="V12" s="70">
        <f>+S12+R12+Q12+P12+E12</f>
        <v>105.89999999999999</v>
      </c>
    </row>
    <row r="13" spans="1:22">
      <c r="T13" s="70"/>
    </row>
    <row r="14" spans="1:22" ht="15">
      <c r="A14" s="81" t="s">
        <v>266</v>
      </c>
      <c r="T14" s="70"/>
    </row>
    <row r="15" spans="1:22">
      <c r="A15" t="s">
        <v>19</v>
      </c>
      <c r="B15" t="s">
        <v>247</v>
      </c>
      <c r="C15" s="70">
        <v>14.3</v>
      </c>
      <c r="D15" s="70">
        <v>273.2</v>
      </c>
      <c r="E15" s="70">
        <v>56.1</v>
      </c>
      <c r="F15" s="70">
        <v>78.7</v>
      </c>
      <c r="G15" s="70">
        <v>402.6</v>
      </c>
      <c r="H15" s="70">
        <v>643.6</v>
      </c>
      <c r="I15" s="70">
        <v>83.4</v>
      </c>
      <c r="J15" s="70">
        <v>43.4</v>
      </c>
      <c r="K15" s="70">
        <v>30.9</v>
      </c>
      <c r="L15" s="70">
        <v>351</v>
      </c>
      <c r="M15" s="70">
        <v>0.2</v>
      </c>
      <c r="N15" s="70">
        <v>110.9</v>
      </c>
      <c r="O15" s="70">
        <v>101.1</v>
      </c>
      <c r="P15" s="70">
        <v>145</v>
      </c>
      <c r="Q15" s="70">
        <v>289</v>
      </c>
      <c r="R15" s="70">
        <v>345.8</v>
      </c>
      <c r="S15" s="70">
        <v>62.3</v>
      </c>
      <c r="T15" s="70">
        <f t="shared" si="1"/>
        <v>3031.5000000000005</v>
      </c>
      <c r="V15" s="70">
        <f>+S15+R15+Q15+P15+E15</f>
        <v>898.2</v>
      </c>
    </row>
    <row r="16" spans="1:22">
      <c r="A16" t="s">
        <v>248</v>
      </c>
      <c r="B16" t="s">
        <v>247</v>
      </c>
      <c r="C16" s="70">
        <v>0.7</v>
      </c>
      <c r="D16" s="70">
        <v>140.5</v>
      </c>
      <c r="E16" s="70">
        <v>10.199999999999999</v>
      </c>
      <c r="F16" s="70">
        <v>1.5</v>
      </c>
      <c r="G16" s="70">
        <v>179.1</v>
      </c>
      <c r="H16" s="70">
        <v>278.3</v>
      </c>
      <c r="I16" s="70">
        <v>8.1999999999999993</v>
      </c>
      <c r="J16" s="70">
        <v>3.8</v>
      </c>
      <c r="K16" s="70">
        <v>2.6</v>
      </c>
      <c r="L16" s="70">
        <v>189.9</v>
      </c>
      <c r="M16" s="70"/>
      <c r="N16" s="70">
        <v>1.5</v>
      </c>
      <c r="O16" s="70">
        <v>52.3</v>
      </c>
      <c r="P16" s="70">
        <v>6.1</v>
      </c>
      <c r="Q16" s="70">
        <v>58.8</v>
      </c>
      <c r="R16" s="70">
        <v>6.3</v>
      </c>
      <c r="S16" s="70">
        <v>28.4</v>
      </c>
      <c r="T16" s="70">
        <f t="shared" si="1"/>
        <v>968.19999999999982</v>
      </c>
      <c r="V16" s="70">
        <f>+S16+R16+Q16+P16+E16</f>
        <v>109.8</v>
      </c>
    </row>
    <row r="18" spans="1:22" ht="15">
      <c r="A18" s="81" t="s">
        <v>267</v>
      </c>
    </row>
    <row r="19" spans="1:22">
      <c r="A19" t="s">
        <v>19</v>
      </c>
      <c r="B19" t="s">
        <v>247</v>
      </c>
      <c r="C19" s="70">
        <v>13.2</v>
      </c>
      <c r="D19" s="70">
        <v>209.8</v>
      </c>
      <c r="E19" s="70">
        <v>62.3</v>
      </c>
      <c r="F19" s="70">
        <v>64.8</v>
      </c>
      <c r="G19" s="70">
        <v>328.4</v>
      </c>
      <c r="H19" s="70">
        <v>582.70000000000005</v>
      </c>
      <c r="I19" s="70">
        <v>62.9</v>
      </c>
      <c r="J19" s="70">
        <v>41.9</v>
      </c>
      <c r="K19" s="70">
        <v>27.7</v>
      </c>
      <c r="L19" s="70">
        <v>319.89999999999998</v>
      </c>
      <c r="M19" s="70">
        <v>0.4</v>
      </c>
      <c r="N19" s="70">
        <v>117.5</v>
      </c>
      <c r="O19" s="70">
        <v>77.900000000000006</v>
      </c>
      <c r="P19" s="70">
        <v>126.9</v>
      </c>
      <c r="Q19" s="70">
        <v>253.8</v>
      </c>
      <c r="R19" s="70">
        <v>338.2</v>
      </c>
      <c r="S19" s="70">
        <v>52.1</v>
      </c>
      <c r="T19" s="70">
        <f>SUM(C19:S19)</f>
        <v>2680.4000000000005</v>
      </c>
      <c r="V19" s="70">
        <f>+S19+R19+Q19+P19+E19</f>
        <v>833.3</v>
      </c>
    </row>
    <row r="20" spans="1:22">
      <c r="A20" t="s">
        <v>248</v>
      </c>
      <c r="B20" t="s">
        <v>247</v>
      </c>
      <c r="C20" s="70">
        <v>0.5</v>
      </c>
      <c r="D20" s="70">
        <v>109.9</v>
      </c>
      <c r="E20" s="70">
        <v>7.9</v>
      </c>
      <c r="F20" s="70">
        <v>1.3</v>
      </c>
      <c r="G20" s="70">
        <v>139.5</v>
      </c>
      <c r="H20" s="70">
        <v>236.2</v>
      </c>
      <c r="I20" s="70">
        <v>7</v>
      </c>
      <c r="J20" s="70">
        <v>3.5</v>
      </c>
      <c r="K20" s="70">
        <v>1.9</v>
      </c>
      <c r="L20" s="70">
        <v>153.1</v>
      </c>
      <c r="M20" s="70"/>
      <c r="N20" s="70">
        <v>1.6</v>
      </c>
      <c r="O20" s="70">
        <v>40.5</v>
      </c>
      <c r="P20" s="70">
        <v>3.5</v>
      </c>
      <c r="Q20" s="70">
        <v>52.5</v>
      </c>
      <c r="R20" s="70">
        <v>4.5</v>
      </c>
      <c r="S20" s="70">
        <v>22.1</v>
      </c>
      <c r="T20" s="70">
        <f t="shared" ref="T20:T36" si="2">SUM(C20:S20)</f>
        <v>785.5</v>
      </c>
      <c r="V20" s="70">
        <f>+S20+R20+Q20+P20+E20</f>
        <v>90.5</v>
      </c>
    </row>
    <row r="21" spans="1:22">
      <c r="T21" s="70"/>
    </row>
    <row r="22" spans="1:22" ht="15">
      <c r="A22" s="81" t="s">
        <v>268</v>
      </c>
      <c r="T22" s="70"/>
    </row>
    <row r="23" spans="1:22">
      <c r="A23" t="s">
        <v>19</v>
      </c>
      <c r="B23" t="s">
        <v>247</v>
      </c>
      <c r="C23" s="70">
        <v>12.14</v>
      </c>
      <c r="D23" s="70">
        <v>202.5</v>
      </c>
      <c r="E23" s="70">
        <v>76.430000000000007</v>
      </c>
      <c r="F23" s="70">
        <v>63.66</v>
      </c>
      <c r="G23" s="70">
        <v>194.26</v>
      </c>
      <c r="H23" s="70">
        <v>594.4</v>
      </c>
      <c r="I23" s="70">
        <v>113.66</v>
      </c>
      <c r="J23" s="70">
        <v>69.67</v>
      </c>
      <c r="K23" s="70">
        <v>33.07</v>
      </c>
      <c r="L23" s="70">
        <v>330.94</v>
      </c>
      <c r="M23" s="70">
        <v>0.4</v>
      </c>
      <c r="N23" s="70">
        <v>118.95</v>
      </c>
      <c r="O23" s="70">
        <v>98.45</v>
      </c>
      <c r="P23" s="70">
        <f>121.16+0.02</f>
        <v>121.17999999999999</v>
      </c>
      <c r="Q23" s="70">
        <v>303.68</v>
      </c>
      <c r="R23" s="70">
        <v>361.89</v>
      </c>
      <c r="S23" s="70">
        <v>58.97</v>
      </c>
      <c r="T23" s="70">
        <f t="shared" si="2"/>
        <v>2754.25</v>
      </c>
      <c r="V23" s="70">
        <f>+S23+R23+Q23+P23+E23</f>
        <v>922.14999999999986</v>
      </c>
    </row>
    <row r="24" spans="1:22">
      <c r="A24" t="s">
        <v>248</v>
      </c>
      <c r="B24" t="s">
        <v>247</v>
      </c>
      <c r="C24" s="70">
        <v>0.46</v>
      </c>
      <c r="D24" s="70">
        <v>103.83</v>
      </c>
      <c r="E24" s="70">
        <v>9.4700000000000006</v>
      </c>
      <c r="F24" s="70">
        <v>1.23</v>
      </c>
      <c r="G24" s="70">
        <v>123.32</v>
      </c>
      <c r="H24" s="70">
        <v>253.79</v>
      </c>
      <c r="I24" s="70">
        <v>6.6</v>
      </c>
      <c r="J24" s="70">
        <v>3.76</v>
      </c>
      <c r="K24" s="70">
        <v>1.7</v>
      </c>
      <c r="L24" s="70">
        <v>161.34</v>
      </c>
      <c r="M24" s="70"/>
      <c r="N24" s="70">
        <v>1.59</v>
      </c>
      <c r="O24" s="70">
        <v>39.85</v>
      </c>
      <c r="P24" s="70">
        <v>2.88</v>
      </c>
      <c r="Q24" s="70">
        <v>50.31</v>
      </c>
      <c r="R24" s="70">
        <v>6.33</v>
      </c>
      <c r="S24" s="70">
        <v>24.53</v>
      </c>
      <c r="T24" s="70">
        <f t="shared" si="2"/>
        <v>790.99000000000012</v>
      </c>
      <c r="V24" s="70">
        <f>+S24+R24+Q24+P24+E24</f>
        <v>93.52</v>
      </c>
    </row>
    <row r="25" spans="1:22">
      <c r="T25" s="70"/>
    </row>
    <row r="26" spans="1:22" ht="15">
      <c r="A26" s="81" t="s">
        <v>269</v>
      </c>
      <c r="T26" s="70"/>
    </row>
    <row r="27" spans="1:22">
      <c r="A27" t="s">
        <v>19</v>
      </c>
      <c r="B27" t="s">
        <v>247</v>
      </c>
      <c r="C27" s="70">
        <v>19.079999999999998</v>
      </c>
      <c r="D27" s="70">
        <v>212.69</v>
      </c>
      <c r="E27">
        <v>63.02</v>
      </c>
      <c r="F27">
        <v>65.84</v>
      </c>
      <c r="G27" s="70">
        <v>224.57</v>
      </c>
      <c r="H27">
        <v>648.12</v>
      </c>
      <c r="I27" s="70">
        <v>96.61</v>
      </c>
      <c r="J27" s="70">
        <v>58.12</v>
      </c>
      <c r="K27" s="70">
        <v>27.2</v>
      </c>
      <c r="L27">
        <v>396.76</v>
      </c>
      <c r="M27">
        <v>0.41</v>
      </c>
      <c r="N27">
        <v>133.44999999999999</v>
      </c>
      <c r="O27" s="70">
        <v>83.28</v>
      </c>
      <c r="P27" s="70">
        <v>144.12</v>
      </c>
      <c r="Q27" s="70">
        <v>345.1</v>
      </c>
      <c r="R27">
        <v>392.26</v>
      </c>
      <c r="S27">
        <v>61.1</v>
      </c>
      <c r="T27" s="70">
        <f t="shared" si="2"/>
        <v>2971.73</v>
      </c>
      <c r="V27" s="70">
        <f>+S27+R27+Q27+P27+E27</f>
        <v>1005.6</v>
      </c>
    </row>
    <row r="28" spans="1:22">
      <c r="A28" t="s">
        <v>248</v>
      </c>
      <c r="B28" t="s">
        <v>247</v>
      </c>
      <c r="C28" s="70">
        <v>0.6</v>
      </c>
      <c r="D28" s="70">
        <v>106.69</v>
      </c>
      <c r="E28">
        <v>8.85</v>
      </c>
      <c r="F28">
        <v>1.24</v>
      </c>
      <c r="G28" s="70">
        <v>128.01</v>
      </c>
      <c r="H28">
        <v>259.86</v>
      </c>
      <c r="I28" s="70">
        <v>5.95</v>
      </c>
      <c r="J28" s="70">
        <v>2.78</v>
      </c>
      <c r="K28" s="70">
        <v>1.93</v>
      </c>
      <c r="L28">
        <v>172.93</v>
      </c>
      <c r="N28">
        <v>2.08</v>
      </c>
      <c r="O28" s="70">
        <v>35.200000000000003</v>
      </c>
      <c r="P28" s="70">
        <v>4.57</v>
      </c>
      <c r="Q28" s="70">
        <v>44.5</v>
      </c>
      <c r="R28">
        <v>8.49</v>
      </c>
      <c r="S28">
        <v>25.09</v>
      </c>
      <c r="T28" s="70">
        <f t="shared" si="2"/>
        <v>808.7700000000001</v>
      </c>
      <c r="V28" s="70">
        <f>+S28+R28+Q28+P28+E28</f>
        <v>91.5</v>
      </c>
    </row>
    <row r="29" spans="1:22">
      <c r="T29" s="70"/>
    </row>
    <row r="30" spans="1:22" ht="15">
      <c r="A30" s="81" t="s">
        <v>61</v>
      </c>
      <c r="T30" s="70"/>
    </row>
    <row r="31" spans="1:22">
      <c r="A31" t="s">
        <v>19</v>
      </c>
      <c r="B31" t="s">
        <v>247</v>
      </c>
      <c r="C31" s="70">
        <v>13</v>
      </c>
      <c r="D31" s="70">
        <v>215.71</v>
      </c>
      <c r="E31">
        <v>63.99</v>
      </c>
      <c r="F31">
        <v>85.32</v>
      </c>
      <c r="G31" s="168">
        <v>198.1</v>
      </c>
      <c r="H31">
        <v>640.83000000000004</v>
      </c>
      <c r="I31" s="70">
        <v>78.260000000000005</v>
      </c>
      <c r="J31" s="70">
        <v>43.5</v>
      </c>
      <c r="K31" s="70">
        <v>26.89</v>
      </c>
      <c r="L31">
        <v>373.64</v>
      </c>
      <c r="M31">
        <v>0.41</v>
      </c>
      <c r="N31">
        <v>122.02</v>
      </c>
      <c r="O31" s="70">
        <v>77.67</v>
      </c>
      <c r="P31" s="70">
        <v>110.6</v>
      </c>
      <c r="Q31" s="70">
        <v>299.02999999999997</v>
      </c>
      <c r="R31">
        <v>365.33</v>
      </c>
      <c r="S31" s="70">
        <v>63</v>
      </c>
      <c r="T31" s="70">
        <f t="shared" si="2"/>
        <v>2777.3</v>
      </c>
      <c r="V31" s="70">
        <f>+S31+R31+Q31+P31+E31</f>
        <v>901.94999999999993</v>
      </c>
    </row>
    <row r="32" spans="1:22">
      <c r="A32" t="s">
        <v>248</v>
      </c>
      <c r="B32" t="s">
        <v>247</v>
      </c>
      <c r="C32" s="70">
        <v>0.37</v>
      </c>
      <c r="D32" s="70">
        <v>106.94</v>
      </c>
      <c r="E32">
        <v>9.4600000000000009</v>
      </c>
      <c r="F32">
        <v>1.57</v>
      </c>
      <c r="G32" s="70">
        <v>135.77000000000001</v>
      </c>
      <c r="H32">
        <v>255.99</v>
      </c>
      <c r="I32" s="70">
        <v>5.92</v>
      </c>
      <c r="J32" s="70">
        <v>3.11</v>
      </c>
      <c r="K32" s="70">
        <v>1.69</v>
      </c>
      <c r="L32">
        <v>164.18</v>
      </c>
      <c r="N32">
        <v>1.5</v>
      </c>
      <c r="O32" s="70">
        <v>35.979999999999997</v>
      </c>
      <c r="P32" s="70">
        <v>6</v>
      </c>
      <c r="Q32" s="70">
        <v>48.28</v>
      </c>
      <c r="R32">
        <v>7.91</v>
      </c>
      <c r="S32">
        <v>24.24</v>
      </c>
      <c r="T32" s="70">
        <f t="shared" si="2"/>
        <v>808.91</v>
      </c>
      <c r="V32" s="70">
        <f>+S32+R32+Q32+P32+E32</f>
        <v>95.890000000000015</v>
      </c>
    </row>
    <row r="33" spans="1:22">
      <c r="T33" s="70"/>
    </row>
    <row r="34" spans="1:22" ht="15">
      <c r="A34" s="81" t="s">
        <v>277</v>
      </c>
      <c r="T34" s="70"/>
    </row>
    <row r="35" spans="1:22">
      <c r="A35" t="s">
        <v>19</v>
      </c>
      <c r="B35" t="s">
        <v>247</v>
      </c>
      <c r="C35" s="70">
        <v>13.8</v>
      </c>
      <c r="D35" s="70">
        <v>225</v>
      </c>
      <c r="E35" s="70">
        <v>70.599999999999994</v>
      </c>
      <c r="F35" s="70">
        <v>69.099999999999994</v>
      </c>
      <c r="G35" s="70">
        <v>357.3</v>
      </c>
      <c r="H35" s="70">
        <v>645.1</v>
      </c>
      <c r="I35" s="70">
        <v>76.8</v>
      </c>
      <c r="J35" s="70">
        <v>48.8</v>
      </c>
      <c r="K35" s="70">
        <v>28.6</v>
      </c>
      <c r="L35" s="70">
        <v>373</v>
      </c>
      <c r="M35" s="70">
        <v>0.4</v>
      </c>
      <c r="N35" s="70">
        <v>144.69999999999999</v>
      </c>
      <c r="O35" s="70">
        <v>68.8</v>
      </c>
      <c r="P35" s="70">
        <v>135.80000000000001</v>
      </c>
      <c r="Q35" s="70">
        <v>295.10000000000002</v>
      </c>
      <c r="R35" s="70">
        <v>386.4</v>
      </c>
      <c r="S35" s="70">
        <v>55.7</v>
      </c>
      <c r="T35" s="70">
        <f t="shared" si="2"/>
        <v>2995</v>
      </c>
      <c r="V35" s="70">
        <f>+S35+R35+Q35+P35+E35</f>
        <v>943.6</v>
      </c>
    </row>
    <row r="36" spans="1:22" ht="12" customHeight="1">
      <c r="A36" t="s">
        <v>248</v>
      </c>
      <c r="B36" t="s">
        <v>247</v>
      </c>
      <c r="C36" s="70">
        <v>0.5</v>
      </c>
      <c r="D36" s="70">
        <v>131.69999999999999</v>
      </c>
      <c r="E36" s="70">
        <v>9.8000000000000007</v>
      </c>
      <c r="F36" s="70">
        <v>1.2</v>
      </c>
      <c r="G36" s="70">
        <v>165.2</v>
      </c>
      <c r="H36" s="70">
        <v>269.8</v>
      </c>
      <c r="I36" s="70">
        <v>7.5</v>
      </c>
      <c r="J36" s="70">
        <v>3.8</v>
      </c>
      <c r="K36" s="70">
        <v>2.1</v>
      </c>
      <c r="L36" s="70">
        <v>169.5</v>
      </c>
      <c r="M36" s="70"/>
      <c r="N36" s="70">
        <v>1.4</v>
      </c>
      <c r="O36" s="70">
        <v>41.1</v>
      </c>
      <c r="P36" s="70">
        <v>4.8</v>
      </c>
      <c r="Q36" s="70">
        <v>51.8</v>
      </c>
      <c r="R36" s="70">
        <v>8.1</v>
      </c>
      <c r="S36" s="70">
        <v>24</v>
      </c>
      <c r="T36" s="70">
        <f t="shared" si="2"/>
        <v>892.3</v>
      </c>
      <c r="V36" s="70">
        <f>+S36+R36+Q36+P36+E36</f>
        <v>98.5</v>
      </c>
    </row>
    <row r="38" spans="1:22" ht="15">
      <c r="A38" s="81" t="s">
        <v>278</v>
      </c>
      <c r="T38" s="70"/>
    </row>
    <row r="39" spans="1:22">
      <c r="A39" t="s">
        <v>19</v>
      </c>
      <c r="B39" t="s">
        <v>247</v>
      </c>
      <c r="C39" s="70">
        <v>13.85</v>
      </c>
      <c r="D39" s="70">
        <v>250.7</v>
      </c>
      <c r="E39" s="70">
        <v>62.33</v>
      </c>
      <c r="F39" s="70">
        <v>73.08</v>
      </c>
      <c r="G39" s="70">
        <v>369.51</v>
      </c>
      <c r="H39" s="70">
        <v>666.96</v>
      </c>
      <c r="I39" s="70">
        <v>83.02</v>
      </c>
      <c r="J39" s="70">
        <v>47.61</v>
      </c>
      <c r="K39" s="70">
        <v>27.52</v>
      </c>
      <c r="L39" s="70">
        <v>406.64</v>
      </c>
      <c r="M39" s="70">
        <v>0.39</v>
      </c>
      <c r="N39" s="70">
        <v>132.46</v>
      </c>
      <c r="O39" s="70">
        <v>96.45</v>
      </c>
      <c r="P39" s="70">
        <v>142.38999999999999</v>
      </c>
      <c r="Q39" s="70">
        <v>354.62</v>
      </c>
      <c r="R39" s="70">
        <v>420.05</v>
      </c>
      <c r="S39" s="70">
        <v>68.53</v>
      </c>
      <c r="T39" s="70">
        <f t="shared" ref="T39:T40" si="3">SUM(C39:S39)</f>
        <v>3216.1099999999997</v>
      </c>
      <c r="V39" s="70">
        <f>+S39+R39+Q39+P39+E39</f>
        <v>1047.92</v>
      </c>
    </row>
    <row r="40" spans="1:22">
      <c r="A40" t="s">
        <v>248</v>
      </c>
      <c r="B40" t="s">
        <v>247</v>
      </c>
      <c r="C40" s="70">
        <v>0.62</v>
      </c>
      <c r="D40" s="70">
        <v>134.74</v>
      </c>
      <c r="E40" s="70">
        <v>9.3800000000000008</v>
      </c>
      <c r="F40" s="70">
        <v>1.49</v>
      </c>
      <c r="G40" s="70">
        <v>168.45</v>
      </c>
      <c r="H40" s="70">
        <v>265.94</v>
      </c>
      <c r="I40" s="70">
        <v>8.9600000000000009</v>
      </c>
      <c r="J40" s="70">
        <v>2.89</v>
      </c>
      <c r="K40" s="70">
        <v>2.1</v>
      </c>
      <c r="L40" s="70">
        <v>177.21</v>
      </c>
      <c r="M40" s="70"/>
      <c r="N40" s="70">
        <v>2.0499999999999998</v>
      </c>
      <c r="O40" s="70">
        <v>39</v>
      </c>
      <c r="P40" s="70">
        <v>5.12</v>
      </c>
      <c r="Q40" s="70">
        <v>51.15</v>
      </c>
      <c r="R40" s="70">
        <v>8.94</v>
      </c>
      <c r="S40" s="70">
        <v>27.39</v>
      </c>
      <c r="T40" s="70">
        <f t="shared" si="3"/>
        <v>905.43000000000006</v>
      </c>
      <c r="V40" s="70">
        <f>+S40+R40+Q40+P40+E40</f>
        <v>101.97999999999999</v>
      </c>
    </row>
    <row r="42" spans="1:22" ht="15">
      <c r="A42" s="81" t="s">
        <v>279</v>
      </c>
      <c r="T42" s="70"/>
    </row>
    <row r="43" spans="1:22">
      <c r="A43" t="s">
        <v>19</v>
      </c>
      <c r="B43" t="s">
        <v>247</v>
      </c>
      <c r="C43" s="70">
        <v>13.65</v>
      </c>
      <c r="D43" s="70">
        <v>221.7</v>
      </c>
      <c r="E43" s="70">
        <v>63.86</v>
      </c>
      <c r="F43" s="70">
        <v>67.56</v>
      </c>
      <c r="G43" s="70">
        <v>368.85</v>
      </c>
      <c r="H43" s="70">
        <v>648.39</v>
      </c>
      <c r="I43" s="70">
        <v>72.98</v>
      </c>
      <c r="J43" s="70">
        <v>40.340000000000003</v>
      </c>
      <c r="K43" s="70">
        <v>34.4</v>
      </c>
      <c r="L43" s="70">
        <v>371.08</v>
      </c>
      <c r="M43" s="70">
        <v>0.4</v>
      </c>
      <c r="N43" s="70">
        <v>122.2</v>
      </c>
      <c r="O43" s="70">
        <v>93.84</v>
      </c>
      <c r="P43" s="70">
        <f>142.78+0.02</f>
        <v>142.80000000000001</v>
      </c>
      <c r="Q43" s="70">
        <v>307.45</v>
      </c>
      <c r="R43" s="70">
        <v>410.19</v>
      </c>
      <c r="S43" s="70">
        <v>56.64</v>
      </c>
      <c r="T43" s="70">
        <f t="shared" ref="T43:T44" si="4">SUM(C43:S43)</f>
        <v>3036.33</v>
      </c>
      <c r="V43" s="70">
        <f>+S43+R43+Q43+P43+E43</f>
        <v>980.93999999999994</v>
      </c>
    </row>
    <row r="44" spans="1:22">
      <c r="A44" t="s">
        <v>248</v>
      </c>
      <c r="B44" t="s">
        <v>247</v>
      </c>
      <c r="C44" s="70">
        <v>0.48</v>
      </c>
      <c r="D44" s="70">
        <v>128.51</v>
      </c>
      <c r="E44" s="70">
        <v>9.27</v>
      </c>
      <c r="F44" s="70">
        <v>1.27</v>
      </c>
      <c r="G44" s="70">
        <v>156.78</v>
      </c>
      <c r="H44" s="70">
        <v>259.58</v>
      </c>
      <c r="I44" s="70">
        <v>9.41</v>
      </c>
      <c r="J44" s="70">
        <v>3.01</v>
      </c>
      <c r="K44" s="70">
        <v>2.08</v>
      </c>
      <c r="L44" s="70">
        <v>167.71</v>
      </c>
      <c r="M44" s="70"/>
      <c r="N44" s="70">
        <v>1.7</v>
      </c>
      <c r="O44" s="70">
        <v>38.68</v>
      </c>
      <c r="P44" s="70">
        <v>3.72</v>
      </c>
      <c r="Q44" s="70">
        <v>49.59</v>
      </c>
      <c r="R44" s="70">
        <v>9.5399999999999991</v>
      </c>
      <c r="S44" s="70">
        <v>25.83</v>
      </c>
      <c r="T44" s="70">
        <f t="shared" si="4"/>
        <v>867.16000000000008</v>
      </c>
      <c r="V44" s="70">
        <f>+S44+R44+Q44+P44+E44</f>
        <v>97.95</v>
      </c>
    </row>
    <row r="46" spans="1:22" ht="15">
      <c r="A46" s="81" t="s">
        <v>280</v>
      </c>
      <c r="T46" s="70"/>
    </row>
    <row r="47" spans="1:22">
      <c r="A47" t="s">
        <v>19</v>
      </c>
      <c r="B47" t="s">
        <v>247</v>
      </c>
      <c r="C47" s="70">
        <v>14.88</v>
      </c>
      <c r="D47" s="70">
        <v>248.54</v>
      </c>
      <c r="E47" s="70">
        <v>82.95</v>
      </c>
      <c r="F47" s="70">
        <v>70.400000000000006</v>
      </c>
      <c r="G47" s="70">
        <v>416.17</v>
      </c>
      <c r="H47" s="70">
        <v>667.84</v>
      </c>
      <c r="I47" s="70">
        <v>113.74</v>
      </c>
      <c r="J47" s="70">
        <v>70.180000000000007</v>
      </c>
      <c r="K47" s="70">
        <v>36.85</v>
      </c>
      <c r="L47" s="70">
        <v>399.99</v>
      </c>
      <c r="M47" s="70">
        <v>0.45</v>
      </c>
      <c r="N47" s="70">
        <v>144.24</v>
      </c>
      <c r="O47" s="70">
        <v>85.15</v>
      </c>
      <c r="P47" s="70">
        <v>156.93</v>
      </c>
      <c r="Q47" s="70">
        <v>291.93</v>
      </c>
      <c r="R47" s="70">
        <v>397.25</v>
      </c>
      <c r="S47" s="70">
        <v>69.569999999999993</v>
      </c>
      <c r="T47" s="70">
        <f t="shared" ref="T47:T48" si="5">SUM(C47:S47)</f>
        <v>3267.0599999999995</v>
      </c>
      <c r="V47" s="70">
        <f>+S47+R47+Q47+P47+E47</f>
        <v>998.63000000000011</v>
      </c>
    </row>
    <row r="48" spans="1:22">
      <c r="A48" t="s">
        <v>248</v>
      </c>
      <c r="B48" t="s">
        <v>247</v>
      </c>
      <c r="C48" s="70">
        <v>0.47</v>
      </c>
      <c r="D48" s="70">
        <v>135.62</v>
      </c>
      <c r="E48" s="70">
        <v>10.29</v>
      </c>
      <c r="F48" s="70">
        <v>1.28</v>
      </c>
      <c r="G48" s="70">
        <v>151.80000000000001</v>
      </c>
      <c r="H48" s="70">
        <v>288.39</v>
      </c>
      <c r="I48" s="70">
        <v>10.24</v>
      </c>
      <c r="J48" s="70">
        <v>3.36</v>
      </c>
      <c r="K48" s="70">
        <v>2.11</v>
      </c>
      <c r="L48" s="70">
        <v>183.48</v>
      </c>
      <c r="M48" s="70"/>
      <c r="N48" s="70">
        <v>2.0299999999999998</v>
      </c>
      <c r="O48" s="70">
        <v>43.36</v>
      </c>
      <c r="P48" s="70">
        <v>6.2</v>
      </c>
      <c r="Q48" s="70">
        <v>54.96</v>
      </c>
      <c r="R48" s="70">
        <v>8.49</v>
      </c>
      <c r="S48" s="70">
        <v>24.85</v>
      </c>
      <c r="T48" s="70">
        <f t="shared" si="5"/>
        <v>926.93000000000018</v>
      </c>
      <c r="V48" s="70">
        <f>+S48+R48+Q48+P48+E48</f>
        <v>104.79000000000002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8"/>
  <sheetViews>
    <sheetView workbookViewId="0">
      <pane xSplit="2" ySplit="1" topLeftCell="C34" activePane="bottomRight" state="frozen"/>
      <selection pane="topRight" activeCell="C1" sqref="C1"/>
      <selection pane="bottomLeft" activeCell="A2" sqref="A2"/>
      <selection pane="bottomRight" activeCell="A47" sqref="A47"/>
    </sheetView>
  </sheetViews>
  <sheetFormatPr defaultRowHeight="12.75"/>
  <cols>
    <col min="1" max="1" width="14.42578125" bestFit="1" customWidth="1"/>
    <col min="2" max="2" width="8.5703125" bestFit="1" customWidth="1"/>
    <col min="3" max="3" width="9.28515625" bestFit="1" customWidth="1"/>
    <col min="5" max="5" width="7.42578125" bestFit="1" customWidth="1"/>
    <col min="6" max="6" width="12.140625" bestFit="1" customWidth="1"/>
    <col min="7" max="7" width="12.42578125" bestFit="1" customWidth="1"/>
    <col min="8" max="8" width="10.140625" bestFit="1" customWidth="1"/>
    <col min="9" max="9" width="10.28515625" bestFit="1" customWidth="1"/>
    <col min="10" max="10" width="10.140625" bestFit="1" customWidth="1"/>
    <col min="11" max="11" width="18" bestFit="1" customWidth="1"/>
    <col min="13" max="13" width="10.42578125" bestFit="1" customWidth="1"/>
    <col min="14" max="14" width="9.85546875" bestFit="1" customWidth="1"/>
    <col min="15" max="15" width="16.28515625" bestFit="1" customWidth="1"/>
    <col min="16" max="16" width="14.42578125" bestFit="1" customWidth="1"/>
    <col min="17" max="17" width="11" bestFit="1" customWidth="1"/>
    <col min="19" max="19" width="9.28515625" bestFit="1" customWidth="1"/>
  </cols>
  <sheetData>
    <row r="1" spans="1:19" ht="15">
      <c r="A1" s="81" t="s">
        <v>226</v>
      </c>
      <c r="B1" s="81" t="s">
        <v>227</v>
      </c>
      <c r="C1" s="81" t="s">
        <v>251</v>
      </c>
      <c r="D1" s="81" t="s">
        <v>252</v>
      </c>
      <c r="E1" s="81" t="s">
        <v>83</v>
      </c>
      <c r="F1" s="81" t="s">
        <v>253</v>
      </c>
      <c r="G1" s="81" t="s">
        <v>254</v>
      </c>
      <c r="H1" s="81" t="s">
        <v>255</v>
      </c>
      <c r="I1" s="81" t="s">
        <v>81</v>
      </c>
      <c r="J1" s="81" t="s">
        <v>256</v>
      </c>
      <c r="K1" s="81" t="s">
        <v>257</v>
      </c>
      <c r="L1" s="81" t="s">
        <v>258</v>
      </c>
      <c r="M1" s="81" t="s">
        <v>259</v>
      </c>
      <c r="N1" s="81" t="s">
        <v>260</v>
      </c>
      <c r="O1" s="81" t="s">
        <v>243</v>
      </c>
      <c r="P1" s="81" t="s">
        <v>261</v>
      </c>
      <c r="Q1" s="81" t="s">
        <v>245</v>
      </c>
      <c r="R1" s="81"/>
      <c r="S1" s="81" t="s">
        <v>74</v>
      </c>
    </row>
    <row r="2" spans="1:19" ht="15">
      <c r="A2" s="81" t="s">
        <v>246</v>
      </c>
      <c r="B2" s="81"/>
      <c r="C2" s="81"/>
      <c r="D2" s="81"/>
      <c r="E2" s="81"/>
      <c r="F2" s="81"/>
      <c r="G2" s="81"/>
      <c r="H2" s="81"/>
      <c r="I2" s="81"/>
      <c r="J2" s="81"/>
      <c r="K2" s="81"/>
      <c r="L2" s="81"/>
      <c r="M2" s="81"/>
      <c r="N2" s="81"/>
      <c r="O2" s="81"/>
      <c r="P2" s="81"/>
      <c r="Q2" s="81"/>
      <c r="R2" s="81"/>
      <c r="S2" s="81"/>
    </row>
    <row r="3" spans="1:19">
      <c r="A3" t="s">
        <v>19</v>
      </c>
      <c r="B3" t="s">
        <v>247</v>
      </c>
      <c r="C3" s="70">
        <v>100.6</v>
      </c>
      <c r="D3" s="70">
        <v>2.4</v>
      </c>
      <c r="E3" s="70">
        <v>35.799999999999997</v>
      </c>
      <c r="F3" s="70">
        <v>21.5</v>
      </c>
      <c r="G3" s="70">
        <v>224.4</v>
      </c>
      <c r="H3" s="70">
        <v>74.5</v>
      </c>
      <c r="I3" s="70">
        <v>298.5</v>
      </c>
      <c r="J3" s="70">
        <v>148.30000000000001</v>
      </c>
      <c r="K3" s="70">
        <v>102.8</v>
      </c>
      <c r="L3" s="70">
        <v>108.7</v>
      </c>
      <c r="M3" s="70">
        <v>10.199999999999999</v>
      </c>
      <c r="N3" s="70">
        <v>53.5</v>
      </c>
      <c r="O3" s="70">
        <v>1206.5</v>
      </c>
      <c r="P3" s="70">
        <v>706.3</v>
      </c>
      <c r="Q3" s="70">
        <f>SUM(C3:P3)</f>
        <v>3094</v>
      </c>
      <c r="S3" s="226">
        <f>+P3+O3+H3+E3+D3</f>
        <v>2025.5</v>
      </c>
    </row>
    <row r="4" spans="1:19">
      <c r="A4" t="s">
        <v>248</v>
      </c>
      <c r="B4" t="s">
        <v>247</v>
      </c>
      <c r="C4" s="70">
        <v>10</v>
      </c>
      <c r="D4" s="70">
        <v>1.4</v>
      </c>
      <c r="E4" s="70">
        <v>25.7</v>
      </c>
      <c r="F4" s="70">
        <v>1.4</v>
      </c>
      <c r="G4" s="70">
        <v>0.4</v>
      </c>
      <c r="H4" s="70">
        <v>41.1</v>
      </c>
      <c r="I4" s="70">
        <v>50.3</v>
      </c>
      <c r="J4" s="70">
        <v>20.5</v>
      </c>
      <c r="K4" s="70">
        <v>34.6</v>
      </c>
      <c r="L4" s="70">
        <v>24.9</v>
      </c>
      <c r="M4" s="70"/>
      <c r="N4" s="70">
        <v>0.4</v>
      </c>
      <c r="O4" s="70">
        <v>193.5</v>
      </c>
      <c r="P4" s="70">
        <v>9.5</v>
      </c>
      <c r="Q4" s="70">
        <f>SUM(C4:P4)</f>
        <v>413.70000000000005</v>
      </c>
      <c r="S4" s="226">
        <f>+P4+O4+H4+E4+D4</f>
        <v>271.2</v>
      </c>
    </row>
    <row r="5" spans="1:19">
      <c r="C5" s="70"/>
      <c r="D5" s="70"/>
      <c r="E5" s="70"/>
      <c r="F5" s="70"/>
      <c r="G5" s="70"/>
      <c r="H5" s="70"/>
      <c r="I5" s="70"/>
      <c r="J5" s="70"/>
      <c r="K5" s="70"/>
      <c r="L5" s="70"/>
      <c r="M5" s="70"/>
      <c r="N5" s="70"/>
      <c r="O5" s="70"/>
      <c r="P5" s="70"/>
      <c r="Q5" s="70"/>
    </row>
    <row r="6" spans="1:19" ht="15">
      <c r="A6" s="81" t="s">
        <v>249</v>
      </c>
    </row>
    <row r="7" spans="1:19">
      <c r="A7" t="s">
        <v>19</v>
      </c>
      <c r="B7" t="s">
        <v>247</v>
      </c>
      <c r="C7" s="70">
        <v>100.3</v>
      </c>
      <c r="D7" s="70">
        <v>2.1</v>
      </c>
      <c r="E7" s="70">
        <v>32.200000000000003</v>
      </c>
      <c r="F7" s="70">
        <v>22</v>
      </c>
      <c r="G7" s="70">
        <v>198.1</v>
      </c>
      <c r="H7" s="70">
        <v>69.7</v>
      </c>
      <c r="I7" s="70">
        <v>298.39999999999998</v>
      </c>
      <c r="J7" s="70">
        <v>145</v>
      </c>
      <c r="K7" s="70">
        <v>85.6</v>
      </c>
      <c r="L7" s="70">
        <v>86.5</v>
      </c>
      <c r="M7" s="70">
        <v>10.199999999999999</v>
      </c>
      <c r="N7" s="70">
        <v>33.6</v>
      </c>
      <c r="O7" s="70">
        <v>1143.0999999999999</v>
      </c>
      <c r="P7" s="70">
        <v>677.5</v>
      </c>
      <c r="Q7" s="70">
        <f>SUM(C7:P7)</f>
        <v>2904.3</v>
      </c>
      <c r="R7" s="70"/>
      <c r="S7" s="70">
        <f>+P7+O7+H7+E7+D7</f>
        <v>1924.6</v>
      </c>
    </row>
    <row r="8" spans="1:19">
      <c r="A8" t="s">
        <v>248</v>
      </c>
      <c r="B8" t="s">
        <v>247</v>
      </c>
      <c r="C8" s="70">
        <v>10.1</v>
      </c>
      <c r="D8" s="70">
        <v>1.4</v>
      </c>
      <c r="E8" s="70">
        <v>22.5</v>
      </c>
      <c r="F8" s="70">
        <v>1.4</v>
      </c>
      <c r="G8" s="70">
        <v>0.3</v>
      </c>
      <c r="H8" s="70">
        <v>34.700000000000003</v>
      </c>
      <c r="I8" s="70">
        <v>47.1</v>
      </c>
      <c r="J8" s="70">
        <v>20.7</v>
      </c>
      <c r="K8" s="70">
        <v>32.9</v>
      </c>
      <c r="L8" s="70">
        <v>25.5</v>
      </c>
      <c r="M8" s="70"/>
      <c r="N8" s="70">
        <v>0.3</v>
      </c>
      <c r="O8" s="70">
        <v>158.80000000000001</v>
      </c>
      <c r="P8" s="70">
        <v>7.8</v>
      </c>
      <c r="Q8" s="70">
        <f>SUM(C8:P8)</f>
        <v>363.50000000000006</v>
      </c>
      <c r="R8" s="70"/>
      <c r="S8" s="70">
        <f>+P8+O8+H8+E8+D8</f>
        <v>225.20000000000002</v>
      </c>
    </row>
    <row r="10" spans="1:19" ht="15">
      <c r="A10" s="81" t="s">
        <v>262</v>
      </c>
    </row>
    <row r="11" spans="1:19">
      <c r="A11" t="s">
        <v>19</v>
      </c>
      <c r="B11" t="s">
        <v>247</v>
      </c>
      <c r="C11">
        <v>124.57</v>
      </c>
      <c r="D11" s="70">
        <v>2.8</v>
      </c>
      <c r="E11" s="70">
        <f>36.6+0.56</f>
        <v>37.160000000000004</v>
      </c>
      <c r="F11">
        <v>23.26</v>
      </c>
      <c r="G11">
        <f>22.48+195.51</f>
        <v>217.98999999999998</v>
      </c>
      <c r="H11">
        <f>102.86+0.01</f>
        <v>102.87</v>
      </c>
      <c r="I11">
        <v>328.02</v>
      </c>
      <c r="J11">
        <v>163.26</v>
      </c>
      <c r="K11">
        <v>94.39</v>
      </c>
      <c r="L11">
        <v>115.46</v>
      </c>
      <c r="M11">
        <v>16.91</v>
      </c>
      <c r="N11">
        <v>37.28</v>
      </c>
      <c r="O11" s="439">
        <v>1260.78</v>
      </c>
      <c r="P11">
        <v>725.64</v>
      </c>
      <c r="Q11" s="70">
        <f>SUM(C11:P11)</f>
        <v>3250.39</v>
      </c>
      <c r="S11" s="70">
        <f>+P11+O11+H11+E11+D11</f>
        <v>2129.25</v>
      </c>
    </row>
    <row r="12" spans="1:19">
      <c r="A12" t="s">
        <v>248</v>
      </c>
      <c r="B12" t="s">
        <v>247</v>
      </c>
      <c r="C12">
        <v>11.42</v>
      </c>
      <c r="D12" s="70">
        <v>1.7</v>
      </c>
      <c r="E12" s="70">
        <f>26.15+0.1</f>
        <v>26.25</v>
      </c>
      <c r="F12">
        <v>0.25</v>
      </c>
      <c r="G12">
        <v>0.31</v>
      </c>
      <c r="H12">
        <v>42.15</v>
      </c>
      <c r="I12">
        <v>54.22</v>
      </c>
      <c r="J12">
        <v>22.97</v>
      </c>
      <c r="K12">
        <v>40.43</v>
      </c>
      <c r="L12">
        <v>27.25</v>
      </c>
      <c r="N12">
        <v>0.7</v>
      </c>
      <c r="O12">
        <v>189.19</v>
      </c>
      <c r="P12">
        <v>8.9499999999999993</v>
      </c>
      <c r="Q12" s="70">
        <f>SUM(C12:P12)</f>
        <v>425.79</v>
      </c>
      <c r="S12" s="70">
        <f>+P12+O12+H12+E12+D12</f>
        <v>268.23999999999995</v>
      </c>
    </row>
    <row r="14" spans="1:19" ht="15">
      <c r="A14" s="81" t="s">
        <v>266</v>
      </c>
    </row>
    <row r="15" spans="1:19">
      <c r="A15" t="s">
        <v>19</v>
      </c>
      <c r="B15" t="s">
        <v>247</v>
      </c>
      <c r="C15" s="70">
        <v>88.4</v>
      </c>
      <c r="D15" s="70">
        <v>2.1</v>
      </c>
      <c r="E15" s="70">
        <v>35.9</v>
      </c>
      <c r="F15" s="70">
        <v>44.6</v>
      </c>
      <c r="G15" s="70">
        <v>220.7</v>
      </c>
      <c r="H15" s="70">
        <v>51.5</v>
      </c>
      <c r="I15" s="70">
        <v>371.9</v>
      </c>
      <c r="J15" s="70">
        <v>153</v>
      </c>
      <c r="K15" s="70">
        <v>87.7</v>
      </c>
      <c r="L15" s="70">
        <v>98.7</v>
      </c>
      <c r="M15" s="70">
        <v>7.3</v>
      </c>
      <c r="N15" s="70">
        <v>35.4</v>
      </c>
      <c r="O15" s="70">
        <v>1352.6</v>
      </c>
      <c r="P15" s="70">
        <v>805.2</v>
      </c>
      <c r="Q15" s="70">
        <f>SUM(C15:P15)</f>
        <v>3355</v>
      </c>
      <c r="S15" s="70">
        <f>+P15+O15+H15+E15+D15</f>
        <v>2247.3000000000002</v>
      </c>
    </row>
    <row r="16" spans="1:19">
      <c r="A16" t="s">
        <v>248</v>
      </c>
      <c r="B16" t="s">
        <v>247</v>
      </c>
      <c r="C16" s="70">
        <v>12.1</v>
      </c>
      <c r="D16" s="70">
        <v>1.4</v>
      </c>
      <c r="E16" s="70">
        <v>23.2</v>
      </c>
      <c r="F16" s="70">
        <v>1.6</v>
      </c>
      <c r="G16" s="70">
        <v>0.4</v>
      </c>
      <c r="H16" s="70">
        <v>43.2</v>
      </c>
      <c r="I16" s="70">
        <v>57.7</v>
      </c>
      <c r="J16" s="70">
        <v>24.9</v>
      </c>
      <c r="K16" s="70">
        <v>39.299999999999997</v>
      </c>
      <c r="L16" s="70">
        <v>26.8</v>
      </c>
      <c r="M16" s="70"/>
      <c r="N16" s="70">
        <v>0.5</v>
      </c>
      <c r="O16" s="70">
        <v>188.4</v>
      </c>
      <c r="P16" s="70">
        <v>10</v>
      </c>
      <c r="Q16" s="70">
        <f>SUM(C16:P16)</f>
        <v>429.5</v>
      </c>
      <c r="S16" s="70">
        <f>+P16+O16+H16+E16+D16</f>
        <v>266.2</v>
      </c>
    </row>
    <row r="18" spans="1:19" ht="15">
      <c r="A18" s="81" t="s">
        <v>267</v>
      </c>
    </row>
    <row r="19" spans="1:19">
      <c r="A19" s="70" t="s">
        <v>19</v>
      </c>
      <c r="B19" s="70" t="s">
        <v>247</v>
      </c>
      <c r="C19" s="70">
        <v>90.4</v>
      </c>
      <c r="D19" s="70">
        <v>2.5</v>
      </c>
      <c r="E19" s="70">
        <v>32.9</v>
      </c>
      <c r="F19" s="70">
        <v>23.4</v>
      </c>
      <c r="G19" s="70">
        <v>199.2</v>
      </c>
      <c r="H19" s="70">
        <v>70.3</v>
      </c>
      <c r="I19" s="70">
        <v>286.10000000000002</v>
      </c>
      <c r="J19" s="70">
        <v>138</v>
      </c>
      <c r="K19" s="70">
        <v>86.6</v>
      </c>
      <c r="L19" s="70">
        <v>99.2</v>
      </c>
      <c r="M19" s="70">
        <v>10.8</v>
      </c>
      <c r="N19" s="70">
        <v>35.200000000000003</v>
      </c>
      <c r="O19" s="70">
        <v>1135</v>
      </c>
      <c r="P19" s="70">
        <v>666.4</v>
      </c>
      <c r="Q19" s="70">
        <f>SUM(C19:P19)</f>
        <v>2876</v>
      </c>
      <c r="S19" s="70">
        <f>+P19+O19+H19+E19+D19</f>
        <v>1907.1000000000001</v>
      </c>
    </row>
    <row r="20" spans="1:19">
      <c r="A20" s="70" t="s">
        <v>248</v>
      </c>
      <c r="B20" s="70" t="s">
        <v>247</v>
      </c>
      <c r="C20" s="70">
        <v>10.9</v>
      </c>
      <c r="D20" s="70">
        <v>1.5</v>
      </c>
      <c r="E20" s="70">
        <v>21.1</v>
      </c>
      <c r="F20" s="70">
        <v>1.4</v>
      </c>
      <c r="G20" s="70">
        <v>0.3</v>
      </c>
      <c r="H20" s="70">
        <v>36.700000000000003</v>
      </c>
      <c r="I20" s="70">
        <v>47.7</v>
      </c>
      <c r="J20" s="70">
        <v>22.4</v>
      </c>
      <c r="K20" s="70">
        <v>32.700000000000003</v>
      </c>
      <c r="L20" s="70">
        <v>23.2</v>
      </c>
      <c r="M20" s="70"/>
      <c r="N20" s="70">
        <v>0.4</v>
      </c>
      <c r="O20" s="70">
        <v>172.7</v>
      </c>
      <c r="P20" s="70">
        <v>7.7</v>
      </c>
      <c r="Q20" s="70">
        <f>SUM(C20:P20)</f>
        <v>378.7</v>
      </c>
      <c r="S20" s="70">
        <f>+P20+O20+H20+E20+D20</f>
        <v>239.69999999999996</v>
      </c>
    </row>
    <row r="22" spans="1:19" ht="15">
      <c r="A22" s="81" t="s">
        <v>268</v>
      </c>
    </row>
    <row r="23" spans="1:19">
      <c r="A23" s="70" t="s">
        <v>19</v>
      </c>
      <c r="B23" s="70" t="s">
        <v>247</v>
      </c>
      <c r="C23" s="70">
        <v>88.58</v>
      </c>
      <c r="D23" s="70">
        <v>2.2999999999999998</v>
      </c>
      <c r="E23" s="70">
        <f>0.67+33.61</f>
        <v>34.28</v>
      </c>
      <c r="F23" s="70">
        <v>23</v>
      </c>
      <c r="G23" s="70">
        <v>174.63</v>
      </c>
      <c r="H23" s="70">
        <f>0.07+72.3</f>
        <v>72.36999999999999</v>
      </c>
      <c r="I23" s="70">
        <v>301.89999999999998</v>
      </c>
      <c r="J23" s="70">
        <v>147.94999999999999</v>
      </c>
      <c r="K23" s="70">
        <v>73.91</v>
      </c>
      <c r="L23" s="70">
        <v>100.8</v>
      </c>
      <c r="M23" s="70">
        <v>10.08</v>
      </c>
      <c r="N23" s="70">
        <v>34.97</v>
      </c>
      <c r="O23" s="70">
        <v>1161.8399999999999</v>
      </c>
      <c r="P23" s="70">
        <v>736.7</v>
      </c>
      <c r="Q23" s="70">
        <f>SUM(C23:P23)</f>
        <v>2963.3099999999995</v>
      </c>
      <c r="S23" s="70">
        <f>+P23+O23+H23+E23+D23</f>
        <v>2007.4899999999998</v>
      </c>
    </row>
    <row r="24" spans="1:19">
      <c r="A24" s="70" t="s">
        <v>248</v>
      </c>
      <c r="B24" s="70" t="s">
        <v>247</v>
      </c>
      <c r="C24" s="70">
        <v>10.9</v>
      </c>
      <c r="D24" s="70">
        <v>1.88</v>
      </c>
      <c r="E24" s="70">
        <f>0.11+23.65</f>
        <v>23.759999999999998</v>
      </c>
      <c r="F24" s="70">
        <v>0.24</v>
      </c>
      <c r="G24" s="70">
        <v>0.3</v>
      </c>
      <c r="H24" s="70">
        <v>35.65</v>
      </c>
      <c r="I24" s="70">
        <v>50.64</v>
      </c>
      <c r="J24" s="70">
        <v>21.43</v>
      </c>
      <c r="K24" s="70">
        <v>33.03</v>
      </c>
      <c r="L24" s="70">
        <v>25.07</v>
      </c>
      <c r="M24" s="70"/>
      <c r="N24" s="70">
        <v>0.54</v>
      </c>
      <c r="O24" s="70">
        <v>174.49</v>
      </c>
      <c r="P24" s="70">
        <v>8.61</v>
      </c>
      <c r="Q24" s="70">
        <f>SUM(C24:P24)</f>
        <v>386.53999999999996</v>
      </c>
      <c r="S24" s="70">
        <f>+P24+O24+H24+E24+D24</f>
        <v>244.39000000000001</v>
      </c>
    </row>
    <row r="26" spans="1:19" ht="15">
      <c r="A26" s="81" t="s">
        <v>269</v>
      </c>
    </row>
    <row r="27" spans="1:19">
      <c r="A27" s="70" t="s">
        <v>19</v>
      </c>
      <c r="B27" s="70" t="s">
        <v>247</v>
      </c>
      <c r="C27" s="70">
        <v>109.94</v>
      </c>
      <c r="D27">
        <v>2.84</v>
      </c>
      <c r="E27">
        <f>37.8+0.7</f>
        <v>38.5</v>
      </c>
      <c r="F27" s="70">
        <v>25.05</v>
      </c>
      <c r="G27">
        <f>20.47+239.95</f>
        <v>260.41999999999996</v>
      </c>
      <c r="H27">
        <f>75.15+0.05</f>
        <v>75.2</v>
      </c>
      <c r="I27">
        <v>336.77</v>
      </c>
      <c r="J27">
        <v>159.55000000000001</v>
      </c>
      <c r="K27">
        <v>112.76</v>
      </c>
      <c r="L27">
        <v>109.63</v>
      </c>
      <c r="M27" s="70">
        <v>10.85</v>
      </c>
      <c r="N27" s="70">
        <v>36.770000000000003</v>
      </c>
      <c r="O27" s="439">
        <f>1211.45+55.35</f>
        <v>1266.8</v>
      </c>
      <c r="P27" s="70">
        <v>782.48</v>
      </c>
      <c r="Q27" s="70">
        <f>SUM(C27:P27)</f>
        <v>3327.56</v>
      </c>
      <c r="S27" s="70">
        <f>+P27+O27+H27+E27+D27</f>
        <v>2165.8199999999997</v>
      </c>
    </row>
    <row r="28" spans="1:19">
      <c r="A28" s="70" t="s">
        <v>248</v>
      </c>
      <c r="B28" s="70" t="s">
        <v>247</v>
      </c>
      <c r="C28" s="70">
        <v>10.67</v>
      </c>
      <c r="D28">
        <v>1.55</v>
      </c>
      <c r="E28">
        <f>22.34+0.1</f>
        <v>22.44</v>
      </c>
      <c r="F28" s="70">
        <v>0.2</v>
      </c>
      <c r="G28" s="70">
        <v>0.65</v>
      </c>
      <c r="H28">
        <v>39.979999999999997</v>
      </c>
      <c r="I28">
        <v>54.5</v>
      </c>
      <c r="J28">
        <v>22.01</v>
      </c>
      <c r="K28">
        <v>35.840000000000003</v>
      </c>
      <c r="L28">
        <v>23.65</v>
      </c>
      <c r="M28" s="70"/>
      <c r="N28" s="70">
        <v>0.44</v>
      </c>
      <c r="O28">
        <f>177.73+0.04</f>
        <v>177.76999999999998</v>
      </c>
      <c r="P28" s="70">
        <v>8.75</v>
      </c>
      <c r="Q28" s="70">
        <f>SUM(C28:P28)</f>
        <v>398.45</v>
      </c>
      <c r="S28" s="70">
        <f>+P28+O28+H28+E28+D28</f>
        <v>250.48999999999998</v>
      </c>
    </row>
    <row r="30" spans="1:19" ht="15">
      <c r="A30" s="81" t="s">
        <v>61</v>
      </c>
    </row>
    <row r="31" spans="1:19">
      <c r="A31" s="70" t="s">
        <v>19</v>
      </c>
      <c r="B31" s="70" t="s">
        <v>247</v>
      </c>
      <c r="C31" s="70">
        <v>113.05</v>
      </c>
      <c r="D31">
        <v>2.4900000000000002</v>
      </c>
      <c r="E31">
        <f>33.75+0.66</f>
        <v>34.409999999999997</v>
      </c>
      <c r="F31" s="70">
        <v>23.92</v>
      </c>
      <c r="G31" s="70">
        <v>197.3</v>
      </c>
      <c r="H31">
        <f>75.04+0.05</f>
        <v>75.09</v>
      </c>
      <c r="I31">
        <v>327.95</v>
      </c>
      <c r="J31">
        <v>154.16999999999999</v>
      </c>
      <c r="K31">
        <v>89.7</v>
      </c>
      <c r="L31">
        <v>104.06</v>
      </c>
      <c r="M31" s="70">
        <v>11.18</v>
      </c>
      <c r="N31" s="70">
        <v>36.71</v>
      </c>
      <c r="O31" s="439">
        <f>1243.48+38.66+2.49</f>
        <v>1284.6300000000001</v>
      </c>
      <c r="P31" s="70">
        <v>748.26</v>
      </c>
      <c r="Q31" s="70">
        <f>SUM(C31:P31)</f>
        <v>3202.92</v>
      </c>
      <c r="S31" s="70">
        <f>+P31+O31+H31+E31+D31</f>
        <v>2144.8799999999997</v>
      </c>
    </row>
    <row r="32" spans="1:19">
      <c r="A32" s="70" t="s">
        <v>248</v>
      </c>
      <c r="B32" s="70" t="s">
        <v>247</v>
      </c>
      <c r="C32" s="70">
        <v>10.94</v>
      </c>
      <c r="D32">
        <v>1.57</v>
      </c>
      <c r="E32">
        <f>21.77+0.11</f>
        <v>21.88</v>
      </c>
      <c r="F32" s="70">
        <v>0.2</v>
      </c>
      <c r="G32" s="70">
        <v>0.48</v>
      </c>
      <c r="H32">
        <v>37.44</v>
      </c>
      <c r="I32">
        <v>51.44</v>
      </c>
      <c r="J32">
        <v>21.53</v>
      </c>
      <c r="K32">
        <v>33.46</v>
      </c>
      <c r="L32">
        <v>25.17</v>
      </c>
      <c r="M32" s="70"/>
      <c r="N32" s="70">
        <v>0.46</v>
      </c>
      <c r="O32">
        <f>176.68+0.04+1.57</f>
        <v>178.29</v>
      </c>
      <c r="P32" s="70">
        <v>8.92</v>
      </c>
      <c r="Q32" s="70">
        <f>SUM(C32:P32)</f>
        <v>391.78000000000003</v>
      </c>
      <c r="S32" s="70">
        <f>+P32+O32+H32+E32+D32</f>
        <v>248.09999999999997</v>
      </c>
    </row>
    <row r="33" spans="1:19">
      <c r="C33" s="11"/>
    </row>
    <row r="34" spans="1:19" ht="15">
      <c r="A34" s="81" t="s">
        <v>277</v>
      </c>
    </row>
    <row r="35" spans="1:19">
      <c r="A35" s="70" t="s">
        <v>19</v>
      </c>
      <c r="B35" s="70" t="s">
        <v>247</v>
      </c>
      <c r="C35" s="70">
        <v>115.51</v>
      </c>
      <c r="D35">
        <v>2.77</v>
      </c>
      <c r="E35">
        <f>0.68+35.02</f>
        <v>35.700000000000003</v>
      </c>
      <c r="F35" s="70">
        <v>26.07</v>
      </c>
      <c r="G35" s="70">
        <v>196.52</v>
      </c>
      <c r="H35" s="70">
        <f>0.02+102.93</f>
        <v>102.95</v>
      </c>
      <c r="I35" s="70">
        <v>349.43</v>
      </c>
      <c r="J35" s="70">
        <v>157.07</v>
      </c>
      <c r="K35" s="70">
        <v>92.27</v>
      </c>
      <c r="L35" s="70">
        <v>113.5</v>
      </c>
      <c r="M35" s="70">
        <v>17.13</v>
      </c>
      <c r="N35" s="70">
        <v>36.619999999999997</v>
      </c>
      <c r="O35" s="439">
        <f>1266.94+41.05</f>
        <v>1307.99</v>
      </c>
      <c r="P35" s="70">
        <v>832.1</v>
      </c>
      <c r="Q35" s="70">
        <f>SUM(C35:P35)</f>
        <v>3385.6299999999997</v>
      </c>
      <c r="S35" s="70">
        <f>+P35+O35+H35+E35+D35</f>
        <v>2281.5099999999998</v>
      </c>
    </row>
    <row r="36" spans="1:19">
      <c r="A36" s="70" t="s">
        <v>248</v>
      </c>
      <c r="B36" s="70" t="s">
        <v>247</v>
      </c>
      <c r="C36" s="70">
        <v>12.3</v>
      </c>
      <c r="D36">
        <v>2.0099999999999998</v>
      </c>
      <c r="E36">
        <f>0.13+23.36</f>
        <v>23.49</v>
      </c>
      <c r="F36" s="70">
        <v>0.26</v>
      </c>
      <c r="G36" s="70">
        <v>0.48</v>
      </c>
      <c r="H36" s="70">
        <v>39.28</v>
      </c>
      <c r="I36">
        <v>56.02</v>
      </c>
      <c r="J36" s="70">
        <v>23.51</v>
      </c>
      <c r="K36" s="70">
        <v>36.22</v>
      </c>
      <c r="L36" s="70">
        <v>24.77</v>
      </c>
      <c r="M36" s="70"/>
      <c r="N36" s="70">
        <v>0.57999999999999996</v>
      </c>
      <c r="O36" s="70">
        <f>189.33+0.02</f>
        <v>189.35000000000002</v>
      </c>
      <c r="P36" s="70">
        <v>9.43</v>
      </c>
      <c r="Q36" s="70">
        <f>SUM(C36:P36)</f>
        <v>417.70000000000005</v>
      </c>
      <c r="S36" s="70">
        <f>+P36+O36+H36+E36+D36</f>
        <v>263.56</v>
      </c>
    </row>
    <row r="38" spans="1:19" ht="15">
      <c r="A38" s="81" t="s">
        <v>278</v>
      </c>
    </row>
    <row r="39" spans="1:19">
      <c r="A39" s="70" t="s">
        <v>19</v>
      </c>
      <c r="B39" s="70" t="s">
        <v>247</v>
      </c>
      <c r="C39" s="70">
        <v>97.72</v>
      </c>
      <c r="D39" s="70">
        <v>3.1</v>
      </c>
      <c r="E39" s="70">
        <f>33.7+0.76</f>
        <v>34.46</v>
      </c>
      <c r="F39" s="70">
        <v>37.770000000000003</v>
      </c>
      <c r="G39" s="70">
        <f>0.02+212.91</f>
        <v>212.93</v>
      </c>
      <c r="H39" s="70">
        <f>75.09+0.02</f>
        <v>75.11</v>
      </c>
      <c r="I39" s="70">
        <v>343.51</v>
      </c>
      <c r="J39" s="70">
        <v>166.19</v>
      </c>
      <c r="K39" s="70">
        <v>107.99</v>
      </c>
      <c r="L39" s="70">
        <v>102.45</v>
      </c>
      <c r="M39" s="70">
        <v>11.78</v>
      </c>
      <c r="N39" s="70">
        <v>40.130000000000003</v>
      </c>
      <c r="O39" s="70">
        <f>39.13+1370.86</f>
        <v>1409.99</v>
      </c>
      <c r="P39" s="70">
        <v>839.9</v>
      </c>
      <c r="Q39" s="70">
        <f>SUM(C39:P39)</f>
        <v>3483.03</v>
      </c>
      <c r="S39" s="70">
        <f>+P39+O39+H39+E39+D39</f>
        <v>2362.56</v>
      </c>
    </row>
    <row r="40" spans="1:19">
      <c r="A40" s="70" t="s">
        <v>248</v>
      </c>
      <c r="B40" s="70" t="s">
        <v>247</v>
      </c>
      <c r="C40" s="70">
        <v>11.02</v>
      </c>
      <c r="D40" s="70">
        <v>1.52</v>
      </c>
      <c r="E40" s="70">
        <f>20.8+0.02</f>
        <v>20.82</v>
      </c>
      <c r="F40" s="70">
        <v>0.2</v>
      </c>
      <c r="G40" s="70">
        <v>0.47</v>
      </c>
      <c r="H40" s="70">
        <v>39.64</v>
      </c>
      <c r="I40" s="70">
        <v>53.27</v>
      </c>
      <c r="J40" s="70">
        <v>22.44</v>
      </c>
      <c r="K40" s="70">
        <v>37.46</v>
      </c>
      <c r="L40" s="70">
        <v>25.56</v>
      </c>
      <c r="M40" s="70"/>
      <c r="N40" s="70">
        <v>0.47</v>
      </c>
      <c r="O40" s="70">
        <f>0.06+189.44</f>
        <v>189.5</v>
      </c>
      <c r="P40" s="70">
        <v>7.51</v>
      </c>
      <c r="Q40" s="70">
        <f>SUM(C40:P40)</f>
        <v>409.88</v>
      </c>
      <c r="S40" s="70">
        <f>+P40+O40+H40+E40+D40</f>
        <v>258.98999999999995</v>
      </c>
    </row>
    <row r="42" spans="1:19" ht="15">
      <c r="A42" s="81" t="s">
        <v>279</v>
      </c>
    </row>
    <row r="43" spans="1:19">
      <c r="A43" s="70" t="s">
        <v>19</v>
      </c>
      <c r="B43" s="70" t="s">
        <v>247</v>
      </c>
      <c r="C43" s="70">
        <v>94.7</v>
      </c>
      <c r="D43">
        <v>2.52</v>
      </c>
      <c r="E43">
        <f>40.74+0.64</f>
        <v>41.38</v>
      </c>
      <c r="F43" s="70">
        <v>24.86</v>
      </c>
      <c r="G43" s="70">
        <f>0.02+173</f>
        <v>173.02</v>
      </c>
      <c r="H43" s="70">
        <f>74.95+0.03</f>
        <v>74.98</v>
      </c>
      <c r="I43" s="70">
        <v>306.5</v>
      </c>
      <c r="J43" s="70">
        <v>154.08000000000001</v>
      </c>
      <c r="K43" s="70">
        <v>90.01</v>
      </c>
      <c r="L43" s="70">
        <v>119.56</v>
      </c>
      <c r="M43" s="70">
        <v>11.4</v>
      </c>
      <c r="N43" s="70">
        <v>52.3</v>
      </c>
      <c r="O43" s="439">
        <f>1191+38.42</f>
        <v>1229.42</v>
      </c>
      <c r="P43" s="70">
        <v>756.58</v>
      </c>
      <c r="Q43" s="70">
        <f>SUM(C43:P43)</f>
        <v>3131.3100000000004</v>
      </c>
      <c r="S43" s="70">
        <f>+P43+O43+H43+E43+D43</f>
        <v>2104.88</v>
      </c>
    </row>
    <row r="44" spans="1:19">
      <c r="A44" s="70" t="s">
        <v>248</v>
      </c>
      <c r="B44" s="70" t="s">
        <v>247</v>
      </c>
      <c r="C44" s="70">
        <v>10.89</v>
      </c>
      <c r="D44">
        <v>1.57</v>
      </c>
      <c r="E44">
        <f>22.98+0.08</f>
        <v>23.06</v>
      </c>
      <c r="F44" s="70">
        <v>0.19</v>
      </c>
      <c r="G44" s="70">
        <v>0.45</v>
      </c>
      <c r="H44" s="70">
        <v>36.07</v>
      </c>
      <c r="I44" s="70">
        <v>50.27</v>
      </c>
      <c r="J44" s="70">
        <v>22.44</v>
      </c>
      <c r="K44" s="70">
        <v>34.950000000000003</v>
      </c>
      <c r="L44" s="70">
        <v>24.94</v>
      </c>
      <c r="M44" s="70"/>
      <c r="N44" s="70">
        <v>0.48</v>
      </c>
      <c r="O44" s="70">
        <f>191.58+0.02</f>
        <v>191.60000000000002</v>
      </c>
      <c r="P44" s="70">
        <v>7.53</v>
      </c>
      <c r="Q44" s="70">
        <f>SUM(C44:P44)</f>
        <v>404.43999999999994</v>
      </c>
      <c r="S44" s="70">
        <f>+P44+O44+H44+E44+D44</f>
        <v>259.83</v>
      </c>
    </row>
    <row r="46" spans="1:19" ht="15">
      <c r="A46" s="81" t="s">
        <v>280</v>
      </c>
    </row>
    <row r="47" spans="1:19">
      <c r="A47" s="70" t="s">
        <v>19</v>
      </c>
      <c r="B47" s="70" t="s">
        <v>247</v>
      </c>
      <c r="C47" s="70">
        <v>95.57</v>
      </c>
      <c r="D47" s="70">
        <v>3.01</v>
      </c>
      <c r="E47" s="70">
        <f>35.34+0.74</f>
        <v>36.080000000000005</v>
      </c>
      <c r="F47" s="70">
        <v>25.01</v>
      </c>
      <c r="G47" s="70">
        <v>213.8</v>
      </c>
      <c r="H47" s="70">
        <f>87.16+0.03</f>
        <v>87.19</v>
      </c>
      <c r="I47" s="70">
        <v>311.35000000000002</v>
      </c>
      <c r="J47" s="70">
        <v>161.65</v>
      </c>
      <c r="K47" s="70">
        <v>118.61</v>
      </c>
      <c r="L47" s="70">
        <v>110.38</v>
      </c>
      <c r="M47" s="70">
        <v>11.27</v>
      </c>
      <c r="N47" s="70">
        <v>38.57</v>
      </c>
      <c r="O47" s="70">
        <v>1335.97</v>
      </c>
      <c r="P47" s="70">
        <v>813.52</v>
      </c>
      <c r="Q47" s="70">
        <f>SUM(C47:P47)</f>
        <v>3361.98</v>
      </c>
      <c r="S47" s="70">
        <f>+P47+O47+H47+E47+D47</f>
        <v>2275.77</v>
      </c>
    </row>
    <row r="48" spans="1:19">
      <c r="A48" s="70" t="s">
        <v>248</v>
      </c>
      <c r="B48" s="70" t="s">
        <v>247</v>
      </c>
      <c r="C48" s="70">
        <v>10.45</v>
      </c>
      <c r="D48" s="70">
        <v>2.0299999999999998</v>
      </c>
      <c r="E48" s="70">
        <f>25.61+0.18</f>
        <v>25.79</v>
      </c>
      <c r="F48" s="70">
        <v>0.24</v>
      </c>
      <c r="G48" s="70">
        <v>0.65</v>
      </c>
      <c r="H48" s="70">
        <v>38.729999999999997</v>
      </c>
      <c r="I48" s="70">
        <v>53.16</v>
      </c>
      <c r="J48" s="70">
        <v>23.56</v>
      </c>
      <c r="K48" s="70">
        <v>38.97</v>
      </c>
      <c r="L48" s="70">
        <v>26.72</v>
      </c>
      <c r="M48" s="70"/>
      <c r="N48" s="70">
        <v>0.56999999999999995</v>
      </c>
      <c r="O48" s="70">
        <v>199.14</v>
      </c>
      <c r="P48" s="70">
        <v>9.3800000000000008</v>
      </c>
      <c r="Q48" s="70">
        <f>SUM(C48:P48)</f>
        <v>429.39</v>
      </c>
      <c r="S48" s="70">
        <f>+P48+O48+H48+E48+D48</f>
        <v>275.06999999999994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Q229"/>
  <sheetViews>
    <sheetView workbookViewId="0">
      <pane xSplit="2" ySplit="5" topLeftCell="C57" activePane="bottomRight" state="frozen"/>
      <selection pane="topRight" activeCell="C1" sqref="C1"/>
      <selection pane="bottomLeft" activeCell="A4" sqref="A4"/>
      <selection pane="bottomRight" activeCell="H39" sqref="H39"/>
    </sheetView>
  </sheetViews>
  <sheetFormatPr defaultRowHeight="12.75"/>
  <cols>
    <col min="1" max="1" width="5.5703125" style="11" customWidth="1"/>
    <col min="2" max="2" width="11.7109375" style="11" customWidth="1"/>
    <col min="3" max="3" width="16" style="11" customWidth="1"/>
    <col min="4" max="5" width="12.85546875" style="11" bestFit="1" customWidth="1"/>
    <col min="6" max="6" width="10.85546875" style="11" bestFit="1" customWidth="1"/>
    <col min="7" max="7" width="11.28515625" style="11" bestFit="1" customWidth="1"/>
    <col min="8" max="8" width="10.85546875" style="11" bestFit="1" customWidth="1"/>
    <col min="9" max="9" width="10.28515625" style="11" bestFit="1" customWidth="1"/>
    <col min="10" max="10" width="10.85546875" style="11" customWidth="1"/>
    <col min="11" max="11" width="9.28515625" style="11" bestFit="1" customWidth="1"/>
    <col min="12" max="12" width="12.5703125" style="11" customWidth="1"/>
    <col min="13" max="13" width="13.28515625" style="11" bestFit="1" customWidth="1"/>
    <col min="14" max="14" width="9.140625" style="11"/>
    <col min="15" max="15" width="9.28515625" style="11" bestFit="1" customWidth="1"/>
    <col min="16" max="25" width="12.140625" style="11" customWidth="1"/>
    <col min="26" max="28" width="9.140625" style="11"/>
    <col min="29" max="29" width="12.7109375" style="11" bestFit="1" customWidth="1"/>
    <col min="30" max="30" width="11.5703125" style="11" bestFit="1" customWidth="1"/>
    <col min="31" max="32" width="9.28515625" style="11" bestFit="1" customWidth="1"/>
    <col min="33" max="33" width="11.5703125" style="11" bestFit="1" customWidth="1"/>
    <col min="34" max="36" width="9.28515625" style="11" bestFit="1" customWidth="1"/>
    <col min="37" max="37" width="11.140625" style="11" bestFit="1" customWidth="1"/>
    <col min="38" max="38" width="11" style="11" customWidth="1"/>
    <col min="39" max="39" width="10.28515625" style="11" bestFit="1" customWidth="1"/>
    <col min="40" max="41" width="9.140625" style="11"/>
    <col min="42" max="42" width="12.5703125" style="11" bestFit="1" customWidth="1"/>
    <col min="43" max="49" width="9.140625" style="11"/>
    <col min="50" max="50" width="11" style="11" bestFit="1" customWidth="1"/>
    <col min="51" max="51" width="9.140625" style="11"/>
    <col min="52" max="52" width="11.42578125" style="11" customWidth="1"/>
    <col min="53" max="53" width="10.28515625" style="11" bestFit="1" customWidth="1"/>
    <col min="54" max="55" width="9.140625" style="11"/>
    <col min="56" max="56" width="11.28515625" style="11" bestFit="1" customWidth="1"/>
    <col min="57" max="57" width="12.5703125" style="11" bestFit="1" customWidth="1"/>
    <col min="58" max="59" width="11.28515625" style="11" bestFit="1" customWidth="1"/>
    <col min="60" max="60" width="10.28515625" style="11" bestFit="1" customWidth="1"/>
    <col min="61" max="61" width="11.85546875" style="11" bestFit="1" customWidth="1"/>
    <col min="62" max="64" width="10.28515625" style="11" bestFit="1" customWidth="1"/>
    <col min="65" max="65" width="11" style="11" bestFit="1" customWidth="1"/>
    <col min="66" max="70" width="9.140625" style="11"/>
    <col min="71" max="71" width="8.28515625" style="11" bestFit="1" customWidth="1"/>
    <col min="72" max="72" width="12.5703125" style="11" bestFit="1" customWidth="1"/>
    <col min="73" max="73" width="8.7109375" style="11" bestFit="1" customWidth="1"/>
    <col min="74" max="74" width="10.28515625" style="11" bestFit="1" customWidth="1"/>
    <col min="75" max="75" width="8.7109375" style="11" bestFit="1" customWidth="1"/>
    <col min="76" max="76" width="8.28515625" style="11" bestFit="1" customWidth="1"/>
    <col min="77" max="77" width="8.7109375" style="11" bestFit="1" customWidth="1"/>
    <col min="78" max="78" width="10.28515625" style="11" bestFit="1" customWidth="1"/>
    <col min="79" max="79" width="8.7109375" style="11" bestFit="1" customWidth="1"/>
    <col min="80" max="80" width="11" style="11" bestFit="1" customWidth="1"/>
    <col min="81" max="82" width="9.140625" style="11"/>
    <col min="83" max="83" width="5.7109375" style="11" bestFit="1" customWidth="1"/>
    <col min="84" max="84" width="11.85546875" style="11" bestFit="1" customWidth="1"/>
    <col min="85" max="85" width="12.28515625" style="11" bestFit="1" customWidth="1"/>
    <col min="86" max="87" width="11.28515625" style="11" bestFit="1" customWidth="1"/>
    <col min="88" max="88" width="11.85546875" style="11" bestFit="1" customWidth="1"/>
    <col min="89" max="91" width="11.28515625" style="11" bestFit="1" customWidth="1"/>
    <col min="92" max="92" width="10.85546875" style="11" bestFit="1" customWidth="1"/>
    <col min="93" max="93" width="12.28515625" style="11" bestFit="1" customWidth="1"/>
    <col min="94" max="95" width="5.7109375" style="11" bestFit="1" customWidth="1"/>
    <col min="96" max="16384" width="9.140625" style="11"/>
  </cols>
  <sheetData>
    <row r="1" spans="2:95" ht="18">
      <c r="B1" s="508" t="s">
        <v>120</v>
      </c>
      <c r="C1" s="508"/>
      <c r="D1" s="508"/>
      <c r="E1" s="508"/>
      <c r="F1" s="508"/>
      <c r="G1" s="508"/>
      <c r="H1" s="508"/>
      <c r="I1" s="508"/>
      <c r="J1" s="508"/>
      <c r="K1" s="508"/>
      <c r="L1" s="508"/>
      <c r="O1" s="508" t="s">
        <v>121</v>
      </c>
      <c r="P1" s="508"/>
      <c r="Q1" s="508"/>
      <c r="R1" s="508"/>
      <c r="S1" s="508"/>
      <c r="T1" s="508"/>
      <c r="U1" s="508"/>
      <c r="V1" s="508"/>
      <c r="W1" s="508"/>
      <c r="X1" s="508"/>
      <c r="Y1" s="508"/>
    </row>
    <row r="2" spans="2:95" ht="18">
      <c r="AA2" s="509" t="s">
        <v>118</v>
      </c>
      <c r="AB2" s="509"/>
      <c r="AC2" s="509"/>
      <c r="AD2" s="509"/>
      <c r="AE2" s="509"/>
      <c r="AF2" s="509"/>
      <c r="AG2" s="509"/>
      <c r="AH2" s="509"/>
      <c r="AI2" s="509"/>
      <c r="AJ2" s="509"/>
      <c r="AK2" s="509"/>
      <c r="AL2" s="246"/>
      <c r="AN2" s="509" t="s">
        <v>119</v>
      </c>
      <c r="AO2" s="509"/>
      <c r="AP2" s="509"/>
      <c r="AQ2" s="509"/>
      <c r="AR2" s="509"/>
      <c r="AS2" s="509"/>
      <c r="AT2" s="509"/>
      <c r="AU2" s="509"/>
      <c r="AV2" s="509"/>
      <c r="AW2" s="509"/>
      <c r="AX2" s="509"/>
      <c r="BC2" s="509" t="s">
        <v>122</v>
      </c>
      <c r="BD2" s="509"/>
      <c r="BE2" s="509"/>
      <c r="BF2" s="509"/>
      <c r="BG2" s="509"/>
      <c r="BH2" s="509"/>
      <c r="BI2" s="509"/>
      <c r="BJ2" s="509"/>
      <c r="BK2" s="509"/>
      <c r="BL2" s="509"/>
      <c r="BM2" s="509"/>
      <c r="BR2" s="509" t="s">
        <v>123</v>
      </c>
      <c r="BS2" s="509"/>
      <c r="BT2" s="509"/>
      <c r="BU2" s="509"/>
      <c r="BV2" s="509"/>
      <c r="BW2" s="509"/>
      <c r="BX2" s="509"/>
      <c r="BY2" s="509"/>
      <c r="BZ2" s="509"/>
      <c r="CA2" s="509"/>
      <c r="CB2" s="509"/>
    </row>
    <row r="3" spans="2:95">
      <c r="B3" s="108"/>
      <c r="C3" s="510" t="s">
        <v>41</v>
      </c>
      <c r="D3" s="511"/>
      <c r="E3" s="511"/>
      <c r="F3" s="511"/>
      <c r="G3" s="511"/>
      <c r="H3" s="511"/>
      <c r="I3" s="511"/>
      <c r="J3" s="511"/>
      <c r="K3" s="511"/>
      <c r="L3" s="512"/>
      <c r="M3" s="109"/>
      <c r="O3" s="108"/>
      <c r="P3" s="510" t="s">
        <v>41</v>
      </c>
      <c r="Q3" s="511"/>
      <c r="R3" s="511"/>
      <c r="S3" s="511"/>
      <c r="T3" s="511"/>
      <c r="U3" s="511"/>
      <c r="V3" s="511"/>
      <c r="W3" s="511"/>
      <c r="X3" s="511"/>
      <c r="Y3" s="512"/>
      <c r="AA3" s="108"/>
      <c r="AB3" s="510" t="s">
        <v>41</v>
      </c>
      <c r="AC3" s="511"/>
      <c r="AD3" s="511"/>
      <c r="AE3" s="511"/>
      <c r="AF3" s="511"/>
      <c r="AG3" s="511"/>
      <c r="AH3" s="511"/>
      <c r="AI3" s="511"/>
      <c r="AJ3" s="511"/>
      <c r="AK3" s="512"/>
      <c r="AL3" s="238"/>
      <c r="AN3" s="108"/>
      <c r="AO3" s="510" t="s">
        <v>41</v>
      </c>
      <c r="AP3" s="511"/>
      <c r="AQ3" s="511"/>
      <c r="AR3" s="511"/>
      <c r="AS3" s="511"/>
      <c r="AT3" s="511"/>
      <c r="AU3" s="511"/>
      <c r="AV3" s="511"/>
      <c r="AW3" s="511"/>
      <c r="AX3" s="512"/>
      <c r="BC3" s="108"/>
      <c r="BD3" s="510" t="s">
        <v>41</v>
      </c>
      <c r="BE3" s="511"/>
      <c r="BF3" s="511"/>
      <c r="BG3" s="511"/>
      <c r="BH3" s="511"/>
      <c r="BI3" s="511"/>
      <c r="BJ3" s="511"/>
      <c r="BK3" s="511"/>
      <c r="BL3" s="511"/>
      <c r="BM3" s="512"/>
      <c r="BR3" s="108"/>
      <c r="BS3" s="510" t="s">
        <v>41</v>
      </c>
      <c r="BT3" s="511"/>
      <c r="BU3" s="511"/>
      <c r="BV3" s="511"/>
      <c r="BW3" s="511"/>
      <c r="BX3" s="511"/>
      <c r="BY3" s="511"/>
      <c r="BZ3" s="511"/>
      <c r="CA3" s="511"/>
      <c r="CB3" s="512"/>
    </row>
    <row r="4" spans="2:95">
      <c r="B4" s="71"/>
      <c r="C4" s="72"/>
      <c r="D4" s="110"/>
      <c r="E4" s="110"/>
      <c r="F4" s="73"/>
      <c r="G4" s="110"/>
      <c r="H4" s="110"/>
      <c r="I4" s="110"/>
      <c r="J4" s="73" t="s">
        <v>42</v>
      </c>
      <c r="K4" s="73" t="s">
        <v>43</v>
      </c>
      <c r="L4" s="73" t="s">
        <v>44</v>
      </c>
      <c r="M4" s="109"/>
      <c r="O4" s="71"/>
      <c r="P4" s="72"/>
      <c r="Q4" s="110"/>
      <c r="R4" s="110"/>
      <c r="S4" s="73"/>
      <c r="T4" s="110"/>
      <c r="U4" s="110"/>
      <c r="V4" s="110"/>
      <c r="W4" s="73" t="s">
        <v>42</v>
      </c>
      <c r="X4" s="73" t="s">
        <v>43</v>
      </c>
      <c r="Y4" s="73" t="s">
        <v>44</v>
      </c>
      <c r="AA4" s="71"/>
      <c r="AB4" s="72"/>
      <c r="AC4" s="110"/>
      <c r="AD4" s="110"/>
      <c r="AE4" s="73"/>
      <c r="AF4" s="110"/>
      <c r="AG4" s="110"/>
      <c r="AH4" s="110"/>
      <c r="AI4" s="73" t="s">
        <v>42</v>
      </c>
      <c r="AJ4" s="73" t="s">
        <v>43</v>
      </c>
      <c r="AK4" s="73" t="s">
        <v>44</v>
      </c>
      <c r="AL4" s="238"/>
      <c r="AN4" s="71"/>
      <c r="AO4" s="72"/>
      <c r="AP4" s="110"/>
      <c r="AQ4" s="110"/>
      <c r="AR4" s="73"/>
      <c r="AS4" s="110"/>
      <c r="AT4" s="110"/>
      <c r="AU4" s="110"/>
      <c r="AV4" s="73" t="s">
        <v>42</v>
      </c>
      <c r="AW4" s="73" t="s">
        <v>43</v>
      </c>
      <c r="AX4" s="73" t="s">
        <v>44</v>
      </c>
      <c r="BA4" s="238" t="s">
        <v>77</v>
      </c>
      <c r="BC4" s="71"/>
      <c r="BD4" s="72"/>
      <c r="BE4" s="110"/>
      <c r="BF4" s="110"/>
      <c r="BG4" s="73"/>
      <c r="BH4" s="110"/>
      <c r="BI4" s="110"/>
      <c r="BJ4" s="110"/>
      <c r="BK4" s="73" t="s">
        <v>42</v>
      </c>
      <c r="BL4" s="73" t="s">
        <v>43</v>
      </c>
      <c r="BM4" s="73" t="s">
        <v>44</v>
      </c>
      <c r="BR4" s="71"/>
      <c r="BS4" s="72"/>
      <c r="BT4" s="110"/>
      <c r="BU4" s="110"/>
      <c r="BV4" s="73"/>
      <c r="BW4" s="110"/>
      <c r="BX4" s="110"/>
      <c r="BY4" s="110"/>
      <c r="BZ4" s="73" t="s">
        <v>42</v>
      </c>
      <c r="CA4" s="73" t="s">
        <v>43</v>
      </c>
      <c r="CB4" s="73" t="s">
        <v>44</v>
      </c>
    </row>
    <row r="5" spans="2:95">
      <c r="B5" s="71" t="s">
        <v>45</v>
      </c>
      <c r="C5" s="74" t="s">
        <v>46</v>
      </c>
      <c r="D5" s="74" t="s">
        <v>47</v>
      </c>
      <c r="E5" s="74" t="s">
        <v>1</v>
      </c>
      <c r="F5" s="74" t="s">
        <v>48</v>
      </c>
      <c r="G5" s="74" t="s">
        <v>49</v>
      </c>
      <c r="H5" s="74" t="s">
        <v>2</v>
      </c>
      <c r="I5" s="74" t="s">
        <v>8</v>
      </c>
      <c r="J5" s="74" t="s">
        <v>50</v>
      </c>
      <c r="K5" s="74" t="s">
        <v>50</v>
      </c>
      <c r="L5" s="73" t="s">
        <v>51</v>
      </c>
      <c r="M5" s="109"/>
      <c r="O5" s="71" t="s">
        <v>45</v>
      </c>
      <c r="P5" s="74" t="s">
        <v>46</v>
      </c>
      <c r="Q5" s="74" t="s">
        <v>47</v>
      </c>
      <c r="R5" s="74" t="s">
        <v>1</v>
      </c>
      <c r="S5" s="74" t="s">
        <v>48</v>
      </c>
      <c r="T5" s="74" t="s">
        <v>49</v>
      </c>
      <c r="U5" s="74" t="s">
        <v>2</v>
      </c>
      <c r="V5" s="74" t="s">
        <v>8</v>
      </c>
      <c r="W5" s="74" t="s">
        <v>50</v>
      </c>
      <c r="X5" s="74" t="s">
        <v>50</v>
      </c>
      <c r="Y5" s="73" t="s">
        <v>51</v>
      </c>
      <c r="AA5" s="71" t="s">
        <v>45</v>
      </c>
      <c r="AB5" s="74" t="s">
        <v>46</v>
      </c>
      <c r="AC5" s="74" t="s">
        <v>47</v>
      </c>
      <c r="AD5" s="74" t="s">
        <v>1</v>
      </c>
      <c r="AE5" s="74" t="s">
        <v>48</v>
      </c>
      <c r="AF5" s="74" t="s">
        <v>49</v>
      </c>
      <c r="AG5" s="74" t="s">
        <v>2</v>
      </c>
      <c r="AH5" s="74" t="s">
        <v>8</v>
      </c>
      <c r="AI5" s="74" t="s">
        <v>50</v>
      </c>
      <c r="AJ5" s="74" t="s">
        <v>50</v>
      </c>
      <c r="AK5" s="73" t="s">
        <v>51</v>
      </c>
      <c r="AL5" s="238" t="s">
        <v>80</v>
      </c>
      <c r="AN5" s="71" t="s">
        <v>45</v>
      </c>
      <c r="AO5" s="74" t="s">
        <v>46</v>
      </c>
      <c r="AP5" s="74" t="s">
        <v>47</v>
      </c>
      <c r="AQ5" s="74" t="s">
        <v>1</v>
      </c>
      <c r="AR5" s="74" t="s">
        <v>48</v>
      </c>
      <c r="AS5" s="74" t="s">
        <v>49</v>
      </c>
      <c r="AT5" s="74" t="s">
        <v>2</v>
      </c>
      <c r="AU5" s="74" t="s">
        <v>8</v>
      </c>
      <c r="AV5" s="74" t="s">
        <v>50</v>
      </c>
      <c r="AW5" s="74" t="s">
        <v>50</v>
      </c>
      <c r="AX5" s="73" t="s">
        <v>51</v>
      </c>
      <c r="AY5" s="238" t="s">
        <v>80</v>
      </c>
      <c r="BA5" s="238" t="s">
        <v>80</v>
      </c>
      <c r="BC5" s="71" t="s">
        <v>45</v>
      </c>
      <c r="BD5" s="74" t="s">
        <v>46</v>
      </c>
      <c r="BE5" s="74" t="s">
        <v>47</v>
      </c>
      <c r="BF5" s="74" t="s">
        <v>1</v>
      </c>
      <c r="BG5" s="74" t="s">
        <v>48</v>
      </c>
      <c r="BH5" s="74" t="s">
        <v>49</v>
      </c>
      <c r="BI5" s="74" t="s">
        <v>2</v>
      </c>
      <c r="BJ5" s="74" t="s">
        <v>8</v>
      </c>
      <c r="BK5" s="74" t="s">
        <v>50</v>
      </c>
      <c r="BL5" s="74" t="s">
        <v>50</v>
      </c>
      <c r="BM5" s="73" t="s">
        <v>51</v>
      </c>
      <c r="BN5" s="73" t="s">
        <v>80</v>
      </c>
      <c r="BR5" s="71" t="s">
        <v>45</v>
      </c>
      <c r="BS5" s="74" t="s">
        <v>46</v>
      </c>
      <c r="BT5" s="74" t="s">
        <v>47</v>
      </c>
      <c r="BU5" s="74" t="s">
        <v>1</v>
      </c>
      <c r="BV5" s="74" t="s">
        <v>48</v>
      </c>
      <c r="BW5" s="74" t="s">
        <v>49</v>
      </c>
      <c r="BX5" s="74" t="s">
        <v>2</v>
      </c>
      <c r="BY5" s="74" t="s">
        <v>8</v>
      </c>
      <c r="BZ5" s="74" t="s">
        <v>50</v>
      </c>
      <c r="CA5" s="74" t="s">
        <v>50</v>
      </c>
      <c r="CB5" s="73" t="s">
        <v>51</v>
      </c>
    </row>
    <row r="6" spans="2:95">
      <c r="B6" s="111"/>
      <c r="C6" s="75"/>
      <c r="D6" s="111"/>
      <c r="E6" s="111"/>
      <c r="F6" s="111"/>
      <c r="G6" s="111"/>
      <c r="H6" s="111"/>
      <c r="I6" s="111"/>
      <c r="J6" s="111"/>
      <c r="K6" s="111"/>
      <c r="L6" s="111"/>
      <c r="M6" s="109"/>
      <c r="O6" s="111"/>
      <c r="P6" s="75"/>
      <c r="Q6" s="111"/>
      <c r="R6" s="111"/>
      <c r="S6" s="111"/>
      <c r="T6" s="111"/>
      <c r="U6" s="111"/>
      <c r="V6" s="111"/>
      <c r="W6" s="111"/>
      <c r="X6" s="111"/>
      <c r="Y6" s="111"/>
      <c r="AA6" s="108"/>
      <c r="AB6" s="108"/>
      <c r="AC6" s="108"/>
      <c r="AD6" s="108"/>
      <c r="AE6" s="108"/>
      <c r="AF6" s="108"/>
      <c r="AG6" s="108"/>
      <c r="AH6" s="108"/>
      <c r="AI6" s="108"/>
      <c r="AJ6" s="108"/>
      <c r="AK6" s="108"/>
      <c r="AL6" s="141"/>
      <c r="AN6" s="108"/>
      <c r="AO6" s="108"/>
      <c r="AP6" s="108"/>
      <c r="AQ6" s="108"/>
      <c r="AR6" s="108"/>
      <c r="AS6" s="108"/>
      <c r="AT6" s="108"/>
      <c r="AU6" s="108"/>
      <c r="AV6" s="108"/>
      <c r="AW6" s="108"/>
      <c r="AX6" s="108"/>
      <c r="AY6" s="141"/>
      <c r="BC6" s="108"/>
      <c r="BD6" s="108"/>
      <c r="BE6" s="108"/>
      <c r="BF6" s="108"/>
      <c r="BG6" s="108"/>
      <c r="BH6" s="108"/>
      <c r="BI6" s="108"/>
      <c r="BJ6" s="108"/>
      <c r="BK6" s="108"/>
      <c r="BL6" s="108"/>
      <c r="BM6" s="108"/>
      <c r="BN6" s="108"/>
      <c r="BR6" s="108"/>
      <c r="BS6" s="108"/>
      <c r="BT6" s="108"/>
      <c r="BU6" s="108"/>
      <c r="BV6" s="108"/>
      <c r="BW6" s="108"/>
      <c r="BX6" s="108"/>
      <c r="BY6" s="108"/>
      <c r="BZ6" s="108"/>
      <c r="CA6" s="108"/>
      <c r="CB6" s="108"/>
    </row>
    <row r="7" spans="2:95">
      <c r="B7" s="76">
        <v>43739</v>
      </c>
      <c r="C7" s="431">
        <v>0</v>
      </c>
      <c r="D7" s="431">
        <v>-9.07</v>
      </c>
      <c r="E7" s="431">
        <v>51.84</v>
      </c>
      <c r="F7" s="431">
        <v>895.65</v>
      </c>
      <c r="G7" s="431">
        <v>74.38</v>
      </c>
      <c r="H7" s="431">
        <v>-63.5</v>
      </c>
      <c r="I7" s="431">
        <v>83.72</v>
      </c>
      <c r="J7" s="431">
        <v>806.59</v>
      </c>
      <c r="K7" s="431">
        <v>260</v>
      </c>
      <c r="L7" s="431">
        <v>-167.5</v>
      </c>
      <c r="M7" s="109"/>
      <c r="O7" s="76">
        <v>43739</v>
      </c>
      <c r="P7" s="431">
        <v>0</v>
      </c>
      <c r="Q7" s="431">
        <v>5.74</v>
      </c>
      <c r="R7" s="431">
        <v>65.28</v>
      </c>
      <c r="S7" s="431">
        <v>908.42</v>
      </c>
      <c r="T7" s="431">
        <v>87.32</v>
      </c>
      <c r="U7" s="104">
        <v>-63.5</v>
      </c>
      <c r="V7" s="431">
        <v>88.05</v>
      </c>
      <c r="W7" s="431">
        <v>790</v>
      </c>
      <c r="X7" s="431">
        <v>239.85</v>
      </c>
      <c r="Y7" s="431">
        <v>-187.5</v>
      </c>
      <c r="AA7" s="76">
        <v>43739</v>
      </c>
      <c r="AB7" s="235">
        <v>0</v>
      </c>
      <c r="AC7" s="235">
        <v>2379.1927858110125</v>
      </c>
      <c r="AD7" s="235">
        <v>2057.2166006991879</v>
      </c>
      <c r="AE7" s="235">
        <v>60.144038380576617</v>
      </c>
      <c r="AF7" s="235">
        <v>82.358416335135558</v>
      </c>
      <c r="AG7" s="235">
        <v>1750.5816545149539</v>
      </c>
      <c r="AH7" s="235">
        <v>40.456774692149274</v>
      </c>
      <c r="AI7" s="235">
        <v>28.462232981060076</v>
      </c>
      <c r="AJ7" s="235">
        <v>28.857152866493593</v>
      </c>
      <c r="AK7" s="235">
        <v>21.196721539123793</v>
      </c>
      <c r="AL7" s="235">
        <f>SUM(AB7:AK7)</f>
        <v>6448.4663778196928</v>
      </c>
      <c r="AM7" s="132">
        <f>(+C7*AB7+AC7*D7+AD7*E7+AE7*F7+AF7*G7+AG7*H7+AH7*I7+AI7*J7+AJ7*K7+AK7*L7)/AL7</f>
        <v>9.9551615434523946</v>
      </c>
      <c r="AN7" s="76">
        <v>43739</v>
      </c>
      <c r="AO7" s="235">
        <v>0</v>
      </c>
      <c r="AP7" s="235">
        <v>2268.2110745083905</v>
      </c>
      <c r="AQ7" s="235">
        <v>1920.1639444910766</v>
      </c>
      <c r="AR7" s="235">
        <v>71.427647606353602</v>
      </c>
      <c r="AS7" s="235">
        <v>78.753714885836956</v>
      </c>
      <c r="AT7" s="235">
        <v>549.36188759809772</v>
      </c>
      <c r="AU7" s="235">
        <v>154.26591646820307</v>
      </c>
      <c r="AV7" s="235">
        <v>24.66302206990369</v>
      </c>
      <c r="AW7" s="235">
        <v>33.727581672500591</v>
      </c>
      <c r="AX7" s="235">
        <v>27.238316399585617</v>
      </c>
      <c r="AY7" s="235">
        <f>SUM(AO7:AX7)</f>
        <v>5127.8131056999473</v>
      </c>
      <c r="AZ7" s="132">
        <f>(+P7*AO7+AP7*Q7+AQ7*R7+AR7*S7+AS7*T7+AT7*U7+AU7*V7+AV7*W7+AW7*X7+AX7*Y7)/AY7</f>
        <v>41.205813314174165</v>
      </c>
      <c r="BA7" s="235">
        <f>+AY7+AL7</f>
        <v>11576.27948351964</v>
      </c>
      <c r="BC7" s="76">
        <v>43739</v>
      </c>
      <c r="BD7" s="236">
        <f t="shared" ref="BD7:BM7" si="0">+AB7*C7+P7*AO7</f>
        <v>0</v>
      </c>
      <c r="BE7" s="236">
        <f t="shared" si="0"/>
        <v>-8559.7469996277232</v>
      </c>
      <c r="BF7" s="236">
        <f t="shared" si="0"/>
        <v>231994.41087662341</v>
      </c>
      <c r="BG7" s="236">
        <f t="shared" si="0"/>
        <v>118754.31161412719</v>
      </c>
      <c r="BH7" s="236">
        <f t="shared" si="0"/>
        <v>13002.593390838665</v>
      </c>
      <c r="BI7" s="236">
        <f t="shared" si="0"/>
        <v>-146046.4149241788</v>
      </c>
      <c r="BJ7" s="236">
        <f t="shared" si="0"/>
        <v>16970.155122252017</v>
      </c>
      <c r="BK7" s="236">
        <f t="shared" si="0"/>
        <v>42441.139935417159</v>
      </c>
      <c r="BL7" s="236">
        <f t="shared" si="0"/>
        <v>15592.420209437601</v>
      </c>
      <c r="BM7" s="236">
        <f t="shared" si="0"/>
        <v>-8657.6351827255385</v>
      </c>
      <c r="BN7" s="237">
        <f>SUM(BD7:BM7)</f>
        <v>275491.23404216394</v>
      </c>
      <c r="BP7" s="240">
        <f>+BN7/BA7</f>
        <v>23.797907992318432</v>
      </c>
      <c r="BR7" s="76">
        <v>43739</v>
      </c>
      <c r="BS7" s="240" t="e">
        <f>+BD7/(AO7+AB7)</f>
        <v>#DIV/0!</v>
      </c>
      <c r="BT7" s="240">
        <f t="shared" ref="BT7:CB22" si="1">+BE7/(AP7+AC7)</f>
        <v>-1.8418341200584698</v>
      </c>
      <c r="BU7" s="240">
        <f t="shared" si="1"/>
        <v>58.328442109259015</v>
      </c>
      <c r="BV7" s="240">
        <f t="shared" si="1"/>
        <v>902.58257864023835</v>
      </c>
      <c r="BW7" s="240">
        <f t="shared" si="1"/>
        <v>80.705241078370591</v>
      </c>
      <c r="BX7" s="240">
        <f t="shared" si="1"/>
        <v>-63.500000000000007</v>
      </c>
      <c r="BY7" s="240">
        <f t="shared" si="1"/>
        <v>87.150372774363774</v>
      </c>
      <c r="BZ7" s="240">
        <f t="shared" si="1"/>
        <v>798.8882104133487</v>
      </c>
      <c r="CA7" s="240">
        <f t="shared" si="1"/>
        <v>249.14094985451371</v>
      </c>
      <c r="CB7" s="240">
        <f t="shared" si="1"/>
        <v>-178.7473604063461</v>
      </c>
      <c r="CE7" s="442">
        <f>+AO7*P7</f>
        <v>0</v>
      </c>
      <c r="CF7" s="442">
        <f t="shared" ref="CF7:CN7" si="2">+AP7*Q7</f>
        <v>13019.531567678163</v>
      </c>
      <c r="CG7" s="442">
        <f t="shared" si="2"/>
        <v>125348.30229637749</v>
      </c>
      <c r="CH7" s="442">
        <f t="shared" si="2"/>
        <v>64886.303638563739</v>
      </c>
      <c r="CI7" s="442">
        <f t="shared" si="2"/>
        <v>6876.7743838312826</v>
      </c>
      <c r="CJ7" s="442">
        <f t="shared" si="2"/>
        <v>-34884.479862479202</v>
      </c>
      <c r="CK7" s="442">
        <f t="shared" si="2"/>
        <v>13583.113945025279</v>
      </c>
      <c r="CL7" s="442">
        <f t="shared" si="2"/>
        <v>19483.787435223916</v>
      </c>
      <c r="CM7" s="442">
        <f t="shared" si="2"/>
        <v>8089.5604641492664</v>
      </c>
      <c r="CN7" s="442">
        <f t="shared" si="2"/>
        <v>-5107.1843249223029</v>
      </c>
      <c r="CO7" s="442">
        <f>ROUND(SUM(CE7:CN7),0)</f>
        <v>211296</v>
      </c>
      <c r="CP7" s="442"/>
      <c r="CQ7" s="442"/>
    </row>
    <row r="8" spans="2:95">
      <c r="B8" s="76">
        <v>43770</v>
      </c>
      <c r="C8" s="431">
        <v>0</v>
      </c>
      <c r="D8" s="431">
        <v>-12.81</v>
      </c>
      <c r="E8" s="431">
        <v>51.58</v>
      </c>
      <c r="F8" s="431">
        <v>754.07</v>
      </c>
      <c r="G8" s="431">
        <v>81.900000000000006</v>
      </c>
      <c r="H8" s="431">
        <v>-63.5</v>
      </c>
      <c r="I8" s="431">
        <v>80.19</v>
      </c>
      <c r="J8" s="431">
        <v>860</v>
      </c>
      <c r="K8" s="431">
        <v>310</v>
      </c>
      <c r="L8" s="431">
        <v>-167.5</v>
      </c>
      <c r="M8" s="109"/>
      <c r="N8" s="105"/>
      <c r="O8" s="76">
        <v>43770</v>
      </c>
      <c r="P8" s="431">
        <v>0</v>
      </c>
      <c r="Q8" s="431">
        <v>-3.75</v>
      </c>
      <c r="R8" s="431">
        <v>62.34</v>
      </c>
      <c r="S8" s="431">
        <v>850.71</v>
      </c>
      <c r="T8" s="431">
        <v>96.2</v>
      </c>
      <c r="U8" s="104">
        <v>-63.5</v>
      </c>
      <c r="V8" s="431">
        <v>79</v>
      </c>
      <c r="W8" s="431">
        <v>860</v>
      </c>
      <c r="X8" s="431">
        <v>310</v>
      </c>
      <c r="Y8" s="431">
        <v>-187.5</v>
      </c>
      <c r="AA8" s="76">
        <v>43770</v>
      </c>
      <c r="AB8" s="235">
        <v>0</v>
      </c>
      <c r="AC8" s="235">
        <v>2565.5818694978334</v>
      </c>
      <c r="AD8" s="235">
        <v>1852.5743955589733</v>
      </c>
      <c r="AE8" s="235">
        <v>85.632200536100783</v>
      </c>
      <c r="AF8" s="235">
        <v>51.40035881617122</v>
      </c>
      <c r="AG8" s="235">
        <v>1230.2020306775223</v>
      </c>
      <c r="AH8" s="235">
        <v>57.999378186939623</v>
      </c>
      <c r="AI8" s="235">
        <v>19.01889541741016</v>
      </c>
      <c r="AJ8" s="235">
        <v>34.092225140277634</v>
      </c>
      <c r="AK8" s="235">
        <v>20.450273290076346</v>
      </c>
      <c r="AL8" s="235">
        <f t="shared" ref="AL8:AL30" si="3">SUM(AB8:AK8)</f>
        <v>5916.9516271213051</v>
      </c>
      <c r="AM8" s="132">
        <f t="shared" ref="AM8:AM18" si="4">(+C8*AB8+AC8*D8+AD8*E8+AE8*F8+AF8*G8+AG8*H8+AH8*I8+AI8*J8+AJ8*K8+AK8*L8)/AL8</f>
        <v>13.774932063248825</v>
      </c>
      <c r="AN8" s="76">
        <v>43770</v>
      </c>
      <c r="AO8" s="235">
        <v>0</v>
      </c>
      <c r="AP8" s="235">
        <v>2105.0358638425469</v>
      </c>
      <c r="AQ8" s="235">
        <v>1687.7864607480758</v>
      </c>
      <c r="AR8" s="235">
        <v>64.377869042997133</v>
      </c>
      <c r="AS8" s="235">
        <v>71.838857461681414</v>
      </c>
      <c r="AT8" s="235">
        <v>446.85985560375406</v>
      </c>
      <c r="AU8" s="235">
        <v>131.46460296377745</v>
      </c>
      <c r="AV8" s="235">
        <v>21.444032196168745</v>
      </c>
      <c r="AW8" s="235">
        <v>29.799100824585189</v>
      </c>
      <c r="AX8" s="235">
        <v>17.843375901675028</v>
      </c>
      <c r="AY8" s="235">
        <f t="shared" ref="AY8:AY30" si="5">SUM(AO8:AX8)</f>
        <v>4576.4500185852621</v>
      </c>
      <c r="AZ8" s="132">
        <f t="shared" ref="AZ8:AZ18" si="6">(+P8*AO8+AP8*Q8+AQ8*R8+AR8*S8+AS8*T8+AT8*U8+AU8*V8+AV8*W8+AW8*X8+AX8*Y8)/AY8</f>
        <v>36.129440205747848</v>
      </c>
      <c r="BA8" s="235">
        <f t="shared" ref="BA8:BA30" si="7">+AY8+AL8</f>
        <v>10493.401645706566</v>
      </c>
      <c r="BC8" s="76">
        <v>43770</v>
      </c>
      <c r="BD8" s="236">
        <f t="shared" ref="BD8:BD30" si="8">+AB8*C8+P8*AO8</f>
        <v>0</v>
      </c>
      <c r="BE8" s="236">
        <f t="shared" ref="BE8:BE22" si="9">+AC8*D8+Q8*AP8</f>
        <v>-40758.9882376768</v>
      </c>
      <c r="BF8" s="236">
        <f t="shared" ref="BF8:BF22" si="10">+AD8*E8+R8*AQ8</f>
        <v>200772.39528596689</v>
      </c>
      <c r="BG8" s="236">
        <f t="shared" ref="BG8:BG22" si="11">+AE8*F8+S8*AR8</f>
        <v>119339.57043182562</v>
      </c>
      <c r="BH8" s="236">
        <f t="shared" ref="BH8:BH22" si="12">+AF8*G8+T8*AS8</f>
        <v>11120.587474858174</v>
      </c>
      <c r="BI8" s="236">
        <f t="shared" ref="BI8:BI22" si="13">+AG8*H8+U8*AT8</f>
        <v>-106493.42977886106</v>
      </c>
      <c r="BJ8" s="236">
        <f t="shared" ref="BJ8:BJ22" si="14">+AH8*I8+V8*AU8</f>
        <v>15036.673770949106</v>
      </c>
      <c r="BK8" s="236">
        <f t="shared" ref="BK8:BK22" si="15">+AI8*J8+W8*AV8</f>
        <v>34798.117747677861</v>
      </c>
      <c r="BL8" s="236">
        <f t="shared" ref="BL8:BL22" si="16">+AJ8*K8+X8*AW8</f>
        <v>19806.311049107477</v>
      </c>
      <c r="BM8" s="236">
        <f t="shared" ref="BM8:BM22" si="17">+AK8*L8+Y8*AX8</f>
        <v>-6771.0537576518564</v>
      </c>
      <c r="BN8" s="237">
        <f t="shared" ref="BN8:BN30" si="18">SUM(BD8:BM8)</f>
        <v>246850.18398619539</v>
      </c>
      <c r="BP8" s="240">
        <f t="shared" ref="BP8:BP30" si="19">+BN8/BA8</f>
        <v>23.524324363129235</v>
      </c>
      <c r="BR8" s="76">
        <v>43770</v>
      </c>
      <c r="BS8" s="240" t="e">
        <f t="shared" ref="BS8:BS30" si="20">+BD8/(AO8+AB8)</f>
        <v>#DIV/0!</v>
      </c>
      <c r="BT8" s="240">
        <f t="shared" si="1"/>
        <v>-8.7266804017648365</v>
      </c>
      <c r="BU8" s="240">
        <f t="shared" si="1"/>
        <v>56.709585105794154</v>
      </c>
      <c r="BV8" s="240">
        <f t="shared" si="1"/>
        <v>795.54373094200696</v>
      </c>
      <c r="BW8" s="240">
        <f t="shared" si="1"/>
        <v>90.235785415787802</v>
      </c>
      <c r="BX8" s="240">
        <f t="shared" si="1"/>
        <v>-63.5</v>
      </c>
      <c r="BY8" s="240">
        <f t="shared" si="1"/>
        <v>79.36428697224278</v>
      </c>
      <c r="BZ8" s="240">
        <f t="shared" si="1"/>
        <v>860.00000000000011</v>
      </c>
      <c r="CA8" s="240">
        <f t="shared" si="1"/>
        <v>310</v>
      </c>
      <c r="CB8" s="240">
        <f t="shared" si="1"/>
        <v>-176.81923505765997</v>
      </c>
      <c r="CE8" s="442">
        <f t="shared" ref="CE8:CE30" si="21">+AO8*P8</f>
        <v>0</v>
      </c>
      <c r="CF8" s="442">
        <f t="shared" ref="CF8:CF30" si="22">+AP8*Q8</f>
        <v>-7893.884489409551</v>
      </c>
      <c r="CG8" s="442">
        <f t="shared" ref="CG8:CG30" si="23">+AQ8*R8</f>
        <v>105216.60796303506</v>
      </c>
      <c r="CH8" s="442">
        <f t="shared" ref="CH8:CH30" si="24">+AR8*S8</f>
        <v>54766.896973568095</v>
      </c>
      <c r="CI8" s="442">
        <f t="shared" ref="CI8:CI30" si="25">+AS8*T8</f>
        <v>6910.8980878137518</v>
      </c>
      <c r="CJ8" s="442">
        <f t="shared" ref="CJ8:CJ30" si="26">+AT8*U8</f>
        <v>-28375.600830838383</v>
      </c>
      <c r="CK8" s="442">
        <f t="shared" ref="CK8:CK30" si="27">+AU8*V8</f>
        <v>10385.703634138419</v>
      </c>
      <c r="CL8" s="442">
        <f t="shared" ref="CL8:CL30" si="28">+AV8*W8</f>
        <v>18441.867688705122</v>
      </c>
      <c r="CM8" s="442">
        <f t="shared" ref="CM8:CM30" si="29">+AW8*X8</f>
        <v>9237.721255621409</v>
      </c>
      <c r="CN8" s="442">
        <f t="shared" ref="CN8:CN30" si="30">+AX8*Y8</f>
        <v>-3345.6329815640679</v>
      </c>
      <c r="CO8" s="442">
        <f t="shared" ref="CO8:CO30" si="31">ROUND(SUM(CE8:CN8),0)</f>
        <v>165345</v>
      </c>
    </row>
    <row r="9" spans="2:95">
      <c r="B9" s="76">
        <v>43800</v>
      </c>
      <c r="C9" s="431">
        <v>0</v>
      </c>
      <c r="D9" s="431">
        <v>-15.11</v>
      </c>
      <c r="E9" s="431">
        <v>48.09</v>
      </c>
      <c r="F9" s="431">
        <v>875.31</v>
      </c>
      <c r="G9" s="431">
        <v>99.69</v>
      </c>
      <c r="H9" s="431">
        <v>-63.5</v>
      </c>
      <c r="I9" s="431">
        <v>75.239999999999995</v>
      </c>
      <c r="J9" s="431">
        <v>1009.96</v>
      </c>
      <c r="K9" s="431">
        <v>260</v>
      </c>
      <c r="L9" s="431">
        <v>-167.5</v>
      </c>
      <c r="M9" s="109"/>
      <c r="O9" s="76">
        <v>43800</v>
      </c>
      <c r="P9" s="431">
        <v>0</v>
      </c>
      <c r="Q9" s="431">
        <v>2.31</v>
      </c>
      <c r="R9" s="431">
        <v>59.14</v>
      </c>
      <c r="S9" s="431">
        <v>860.47</v>
      </c>
      <c r="T9" s="431">
        <v>109.31</v>
      </c>
      <c r="U9" s="104">
        <v>-63.5</v>
      </c>
      <c r="V9" s="431">
        <v>152.85</v>
      </c>
      <c r="W9" s="431">
        <v>938.43</v>
      </c>
      <c r="X9" s="431">
        <v>260</v>
      </c>
      <c r="Y9" s="431">
        <v>-187.5</v>
      </c>
      <c r="AA9" s="76">
        <v>43800</v>
      </c>
      <c r="AB9" s="235">
        <v>0</v>
      </c>
      <c r="AC9" s="235">
        <v>3250.0548423570476</v>
      </c>
      <c r="AD9" s="235">
        <v>1969.9456958750391</v>
      </c>
      <c r="AE9" s="235">
        <v>52.985604687451819</v>
      </c>
      <c r="AF9" s="235">
        <v>86.222950097151127</v>
      </c>
      <c r="AG9" s="235">
        <v>1632.9760951158146</v>
      </c>
      <c r="AH9" s="235">
        <v>22.41529870124214</v>
      </c>
      <c r="AI9" s="235">
        <v>22.512891724820783</v>
      </c>
      <c r="AJ9" s="235">
        <v>8.3880081604308874</v>
      </c>
      <c r="AK9" s="235">
        <v>19.294114007988167</v>
      </c>
      <c r="AL9" s="235">
        <f t="shared" si="3"/>
        <v>7064.7955007269866</v>
      </c>
      <c r="AM9" s="132">
        <f t="shared" si="4"/>
        <v>2.8705060981437471</v>
      </c>
      <c r="AN9" s="76">
        <v>43800</v>
      </c>
      <c r="AO9" s="235">
        <v>0</v>
      </c>
      <c r="AP9" s="235">
        <v>2433.8707982292444</v>
      </c>
      <c r="AQ9" s="235">
        <v>1786.9120824264703</v>
      </c>
      <c r="AR9" s="235">
        <v>64.679335028258151</v>
      </c>
      <c r="AS9" s="235">
        <v>78.62434182983975</v>
      </c>
      <c r="AT9" s="235">
        <v>570.20025120300033</v>
      </c>
      <c r="AU9" s="235">
        <v>120.42970182110156</v>
      </c>
      <c r="AV9" s="235">
        <v>18.358638830575714</v>
      </c>
      <c r="AW9" s="235">
        <v>27.763216818577451</v>
      </c>
      <c r="AX9" s="235">
        <v>23.095212700378841</v>
      </c>
      <c r="AY9" s="235">
        <f t="shared" si="5"/>
        <v>5123.9335788874459</v>
      </c>
      <c r="AZ9" s="132">
        <f t="shared" si="6"/>
        <v>34.712710260320542</v>
      </c>
      <c r="BA9" s="235">
        <f t="shared" si="7"/>
        <v>12188.729079614433</v>
      </c>
      <c r="BC9" s="76">
        <v>43800</v>
      </c>
      <c r="BD9" s="236">
        <f t="shared" si="8"/>
        <v>0</v>
      </c>
      <c r="BE9" s="236">
        <f t="shared" si="9"/>
        <v>-43486.087124105434</v>
      </c>
      <c r="BF9" s="236">
        <f t="shared" si="10"/>
        <v>200412.66906933207</v>
      </c>
      <c r="BG9" s="236">
        <f t="shared" si="11"/>
        <v>102033.45705073874</v>
      </c>
      <c r="BH9" s="236">
        <f t="shared" si="12"/>
        <v>17189.99270060478</v>
      </c>
      <c r="BI9" s="236">
        <f t="shared" si="13"/>
        <v>-139901.69799124473</v>
      </c>
      <c r="BJ9" s="236">
        <f t="shared" si="14"/>
        <v>20094.206997636829</v>
      </c>
      <c r="BK9" s="236">
        <f t="shared" si="15"/>
        <v>39965.417564177165</v>
      </c>
      <c r="BL9" s="236">
        <f t="shared" si="16"/>
        <v>9399.3184945421672</v>
      </c>
      <c r="BM9" s="236">
        <f t="shared" si="17"/>
        <v>-7562.1164776590513</v>
      </c>
      <c r="BN9" s="237">
        <f t="shared" si="18"/>
        <v>198145.16028402254</v>
      </c>
      <c r="BP9" s="240">
        <f t="shared" si="19"/>
        <v>16.256425012794729</v>
      </c>
      <c r="BR9" s="76">
        <v>43800</v>
      </c>
      <c r="BS9" s="240" t="e">
        <f t="shared" si="20"/>
        <v>#DIV/0!</v>
      </c>
      <c r="BT9" s="240">
        <f t="shared" si="1"/>
        <v>-7.6507135866787799</v>
      </c>
      <c r="BU9" s="240">
        <f t="shared" si="1"/>
        <v>53.345822731660462</v>
      </c>
      <c r="BV9" s="240">
        <f t="shared" si="1"/>
        <v>867.15258850479654</v>
      </c>
      <c r="BW9" s="240">
        <f t="shared" si="1"/>
        <v>104.27828385690465</v>
      </c>
      <c r="BX9" s="240">
        <f t="shared" si="1"/>
        <v>-63.499999999999993</v>
      </c>
      <c r="BY9" s="240">
        <f t="shared" si="1"/>
        <v>140.67140553857683</v>
      </c>
      <c r="BZ9" s="240">
        <f t="shared" si="1"/>
        <v>977.83021631668032</v>
      </c>
      <c r="CA9" s="240">
        <f t="shared" si="1"/>
        <v>259.99999999999994</v>
      </c>
      <c r="CB9" s="240">
        <f t="shared" si="1"/>
        <v>-178.39671126850911</v>
      </c>
      <c r="CE9" s="442">
        <f t="shared" si="21"/>
        <v>0</v>
      </c>
      <c r="CF9" s="442">
        <f t="shared" si="22"/>
        <v>5622.2415439095548</v>
      </c>
      <c r="CG9" s="442">
        <f t="shared" si="23"/>
        <v>105677.98055470145</v>
      </c>
      <c r="CH9" s="442">
        <f t="shared" si="24"/>
        <v>55654.627411765294</v>
      </c>
      <c r="CI9" s="442">
        <f t="shared" si="25"/>
        <v>8594.4268054197837</v>
      </c>
      <c r="CJ9" s="442">
        <f t="shared" si="26"/>
        <v>-36207.715951390521</v>
      </c>
      <c r="CK9" s="442">
        <f t="shared" si="27"/>
        <v>18407.679923355372</v>
      </c>
      <c r="CL9" s="442">
        <f t="shared" si="28"/>
        <v>17228.297437777168</v>
      </c>
      <c r="CM9" s="442">
        <f t="shared" si="29"/>
        <v>7218.4363728301369</v>
      </c>
      <c r="CN9" s="442">
        <f t="shared" si="30"/>
        <v>-4330.3523813210331</v>
      </c>
      <c r="CO9" s="442">
        <f t="shared" si="31"/>
        <v>177866</v>
      </c>
    </row>
    <row r="10" spans="2:95">
      <c r="B10" s="76">
        <v>43831</v>
      </c>
      <c r="C10" s="104">
        <v>0</v>
      </c>
      <c r="D10" s="104">
        <v>-4.72</v>
      </c>
      <c r="E10" s="104">
        <v>53.89</v>
      </c>
      <c r="F10" s="104">
        <v>884.94</v>
      </c>
      <c r="G10" s="104">
        <v>114.96</v>
      </c>
      <c r="H10" s="431">
        <v>-63.5</v>
      </c>
      <c r="I10" s="104">
        <v>140</v>
      </c>
      <c r="J10" s="104">
        <v>1043.83</v>
      </c>
      <c r="K10" s="104">
        <v>260</v>
      </c>
      <c r="L10" s="431">
        <v>-167.5</v>
      </c>
      <c r="M10" s="109"/>
      <c r="O10" s="76">
        <v>43831</v>
      </c>
      <c r="P10" s="104">
        <v>0</v>
      </c>
      <c r="Q10" s="104">
        <v>-0.11</v>
      </c>
      <c r="R10" s="104">
        <v>66.25</v>
      </c>
      <c r="S10" s="104">
        <v>864.23</v>
      </c>
      <c r="T10" s="104">
        <v>126.19</v>
      </c>
      <c r="U10" s="104">
        <v>-63.5</v>
      </c>
      <c r="V10" s="104">
        <v>180</v>
      </c>
      <c r="W10" s="104">
        <v>1030</v>
      </c>
      <c r="X10" s="104">
        <v>260</v>
      </c>
      <c r="Y10" s="431">
        <v>-187.5</v>
      </c>
      <c r="AA10" s="76">
        <v>43831</v>
      </c>
      <c r="AB10" s="235"/>
      <c r="AC10" s="445">
        <v>3279.3</v>
      </c>
      <c r="AD10" s="445">
        <v>1864.32</v>
      </c>
      <c r="AE10" s="445">
        <v>60.98</v>
      </c>
      <c r="AF10" s="445">
        <v>94.07</v>
      </c>
      <c r="AG10" s="445">
        <v>1876.73</v>
      </c>
      <c r="AH10" s="445">
        <v>33.090000000000003</v>
      </c>
      <c r="AI10" s="445">
        <v>43.25</v>
      </c>
      <c r="AJ10" s="445">
        <v>22.53</v>
      </c>
      <c r="AK10" s="445">
        <v>18.29</v>
      </c>
      <c r="AL10" s="235">
        <f t="shared" si="3"/>
        <v>7292.5599999999995</v>
      </c>
      <c r="AM10" s="132">
        <f t="shared" si="4"/>
        <v>11.404493716884057</v>
      </c>
      <c r="AN10" s="76">
        <v>43831</v>
      </c>
      <c r="AO10" s="235"/>
      <c r="AP10" s="443">
        <v>1461.83</v>
      </c>
      <c r="AQ10" s="443">
        <v>2261.7199999999998</v>
      </c>
      <c r="AR10" s="443">
        <v>92.85</v>
      </c>
      <c r="AS10" s="443">
        <v>104.93</v>
      </c>
      <c r="AT10" s="443">
        <v>833.04</v>
      </c>
      <c r="AU10" s="443">
        <v>161.91999999999999</v>
      </c>
      <c r="AV10" s="443">
        <v>16.52</v>
      </c>
      <c r="AW10" s="443">
        <v>39.11</v>
      </c>
      <c r="AX10" s="443">
        <v>42.22</v>
      </c>
      <c r="AY10" s="235">
        <f t="shared" si="5"/>
        <v>5014.1399999999994</v>
      </c>
      <c r="AZ10" s="132">
        <f t="shared" si="6"/>
        <v>47.601090296641104</v>
      </c>
      <c r="BA10" s="235">
        <f t="shared" si="7"/>
        <v>12306.699999999999</v>
      </c>
      <c r="BC10" s="76">
        <v>43831</v>
      </c>
      <c r="BD10" s="236">
        <f t="shared" si="8"/>
        <v>0</v>
      </c>
      <c r="BE10" s="236">
        <f t="shared" si="9"/>
        <v>-15639.097299999999</v>
      </c>
      <c r="BF10" s="236">
        <f t="shared" si="10"/>
        <v>250307.15479999996</v>
      </c>
      <c r="BG10" s="236">
        <f t="shared" si="11"/>
        <v>134207.39669999998</v>
      </c>
      <c r="BH10" s="236">
        <f t="shared" si="12"/>
        <v>24055.403899999998</v>
      </c>
      <c r="BI10" s="236">
        <f t="shared" si="13"/>
        <v>-172070.39499999999</v>
      </c>
      <c r="BJ10" s="236">
        <f t="shared" si="14"/>
        <v>33778.199999999997</v>
      </c>
      <c r="BK10" s="236">
        <f t="shared" si="15"/>
        <v>62161.247499999998</v>
      </c>
      <c r="BL10" s="236">
        <f t="shared" si="16"/>
        <v>16026.400000000001</v>
      </c>
      <c r="BM10" s="236">
        <f t="shared" si="17"/>
        <v>-10979.825000000001</v>
      </c>
      <c r="BN10" s="237">
        <f t="shared" si="18"/>
        <v>321846.4855999999</v>
      </c>
      <c r="BP10" s="240">
        <f t="shared" si="19"/>
        <v>26.152135470922339</v>
      </c>
      <c r="BR10" s="76">
        <v>43831</v>
      </c>
      <c r="BS10" s="240" t="e">
        <f t="shared" si="20"/>
        <v>#DIV/0!</v>
      </c>
      <c r="BT10" s="240">
        <f t="shared" si="1"/>
        <v>-3.2986012406325074</v>
      </c>
      <c r="BU10" s="240">
        <f t="shared" si="1"/>
        <v>60.665227385095626</v>
      </c>
      <c r="BV10" s="240">
        <f t="shared" si="1"/>
        <v>872.43968471689527</v>
      </c>
      <c r="BW10" s="240">
        <f t="shared" si="1"/>
        <v>120.88142663316582</v>
      </c>
      <c r="BX10" s="240">
        <f t="shared" si="1"/>
        <v>-63.5</v>
      </c>
      <c r="BY10" s="240">
        <f t="shared" si="1"/>
        <v>173.21265576124301</v>
      </c>
      <c r="BZ10" s="240">
        <f t="shared" si="1"/>
        <v>1040.0074870336289</v>
      </c>
      <c r="CA10" s="240">
        <f t="shared" si="1"/>
        <v>260</v>
      </c>
      <c r="CB10" s="240">
        <f t="shared" si="1"/>
        <v>-181.45471822839201</v>
      </c>
      <c r="CE10" s="442">
        <f t="shared" si="21"/>
        <v>0</v>
      </c>
      <c r="CF10" s="442">
        <f t="shared" si="22"/>
        <v>-160.8013</v>
      </c>
      <c r="CG10" s="442">
        <f t="shared" si="23"/>
        <v>149838.94999999998</v>
      </c>
      <c r="CH10" s="442">
        <f t="shared" si="24"/>
        <v>80243.755499999999</v>
      </c>
      <c r="CI10" s="442">
        <f t="shared" si="25"/>
        <v>13241.1167</v>
      </c>
      <c r="CJ10" s="442">
        <f t="shared" si="26"/>
        <v>-52898.04</v>
      </c>
      <c r="CK10" s="442">
        <f t="shared" si="27"/>
        <v>29145.599999999999</v>
      </c>
      <c r="CL10" s="442">
        <f t="shared" si="28"/>
        <v>17015.599999999999</v>
      </c>
      <c r="CM10" s="442">
        <f t="shared" si="29"/>
        <v>10168.6</v>
      </c>
      <c r="CN10" s="442">
        <f t="shared" si="30"/>
        <v>-7916.25</v>
      </c>
      <c r="CO10" s="442">
        <f t="shared" si="31"/>
        <v>238679</v>
      </c>
    </row>
    <row r="11" spans="2:95">
      <c r="B11" s="76">
        <v>43862</v>
      </c>
      <c r="C11" s="104">
        <v>0</v>
      </c>
      <c r="D11" s="104">
        <v>-14.27</v>
      </c>
      <c r="E11" s="104">
        <v>59.61</v>
      </c>
      <c r="F11" s="104">
        <v>837.7</v>
      </c>
      <c r="G11" s="104">
        <v>100.34</v>
      </c>
      <c r="H11" s="431">
        <v>-63.5</v>
      </c>
      <c r="I11" s="104">
        <v>170</v>
      </c>
      <c r="J11" s="104">
        <v>1080</v>
      </c>
      <c r="K11" s="123">
        <v>160</v>
      </c>
      <c r="L11" s="431">
        <v>-167.5</v>
      </c>
      <c r="M11" s="109"/>
      <c r="O11" s="76">
        <v>43862</v>
      </c>
      <c r="P11" s="104">
        <v>0</v>
      </c>
      <c r="Q11" s="104">
        <v>2.08</v>
      </c>
      <c r="R11" s="104">
        <v>78.12</v>
      </c>
      <c r="S11" s="104">
        <v>799.14</v>
      </c>
      <c r="T11" s="104">
        <v>110.02</v>
      </c>
      <c r="U11" s="104">
        <v>-63.5</v>
      </c>
      <c r="V11" s="104">
        <v>180</v>
      </c>
      <c r="W11" s="104">
        <v>1072.69</v>
      </c>
      <c r="X11" s="104">
        <v>160</v>
      </c>
      <c r="Y11" s="104">
        <v>-187.5</v>
      </c>
      <c r="AA11" s="76">
        <v>43862</v>
      </c>
      <c r="AB11" s="235">
        <v>0</v>
      </c>
      <c r="AC11" s="235">
        <v>2739.03</v>
      </c>
      <c r="AD11" s="235">
        <v>1539.44</v>
      </c>
      <c r="AE11" s="235">
        <v>55.48</v>
      </c>
      <c r="AF11" s="235">
        <v>74.180000000000007</v>
      </c>
      <c r="AG11" s="235">
        <v>1298.8499999999999</v>
      </c>
      <c r="AH11" s="235">
        <v>56.03</v>
      </c>
      <c r="AI11" s="235">
        <v>23.68</v>
      </c>
      <c r="AJ11" s="235">
        <v>27.54</v>
      </c>
      <c r="AK11" s="235">
        <v>17.170000000000002</v>
      </c>
      <c r="AL11" s="235">
        <f t="shared" si="3"/>
        <v>5831.4</v>
      </c>
      <c r="AM11" s="132">
        <f t="shared" si="4"/>
        <v>10.418051840038416</v>
      </c>
      <c r="AN11" s="76">
        <v>43862</v>
      </c>
      <c r="AO11" s="235">
        <v>0</v>
      </c>
      <c r="AP11" s="235">
        <v>1507.79</v>
      </c>
      <c r="AQ11" s="235">
        <v>1721.2</v>
      </c>
      <c r="AR11" s="235">
        <v>78.95</v>
      </c>
      <c r="AS11" s="235">
        <v>95.44</v>
      </c>
      <c r="AT11" s="235">
        <v>688.4</v>
      </c>
      <c r="AU11" s="235">
        <v>158.16999999999999</v>
      </c>
      <c r="AV11" s="235">
        <v>27.4</v>
      </c>
      <c r="AW11" s="235">
        <v>35.32</v>
      </c>
      <c r="AX11" s="235">
        <v>25.22</v>
      </c>
      <c r="AY11" s="235">
        <f t="shared" si="5"/>
        <v>4337.8899999999994</v>
      </c>
      <c r="AZ11" s="132">
        <f t="shared" si="6"/>
        <v>52.159025470908681</v>
      </c>
      <c r="BA11" s="235">
        <f t="shared" si="7"/>
        <v>10169.289999999999</v>
      </c>
      <c r="BC11" s="76">
        <v>43862</v>
      </c>
      <c r="BD11" s="236">
        <f t="shared" si="8"/>
        <v>0</v>
      </c>
      <c r="BE11" s="236">
        <f t="shared" si="9"/>
        <v>-35949.7549</v>
      </c>
      <c r="BF11" s="236">
        <f t="shared" si="10"/>
        <v>226226.1624</v>
      </c>
      <c r="BG11" s="236">
        <f t="shared" si="11"/>
        <v>109567.69899999999</v>
      </c>
      <c r="BH11" s="236">
        <f t="shared" si="12"/>
        <v>17943.53</v>
      </c>
      <c r="BI11" s="236">
        <f t="shared" si="13"/>
        <v>-126190.375</v>
      </c>
      <c r="BJ11" s="236">
        <f t="shared" si="14"/>
        <v>37995.699999999997</v>
      </c>
      <c r="BK11" s="236">
        <f t="shared" si="15"/>
        <v>54966.106</v>
      </c>
      <c r="BL11" s="236">
        <f t="shared" si="16"/>
        <v>10057.599999999999</v>
      </c>
      <c r="BM11" s="236">
        <f t="shared" si="17"/>
        <v>-7604.7250000000004</v>
      </c>
      <c r="BN11" s="237">
        <f t="shared" si="18"/>
        <v>287011.9425</v>
      </c>
      <c r="BP11" s="240">
        <f t="shared" si="19"/>
        <v>28.223400306216071</v>
      </c>
      <c r="BR11" s="76">
        <v>43862</v>
      </c>
      <c r="BS11" s="240" t="e">
        <f t="shared" si="20"/>
        <v>#DIV/0!</v>
      </c>
      <c r="BT11" s="240">
        <f t="shared" si="1"/>
        <v>-8.4650997452211314</v>
      </c>
      <c r="BU11" s="240">
        <f t="shared" si="1"/>
        <v>69.380907551891653</v>
      </c>
      <c r="BV11" s="240">
        <f t="shared" si="1"/>
        <v>815.05392397530306</v>
      </c>
      <c r="BW11" s="240">
        <f t="shared" si="1"/>
        <v>105.78664072632944</v>
      </c>
      <c r="BX11" s="240">
        <f t="shared" si="1"/>
        <v>-63.5</v>
      </c>
      <c r="BY11" s="240">
        <f t="shared" si="1"/>
        <v>177.38422035480858</v>
      </c>
      <c r="BZ11" s="240">
        <f t="shared" si="1"/>
        <v>1076.0788175411119</v>
      </c>
      <c r="CA11" s="240">
        <f t="shared" si="1"/>
        <v>159.99999999999997</v>
      </c>
      <c r="CB11" s="240">
        <f t="shared" si="1"/>
        <v>-179.39903279075253</v>
      </c>
      <c r="CE11" s="442">
        <f t="shared" si="21"/>
        <v>0</v>
      </c>
      <c r="CF11" s="442">
        <f t="shared" si="22"/>
        <v>3136.2031999999999</v>
      </c>
      <c r="CG11" s="442">
        <f t="shared" si="23"/>
        <v>134460.144</v>
      </c>
      <c r="CH11" s="442">
        <f t="shared" si="24"/>
        <v>63092.103000000003</v>
      </c>
      <c r="CI11" s="442">
        <f t="shared" si="25"/>
        <v>10500.308799999999</v>
      </c>
      <c r="CJ11" s="442">
        <f t="shared" si="26"/>
        <v>-43713.4</v>
      </c>
      <c r="CK11" s="442">
        <f t="shared" si="27"/>
        <v>28470.6</v>
      </c>
      <c r="CL11" s="442">
        <f t="shared" si="28"/>
        <v>29391.705999999998</v>
      </c>
      <c r="CM11" s="442">
        <f t="shared" si="29"/>
        <v>5651.2</v>
      </c>
      <c r="CN11" s="442">
        <f t="shared" si="30"/>
        <v>-4728.75</v>
      </c>
      <c r="CO11" s="442">
        <f t="shared" si="31"/>
        <v>226260</v>
      </c>
    </row>
    <row r="12" spans="2:95">
      <c r="B12" s="76">
        <v>43891</v>
      </c>
      <c r="C12" s="104">
        <v>0</v>
      </c>
      <c r="D12" s="104">
        <v>-25.98</v>
      </c>
      <c r="E12" s="104">
        <v>78.989999999999995</v>
      </c>
      <c r="F12" s="104">
        <v>816.06</v>
      </c>
      <c r="G12" s="104">
        <v>109.72</v>
      </c>
      <c r="H12" s="431">
        <v>-63.5</v>
      </c>
      <c r="I12" s="104">
        <v>160</v>
      </c>
      <c r="J12" s="104">
        <v>644.29</v>
      </c>
      <c r="K12" s="123">
        <v>150</v>
      </c>
      <c r="L12" s="431">
        <v>-167.5</v>
      </c>
      <c r="M12" s="112"/>
      <c r="O12" s="76">
        <v>43891</v>
      </c>
      <c r="P12" s="104">
        <v>0</v>
      </c>
      <c r="Q12" s="104">
        <v>-17.27</v>
      </c>
      <c r="R12" s="104">
        <v>82.04</v>
      </c>
      <c r="S12" s="104">
        <v>832.47</v>
      </c>
      <c r="T12" s="104">
        <v>119.1</v>
      </c>
      <c r="U12" s="104">
        <v>-63.5</v>
      </c>
      <c r="V12" s="104">
        <v>180</v>
      </c>
      <c r="W12" s="104">
        <v>649.80999999999995</v>
      </c>
      <c r="X12" s="104">
        <v>150</v>
      </c>
      <c r="Y12" s="104">
        <v>-187.5</v>
      </c>
      <c r="AA12" s="76">
        <v>43891</v>
      </c>
      <c r="AB12" s="235"/>
      <c r="AC12" s="445">
        <v>3412.03</v>
      </c>
      <c r="AD12" s="445">
        <v>1359.46</v>
      </c>
      <c r="AE12" s="445">
        <v>74.78</v>
      </c>
      <c r="AF12" s="445">
        <v>79.44</v>
      </c>
      <c r="AG12" s="445">
        <v>1332.25</v>
      </c>
      <c r="AH12" s="445">
        <v>54.79</v>
      </c>
      <c r="AI12" s="445">
        <v>27.46</v>
      </c>
      <c r="AJ12" s="445">
        <v>28.5</v>
      </c>
      <c r="AK12" s="445">
        <v>25.85</v>
      </c>
      <c r="AL12" s="235">
        <f t="shared" si="3"/>
        <v>6394.5599999999995</v>
      </c>
      <c r="AM12" s="132">
        <f t="shared" si="4"/>
        <v>4.7362418993644573</v>
      </c>
      <c r="AN12" s="76">
        <v>43891</v>
      </c>
      <c r="AO12" s="235"/>
      <c r="AP12" s="445">
        <v>1204.3599999999999</v>
      </c>
      <c r="AQ12" s="445">
        <v>1877.94</v>
      </c>
      <c r="AR12" s="445">
        <v>93.45</v>
      </c>
      <c r="AS12" s="445">
        <v>102.19</v>
      </c>
      <c r="AT12" s="445">
        <v>681.25</v>
      </c>
      <c r="AU12" s="445">
        <v>195.75</v>
      </c>
      <c r="AV12" s="445">
        <v>32.18</v>
      </c>
      <c r="AW12" s="445">
        <v>35.04</v>
      </c>
      <c r="AX12" s="445">
        <v>28.18</v>
      </c>
      <c r="AY12" s="235">
        <f t="shared" si="5"/>
        <v>4250.3400000000011</v>
      </c>
      <c r="AZ12" s="132">
        <f t="shared" si="6"/>
        <v>55.54633551668806</v>
      </c>
      <c r="BA12" s="235">
        <f t="shared" si="7"/>
        <v>10644.900000000001</v>
      </c>
      <c r="BC12" s="76">
        <v>43891</v>
      </c>
      <c r="BD12" s="236">
        <f t="shared" si="8"/>
        <v>0</v>
      </c>
      <c r="BE12" s="236">
        <f t="shared" si="9"/>
        <v>-109443.83660000001</v>
      </c>
      <c r="BF12" s="236">
        <f t="shared" si="10"/>
        <v>261449.94300000003</v>
      </c>
      <c r="BG12" s="236">
        <f t="shared" si="11"/>
        <v>138819.28830000001</v>
      </c>
      <c r="BH12" s="236">
        <f t="shared" si="12"/>
        <v>20886.985799999999</v>
      </c>
      <c r="BI12" s="236">
        <f t="shared" si="13"/>
        <v>-127857.25</v>
      </c>
      <c r="BJ12" s="236">
        <f t="shared" si="14"/>
        <v>44001.4</v>
      </c>
      <c r="BK12" s="236">
        <f t="shared" si="15"/>
        <v>38603.089199999995</v>
      </c>
      <c r="BL12" s="236">
        <f t="shared" si="16"/>
        <v>9531</v>
      </c>
      <c r="BM12" s="236">
        <f t="shared" si="17"/>
        <v>-9613.625</v>
      </c>
      <c r="BN12" s="237">
        <f t="shared" si="18"/>
        <v>266376.9947000001</v>
      </c>
      <c r="BP12" s="240">
        <f t="shared" si="19"/>
        <v>25.023907664703291</v>
      </c>
      <c r="BR12" s="76">
        <v>43891</v>
      </c>
      <c r="BS12" s="240" t="e">
        <f t="shared" si="20"/>
        <v>#DIV/0!</v>
      </c>
      <c r="BT12" s="240">
        <f t="shared" si="1"/>
        <v>-23.707666943217536</v>
      </c>
      <c r="BU12" s="240">
        <f t="shared" si="1"/>
        <v>80.75923364428246</v>
      </c>
      <c r="BV12" s="240">
        <f t="shared" si="1"/>
        <v>825.17558283302617</v>
      </c>
      <c r="BW12" s="240">
        <f t="shared" si="1"/>
        <v>114.99744425480371</v>
      </c>
      <c r="BX12" s="240">
        <f t="shared" si="1"/>
        <v>-63.5</v>
      </c>
      <c r="BY12" s="240">
        <f t="shared" si="1"/>
        <v>175.62624730581945</v>
      </c>
      <c r="BZ12" s="240">
        <f t="shared" si="1"/>
        <v>647.26843058350096</v>
      </c>
      <c r="CA12" s="240">
        <f t="shared" si="1"/>
        <v>150</v>
      </c>
      <c r="CB12" s="240">
        <f t="shared" si="1"/>
        <v>-177.93124190264666</v>
      </c>
      <c r="CE12" s="442">
        <f t="shared" si="21"/>
        <v>0</v>
      </c>
      <c r="CF12" s="442">
        <f t="shared" si="22"/>
        <v>-20799.297199999997</v>
      </c>
      <c r="CG12" s="442">
        <f t="shared" si="23"/>
        <v>154066.19760000001</v>
      </c>
      <c r="CH12" s="442">
        <f t="shared" si="24"/>
        <v>77794.321500000005</v>
      </c>
      <c r="CI12" s="442">
        <f t="shared" si="25"/>
        <v>12170.829</v>
      </c>
      <c r="CJ12" s="442">
        <f t="shared" si="26"/>
        <v>-43259.375</v>
      </c>
      <c r="CK12" s="442">
        <f t="shared" si="27"/>
        <v>35235</v>
      </c>
      <c r="CL12" s="442">
        <f t="shared" si="28"/>
        <v>20910.885799999996</v>
      </c>
      <c r="CM12" s="442">
        <f t="shared" si="29"/>
        <v>5256</v>
      </c>
      <c r="CN12" s="442">
        <f t="shared" si="30"/>
        <v>-5283.75</v>
      </c>
      <c r="CO12" s="442">
        <f t="shared" si="31"/>
        <v>236091</v>
      </c>
    </row>
    <row r="13" spans="2:95">
      <c r="B13" s="76">
        <v>43922</v>
      </c>
      <c r="C13" s="104">
        <v>0</v>
      </c>
      <c r="D13" s="104">
        <v>-17.05</v>
      </c>
      <c r="E13" s="104">
        <v>90.33</v>
      </c>
      <c r="F13" s="104">
        <v>712.74</v>
      </c>
      <c r="G13" s="104">
        <v>66.55</v>
      </c>
      <c r="H13" s="431">
        <v>-63.5</v>
      </c>
      <c r="I13" s="104">
        <v>150</v>
      </c>
      <c r="J13" s="104">
        <v>680</v>
      </c>
      <c r="K13" s="104">
        <v>60</v>
      </c>
      <c r="L13" s="431">
        <v>-167.5</v>
      </c>
      <c r="M13" s="112"/>
      <c r="O13" s="76">
        <v>43922</v>
      </c>
      <c r="P13" s="104">
        <v>0</v>
      </c>
      <c r="Q13" s="104">
        <v>-10.76</v>
      </c>
      <c r="R13" s="104">
        <v>84.21</v>
      </c>
      <c r="S13" s="104">
        <v>813.28</v>
      </c>
      <c r="T13" s="104">
        <v>78.25</v>
      </c>
      <c r="U13" s="104">
        <v>-63.5</v>
      </c>
      <c r="V13" s="104">
        <v>150</v>
      </c>
      <c r="W13" s="104">
        <v>680</v>
      </c>
      <c r="X13" s="104">
        <v>60</v>
      </c>
      <c r="Y13" s="104">
        <v>-187.5</v>
      </c>
      <c r="AA13" s="76">
        <v>43922</v>
      </c>
      <c r="AB13" s="235"/>
      <c r="AC13" s="445">
        <v>3429.94</v>
      </c>
      <c r="AD13" s="445">
        <v>1190.74</v>
      </c>
      <c r="AE13" s="445">
        <v>104.47</v>
      </c>
      <c r="AF13" s="445">
        <v>107.26</v>
      </c>
      <c r="AG13" s="445">
        <v>1629.98</v>
      </c>
      <c r="AH13" s="445">
        <v>73</v>
      </c>
      <c r="AI13" s="445">
        <v>23.2</v>
      </c>
      <c r="AJ13" s="445">
        <v>31.13</v>
      </c>
      <c r="AK13" s="445">
        <v>24.1</v>
      </c>
      <c r="AL13" s="235">
        <f t="shared" si="3"/>
        <v>6613.8200000000015</v>
      </c>
      <c r="AM13" s="132">
        <f t="shared" si="4"/>
        <v>7.8215748236268885</v>
      </c>
      <c r="AN13" s="76">
        <v>43922</v>
      </c>
      <c r="AO13" s="235"/>
      <c r="AP13" s="445">
        <v>1011.88</v>
      </c>
      <c r="AQ13" s="445">
        <v>1786.4</v>
      </c>
      <c r="AR13" s="445">
        <v>122.01</v>
      </c>
      <c r="AS13" s="445">
        <v>119.01</v>
      </c>
      <c r="AT13" s="445">
        <v>730.31</v>
      </c>
      <c r="AU13" s="445">
        <v>210.91</v>
      </c>
      <c r="AV13" s="445">
        <v>30.18</v>
      </c>
      <c r="AW13" s="445">
        <v>49.22</v>
      </c>
      <c r="AX13" s="445">
        <v>26.4</v>
      </c>
      <c r="AY13" s="235">
        <f t="shared" si="5"/>
        <v>4086.32</v>
      </c>
      <c r="AZ13" s="132">
        <f t="shared" si="6"/>
        <v>61.638137859981597</v>
      </c>
      <c r="BA13" s="235">
        <f t="shared" si="7"/>
        <v>10700.140000000001</v>
      </c>
      <c r="BC13" s="76">
        <v>43922</v>
      </c>
      <c r="BD13" s="236">
        <f t="shared" si="8"/>
        <v>0</v>
      </c>
      <c r="BE13" s="236">
        <f t="shared" si="9"/>
        <v>-69368.305800000002</v>
      </c>
      <c r="BF13" s="236">
        <f t="shared" si="10"/>
        <v>257992.28820000001</v>
      </c>
      <c r="BG13" s="236">
        <f t="shared" si="11"/>
        <v>173688.24059999999</v>
      </c>
      <c r="BH13" s="236">
        <f t="shared" si="12"/>
        <v>16450.6855</v>
      </c>
      <c r="BI13" s="236">
        <f t="shared" si="13"/>
        <v>-149878.41499999998</v>
      </c>
      <c r="BJ13" s="236">
        <f t="shared" si="14"/>
        <v>42586.5</v>
      </c>
      <c r="BK13" s="236">
        <f t="shared" si="15"/>
        <v>36298.400000000001</v>
      </c>
      <c r="BL13" s="236">
        <f t="shared" si="16"/>
        <v>4821</v>
      </c>
      <c r="BM13" s="236">
        <f t="shared" si="17"/>
        <v>-8986.75</v>
      </c>
      <c r="BN13" s="237">
        <f t="shared" si="18"/>
        <v>303603.64350000006</v>
      </c>
      <c r="BP13" s="240">
        <f t="shared" si="19"/>
        <v>28.373801043724665</v>
      </c>
      <c r="BR13" s="76">
        <v>43922</v>
      </c>
      <c r="BS13" s="240" t="e">
        <f t="shared" si="20"/>
        <v>#DIV/0!</v>
      </c>
      <c r="BT13" s="240">
        <f t="shared" si="1"/>
        <v>-15.617090697056613</v>
      </c>
      <c r="BU13" s="240">
        <f t="shared" si="1"/>
        <v>86.657761542957331</v>
      </c>
      <c r="BV13" s="240">
        <f t="shared" si="1"/>
        <v>766.90321706110899</v>
      </c>
      <c r="BW13" s="240">
        <f t="shared" si="1"/>
        <v>72.703785300746887</v>
      </c>
      <c r="BX13" s="240">
        <f t="shared" si="1"/>
        <v>-63.499999999999993</v>
      </c>
      <c r="BY13" s="240">
        <f t="shared" si="1"/>
        <v>150.00000000000003</v>
      </c>
      <c r="BZ13" s="240">
        <f t="shared" si="1"/>
        <v>680.00000000000011</v>
      </c>
      <c r="CA13" s="240">
        <f t="shared" si="1"/>
        <v>60.000000000000007</v>
      </c>
      <c r="CB13" s="240">
        <f t="shared" si="1"/>
        <v>-177.95544554455446</v>
      </c>
      <c r="CE13" s="442">
        <f t="shared" si="21"/>
        <v>0</v>
      </c>
      <c r="CF13" s="442">
        <f t="shared" si="22"/>
        <v>-10887.828799999999</v>
      </c>
      <c r="CG13" s="442">
        <f t="shared" si="23"/>
        <v>150432.74400000001</v>
      </c>
      <c r="CH13" s="442">
        <f t="shared" si="24"/>
        <v>99228.292799999996</v>
      </c>
      <c r="CI13" s="442">
        <f t="shared" si="25"/>
        <v>9312.5325000000012</v>
      </c>
      <c r="CJ13" s="442">
        <f t="shared" si="26"/>
        <v>-46374.684999999998</v>
      </c>
      <c r="CK13" s="442">
        <f t="shared" si="27"/>
        <v>31636.5</v>
      </c>
      <c r="CL13" s="442">
        <f t="shared" si="28"/>
        <v>20522.400000000001</v>
      </c>
      <c r="CM13" s="442">
        <f t="shared" si="29"/>
        <v>2953.2</v>
      </c>
      <c r="CN13" s="442">
        <f t="shared" si="30"/>
        <v>-4950</v>
      </c>
      <c r="CO13" s="442">
        <f t="shared" si="31"/>
        <v>251873</v>
      </c>
    </row>
    <row r="14" spans="2:95">
      <c r="B14" s="76">
        <v>43952</v>
      </c>
      <c r="C14" s="104">
        <v>0</v>
      </c>
      <c r="D14" s="104">
        <v>-4.43</v>
      </c>
      <c r="E14" s="104">
        <v>121.04</v>
      </c>
      <c r="F14" s="104">
        <v>694.88</v>
      </c>
      <c r="G14" s="104">
        <v>76.959999999999994</v>
      </c>
      <c r="H14" s="431">
        <v>-63.5</v>
      </c>
      <c r="I14" s="104">
        <v>130</v>
      </c>
      <c r="J14" s="104">
        <v>640</v>
      </c>
      <c r="K14" s="104">
        <v>60</v>
      </c>
      <c r="L14" s="104">
        <v>-167.5</v>
      </c>
      <c r="M14" s="112"/>
      <c r="O14" s="76">
        <v>43952</v>
      </c>
      <c r="P14" s="104">
        <v>0</v>
      </c>
      <c r="Q14" s="104">
        <v>-5.37</v>
      </c>
      <c r="R14" s="104">
        <v>110.43</v>
      </c>
      <c r="S14" s="104">
        <v>693.51</v>
      </c>
      <c r="T14" s="104">
        <v>90.06</v>
      </c>
      <c r="U14" s="104">
        <v>-63.5</v>
      </c>
      <c r="V14" s="104">
        <v>130</v>
      </c>
      <c r="W14" s="104">
        <v>640</v>
      </c>
      <c r="X14" s="104">
        <v>60</v>
      </c>
      <c r="Y14" s="104">
        <v>-187.5</v>
      </c>
      <c r="AA14" s="76">
        <v>43952</v>
      </c>
      <c r="AB14" s="445">
        <v>0</v>
      </c>
      <c r="AC14" s="445">
        <v>3126.42</v>
      </c>
      <c r="AD14" s="445">
        <v>1195.6099999999999</v>
      </c>
      <c r="AE14" s="445">
        <v>100.71</v>
      </c>
      <c r="AF14" s="445">
        <v>95.1</v>
      </c>
      <c r="AG14" s="445">
        <v>1769.67</v>
      </c>
      <c r="AH14" s="445">
        <v>25.93</v>
      </c>
      <c r="AI14" s="445">
        <v>23.15</v>
      </c>
      <c r="AJ14" s="445">
        <v>33.26</v>
      </c>
      <c r="AK14" s="445">
        <v>28.62</v>
      </c>
      <c r="AL14" s="235">
        <f t="shared" si="3"/>
        <v>6398.47</v>
      </c>
      <c r="AM14" s="132">
        <f t="shared" si="4"/>
        <v>17.376257073956737</v>
      </c>
      <c r="AN14" s="76">
        <v>43952</v>
      </c>
      <c r="AO14" s="445">
        <v>0</v>
      </c>
      <c r="AP14" s="445">
        <v>911.02</v>
      </c>
      <c r="AQ14" s="445">
        <v>2010.71</v>
      </c>
      <c r="AR14" s="445">
        <v>116.75</v>
      </c>
      <c r="AS14" s="445">
        <v>100.54</v>
      </c>
      <c r="AT14" s="445">
        <v>616.22</v>
      </c>
      <c r="AU14" s="445">
        <v>200.59</v>
      </c>
      <c r="AV14" s="445">
        <v>32.68</v>
      </c>
      <c r="AW14" s="445">
        <v>43.54</v>
      </c>
      <c r="AX14" s="445">
        <v>29.47</v>
      </c>
      <c r="AY14" s="235">
        <f t="shared" si="5"/>
        <v>4061.5199999999995</v>
      </c>
      <c r="AZ14" s="132">
        <f t="shared" si="6"/>
        <v>76.848361647855995</v>
      </c>
      <c r="BA14" s="235">
        <f t="shared" si="7"/>
        <v>10459.99</v>
      </c>
      <c r="BC14" s="76">
        <v>43952</v>
      </c>
      <c r="BD14" s="236">
        <f t="shared" si="8"/>
        <v>0</v>
      </c>
      <c r="BE14" s="236">
        <f t="shared" si="9"/>
        <v>-18742.218000000001</v>
      </c>
      <c r="BF14" s="236">
        <f t="shared" si="10"/>
        <v>366759.33970000001</v>
      </c>
      <c r="BG14" s="236">
        <f t="shared" si="11"/>
        <v>150948.65729999999</v>
      </c>
      <c r="BH14" s="236">
        <f t="shared" si="12"/>
        <v>16373.528399999999</v>
      </c>
      <c r="BI14" s="236">
        <f t="shared" si="13"/>
        <v>-151504.01500000001</v>
      </c>
      <c r="BJ14" s="236">
        <f t="shared" si="14"/>
        <v>29447.600000000002</v>
      </c>
      <c r="BK14" s="236">
        <f t="shared" si="15"/>
        <v>35731.199999999997</v>
      </c>
      <c r="BL14" s="236">
        <f t="shared" si="16"/>
        <v>4608</v>
      </c>
      <c r="BM14" s="236">
        <f t="shared" si="17"/>
        <v>-10319.475</v>
      </c>
      <c r="BN14" s="237">
        <f t="shared" si="18"/>
        <v>423302.61739999999</v>
      </c>
      <c r="BP14" s="240">
        <f t="shared" si="19"/>
        <v>40.468740161319467</v>
      </c>
      <c r="BR14" s="76">
        <v>43952</v>
      </c>
      <c r="BS14" s="240" t="e">
        <f t="shared" si="20"/>
        <v>#DIV/0!</v>
      </c>
      <c r="BT14" s="240">
        <f t="shared" si="1"/>
        <v>-4.6421044027898866</v>
      </c>
      <c r="BU14" s="240">
        <f t="shared" si="1"/>
        <v>114.38638055465456</v>
      </c>
      <c r="BV14" s="240">
        <f t="shared" si="1"/>
        <v>694.14447392623936</v>
      </c>
      <c r="BW14" s="240">
        <f t="shared" si="1"/>
        <v>83.692130443672056</v>
      </c>
      <c r="BX14" s="240">
        <f t="shared" si="1"/>
        <v>-63.5</v>
      </c>
      <c r="BY14" s="240">
        <f t="shared" si="1"/>
        <v>130</v>
      </c>
      <c r="BZ14" s="240">
        <f t="shared" si="1"/>
        <v>640</v>
      </c>
      <c r="CA14" s="240">
        <f t="shared" si="1"/>
        <v>60</v>
      </c>
      <c r="CB14" s="240">
        <f t="shared" si="1"/>
        <v>-177.64632466861767</v>
      </c>
      <c r="CE14" s="442">
        <f t="shared" si="21"/>
        <v>0</v>
      </c>
      <c r="CF14" s="442">
        <f t="shared" si="22"/>
        <v>-4892.1773999999996</v>
      </c>
      <c r="CG14" s="442">
        <f t="shared" si="23"/>
        <v>222042.70530000003</v>
      </c>
      <c r="CH14" s="442">
        <f t="shared" si="24"/>
        <v>80967.292499999996</v>
      </c>
      <c r="CI14" s="442">
        <f t="shared" si="25"/>
        <v>9054.6324000000004</v>
      </c>
      <c r="CJ14" s="442">
        <f t="shared" si="26"/>
        <v>-39129.97</v>
      </c>
      <c r="CK14" s="442">
        <f t="shared" si="27"/>
        <v>26076.7</v>
      </c>
      <c r="CL14" s="442">
        <f t="shared" si="28"/>
        <v>20915.2</v>
      </c>
      <c r="CM14" s="442">
        <f t="shared" si="29"/>
        <v>2612.4</v>
      </c>
      <c r="CN14" s="442">
        <f t="shared" si="30"/>
        <v>-5525.625</v>
      </c>
      <c r="CO14" s="442">
        <f t="shared" si="31"/>
        <v>312121</v>
      </c>
    </row>
    <row r="15" spans="2:95">
      <c r="B15" s="76">
        <v>43983</v>
      </c>
      <c r="C15" s="104">
        <v>0</v>
      </c>
      <c r="D15" s="104">
        <v>-0.71</v>
      </c>
      <c r="E15" s="104">
        <v>96.31</v>
      </c>
      <c r="F15" s="104">
        <v>730.34</v>
      </c>
      <c r="G15" s="104">
        <v>81.31</v>
      </c>
      <c r="H15" s="431">
        <v>-63.5</v>
      </c>
      <c r="I15" s="104">
        <v>49.96</v>
      </c>
      <c r="J15" s="104">
        <v>700</v>
      </c>
      <c r="K15" s="104">
        <v>60</v>
      </c>
      <c r="L15" s="104">
        <v>-167.5</v>
      </c>
      <c r="M15" s="112"/>
      <c r="O15" s="76">
        <v>43983</v>
      </c>
      <c r="P15" s="104">
        <v>0</v>
      </c>
      <c r="Q15" s="104">
        <v>2.2599999999999998</v>
      </c>
      <c r="R15" s="104">
        <v>77.239999999999995</v>
      </c>
      <c r="S15" s="104">
        <v>731.99</v>
      </c>
      <c r="T15" s="104">
        <v>94.5</v>
      </c>
      <c r="U15" s="104">
        <v>-63.5</v>
      </c>
      <c r="V15" s="104">
        <v>88.62</v>
      </c>
      <c r="W15" s="104">
        <v>709.87</v>
      </c>
      <c r="X15" s="104">
        <v>60</v>
      </c>
      <c r="Y15" s="104">
        <v>-187.5</v>
      </c>
      <c r="AA15" s="76">
        <v>43983</v>
      </c>
      <c r="AB15" s="235">
        <v>0</v>
      </c>
      <c r="AC15" s="235">
        <v>3008.11</v>
      </c>
      <c r="AD15" s="235">
        <v>1487.14</v>
      </c>
      <c r="AE15" s="235">
        <v>88.58</v>
      </c>
      <c r="AF15" s="235">
        <v>84.86</v>
      </c>
      <c r="AG15" s="235">
        <v>2001.38</v>
      </c>
      <c r="AH15" s="235">
        <v>18.649999999999999</v>
      </c>
      <c r="AI15" s="235">
        <v>24.84</v>
      </c>
      <c r="AJ15" s="235">
        <v>29.38</v>
      </c>
      <c r="AK15" s="235">
        <v>35.42</v>
      </c>
      <c r="AL15" s="235">
        <f t="shared" si="3"/>
        <v>6778.36</v>
      </c>
      <c r="AM15" s="132">
        <f t="shared" si="4"/>
        <v>14.715396216784002</v>
      </c>
      <c r="AN15" s="76">
        <v>43983</v>
      </c>
      <c r="AO15" s="235">
        <v>0</v>
      </c>
      <c r="AP15" s="235">
        <v>689.03</v>
      </c>
      <c r="AQ15" s="235">
        <v>2137.34</v>
      </c>
      <c r="AR15" s="235">
        <v>126.1</v>
      </c>
      <c r="AS15" s="235">
        <v>96.3</v>
      </c>
      <c r="AT15" s="235">
        <v>1022.54</v>
      </c>
      <c r="AU15" s="235">
        <v>183.77</v>
      </c>
      <c r="AV15" s="235">
        <v>25.91</v>
      </c>
      <c r="AW15" s="235">
        <v>43.24</v>
      </c>
      <c r="AX15" s="235">
        <v>36.659999999999997</v>
      </c>
      <c r="AY15" s="235">
        <f t="shared" si="5"/>
        <v>4360.8899999999994</v>
      </c>
      <c r="AZ15" s="132">
        <f t="shared" si="6"/>
        <v>53.548112311936329</v>
      </c>
      <c r="BA15" s="235">
        <f t="shared" si="7"/>
        <v>11139.25</v>
      </c>
      <c r="BC15" s="76">
        <v>43983</v>
      </c>
      <c r="BD15" s="236">
        <f t="shared" si="8"/>
        <v>0</v>
      </c>
      <c r="BE15" s="236">
        <f t="shared" si="9"/>
        <v>-578.55030000000033</v>
      </c>
      <c r="BF15" s="236">
        <f t="shared" si="10"/>
        <v>308314.59499999997</v>
      </c>
      <c r="BG15" s="236">
        <f t="shared" si="11"/>
        <v>156997.45620000002</v>
      </c>
      <c r="BH15" s="236">
        <f t="shared" si="12"/>
        <v>16000.3166</v>
      </c>
      <c r="BI15" s="236">
        <f t="shared" si="13"/>
        <v>-192018.92</v>
      </c>
      <c r="BJ15" s="236">
        <f t="shared" si="14"/>
        <v>17217.451400000002</v>
      </c>
      <c r="BK15" s="236">
        <f t="shared" si="15"/>
        <v>35780.731700000004</v>
      </c>
      <c r="BL15" s="236">
        <f t="shared" si="16"/>
        <v>4357.2</v>
      </c>
      <c r="BM15" s="236">
        <f t="shared" si="17"/>
        <v>-12806.599999999999</v>
      </c>
      <c r="BN15" s="237">
        <f t="shared" si="18"/>
        <v>333263.68060000002</v>
      </c>
      <c r="BP15" s="240">
        <f t="shared" si="19"/>
        <v>29.91796401014431</v>
      </c>
      <c r="BR15" s="76">
        <v>43983</v>
      </c>
      <c r="BS15" s="240" t="e">
        <f t="shared" si="20"/>
        <v>#DIV/0!</v>
      </c>
      <c r="BT15" s="240">
        <f t="shared" si="1"/>
        <v>-0.15648590532141068</v>
      </c>
      <c r="BU15" s="240">
        <f t="shared" si="1"/>
        <v>85.064504425462388</v>
      </c>
      <c r="BV15" s="240">
        <f t="shared" si="1"/>
        <v>731.30918669647849</v>
      </c>
      <c r="BW15" s="240">
        <f t="shared" si="1"/>
        <v>88.321465003311985</v>
      </c>
      <c r="BX15" s="240">
        <f t="shared" si="1"/>
        <v>-63.5</v>
      </c>
      <c r="BY15" s="240">
        <f t="shared" si="1"/>
        <v>85.058054540065214</v>
      </c>
      <c r="BZ15" s="240">
        <f t="shared" si="1"/>
        <v>705.03904827586211</v>
      </c>
      <c r="CA15" s="240">
        <f t="shared" si="1"/>
        <v>59.999999999999993</v>
      </c>
      <c r="CB15" s="240">
        <f t="shared" si="1"/>
        <v>-177.67203107658156</v>
      </c>
      <c r="CE15" s="442">
        <f t="shared" si="21"/>
        <v>0</v>
      </c>
      <c r="CF15" s="442">
        <f t="shared" si="22"/>
        <v>1557.2077999999997</v>
      </c>
      <c r="CG15" s="442">
        <f t="shared" si="23"/>
        <v>165088.1416</v>
      </c>
      <c r="CH15" s="442">
        <f t="shared" si="24"/>
        <v>92303.938999999998</v>
      </c>
      <c r="CI15" s="442">
        <f t="shared" si="25"/>
        <v>9100.35</v>
      </c>
      <c r="CJ15" s="442">
        <f t="shared" si="26"/>
        <v>-64931.29</v>
      </c>
      <c r="CK15" s="442">
        <f t="shared" si="27"/>
        <v>16285.697400000001</v>
      </c>
      <c r="CL15" s="442">
        <f t="shared" si="28"/>
        <v>18392.7317</v>
      </c>
      <c r="CM15" s="442">
        <f t="shared" si="29"/>
        <v>2594.4</v>
      </c>
      <c r="CN15" s="442">
        <f t="shared" si="30"/>
        <v>-6873.7499999999991</v>
      </c>
      <c r="CO15" s="442">
        <f t="shared" si="31"/>
        <v>233517</v>
      </c>
    </row>
    <row r="16" spans="2:95">
      <c r="B16" s="76">
        <v>44013</v>
      </c>
      <c r="C16" s="77">
        <v>0</v>
      </c>
      <c r="D16" s="77">
        <v>1.35</v>
      </c>
      <c r="E16" s="77">
        <v>86.25</v>
      </c>
      <c r="F16" s="77">
        <v>798.59</v>
      </c>
      <c r="G16" s="77">
        <v>77.48</v>
      </c>
      <c r="H16" s="431">
        <v>-63.5</v>
      </c>
      <c r="I16" s="77">
        <v>47.17</v>
      </c>
      <c r="J16" s="77">
        <v>728.16</v>
      </c>
      <c r="K16" s="77">
        <v>60</v>
      </c>
      <c r="L16" s="104">
        <v>-167.5</v>
      </c>
      <c r="M16" s="112"/>
      <c r="O16" s="76">
        <v>44013</v>
      </c>
      <c r="P16" s="104">
        <v>0</v>
      </c>
      <c r="Q16" s="104">
        <v>6.43</v>
      </c>
      <c r="R16" s="104">
        <v>82.82</v>
      </c>
      <c r="S16" s="104">
        <v>810.19</v>
      </c>
      <c r="T16" s="104">
        <v>89.83</v>
      </c>
      <c r="U16" s="104">
        <v>-63.5</v>
      </c>
      <c r="V16" s="104">
        <v>77.11</v>
      </c>
      <c r="W16" s="104">
        <v>735</v>
      </c>
      <c r="X16" s="104">
        <v>60</v>
      </c>
      <c r="Y16" s="104">
        <v>-187.5</v>
      </c>
      <c r="AA16" s="76">
        <v>44013</v>
      </c>
      <c r="AB16" s="235">
        <v>0</v>
      </c>
      <c r="AC16" s="235">
        <v>3313.54</v>
      </c>
      <c r="AD16" s="235">
        <v>1480.76</v>
      </c>
      <c r="AE16" s="235">
        <v>76.92</v>
      </c>
      <c r="AF16" s="235">
        <v>60.26</v>
      </c>
      <c r="AG16" s="235">
        <v>2012.56</v>
      </c>
      <c r="AH16" s="235">
        <v>8.2899999999999991</v>
      </c>
      <c r="AI16" s="235">
        <v>29.42</v>
      </c>
      <c r="AJ16" s="235">
        <v>33.08</v>
      </c>
      <c r="AK16" s="235">
        <v>35.020000000000003</v>
      </c>
      <c r="AL16" s="235">
        <f t="shared" si="3"/>
        <v>7049.8500000000013</v>
      </c>
      <c r="AM16" s="132">
        <f t="shared" si="4"/>
        <v>12.542141052646507</v>
      </c>
      <c r="AN16" s="76">
        <v>44013</v>
      </c>
      <c r="AO16" s="235">
        <v>0</v>
      </c>
      <c r="AP16" s="235">
        <v>895.93</v>
      </c>
      <c r="AQ16" s="235">
        <v>2232.91</v>
      </c>
      <c r="AR16" s="235">
        <v>132.44</v>
      </c>
      <c r="AS16" s="235">
        <v>93.11</v>
      </c>
      <c r="AT16" s="235">
        <v>1011.57</v>
      </c>
      <c r="AU16" s="235">
        <v>215.04</v>
      </c>
      <c r="AV16" s="235">
        <v>10.73</v>
      </c>
      <c r="AW16" s="235">
        <v>41.68</v>
      </c>
      <c r="AX16" s="235">
        <v>28.85</v>
      </c>
      <c r="AY16" s="235">
        <f t="shared" si="5"/>
        <v>4662.26</v>
      </c>
      <c r="AZ16" s="446">
        <f t="shared" si="6"/>
        <v>56.556495219056849</v>
      </c>
      <c r="BA16" s="235">
        <f t="shared" si="7"/>
        <v>11712.11</v>
      </c>
      <c r="BC16" s="76">
        <v>44013</v>
      </c>
      <c r="BD16" s="236">
        <f t="shared" si="8"/>
        <v>0</v>
      </c>
      <c r="BE16" s="236">
        <f t="shared" si="9"/>
        <v>10234.108899999999</v>
      </c>
      <c r="BF16" s="236">
        <f t="shared" si="10"/>
        <v>312645.15619999997</v>
      </c>
      <c r="BG16" s="236">
        <f t="shared" si="11"/>
        <v>168729.10640000002</v>
      </c>
      <c r="BH16" s="236">
        <f t="shared" si="12"/>
        <v>13033.016100000001</v>
      </c>
      <c r="BI16" s="236">
        <f t="shared" si="13"/>
        <v>-192032.255</v>
      </c>
      <c r="BJ16" s="236">
        <f t="shared" si="14"/>
        <v>16972.773699999998</v>
      </c>
      <c r="BK16" s="236">
        <f t="shared" si="15"/>
        <v>29309.017199999998</v>
      </c>
      <c r="BL16" s="236">
        <f t="shared" si="16"/>
        <v>4485.6000000000004</v>
      </c>
      <c r="BM16" s="236">
        <f t="shared" si="17"/>
        <v>-11275.225</v>
      </c>
      <c r="BN16" s="237">
        <f t="shared" si="18"/>
        <v>352101.29850000003</v>
      </c>
      <c r="BP16" s="240">
        <f t="shared" si="19"/>
        <v>30.063011575198662</v>
      </c>
      <c r="BR16" s="76">
        <v>44013</v>
      </c>
      <c r="BS16" s="240" t="e">
        <f t="shared" si="20"/>
        <v>#DIV/0!</v>
      </c>
      <c r="BT16" s="240">
        <f t="shared" si="1"/>
        <v>2.4312107937578835</v>
      </c>
      <c r="BU16" s="240">
        <f t="shared" si="1"/>
        <v>84.187651622249675</v>
      </c>
      <c r="BV16" s="240">
        <f t="shared" si="1"/>
        <v>805.92809705769969</v>
      </c>
      <c r="BW16" s="240">
        <f t="shared" si="1"/>
        <v>84.97761035404578</v>
      </c>
      <c r="BX16" s="240">
        <f t="shared" si="1"/>
        <v>-63.5</v>
      </c>
      <c r="BY16" s="240">
        <f t="shared" si="1"/>
        <v>75.998628486992345</v>
      </c>
      <c r="BZ16" s="240">
        <f t="shared" si="1"/>
        <v>729.98797509339965</v>
      </c>
      <c r="CA16" s="240">
        <f t="shared" si="1"/>
        <v>60.000000000000014</v>
      </c>
      <c r="CB16" s="240">
        <f t="shared" si="1"/>
        <v>-176.53397526225143</v>
      </c>
      <c r="CE16" s="442">
        <f t="shared" si="21"/>
        <v>0</v>
      </c>
      <c r="CF16" s="442">
        <f t="shared" si="22"/>
        <v>5760.8298999999997</v>
      </c>
      <c r="CG16" s="442">
        <f t="shared" si="23"/>
        <v>184929.60619999998</v>
      </c>
      <c r="CH16" s="442">
        <f t="shared" si="24"/>
        <v>107301.56360000001</v>
      </c>
      <c r="CI16" s="442">
        <f t="shared" si="25"/>
        <v>8364.0712999999996</v>
      </c>
      <c r="CJ16" s="442">
        <f t="shared" si="26"/>
        <v>-64234.695</v>
      </c>
      <c r="CK16" s="442">
        <f t="shared" si="27"/>
        <v>16581.734399999998</v>
      </c>
      <c r="CL16" s="442">
        <f t="shared" si="28"/>
        <v>7886.55</v>
      </c>
      <c r="CM16" s="442">
        <f t="shared" si="29"/>
        <v>2500.8000000000002</v>
      </c>
      <c r="CN16" s="442">
        <f t="shared" si="30"/>
        <v>-5409.375</v>
      </c>
      <c r="CO16" s="442">
        <f t="shared" si="31"/>
        <v>263681</v>
      </c>
    </row>
    <row r="17" spans="2:93">
      <c r="B17" s="76">
        <v>44044</v>
      </c>
      <c r="C17" s="77">
        <v>0</v>
      </c>
      <c r="D17" s="77">
        <v>10.02</v>
      </c>
      <c r="E17" s="77">
        <v>93.17</v>
      </c>
      <c r="F17" s="77">
        <v>877.78</v>
      </c>
      <c r="G17" s="77">
        <v>85.78</v>
      </c>
      <c r="H17" s="431">
        <v>-63.5</v>
      </c>
      <c r="I17" s="104">
        <v>42.12</v>
      </c>
      <c r="J17" s="104">
        <v>780</v>
      </c>
      <c r="K17" s="104">
        <v>60</v>
      </c>
      <c r="L17" s="104">
        <v>-167.5</v>
      </c>
      <c r="M17" s="112"/>
      <c r="O17" s="76">
        <v>44044</v>
      </c>
      <c r="P17" s="104">
        <v>0</v>
      </c>
      <c r="Q17" s="104">
        <v>10.63</v>
      </c>
      <c r="R17" s="104">
        <v>88.36</v>
      </c>
      <c r="S17" s="104">
        <v>881.39</v>
      </c>
      <c r="T17" s="104">
        <v>100.29</v>
      </c>
      <c r="U17" s="104">
        <v>-63.5</v>
      </c>
      <c r="V17" s="104">
        <v>42</v>
      </c>
      <c r="W17" s="104">
        <v>781.32</v>
      </c>
      <c r="X17" s="104">
        <v>60</v>
      </c>
      <c r="Y17" s="104">
        <v>-187.5</v>
      </c>
      <c r="AA17" s="76">
        <v>44044</v>
      </c>
      <c r="AB17" s="235"/>
      <c r="AC17" s="445">
        <v>2784.57</v>
      </c>
      <c r="AD17" s="445">
        <v>1620.11</v>
      </c>
      <c r="AE17" s="445">
        <v>64.290000000000006</v>
      </c>
      <c r="AF17" s="445">
        <v>67.12</v>
      </c>
      <c r="AG17" s="445">
        <v>1537.3</v>
      </c>
      <c r="AH17" s="445">
        <v>41.33</v>
      </c>
      <c r="AI17" s="445">
        <v>6.7</v>
      </c>
      <c r="AJ17" s="445">
        <v>35.93</v>
      </c>
      <c r="AK17" s="445">
        <v>44.4</v>
      </c>
      <c r="AL17" s="235">
        <f t="shared" si="3"/>
        <v>6201.75</v>
      </c>
      <c r="AM17" s="132">
        <f t="shared" si="4"/>
        <v>23.397289394122627</v>
      </c>
      <c r="AN17" s="76">
        <v>44044</v>
      </c>
      <c r="AO17" s="235"/>
      <c r="AP17" s="445">
        <v>944.91</v>
      </c>
      <c r="AQ17" s="445">
        <v>2080.1</v>
      </c>
      <c r="AR17" s="445">
        <v>105.95</v>
      </c>
      <c r="AS17" s="445">
        <v>84</v>
      </c>
      <c r="AT17" s="445">
        <v>698.55</v>
      </c>
      <c r="AU17" s="445">
        <v>195.95</v>
      </c>
      <c r="AV17" s="445">
        <v>29.29</v>
      </c>
      <c r="AW17" s="445">
        <v>33.200000000000003</v>
      </c>
      <c r="AX17" s="445">
        <v>20.77</v>
      </c>
      <c r="AY17" s="235">
        <f t="shared" si="5"/>
        <v>4192.7199999999993</v>
      </c>
      <c r="AZ17" s="446">
        <f t="shared" si="6"/>
        <v>66.902660468621818</v>
      </c>
      <c r="BA17" s="235">
        <f t="shared" si="7"/>
        <v>10394.469999999999</v>
      </c>
      <c r="BC17" s="76">
        <v>44044</v>
      </c>
      <c r="BD17" s="236">
        <f t="shared" si="8"/>
        <v>0</v>
      </c>
      <c r="BE17" s="236">
        <f t="shared" si="9"/>
        <v>37945.784700000004</v>
      </c>
      <c r="BF17" s="236">
        <f t="shared" si="10"/>
        <v>334743.28469999996</v>
      </c>
      <c r="BG17" s="236">
        <f t="shared" si="11"/>
        <v>149815.74670000002</v>
      </c>
      <c r="BH17" s="236">
        <f t="shared" si="12"/>
        <v>14181.9136</v>
      </c>
      <c r="BI17" s="236">
        <f t="shared" si="13"/>
        <v>-141976.47500000001</v>
      </c>
      <c r="BJ17" s="236">
        <f t="shared" si="14"/>
        <v>9970.7196000000004</v>
      </c>
      <c r="BK17" s="236">
        <f t="shared" si="15"/>
        <v>28110.862800000003</v>
      </c>
      <c r="BL17" s="236">
        <f t="shared" si="16"/>
        <v>4147.8</v>
      </c>
      <c r="BM17" s="236">
        <f t="shared" si="17"/>
        <v>-11331.375</v>
      </c>
      <c r="BN17" s="237">
        <f t="shared" si="18"/>
        <v>425608.26210000005</v>
      </c>
      <c r="BP17" s="240">
        <f t="shared" si="19"/>
        <v>40.945643414238539</v>
      </c>
      <c r="BR17" s="76">
        <v>44044</v>
      </c>
      <c r="BS17" s="240" t="e">
        <f t="shared" si="20"/>
        <v>#DIV/0!</v>
      </c>
      <c r="BT17" s="240">
        <f t="shared" si="1"/>
        <v>10.174551063419029</v>
      </c>
      <c r="BU17" s="240">
        <f t="shared" si="1"/>
        <v>90.466023468938232</v>
      </c>
      <c r="BV17" s="240">
        <f t="shared" si="1"/>
        <v>880.02670758928582</v>
      </c>
      <c r="BW17" s="240">
        <f t="shared" si="1"/>
        <v>93.845378507146634</v>
      </c>
      <c r="BX17" s="240">
        <f t="shared" si="1"/>
        <v>-63.500000000000007</v>
      </c>
      <c r="BY17" s="240">
        <f t="shared" si="1"/>
        <v>42.020901888064742</v>
      </c>
      <c r="BZ17" s="240">
        <f t="shared" si="1"/>
        <v>781.07426507363164</v>
      </c>
      <c r="CA17" s="240">
        <f t="shared" si="1"/>
        <v>60.000000000000007</v>
      </c>
      <c r="CB17" s="240">
        <f t="shared" si="1"/>
        <v>-173.87409851158509</v>
      </c>
      <c r="CE17" s="442">
        <f t="shared" si="21"/>
        <v>0</v>
      </c>
      <c r="CF17" s="442">
        <f t="shared" si="22"/>
        <v>10044.3933</v>
      </c>
      <c r="CG17" s="442">
        <f t="shared" si="23"/>
        <v>183797.636</v>
      </c>
      <c r="CH17" s="442">
        <f t="shared" si="24"/>
        <v>93383.270499999999</v>
      </c>
      <c r="CI17" s="442">
        <f t="shared" si="25"/>
        <v>8424.36</v>
      </c>
      <c r="CJ17" s="442">
        <f t="shared" si="26"/>
        <v>-44357.924999999996</v>
      </c>
      <c r="CK17" s="442">
        <f t="shared" si="27"/>
        <v>8229.9</v>
      </c>
      <c r="CL17" s="442">
        <f t="shared" si="28"/>
        <v>22884.862800000003</v>
      </c>
      <c r="CM17" s="442">
        <f t="shared" si="29"/>
        <v>1992.0000000000002</v>
      </c>
      <c r="CN17" s="442">
        <f t="shared" si="30"/>
        <v>-3894.375</v>
      </c>
      <c r="CO17" s="442">
        <f t="shared" si="31"/>
        <v>280504</v>
      </c>
    </row>
    <row r="18" spans="2:93">
      <c r="B18" s="76">
        <v>44075</v>
      </c>
      <c r="C18" s="77">
        <v>0</v>
      </c>
      <c r="D18" s="77">
        <v>18.239999999999998</v>
      </c>
      <c r="E18" s="77">
        <v>100.16</v>
      </c>
      <c r="F18" s="77">
        <v>858.96</v>
      </c>
      <c r="G18" s="77">
        <v>105.53</v>
      </c>
      <c r="H18" s="431">
        <v>-63.5</v>
      </c>
      <c r="I18" s="77">
        <v>20</v>
      </c>
      <c r="J18" s="77">
        <v>960</v>
      </c>
      <c r="K18" s="77">
        <v>100</v>
      </c>
      <c r="L18" s="104">
        <v>-167.5</v>
      </c>
      <c r="M18" s="112"/>
      <c r="O18" s="76">
        <v>44075</v>
      </c>
      <c r="P18" s="104">
        <v>0</v>
      </c>
      <c r="Q18" s="104">
        <v>21.56</v>
      </c>
      <c r="R18" s="104">
        <v>97.72</v>
      </c>
      <c r="S18" s="104">
        <v>878.12</v>
      </c>
      <c r="T18" s="104">
        <v>114.02</v>
      </c>
      <c r="U18" s="104">
        <v>-63.5</v>
      </c>
      <c r="V18" s="104">
        <v>20</v>
      </c>
      <c r="W18" s="104">
        <v>950</v>
      </c>
      <c r="X18" s="104">
        <v>100</v>
      </c>
      <c r="Y18" s="104">
        <v>-187.5</v>
      </c>
      <c r="AA18" s="76">
        <v>44075</v>
      </c>
      <c r="AB18" s="235"/>
      <c r="AC18" s="480">
        <v>3142.74</v>
      </c>
      <c r="AD18" s="480">
        <v>1756.62</v>
      </c>
      <c r="AE18" s="480">
        <v>66.47</v>
      </c>
      <c r="AF18" s="480">
        <v>67.430000000000007</v>
      </c>
      <c r="AG18" s="480">
        <v>1566.76</v>
      </c>
      <c r="AH18" s="480">
        <v>41.5</v>
      </c>
      <c r="AI18" s="480">
        <v>9.32</v>
      </c>
      <c r="AJ18" s="480">
        <v>34.979999999999997</v>
      </c>
      <c r="AK18" s="480">
        <v>41.19</v>
      </c>
      <c r="AL18" s="235">
        <f t="shared" si="3"/>
        <v>6727.0099999999993</v>
      </c>
      <c r="AM18" s="132">
        <f t="shared" si="4"/>
        <v>30.37965023093469</v>
      </c>
      <c r="AN18" s="76">
        <v>44075</v>
      </c>
      <c r="AO18" s="235"/>
      <c r="AP18" s="480">
        <v>1002.99</v>
      </c>
      <c r="AQ18" s="480">
        <v>2334.27</v>
      </c>
      <c r="AR18" s="480">
        <v>111.17</v>
      </c>
      <c r="AS18" s="480">
        <v>80.959999999999994</v>
      </c>
      <c r="AT18" s="480">
        <v>717.42</v>
      </c>
      <c r="AU18" s="480">
        <v>207.95</v>
      </c>
      <c r="AV18" s="480">
        <v>28.26</v>
      </c>
      <c r="AW18" s="480">
        <v>36.58</v>
      </c>
      <c r="AX18" s="480">
        <v>29.35</v>
      </c>
      <c r="AY18" s="235">
        <f t="shared" si="5"/>
        <v>4548.9500000000007</v>
      </c>
      <c r="AZ18" s="446">
        <f t="shared" si="6"/>
        <v>74.783344156343773</v>
      </c>
      <c r="BA18" s="235">
        <f t="shared" si="7"/>
        <v>11275.96</v>
      </c>
      <c r="BC18" s="76">
        <v>44075</v>
      </c>
      <c r="BD18" s="236">
        <f t="shared" si="8"/>
        <v>0</v>
      </c>
      <c r="BE18" s="236">
        <f t="shared" si="9"/>
        <v>78948.041999999987</v>
      </c>
      <c r="BF18" s="236">
        <f t="shared" si="10"/>
        <v>404047.92359999998</v>
      </c>
      <c r="BG18" s="236">
        <f t="shared" si="11"/>
        <v>154715.6716</v>
      </c>
      <c r="BH18" s="236">
        <f t="shared" si="12"/>
        <v>16346.947100000001</v>
      </c>
      <c r="BI18" s="236">
        <f t="shared" si="13"/>
        <v>-145045.43</v>
      </c>
      <c r="BJ18" s="236">
        <f t="shared" si="14"/>
        <v>4989</v>
      </c>
      <c r="BK18" s="236">
        <f t="shared" si="15"/>
        <v>35794.199999999997</v>
      </c>
      <c r="BL18" s="236">
        <f t="shared" si="16"/>
        <v>7156</v>
      </c>
      <c r="BM18" s="236">
        <f t="shared" si="17"/>
        <v>-12402.45</v>
      </c>
      <c r="BN18" s="237">
        <f t="shared" si="18"/>
        <v>544549.90430000005</v>
      </c>
      <c r="BP18" s="240">
        <f t="shared" si="19"/>
        <v>48.29299716387785</v>
      </c>
      <c r="BR18" s="76">
        <v>44075</v>
      </c>
      <c r="BS18" s="240" t="e">
        <f t="shared" si="20"/>
        <v>#DIV/0!</v>
      </c>
      <c r="BT18" s="240">
        <f t="shared" si="1"/>
        <v>19.043218444037599</v>
      </c>
      <c r="BU18" s="240">
        <f t="shared" si="1"/>
        <v>98.767731129411942</v>
      </c>
      <c r="BV18" s="240">
        <f t="shared" si="1"/>
        <v>870.95063949560915</v>
      </c>
      <c r="BW18" s="240">
        <f t="shared" si="1"/>
        <v>110.16205337286881</v>
      </c>
      <c r="BX18" s="240">
        <f t="shared" si="1"/>
        <v>-63.5</v>
      </c>
      <c r="BY18" s="240">
        <f t="shared" si="1"/>
        <v>20</v>
      </c>
      <c r="BZ18" s="240">
        <f t="shared" si="1"/>
        <v>952.48004257583818</v>
      </c>
      <c r="CA18" s="240">
        <f t="shared" si="1"/>
        <v>100</v>
      </c>
      <c r="CB18" s="240">
        <f t="shared" si="1"/>
        <v>-175.82151970513186</v>
      </c>
      <c r="CE18" s="442">
        <f t="shared" si="21"/>
        <v>0</v>
      </c>
      <c r="CF18" s="442">
        <f t="shared" si="22"/>
        <v>21624.464399999997</v>
      </c>
      <c r="CG18" s="442">
        <f t="shared" si="23"/>
        <v>228104.86439999999</v>
      </c>
      <c r="CH18" s="442">
        <f t="shared" si="24"/>
        <v>97620.600399999996</v>
      </c>
      <c r="CI18" s="442">
        <f t="shared" si="25"/>
        <v>9231.0591999999997</v>
      </c>
      <c r="CJ18" s="442">
        <f t="shared" si="26"/>
        <v>-45556.17</v>
      </c>
      <c r="CK18" s="442">
        <f t="shared" si="27"/>
        <v>4159</v>
      </c>
      <c r="CL18" s="442">
        <f t="shared" si="28"/>
        <v>26847</v>
      </c>
      <c r="CM18" s="442">
        <f t="shared" si="29"/>
        <v>3658</v>
      </c>
      <c r="CN18" s="442">
        <f t="shared" si="30"/>
        <v>-5503.125</v>
      </c>
      <c r="CO18" s="442">
        <f t="shared" si="31"/>
        <v>340186</v>
      </c>
    </row>
    <row r="19" spans="2:93">
      <c r="B19" s="76">
        <v>44105</v>
      </c>
      <c r="C19" s="104"/>
      <c r="D19" s="104"/>
      <c r="E19" s="104"/>
      <c r="F19" s="104"/>
      <c r="G19" s="104"/>
      <c r="H19" s="104"/>
      <c r="I19" s="104"/>
      <c r="J19" s="104"/>
      <c r="K19" s="104"/>
      <c r="L19" s="104"/>
      <c r="M19" s="112"/>
      <c r="O19" s="76">
        <v>44105</v>
      </c>
      <c r="P19" s="104"/>
      <c r="Q19" s="104"/>
      <c r="R19" s="104"/>
      <c r="S19" s="104"/>
      <c r="T19" s="104"/>
      <c r="U19" s="104"/>
      <c r="V19" s="104"/>
      <c r="W19" s="104"/>
      <c r="X19" s="104"/>
      <c r="Y19" s="104"/>
      <c r="AA19" s="76">
        <v>44105</v>
      </c>
      <c r="AB19" s="235"/>
      <c r="AC19" s="235"/>
      <c r="AD19" s="235"/>
      <c r="AE19" s="235"/>
      <c r="AF19" s="235"/>
      <c r="AG19" s="235"/>
      <c r="AH19" s="235"/>
      <c r="AI19" s="235"/>
      <c r="AJ19" s="235"/>
      <c r="AK19" s="235"/>
      <c r="AL19" s="235">
        <f t="shared" si="3"/>
        <v>0</v>
      </c>
      <c r="AM19" s="168"/>
      <c r="AN19" s="76">
        <v>44105</v>
      </c>
      <c r="AO19" s="235"/>
      <c r="AP19" s="235"/>
      <c r="AQ19" s="235"/>
      <c r="AR19" s="235"/>
      <c r="AS19" s="235"/>
      <c r="AT19" s="235"/>
      <c r="AU19" s="235"/>
      <c r="AV19" s="235"/>
      <c r="AW19" s="235"/>
      <c r="AX19" s="235"/>
      <c r="AY19" s="235">
        <f t="shared" si="5"/>
        <v>0</v>
      </c>
      <c r="AZ19" s="239"/>
      <c r="BA19" s="235">
        <f t="shared" si="7"/>
        <v>0</v>
      </c>
      <c r="BC19" s="76">
        <v>44105</v>
      </c>
      <c r="BD19" s="236">
        <f t="shared" si="8"/>
        <v>0</v>
      </c>
      <c r="BE19" s="236">
        <f t="shared" si="9"/>
        <v>0</v>
      </c>
      <c r="BF19" s="236">
        <f t="shared" si="10"/>
        <v>0</v>
      </c>
      <c r="BG19" s="236">
        <f t="shared" si="11"/>
        <v>0</v>
      </c>
      <c r="BH19" s="236">
        <f t="shared" si="12"/>
        <v>0</v>
      </c>
      <c r="BI19" s="236">
        <f t="shared" si="13"/>
        <v>0</v>
      </c>
      <c r="BJ19" s="236">
        <f t="shared" si="14"/>
        <v>0</v>
      </c>
      <c r="BK19" s="236">
        <f t="shared" si="15"/>
        <v>0</v>
      </c>
      <c r="BL19" s="236">
        <f t="shared" si="16"/>
        <v>0</v>
      </c>
      <c r="BM19" s="236">
        <f t="shared" si="17"/>
        <v>0</v>
      </c>
      <c r="BN19" s="237">
        <f t="shared" si="18"/>
        <v>0</v>
      </c>
      <c r="BP19" s="240" t="e">
        <f t="shared" si="19"/>
        <v>#DIV/0!</v>
      </c>
      <c r="BR19" s="76">
        <v>44105</v>
      </c>
      <c r="BS19" s="240" t="e">
        <f t="shared" si="20"/>
        <v>#DIV/0!</v>
      </c>
      <c r="BT19" s="240" t="e">
        <f t="shared" si="1"/>
        <v>#DIV/0!</v>
      </c>
      <c r="BU19" s="240" t="e">
        <f t="shared" si="1"/>
        <v>#DIV/0!</v>
      </c>
      <c r="BV19" s="240" t="e">
        <f t="shared" si="1"/>
        <v>#DIV/0!</v>
      </c>
      <c r="BW19" s="240" t="e">
        <f t="shared" si="1"/>
        <v>#DIV/0!</v>
      </c>
      <c r="BX19" s="240" t="e">
        <f t="shared" si="1"/>
        <v>#DIV/0!</v>
      </c>
      <c r="BY19" s="240" t="e">
        <f t="shared" si="1"/>
        <v>#DIV/0!</v>
      </c>
      <c r="BZ19" s="240" t="e">
        <f t="shared" si="1"/>
        <v>#DIV/0!</v>
      </c>
      <c r="CA19" s="240" t="e">
        <f t="shared" si="1"/>
        <v>#DIV/0!</v>
      </c>
      <c r="CB19" s="240" t="e">
        <f t="shared" si="1"/>
        <v>#DIV/0!</v>
      </c>
      <c r="CE19" s="442">
        <f t="shared" si="21"/>
        <v>0</v>
      </c>
      <c r="CF19" s="442">
        <f t="shared" si="22"/>
        <v>0</v>
      </c>
      <c r="CG19" s="442">
        <f t="shared" si="23"/>
        <v>0</v>
      </c>
      <c r="CH19" s="442">
        <f t="shared" si="24"/>
        <v>0</v>
      </c>
      <c r="CI19" s="442">
        <f t="shared" si="25"/>
        <v>0</v>
      </c>
      <c r="CJ19" s="442">
        <f t="shared" si="26"/>
        <v>0</v>
      </c>
      <c r="CK19" s="442">
        <f t="shared" si="27"/>
        <v>0</v>
      </c>
      <c r="CL19" s="442">
        <f t="shared" si="28"/>
        <v>0</v>
      </c>
      <c r="CM19" s="442">
        <f t="shared" si="29"/>
        <v>0</v>
      </c>
      <c r="CN19" s="442">
        <f t="shared" si="30"/>
        <v>0</v>
      </c>
      <c r="CO19" s="442">
        <f t="shared" si="31"/>
        <v>0</v>
      </c>
    </row>
    <row r="20" spans="2:93">
      <c r="B20" s="76">
        <v>44136</v>
      </c>
      <c r="C20" s="104"/>
      <c r="D20" s="104"/>
      <c r="E20" s="104"/>
      <c r="F20" s="104"/>
      <c r="G20" s="104"/>
      <c r="H20" s="104"/>
      <c r="I20" s="104"/>
      <c r="J20" s="104"/>
      <c r="K20" s="104"/>
      <c r="L20" s="104"/>
      <c r="M20" s="112"/>
      <c r="O20" s="76">
        <v>44136</v>
      </c>
      <c r="P20" s="104"/>
      <c r="Q20" s="104"/>
      <c r="R20" s="104"/>
      <c r="S20" s="104"/>
      <c r="T20" s="104"/>
      <c r="U20" s="104"/>
      <c r="V20" s="104"/>
      <c r="W20" s="104"/>
      <c r="X20" s="104"/>
      <c r="Y20" s="104"/>
      <c r="AA20" s="76">
        <v>44136</v>
      </c>
      <c r="AB20" s="235"/>
      <c r="AC20" s="235"/>
      <c r="AD20" s="235"/>
      <c r="AE20" s="235"/>
      <c r="AF20" s="235"/>
      <c r="AG20" s="235"/>
      <c r="AH20" s="235"/>
      <c r="AI20" s="235"/>
      <c r="AJ20" s="235"/>
      <c r="AK20" s="235"/>
      <c r="AL20" s="235">
        <f t="shared" si="3"/>
        <v>0</v>
      </c>
      <c r="AM20" s="168"/>
      <c r="AN20" s="76">
        <v>44136</v>
      </c>
      <c r="AO20" s="235"/>
      <c r="AP20" s="235"/>
      <c r="AQ20" s="235"/>
      <c r="AR20" s="235"/>
      <c r="AS20" s="235"/>
      <c r="AT20" s="235"/>
      <c r="AU20" s="235"/>
      <c r="AV20" s="235"/>
      <c r="AW20" s="235"/>
      <c r="AX20" s="235"/>
      <c r="AY20" s="235">
        <f t="shared" si="5"/>
        <v>0</v>
      </c>
      <c r="AZ20" s="239"/>
      <c r="BA20" s="235">
        <f t="shared" si="7"/>
        <v>0</v>
      </c>
      <c r="BC20" s="76">
        <v>44136</v>
      </c>
      <c r="BD20" s="236">
        <f t="shared" si="8"/>
        <v>0</v>
      </c>
      <c r="BE20" s="236">
        <f t="shared" si="9"/>
        <v>0</v>
      </c>
      <c r="BF20" s="236">
        <f t="shared" si="10"/>
        <v>0</v>
      </c>
      <c r="BG20" s="236">
        <f t="shared" si="11"/>
        <v>0</v>
      </c>
      <c r="BH20" s="236">
        <f t="shared" si="12"/>
        <v>0</v>
      </c>
      <c r="BI20" s="236">
        <f t="shared" si="13"/>
        <v>0</v>
      </c>
      <c r="BJ20" s="236">
        <f t="shared" si="14"/>
        <v>0</v>
      </c>
      <c r="BK20" s="236">
        <f t="shared" si="15"/>
        <v>0</v>
      </c>
      <c r="BL20" s="236">
        <f t="shared" si="16"/>
        <v>0</v>
      </c>
      <c r="BM20" s="236">
        <f t="shared" si="17"/>
        <v>0</v>
      </c>
      <c r="BN20" s="237">
        <f t="shared" si="18"/>
        <v>0</v>
      </c>
      <c r="BP20" s="240" t="e">
        <f t="shared" si="19"/>
        <v>#DIV/0!</v>
      </c>
      <c r="BR20" s="76">
        <v>44136</v>
      </c>
      <c r="BS20" s="240" t="e">
        <f t="shared" si="20"/>
        <v>#DIV/0!</v>
      </c>
      <c r="BT20" s="240" t="e">
        <f t="shared" si="1"/>
        <v>#DIV/0!</v>
      </c>
      <c r="BU20" s="240" t="e">
        <f t="shared" si="1"/>
        <v>#DIV/0!</v>
      </c>
      <c r="BV20" s="240" t="e">
        <f t="shared" si="1"/>
        <v>#DIV/0!</v>
      </c>
      <c r="BW20" s="240" t="e">
        <f t="shared" si="1"/>
        <v>#DIV/0!</v>
      </c>
      <c r="BX20" s="240" t="e">
        <f t="shared" si="1"/>
        <v>#DIV/0!</v>
      </c>
      <c r="BY20" s="240" t="e">
        <f t="shared" si="1"/>
        <v>#DIV/0!</v>
      </c>
      <c r="BZ20" s="240" t="e">
        <f t="shared" si="1"/>
        <v>#DIV/0!</v>
      </c>
      <c r="CA20" s="240" t="e">
        <f t="shared" si="1"/>
        <v>#DIV/0!</v>
      </c>
      <c r="CB20" s="240" t="e">
        <f t="shared" si="1"/>
        <v>#DIV/0!</v>
      </c>
      <c r="CE20" s="442">
        <f t="shared" si="21"/>
        <v>0</v>
      </c>
      <c r="CF20" s="442">
        <f t="shared" si="22"/>
        <v>0</v>
      </c>
      <c r="CG20" s="442">
        <f t="shared" si="23"/>
        <v>0</v>
      </c>
      <c r="CH20" s="442">
        <f t="shared" si="24"/>
        <v>0</v>
      </c>
      <c r="CI20" s="442">
        <f t="shared" si="25"/>
        <v>0</v>
      </c>
      <c r="CJ20" s="442">
        <f t="shared" si="26"/>
        <v>0</v>
      </c>
      <c r="CK20" s="442">
        <f t="shared" si="27"/>
        <v>0</v>
      </c>
      <c r="CL20" s="442">
        <f t="shared" si="28"/>
        <v>0</v>
      </c>
      <c r="CM20" s="442">
        <f t="shared" si="29"/>
        <v>0</v>
      </c>
      <c r="CN20" s="442">
        <f t="shared" si="30"/>
        <v>0</v>
      </c>
      <c r="CO20" s="442">
        <f t="shared" si="31"/>
        <v>0</v>
      </c>
    </row>
    <row r="21" spans="2:93">
      <c r="B21" s="76">
        <v>44166</v>
      </c>
      <c r="C21" s="104"/>
      <c r="D21" s="104"/>
      <c r="E21" s="104"/>
      <c r="F21" s="104"/>
      <c r="G21" s="104"/>
      <c r="H21" s="104"/>
      <c r="I21" s="104"/>
      <c r="J21" s="104"/>
      <c r="K21" s="104"/>
      <c r="L21" s="104"/>
      <c r="M21" s="112"/>
      <c r="O21" s="76">
        <v>44166</v>
      </c>
      <c r="P21" s="104"/>
      <c r="Q21" s="104"/>
      <c r="R21" s="104"/>
      <c r="S21" s="104"/>
      <c r="T21" s="104"/>
      <c r="U21" s="104"/>
      <c r="V21" s="104"/>
      <c r="W21" s="104"/>
      <c r="X21" s="104"/>
      <c r="Y21" s="104"/>
      <c r="AA21" s="76">
        <v>44166</v>
      </c>
      <c r="AB21" s="235"/>
      <c r="AC21" s="235"/>
      <c r="AD21" s="235"/>
      <c r="AE21" s="235"/>
      <c r="AF21" s="235"/>
      <c r="AG21" s="235"/>
      <c r="AH21" s="235"/>
      <c r="AI21" s="235"/>
      <c r="AJ21" s="235"/>
      <c r="AK21" s="235"/>
      <c r="AL21" s="235">
        <f t="shared" si="3"/>
        <v>0</v>
      </c>
      <c r="AM21" s="168"/>
      <c r="AN21" s="76">
        <v>44166</v>
      </c>
      <c r="AO21" s="235"/>
      <c r="AP21" s="235"/>
      <c r="AQ21" s="235"/>
      <c r="AR21" s="235"/>
      <c r="AS21" s="235"/>
      <c r="AT21" s="235"/>
      <c r="AU21" s="235"/>
      <c r="AV21" s="235"/>
      <c r="AW21" s="235"/>
      <c r="AX21" s="235"/>
      <c r="AY21" s="235">
        <f t="shared" si="5"/>
        <v>0</v>
      </c>
      <c r="AZ21" s="239"/>
      <c r="BA21" s="235">
        <f t="shared" si="7"/>
        <v>0</v>
      </c>
      <c r="BC21" s="76">
        <v>44166</v>
      </c>
      <c r="BD21" s="236">
        <f t="shared" si="8"/>
        <v>0</v>
      </c>
      <c r="BE21" s="236">
        <f t="shared" si="9"/>
        <v>0</v>
      </c>
      <c r="BF21" s="236">
        <f t="shared" si="10"/>
        <v>0</v>
      </c>
      <c r="BG21" s="236">
        <f t="shared" si="11"/>
        <v>0</v>
      </c>
      <c r="BH21" s="236">
        <f t="shared" si="12"/>
        <v>0</v>
      </c>
      <c r="BI21" s="236">
        <f t="shared" si="13"/>
        <v>0</v>
      </c>
      <c r="BJ21" s="236">
        <f t="shared" si="14"/>
        <v>0</v>
      </c>
      <c r="BK21" s="236">
        <f t="shared" si="15"/>
        <v>0</v>
      </c>
      <c r="BL21" s="236">
        <f t="shared" si="16"/>
        <v>0</v>
      </c>
      <c r="BM21" s="236">
        <f t="shared" si="17"/>
        <v>0</v>
      </c>
      <c r="BN21" s="237">
        <f t="shared" si="18"/>
        <v>0</v>
      </c>
      <c r="BP21" s="240" t="e">
        <f t="shared" si="19"/>
        <v>#DIV/0!</v>
      </c>
      <c r="BR21" s="76">
        <v>44166</v>
      </c>
      <c r="BS21" s="240" t="e">
        <f t="shared" si="20"/>
        <v>#DIV/0!</v>
      </c>
      <c r="BT21" s="240" t="e">
        <f t="shared" si="1"/>
        <v>#DIV/0!</v>
      </c>
      <c r="BU21" s="240" t="e">
        <f t="shared" si="1"/>
        <v>#DIV/0!</v>
      </c>
      <c r="BV21" s="240" t="e">
        <f t="shared" si="1"/>
        <v>#DIV/0!</v>
      </c>
      <c r="BW21" s="240" t="e">
        <f t="shared" si="1"/>
        <v>#DIV/0!</v>
      </c>
      <c r="BX21" s="240" t="e">
        <f t="shared" si="1"/>
        <v>#DIV/0!</v>
      </c>
      <c r="BY21" s="240" t="e">
        <f t="shared" si="1"/>
        <v>#DIV/0!</v>
      </c>
      <c r="BZ21" s="240" t="e">
        <f t="shared" si="1"/>
        <v>#DIV/0!</v>
      </c>
      <c r="CA21" s="240" t="e">
        <f t="shared" si="1"/>
        <v>#DIV/0!</v>
      </c>
      <c r="CB21" s="240" t="e">
        <f t="shared" si="1"/>
        <v>#DIV/0!</v>
      </c>
      <c r="CE21" s="442">
        <f t="shared" si="21"/>
        <v>0</v>
      </c>
      <c r="CF21" s="442">
        <f t="shared" si="22"/>
        <v>0</v>
      </c>
      <c r="CG21" s="442">
        <f t="shared" si="23"/>
        <v>0</v>
      </c>
      <c r="CH21" s="442">
        <f t="shared" si="24"/>
        <v>0</v>
      </c>
      <c r="CI21" s="442">
        <f t="shared" si="25"/>
        <v>0</v>
      </c>
      <c r="CJ21" s="442">
        <f t="shared" si="26"/>
        <v>0</v>
      </c>
      <c r="CK21" s="442">
        <f t="shared" si="27"/>
        <v>0</v>
      </c>
      <c r="CL21" s="442">
        <f t="shared" si="28"/>
        <v>0</v>
      </c>
      <c r="CM21" s="442">
        <f t="shared" si="29"/>
        <v>0</v>
      </c>
      <c r="CN21" s="442">
        <f t="shared" si="30"/>
        <v>0</v>
      </c>
      <c r="CO21" s="442">
        <f t="shared" si="31"/>
        <v>0</v>
      </c>
    </row>
    <row r="22" spans="2:93">
      <c r="B22" s="76">
        <v>44197</v>
      </c>
      <c r="C22" s="104"/>
      <c r="D22" s="104"/>
      <c r="E22" s="104"/>
      <c r="F22" s="104"/>
      <c r="G22" s="78"/>
      <c r="H22" s="77"/>
      <c r="I22" s="104"/>
      <c r="J22" s="104"/>
      <c r="K22" s="104"/>
      <c r="L22" s="104"/>
      <c r="O22" s="76">
        <v>44197</v>
      </c>
      <c r="P22" s="104"/>
      <c r="Q22" s="104"/>
      <c r="R22" s="104"/>
      <c r="S22" s="104"/>
      <c r="T22" s="104"/>
      <c r="U22" s="77"/>
      <c r="V22" s="104"/>
      <c r="W22" s="104"/>
      <c r="X22" s="104"/>
      <c r="Y22" s="104"/>
      <c r="AA22" s="76">
        <v>44197</v>
      </c>
      <c r="AB22" s="235"/>
      <c r="AC22" s="235"/>
      <c r="AD22" s="235"/>
      <c r="AE22" s="235"/>
      <c r="AF22" s="235"/>
      <c r="AG22" s="235"/>
      <c r="AH22" s="235"/>
      <c r="AI22" s="235"/>
      <c r="AJ22" s="235"/>
      <c r="AK22" s="235"/>
      <c r="AL22" s="235">
        <f t="shared" si="3"/>
        <v>0</v>
      </c>
      <c r="AM22" s="168"/>
      <c r="AN22" s="76">
        <v>44197</v>
      </c>
      <c r="AO22" s="235"/>
      <c r="AP22" s="235"/>
      <c r="AQ22" s="235"/>
      <c r="AR22" s="235"/>
      <c r="AS22" s="235"/>
      <c r="AT22" s="235"/>
      <c r="AU22" s="235"/>
      <c r="AV22" s="235"/>
      <c r="AW22" s="235"/>
      <c r="AX22" s="235"/>
      <c r="AY22" s="235">
        <f t="shared" si="5"/>
        <v>0</v>
      </c>
      <c r="AZ22" s="239"/>
      <c r="BA22" s="235">
        <f t="shared" si="7"/>
        <v>0</v>
      </c>
      <c r="BC22" s="76">
        <v>44197</v>
      </c>
      <c r="BD22" s="236">
        <f t="shared" si="8"/>
        <v>0</v>
      </c>
      <c r="BE22" s="236">
        <f t="shared" si="9"/>
        <v>0</v>
      </c>
      <c r="BF22" s="236">
        <f t="shared" si="10"/>
        <v>0</v>
      </c>
      <c r="BG22" s="236">
        <f t="shared" si="11"/>
        <v>0</v>
      </c>
      <c r="BH22" s="236">
        <f t="shared" si="12"/>
        <v>0</v>
      </c>
      <c r="BI22" s="236">
        <f t="shared" si="13"/>
        <v>0</v>
      </c>
      <c r="BJ22" s="236">
        <f t="shared" si="14"/>
        <v>0</v>
      </c>
      <c r="BK22" s="236">
        <f t="shared" si="15"/>
        <v>0</v>
      </c>
      <c r="BL22" s="236">
        <f t="shared" si="16"/>
        <v>0</v>
      </c>
      <c r="BM22" s="236">
        <f t="shared" si="17"/>
        <v>0</v>
      </c>
      <c r="BN22" s="237">
        <f t="shared" si="18"/>
        <v>0</v>
      </c>
      <c r="BP22" s="240" t="e">
        <f t="shared" si="19"/>
        <v>#DIV/0!</v>
      </c>
      <c r="BR22" s="76">
        <v>44197</v>
      </c>
      <c r="BS22" s="240" t="e">
        <f t="shared" si="20"/>
        <v>#DIV/0!</v>
      </c>
      <c r="BT22" s="240" t="e">
        <f t="shared" si="1"/>
        <v>#DIV/0!</v>
      </c>
      <c r="BU22" s="240" t="e">
        <f t="shared" si="1"/>
        <v>#DIV/0!</v>
      </c>
      <c r="BV22" s="240" t="e">
        <f t="shared" si="1"/>
        <v>#DIV/0!</v>
      </c>
      <c r="BW22" s="240" t="e">
        <f t="shared" si="1"/>
        <v>#DIV/0!</v>
      </c>
      <c r="BX22" s="240" t="e">
        <f t="shared" si="1"/>
        <v>#DIV/0!</v>
      </c>
      <c r="BY22" s="240" t="e">
        <f t="shared" si="1"/>
        <v>#DIV/0!</v>
      </c>
      <c r="BZ22" s="240" t="e">
        <f t="shared" si="1"/>
        <v>#DIV/0!</v>
      </c>
      <c r="CA22" s="240" t="e">
        <f t="shared" si="1"/>
        <v>#DIV/0!</v>
      </c>
      <c r="CB22" s="240" t="e">
        <f t="shared" si="1"/>
        <v>#DIV/0!</v>
      </c>
      <c r="CE22" s="442">
        <f t="shared" si="21"/>
        <v>0</v>
      </c>
      <c r="CF22" s="442">
        <f t="shared" si="22"/>
        <v>0</v>
      </c>
      <c r="CG22" s="442">
        <f t="shared" si="23"/>
        <v>0</v>
      </c>
      <c r="CH22" s="442">
        <f t="shared" si="24"/>
        <v>0</v>
      </c>
      <c r="CI22" s="442">
        <f t="shared" si="25"/>
        <v>0</v>
      </c>
      <c r="CJ22" s="442">
        <f t="shared" si="26"/>
        <v>0</v>
      </c>
      <c r="CK22" s="442">
        <f t="shared" si="27"/>
        <v>0</v>
      </c>
      <c r="CL22" s="442">
        <f t="shared" si="28"/>
        <v>0</v>
      </c>
      <c r="CM22" s="442">
        <f t="shared" si="29"/>
        <v>0</v>
      </c>
      <c r="CN22" s="442">
        <f t="shared" si="30"/>
        <v>0</v>
      </c>
      <c r="CO22" s="442">
        <f t="shared" si="31"/>
        <v>0</v>
      </c>
    </row>
    <row r="23" spans="2:93">
      <c r="B23" s="76">
        <v>44228</v>
      </c>
      <c r="C23" s="104"/>
      <c r="D23" s="104"/>
      <c r="E23" s="104"/>
      <c r="F23" s="104"/>
      <c r="G23" s="104"/>
      <c r="H23" s="77"/>
      <c r="I23" s="78"/>
      <c r="J23" s="104"/>
      <c r="K23" s="104"/>
      <c r="L23" s="104"/>
      <c r="M23" s="112"/>
      <c r="O23" s="76">
        <v>44228</v>
      </c>
      <c r="P23" s="104"/>
      <c r="Q23" s="104"/>
      <c r="R23" s="104"/>
      <c r="S23" s="104"/>
      <c r="T23" s="104"/>
      <c r="U23" s="77"/>
      <c r="V23" s="104"/>
      <c r="W23" s="104"/>
      <c r="X23" s="104"/>
      <c r="Y23" s="104"/>
      <c r="AA23" s="76">
        <v>44228</v>
      </c>
      <c r="AB23" s="235"/>
      <c r="AC23" s="235"/>
      <c r="AD23" s="235"/>
      <c r="AE23" s="235"/>
      <c r="AF23" s="235"/>
      <c r="AG23" s="235"/>
      <c r="AH23" s="235"/>
      <c r="AI23" s="235"/>
      <c r="AJ23" s="235"/>
      <c r="AK23" s="235"/>
      <c r="AL23" s="235">
        <f t="shared" si="3"/>
        <v>0</v>
      </c>
      <c r="AM23" s="168"/>
      <c r="AN23" s="76">
        <v>44228</v>
      </c>
      <c r="AO23" s="235"/>
      <c r="AP23" s="235"/>
      <c r="AQ23" s="235"/>
      <c r="AR23" s="235"/>
      <c r="AS23" s="235"/>
      <c r="AT23" s="235"/>
      <c r="AU23" s="235"/>
      <c r="AV23" s="235"/>
      <c r="AW23" s="235"/>
      <c r="AX23" s="235"/>
      <c r="AY23" s="235">
        <f t="shared" si="5"/>
        <v>0</v>
      </c>
      <c r="AZ23" s="239"/>
      <c r="BA23" s="235">
        <f t="shared" si="7"/>
        <v>0</v>
      </c>
      <c r="BC23" s="76">
        <v>44228</v>
      </c>
      <c r="BD23" s="236">
        <f t="shared" si="8"/>
        <v>0</v>
      </c>
      <c r="BE23" s="236">
        <f t="shared" ref="BE23:BE30" si="32">+AC23*D23+Q23*AP23</f>
        <v>0</v>
      </c>
      <c r="BF23" s="236">
        <f t="shared" ref="BF23:BF30" si="33">+AD23*E23+R23*AQ23</f>
        <v>0</v>
      </c>
      <c r="BG23" s="236">
        <f t="shared" ref="BG23:BG30" si="34">+AE23*F23+S23*AR23</f>
        <v>0</v>
      </c>
      <c r="BH23" s="236">
        <f t="shared" ref="BH23:BH30" si="35">+AF23*G23+T23*AS23</f>
        <v>0</v>
      </c>
      <c r="BI23" s="236">
        <f t="shared" ref="BI23:BI30" si="36">+AG23*H23+U23*AT23</f>
        <v>0</v>
      </c>
      <c r="BJ23" s="236">
        <f t="shared" ref="BJ23:BJ30" si="37">+AH23*I23+V23*AU23</f>
        <v>0</v>
      </c>
      <c r="BK23" s="236">
        <f t="shared" ref="BK23:BK30" si="38">+AI23*J23+W23*AV23</f>
        <v>0</v>
      </c>
      <c r="BL23" s="236">
        <f t="shared" ref="BL23:BL30" si="39">+AJ23*K23+X23*AW23</f>
        <v>0</v>
      </c>
      <c r="BM23" s="236">
        <f t="shared" ref="BM23:BM30" si="40">+AK23*L23+Y23*AX23</f>
        <v>0</v>
      </c>
      <c r="BN23" s="237">
        <f t="shared" si="18"/>
        <v>0</v>
      </c>
      <c r="BP23" s="240" t="e">
        <f t="shared" si="19"/>
        <v>#DIV/0!</v>
      </c>
      <c r="BR23" s="76">
        <v>44228</v>
      </c>
      <c r="BS23" s="240" t="e">
        <f t="shared" si="20"/>
        <v>#DIV/0!</v>
      </c>
      <c r="BT23" s="240" t="e">
        <f t="shared" ref="BT23:BT30" si="41">+BE23/(AP23+AC23)</f>
        <v>#DIV/0!</v>
      </c>
      <c r="BU23" s="240" t="e">
        <f t="shared" ref="BU23:BU30" si="42">+BF23/(AQ23+AD23)</f>
        <v>#DIV/0!</v>
      </c>
      <c r="BV23" s="240" t="e">
        <f t="shared" ref="BV23:BV30" si="43">+BG23/(AR23+AE23)</f>
        <v>#DIV/0!</v>
      </c>
      <c r="BW23" s="240" t="e">
        <f t="shared" ref="BW23:BW30" si="44">+BH23/(AS23+AF23)</f>
        <v>#DIV/0!</v>
      </c>
      <c r="BX23" s="240" t="e">
        <f t="shared" ref="BX23:BX30" si="45">+BI23/(AT23+AG23)</f>
        <v>#DIV/0!</v>
      </c>
      <c r="BY23" s="240" t="e">
        <f t="shared" ref="BY23:BY30" si="46">+BJ23/(AU23+AH23)</f>
        <v>#DIV/0!</v>
      </c>
      <c r="BZ23" s="240" t="e">
        <f t="shared" ref="BZ23:BZ30" si="47">+BK23/(AV23+AI23)</f>
        <v>#DIV/0!</v>
      </c>
      <c r="CA23" s="240" t="e">
        <f t="shared" ref="CA23:CA30" si="48">+BL23/(AW23+AJ23)</f>
        <v>#DIV/0!</v>
      </c>
      <c r="CB23" s="240" t="e">
        <f t="shared" ref="CB23:CB30" si="49">+BM23/(AX23+AK23)</f>
        <v>#DIV/0!</v>
      </c>
      <c r="CE23" s="442">
        <f t="shared" si="21"/>
        <v>0</v>
      </c>
      <c r="CF23" s="442">
        <f t="shared" si="22"/>
        <v>0</v>
      </c>
      <c r="CG23" s="442">
        <f t="shared" si="23"/>
        <v>0</v>
      </c>
      <c r="CH23" s="442">
        <f t="shared" si="24"/>
        <v>0</v>
      </c>
      <c r="CI23" s="442">
        <f t="shared" si="25"/>
        <v>0</v>
      </c>
      <c r="CJ23" s="442">
        <f t="shared" si="26"/>
        <v>0</v>
      </c>
      <c r="CK23" s="442">
        <f t="shared" si="27"/>
        <v>0</v>
      </c>
      <c r="CL23" s="442">
        <f t="shared" si="28"/>
        <v>0</v>
      </c>
      <c r="CM23" s="442">
        <f t="shared" si="29"/>
        <v>0</v>
      </c>
      <c r="CN23" s="442">
        <f t="shared" si="30"/>
        <v>0</v>
      </c>
      <c r="CO23" s="442">
        <f t="shared" si="31"/>
        <v>0</v>
      </c>
    </row>
    <row r="24" spans="2:93">
      <c r="B24" s="76">
        <v>44256</v>
      </c>
      <c r="C24" s="104"/>
      <c r="D24" s="104"/>
      <c r="E24" s="104"/>
      <c r="F24" s="104"/>
      <c r="G24" s="104"/>
      <c r="H24" s="104"/>
      <c r="I24" s="104"/>
      <c r="J24" s="104"/>
      <c r="K24" s="104"/>
      <c r="L24" s="104"/>
      <c r="M24" s="112"/>
      <c r="O24" s="76">
        <v>44256</v>
      </c>
      <c r="P24" s="104"/>
      <c r="Q24" s="104"/>
      <c r="R24" s="104"/>
      <c r="S24" s="104"/>
      <c r="T24" s="104"/>
      <c r="U24" s="104"/>
      <c r="V24" s="104"/>
      <c r="W24" s="104"/>
      <c r="X24" s="104"/>
      <c r="Y24" s="104"/>
      <c r="AA24" s="76">
        <v>44256</v>
      </c>
      <c r="AB24" s="235"/>
      <c r="AC24" s="235"/>
      <c r="AD24" s="235"/>
      <c r="AE24" s="235"/>
      <c r="AF24" s="235"/>
      <c r="AG24" s="235"/>
      <c r="AH24" s="235"/>
      <c r="AI24" s="235"/>
      <c r="AJ24" s="235"/>
      <c r="AK24" s="235"/>
      <c r="AL24" s="235">
        <f t="shared" si="3"/>
        <v>0</v>
      </c>
      <c r="AM24" s="168"/>
      <c r="AN24" s="76">
        <v>44256</v>
      </c>
      <c r="AO24" s="235"/>
      <c r="AP24" s="235"/>
      <c r="AQ24" s="235"/>
      <c r="AR24" s="235"/>
      <c r="AS24" s="235"/>
      <c r="AT24" s="235"/>
      <c r="AU24" s="235"/>
      <c r="AV24" s="235"/>
      <c r="AW24" s="235"/>
      <c r="AX24" s="235"/>
      <c r="AY24" s="235">
        <f t="shared" si="5"/>
        <v>0</v>
      </c>
      <c r="AZ24" s="239"/>
      <c r="BA24" s="235">
        <f t="shared" si="7"/>
        <v>0</v>
      </c>
      <c r="BC24" s="76">
        <v>44256</v>
      </c>
      <c r="BD24" s="236">
        <f t="shared" si="8"/>
        <v>0</v>
      </c>
      <c r="BE24" s="236">
        <f t="shared" si="32"/>
        <v>0</v>
      </c>
      <c r="BF24" s="236">
        <f t="shared" si="33"/>
        <v>0</v>
      </c>
      <c r="BG24" s="236">
        <f t="shared" si="34"/>
        <v>0</v>
      </c>
      <c r="BH24" s="236">
        <f t="shared" si="35"/>
        <v>0</v>
      </c>
      <c r="BI24" s="236">
        <f t="shared" si="36"/>
        <v>0</v>
      </c>
      <c r="BJ24" s="236">
        <f t="shared" si="37"/>
        <v>0</v>
      </c>
      <c r="BK24" s="236">
        <f t="shared" si="38"/>
        <v>0</v>
      </c>
      <c r="BL24" s="236">
        <f t="shared" si="39"/>
        <v>0</v>
      </c>
      <c r="BM24" s="236">
        <f t="shared" si="40"/>
        <v>0</v>
      </c>
      <c r="BN24" s="237">
        <f t="shared" si="18"/>
        <v>0</v>
      </c>
      <c r="BP24" s="240" t="e">
        <f t="shared" si="19"/>
        <v>#DIV/0!</v>
      </c>
      <c r="BR24" s="76">
        <v>44256</v>
      </c>
      <c r="BS24" s="240">
        <v>0</v>
      </c>
      <c r="BT24" s="240" t="e">
        <f t="shared" si="41"/>
        <v>#DIV/0!</v>
      </c>
      <c r="BU24" s="240" t="e">
        <f t="shared" si="42"/>
        <v>#DIV/0!</v>
      </c>
      <c r="BV24" s="240" t="e">
        <f t="shared" si="43"/>
        <v>#DIV/0!</v>
      </c>
      <c r="BW24" s="240" t="e">
        <f t="shared" si="44"/>
        <v>#DIV/0!</v>
      </c>
      <c r="BX24" s="240" t="e">
        <f t="shared" si="45"/>
        <v>#DIV/0!</v>
      </c>
      <c r="BY24" s="240" t="e">
        <f t="shared" si="46"/>
        <v>#DIV/0!</v>
      </c>
      <c r="BZ24" s="240" t="e">
        <f t="shared" si="47"/>
        <v>#DIV/0!</v>
      </c>
      <c r="CA24" s="240" t="e">
        <f t="shared" si="48"/>
        <v>#DIV/0!</v>
      </c>
      <c r="CB24" s="240" t="e">
        <f t="shared" si="49"/>
        <v>#DIV/0!</v>
      </c>
      <c r="CE24" s="442">
        <f t="shared" si="21"/>
        <v>0</v>
      </c>
      <c r="CF24" s="442">
        <f t="shared" si="22"/>
        <v>0</v>
      </c>
      <c r="CG24" s="442">
        <f t="shared" si="23"/>
        <v>0</v>
      </c>
      <c r="CH24" s="442">
        <f t="shared" si="24"/>
        <v>0</v>
      </c>
      <c r="CI24" s="442">
        <f t="shared" si="25"/>
        <v>0</v>
      </c>
      <c r="CJ24" s="442">
        <f t="shared" si="26"/>
        <v>0</v>
      </c>
      <c r="CK24" s="442">
        <f t="shared" si="27"/>
        <v>0</v>
      </c>
      <c r="CL24" s="442">
        <f t="shared" si="28"/>
        <v>0</v>
      </c>
      <c r="CM24" s="442">
        <f t="shared" si="29"/>
        <v>0</v>
      </c>
      <c r="CN24" s="442">
        <f t="shared" si="30"/>
        <v>0</v>
      </c>
      <c r="CO24" s="442">
        <f t="shared" si="31"/>
        <v>0</v>
      </c>
    </row>
    <row r="25" spans="2:93">
      <c r="B25" s="76">
        <v>44287</v>
      </c>
      <c r="C25" s="78"/>
      <c r="D25" s="78"/>
      <c r="E25" s="78"/>
      <c r="F25" s="78"/>
      <c r="G25" s="78"/>
      <c r="H25" s="77"/>
      <c r="I25" s="78"/>
      <c r="J25" s="104"/>
      <c r="K25" s="104"/>
      <c r="L25" s="104"/>
      <c r="M25" s="112"/>
      <c r="O25" s="76">
        <v>44287</v>
      </c>
      <c r="P25" s="78"/>
      <c r="Q25" s="78"/>
      <c r="R25" s="78"/>
      <c r="S25" s="78"/>
      <c r="T25" s="78"/>
      <c r="U25" s="77"/>
      <c r="V25" s="78"/>
      <c r="W25" s="104"/>
      <c r="X25" s="104"/>
      <c r="Y25" s="104"/>
      <c r="AA25" s="76">
        <v>44287</v>
      </c>
      <c r="AB25" s="235"/>
      <c r="AC25" s="235"/>
      <c r="AD25" s="235"/>
      <c r="AE25" s="235"/>
      <c r="AF25" s="235"/>
      <c r="AG25" s="235"/>
      <c r="AH25" s="235"/>
      <c r="AI25" s="235"/>
      <c r="AJ25" s="235"/>
      <c r="AK25" s="235"/>
      <c r="AL25" s="235">
        <f t="shared" si="3"/>
        <v>0</v>
      </c>
      <c r="AM25" s="168"/>
      <c r="AN25" s="76">
        <v>44287</v>
      </c>
      <c r="AO25" s="235"/>
      <c r="AP25" s="235"/>
      <c r="AQ25" s="235"/>
      <c r="AR25" s="235"/>
      <c r="AS25" s="235"/>
      <c r="AT25" s="235"/>
      <c r="AU25" s="235"/>
      <c r="AV25" s="235"/>
      <c r="AW25" s="235"/>
      <c r="AX25" s="235"/>
      <c r="AY25" s="235">
        <f t="shared" si="5"/>
        <v>0</v>
      </c>
      <c r="AZ25" s="239"/>
      <c r="BA25" s="235">
        <f t="shared" si="7"/>
        <v>0</v>
      </c>
      <c r="BC25" s="76">
        <v>44287</v>
      </c>
      <c r="BD25" s="236">
        <f t="shared" si="8"/>
        <v>0</v>
      </c>
      <c r="BE25" s="236">
        <f t="shared" si="32"/>
        <v>0</v>
      </c>
      <c r="BF25" s="236">
        <f t="shared" si="33"/>
        <v>0</v>
      </c>
      <c r="BG25" s="236">
        <f t="shared" si="34"/>
        <v>0</v>
      </c>
      <c r="BH25" s="236">
        <f t="shared" si="35"/>
        <v>0</v>
      </c>
      <c r="BI25" s="236">
        <f t="shared" si="36"/>
        <v>0</v>
      </c>
      <c r="BJ25" s="236">
        <f t="shared" si="37"/>
        <v>0</v>
      </c>
      <c r="BK25" s="236">
        <f t="shared" si="38"/>
        <v>0</v>
      </c>
      <c r="BL25" s="236">
        <f t="shared" si="39"/>
        <v>0</v>
      </c>
      <c r="BM25" s="236">
        <f t="shared" si="40"/>
        <v>0</v>
      </c>
      <c r="BN25" s="237">
        <f t="shared" si="18"/>
        <v>0</v>
      </c>
      <c r="BP25" s="240" t="e">
        <f t="shared" si="19"/>
        <v>#DIV/0!</v>
      </c>
      <c r="BR25" s="76">
        <v>44287</v>
      </c>
      <c r="BS25" s="240">
        <v>0</v>
      </c>
      <c r="BT25" s="240" t="e">
        <f t="shared" si="41"/>
        <v>#DIV/0!</v>
      </c>
      <c r="BU25" s="240" t="e">
        <f t="shared" si="42"/>
        <v>#DIV/0!</v>
      </c>
      <c r="BV25" s="240" t="e">
        <f t="shared" si="43"/>
        <v>#DIV/0!</v>
      </c>
      <c r="BW25" s="240" t="e">
        <f t="shared" si="44"/>
        <v>#DIV/0!</v>
      </c>
      <c r="BX25" s="240" t="e">
        <f t="shared" si="45"/>
        <v>#DIV/0!</v>
      </c>
      <c r="BY25" s="240" t="e">
        <f t="shared" si="46"/>
        <v>#DIV/0!</v>
      </c>
      <c r="BZ25" s="240" t="e">
        <f t="shared" si="47"/>
        <v>#DIV/0!</v>
      </c>
      <c r="CA25" s="240" t="e">
        <f t="shared" si="48"/>
        <v>#DIV/0!</v>
      </c>
      <c r="CB25" s="240" t="e">
        <f t="shared" si="49"/>
        <v>#DIV/0!</v>
      </c>
      <c r="CE25" s="442">
        <f t="shared" si="21"/>
        <v>0</v>
      </c>
      <c r="CF25" s="442">
        <f t="shared" si="22"/>
        <v>0</v>
      </c>
      <c r="CG25" s="442">
        <f t="shared" si="23"/>
        <v>0</v>
      </c>
      <c r="CH25" s="442">
        <f t="shared" si="24"/>
        <v>0</v>
      </c>
      <c r="CI25" s="442">
        <f t="shared" si="25"/>
        <v>0</v>
      </c>
      <c r="CJ25" s="442">
        <f t="shared" si="26"/>
        <v>0</v>
      </c>
      <c r="CK25" s="442">
        <f t="shared" si="27"/>
        <v>0</v>
      </c>
      <c r="CL25" s="442">
        <f t="shared" si="28"/>
        <v>0</v>
      </c>
      <c r="CM25" s="442">
        <f t="shared" si="29"/>
        <v>0</v>
      </c>
      <c r="CN25" s="442">
        <f t="shared" si="30"/>
        <v>0</v>
      </c>
      <c r="CO25" s="442">
        <f t="shared" si="31"/>
        <v>0</v>
      </c>
    </row>
    <row r="26" spans="2:93">
      <c r="B26" s="76">
        <v>44317</v>
      </c>
      <c r="C26" s="78"/>
      <c r="D26" s="78"/>
      <c r="E26" s="78"/>
      <c r="F26" s="78"/>
      <c r="G26" s="78"/>
      <c r="H26" s="77"/>
      <c r="I26" s="78"/>
      <c r="J26" s="78"/>
      <c r="K26" s="124"/>
      <c r="L26" s="78"/>
      <c r="M26" s="112"/>
      <c r="O26" s="76">
        <v>44317</v>
      </c>
      <c r="P26" s="78"/>
      <c r="Q26" s="78"/>
      <c r="R26" s="78"/>
      <c r="S26" s="78"/>
      <c r="T26" s="78"/>
      <c r="U26" s="77"/>
      <c r="V26" s="78"/>
      <c r="W26" s="78"/>
      <c r="X26" s="124"/>
      <c r="Y26" s="78"/>
      <c r="AA26" s="76">
        <v>44317</v>
      </c>
      <c r="AB26" s="235"/>
      <c r="AC26" s="235"/>
      <c r="AD26" s="235"/>
      <c r="AE26" s="235"/>
      <c r="AF26" s="235"/>
      <c r="AG26" s="235"/>
      <c r="AH26" s="235"/>
      <c r="AI26" s="235"/>
      <c r="AJ26" s="235"/>
      <c r="AK26" s="235"/>
      <c r="AL26" s="235">
        <f t="shared" si="3"/>
        <v>0</v>
      </c>
      <c r="AN26" s="76">
        <v>44317</v>
      </c>
      <c r="AO26" s="235"/>
      <c r="AP26" s="235"/>
      <c r="AQ26" s="235"/>
      <c r="AR26" s="235"/>
      <c r="AS26" s="235"/>
      <c r="AT26" s="235"/>
      <c r="AU26" s="235"/>
      <c r="AV26" s="235"/>
      <c r="AW26" s="235"/>
      <c r="AX26" s="235"/>
      <c r="AY26" s="235">
        <f t="shared" si="5"/>
        <v>0</v>
      </c>
      <c r="AZ26" s="239"/>
      <c r="BA26" s="235">
        <f t="shared" si="7"/>
        <v>0</v>
      </c>
      <c r="BC26" s="76">
        <v>44317</v>
      </c>
      <c r="BD26" s="236">
        <f t="shared" si="8"/>
        <v>0</v>
      </c>
      <c r="BE26" s="236">
        <f t="shared" si="32"/>
        <v>0</v>
      </c>
      <c r="BF26" s="236">
        <f t="shared" si="33"/>
        <v>0</v>
      </c>
      <c r="BG26" s="236">
        <f t="shared" si="34"/>
        <v>0</v>
      </c>
      <c r="BH26" s="236">
        <f t="shared" si="35"/>
        <v>0</v>
      </c>
      <c r="BI26" s="236">
        <f t="shared" si="36"/>
        <v>0</v>
      </c>
      <c r="BJ26" s="236">
        <f t="shared" si="37"/>
        <v>0</v>
      </c>
      <c r="BK26" s="236">
        <f t="shared" si="38"/>
        <v>0</v>
      </c>
      <c r="BL26" s="236">
        <f t="shared" si="39"/>
        <v>0</v>
      </c>
      <c r="BM26" s="236">
        <f t="shared" si="40"/>
        <v>0</v>
      </c>
      <c r="BN26" s="237">
        <f t="shared" si="18"/>
        <v>0</v>
      </c>
      <c r="BP26" s="240" t="e">
        <f t="shared" si="19"/>
        <v>#DIV/0!</v>
      </c>
      <c r="BR26" s="76">
        <v>44317</v>
      </c>
      <c r="BS26" s="240">
        <v>0</v>
      </c>
      <c r="BT26" s="240" t="e">
        <f t="shared" si="41"/>
        <v>#DIV/0!</v>
      </c>
      <c r="BU26" s="240" t="e">
        <f t="shared" si="42"/>
        <v>#DIV/0!</v>
      </c>
      <c r="BV26" s="240" t="e">
        <f t="shared" si="43"/>
        <v>#DIV/0!</v>
      </c>
      <c r="BW26" s="240" t="e">
        <f t="shared" si="44"/>
        <v>#DIV/0!</v>
      </c>
      <c r="BX26" s="240" t="e">
        <f t="shared" si="45"/>
        <v>#DIV/0!</v>
      </c>
      <c r="BY26" s="240" t="e">
        <f t="shared" si="46"/>
        <v>#DIV/0!</v>
      </c>
      <c r="BZ26" s="240" t="e">
        <f t="shared" si="47"/>
        <v>#DIV/0!</v>
      </c>
      <c r="CA26" s="240" t="e">
        <f t="shared" si="48"/>
        <v>#DIV/0!</v>
      </c>
      <c r="CB26" s="240" t="e">
        <f t="shared" si="49"/>
        <v>#DIV/0!</v>
      </c>
      <c r="CE26" s="442">
        <f t="shared" si="21"/>
        <v>0</v>
      </c>
      <c r="CF26" s="442">
        <f t="shared" si="22"/>
        <v>0</v>
      </c>
      <c r="CG26" s="442">
        <f t="shared" si="23"/>
        <v>0</v>
      </c>
      <c r="CH26" s="442">
        <f t="shared" si="24"/>
        <v>0</v>
      </c>
      <c r="CI26" s="442">
        <f t="shared" si="25"/>
        <v>0</v>
      </c>
      <c r="CJ26" s="442">
        <f t="shared" si="26"/>
        <v>0</v>
      </c>
      <c r="CK26" s="442">
        <f t="shared" si="27"/>
        <v>0</v>
      </c>
      <c r="CL26" s="442">
        <f t="shared" si="28"/>
        <v>0</v>
      </c>
      <c r="CM26" s="442">
        <f t="shared" si="29"/>
        <v>0</v>
      </c>
      <c r="CN26" s="442">
        <f t="shared" si="30"/>
        <v>0</v>
      </c>
      <c r="CO26" s="442">
        <f t="shared" si="31"/>
        <v>0</v>
      </c>
    </row>
    <row r="27" spans="2:93">
      <c r="B27" s="76">
        <v>44348</v>
      </c>
      <c r="C27" s="78"/>
      <c r="D27" s="78"/>
      <c r="E27" s="78"/>
      <c r="F27" s="78"/>
      <c r="G27" s="78"/>
      <c r="H27" s="77"/>
      <c r="I27" s="78"/>
      <c r="J27" s="78"/>
      <c r="K27" s="124"/>
      <c r="L27" s="78"/>
      <c r="M27" s="112"/>
      <c r="O27" s="76">
        <v>44348</v>
      </c>
      <c r="P27" s="78"/>
      <c r="Q27" s="78"/>
      <c r="R27" s="78"/>
      <c r="S27" s="78"/>
      <c r="T27" s="78"/>
      <c r="U27" s="77"/>
      <c r="V27" s="78"/>
      <c r="W27" s="78"/>
      <c r="X27" s="124"/>
      <c r="Y27" s="78"/>
      <c r="AA27" s="76">
        <v>44348</v>
      </c>
      <c r="AB27" s="235"/>
      <c r="AC27" s="235"/>
      <c r="AD27" s="235"/>
      <c r="AE27" s="235"/>
      <c r="AF27" s="235"/>
      <c r="AG27" s="235"/>
      <c r="AH27" s="235"/>
      <c r="AI27" s="235"/>
      <c r="AJ27" s="235"/>
      <c r="AK27" s="235"/>
      <c r="AL27" s="235">
        <f t="shared" si="3"/>
        <v>0</v>
      </c>
      <c r="AN27" s="76">
        <v>44348</v>
      </c>
      <c r="AO27" s="235"/>
      <c r="AP27" s="235"/>
      <c r="AQ27" s="235"/>
      <c r="AR27" s="235"/>
      <c r="AS27" s="235"/>
      <c r="AT27" s="235"/>
      <c r="AU27" s="235"/>
      <c r="AV27" s="235"/>
      <c r="AW27" s="235"/>
      <c r="AX27" s="235"/>
      <c r="AY27" s="235">
        <f t="shared" si="5"/>
        <v>0</v>
      </c>
      <c r="AZ27" s="239"/>
      <c r="BA27" s="235">
        <f t="shared" si="7"/>
        <v>0</v>
      </c>
      <c r="BC27" s="76">
        <v>44348</v>
      </c>
      <c r="BD27" s="236">
        <f t="shared" si="8"/>
        <v>0</v>
      </c>
      <c r="BE27" s="236">
        <f t="shared" si="32"/>
        <v>0</v>
      </c>
      <c r="BF27" s="236">
        <f t="shared" si="33"/>
        <v>0</v>
      </c>
      <c r="BG27" s="236">
        <f t="shared" si="34"/>
        <v>0</v>
      </c>
      <c r="BH27" s="236">
        <f t="shared" si="35"/>
        <v>0</v>
      </c>
      <c r="BI27" s="236">
        <f t="shared" si="36"/>
        <v>0</v>
      </c>
      <c r="BJ27" s="236">
        <f t="shared" si="37"/>
        <v>0</v>
      </c>
      <c r="BK27" s="236">
        <f t="shared" si="38"/>
        <v>0</v>
      </c>
      <c r="BL27" s="236">
        <f t="shared" si="39"/>
        <v>0</v>
      </c>
      <c r="BM27" s="236">
        <f t="shared" si="40"/>
        <v>0</v>
      </c>
      <c r="BN27" s="237">
        <f t="shared" si="18"/>
        <v>0</v>
      </c>
      <c r="BP27" s="240" t="e">
        <f t="shared" si="19"/>
        <v>#DIV/0!</v>
      </c>
      <c r="BR27" s="76">
        <v>44348</v>
      </c>
      <c r="BS27" s="240">
        <v>0</v>
      </c>
      <c r="BT27" s="240" t="e">
        <f t="shared" si="41"/>
        <v>#DIV/0!</v>
      </c>
      <c r="BU27" s="240" t="e">
        <f t="shared" si="42"/>
        <v>#DIV/0!</v>
      </c>
      <c r="BV27" s="240" t="e">
        <f t="shared" si="43"/>
        <v>#DIV/0!</v>
      </c>
      <c r="BW27" s="240" t="e">
        <f t="shared" si="44"/>
        <v>#DIV/0!</v>
      </c>
      <c r="BX27" s="240" t="e">
        <f t="shared" si="45"/>
        <v>#DIV/0!</v>
      </c>
      <c r="BY27" s="240" t="e">
        <f t="shared" si="46"/>
        <v>#DIV/0!</v>
      </c>
      <c r="BZ27" s="240" t="e">
        <f t="shared" si="47"/>
        <v>#DIV/0!</v>
      </c>
      <c r="CA27" s="240" t="e">
        <f t="shared" si="48"/>
        <v>#DIV/0!</v>
      </c>
      <c r="CB27" s="240" t="e">
        <f t="shared" si="49"/>
        <v>#DIV/0!</v>
      </c>
      <c r="CE27" s="442">
        <f t="shared" si="21"/>
        <v>0</v>
      </c>
      <c r="CF27" s="442">
        <f t="shared" si="22"/>
        <v>0</v>
      </c>
      <c r="CG27" s="442">
        <f t="shared" si="23"/>
        <v>0</v>
      </c>
      <c r="CH27" s="442">
        <f t="shared" si="24"/>
        <v>0</v>
      </c>
      <c r="CI27" s="442">
        <f t="shared" si="25"/>
        <v>0</v>
      </c>
      <c r="CJ27" s="442">
        <f t="shared" si="26"/>
        <v>0</v>
      </c>
      <c r="CK27" s="442">
        <f t="shared" si="27"/>
        <v>0</v>
      </c>
      <c r="CL27" s="442">
        <f t="shared" si="28"/>
        <v>0</v>
      </c>
      <c r="CM27" s="442">
        <f t="shared" si="29"/>
        <v>0</v>
      </c>
      <c r="CN27" s="442">
        <f t="shared" si="30"/>
        <v>0</v>
      </c>
      <c r="CO27" s="442">
        <f t="shared" si="31"/>
        <v>0</v>
      </c>
    </row>
    <row r="28" spans="2:93">
      <c r="B28" s="76">
        <v>44378</v>
      </c>
      <c r="C28" s="78"/>
      <c r="D28" s="78"/>
      <c r="E28" s="78"/>
      <c r="F28" s="78"/>
      <c r="G28" s="78"/>
      <c r="H28" s="77"/>
      <c r="I28" s="78"/>
      <c r="J28" s="78"/>
      <c r="K28" s="124"/>
      <c r="L28" s="78"/>
      <c r="M28" s="112"/>
      <c r="O28" s="76">
        <v>44378</v>
      </c>
      <c r="P28" s="78"/>
      <c r="Q28" s="78"/>
      <c r="R28" s="78"/>
      <c r="S28" s="78"/>
      <c r="T28" s="78"/>
      <c r="U28" s="77"/>
      <c r="V28" s="78"/>
      <c r="W28" s="78"/>
      <c r="X28" s="124"/>
      <c r="Y28" s="78"/>
      <c r="AA28" s="76">
        <v>44378</v>
      </c>
      <c r="AB28" s="235"/>
      <c r="AC28" s="235"/>
      <c r="AD28" s="235"/>
      <c r="AE28" s="235"/>
      <c r="AF28" s="235"/>
      <c r="AG28" s="235"/>
      <c r="AH28" s="235"/>
      <c r="AI28" s="235"/>
      <c r="AJ28" s="235"/>
      <c r="AK28" s="235"/>
      <c r="AL28" s="235">
        <f t="shared" si="3"/>
        <v>0</v>
      </c>
      <c r="AN28" s="76">
        <v>44378</v>
      </c>
      <c r="AO28" s="235"/>
      <c r="AP28" s="235"/>
      <c r="AQ28" s="235"/>
      <c r="AR28" s="235"/>
      <c r="AS28" s="235"/>
      <c r="AT28" s="235"/>
      <c r="AU28" s="235"/>
      <c r="AV28" s="235"/>
      <c r="AW28" s="235"/>
      <c r="AX28" s="235"/>
      <c r="AY28" s="235">
        <f t="shared" si="5"/>
        <v>0</v>
      </c>
      <c r="AZ28" s="239"/>
      <c r="BA28" s="235">
        <f t="shared" si="7"/>
        <v>0</v>
      </c>
      <c r="BC28" s="76">
        <v>44378</v>
      </c>
      <c r="BD28" s="236">
        <f t="shared" si="8"/>
        <v>0</v>
      </c>
      <c r="BE28" s="236">
        <f t="shared" si="32"/>
        <v>0</v>
      </c>
      <c r="BF28" s="236">
        <f t="shared" si="33"/>
        <v>0</v>
      </c>
      <c r="BG28" s="236">
        <f t="shared" si="34"/>
        <v>0</v>
      </c>
      <c r="BH28" s="236">
        <f t="shared" si="35"/>
        <v>0</v>
      </c>
      <c r="BI28" s="236">
        <f t="shared" si="36"/>
        <v>0</v>
      </c>
      <c r="BJ28" s="236">
        <f t="shared" si="37"/>
        <v>0</v>
      </c>
      <c r="BK28" s="236">
        <f t="shared" si="38"/>
        <v>0</v>
      </c>
      <c r="BL28" s="236">
        <f t="shared" si="39"/>
        <v>0</v>
      </c>
      <c r="BM28" s="236">
        <f t="shared" si="40"/>
        <v>0</v>
      </c>
      <c r="BN28" s="237">
        <f t="shared" si="18"/>
        <v>0</v>
      </c>
      <c r="BP28" s="240" t="e">
        <f t="shared" si="19"/>
        <v>#DIV/0!</v>
      </c>
      <c r="BR28" s="76">
        <v>44378</v>
      </c>
      <c r="BS28" s="240">
        <v>0</v>
      </c>
      <c r="BT28" s="240" t="e">
        <f t="shared" si="41"/>
        <v>#DIV/0!</v>
      </c>
      <c r="BU28" s="240" t="e">
        <f t="shared" si="42"/>
        <v>#DIV/0!</v>
      </c>
      <c r="BV28" s="240" t="e">
        <f t="shared" si="43"/>
        <v>#DIV/0!</v>
      </c>
      <c r="BW28" s="240" t="e">
        <f t="shared" si="44"/>
        <v>#DIV/0!</v>
      </c>
      <c r="BX28" s="240" t="e">
        <f t="shared" si="45"/>
        <v>#DIV/0!</v>
      </c>
      <c r="BY28" s="240" t="e">
        <f t="shared" si="46"/>
        <v>#DIV/0!</v>
      </c>
      <c r="BZ28" s="240" t="e">
        <f t="shared" si="47"/>
        <v>#DIV/0!</v>
      </c>
      <c r="CA28" s="240" t="e">
        <f t="shared" si="48"/>
        <v>#DIV/0!</v>
      </c>
      <c r="CB28" s="240" t="e">
        <f t="shared" si="49"/>
        <v>#DIV/0!</v>
      </c>
      <c r="CE28" s="442">
        <f t="shared" si="21"/>
        <v>0</v>
      </c>
      <c r="CF28" s="442">
        <f t="shared" si="22"/>
        <v>0</v>
      </c>
      <c r="CG28" s="442">
        <f t="shared" si="23"/>
        <v>0</v>
      </c>
      <c r="CH28" s="442">
        <f t="shared" si="24"/>
        <v>0</v>
      </c>
      <c r="CI28" s="442">
        <f t="shared" si="25"/>
        <v>0</v>
      </c>
      <c r="CJ28" s="442">
        <f t="shared" si="26"/>
        <v>0</v>
      </c>
      <c r="CK28" s="442">
        <f t="shared" si="27"/>
        <v>0</v>
      </c>
      <c r="CL28" s="442">
        <f t="shared" si="28"/>
        <v>0</v>
      </c>
      <c r="CM28" s="442">
        <f t="shared" si="29"/>
        <v>0</v>
      </c>
      <c r="CN28" s="442">
        <f t="shared" si="30"/>
        <v>0</v>
      </c>
      <c r="CO28" s="442">
        <f t="shared" si="31"/>
        <v>0</v>
      </c>
    </row>
    <row r="29" spans="2:93">
      <c r="B29" s="76">
        <v>44409</v>
      </c>
      <c r="C29" s="78"/>
      <c r="D29" s="78"/>
      <c r="E29" s="78"/>
      <c r="F29" s="78"/>
      <c r="G29" s="78"/>
      <c r="H29" s="77"/>
      <c r="I29" s="78"/>
      <c r="J29" s="78"/>
      <c r="K29" s="78"/>
      <c r="L29" s="78"/>
      <c r="M29" s="112"/>
      <c r="O29" s="76">
        <v>44409</v>
      </c>
      <c r="P29" s="78"/>
      <c r="Q29" s="78"/>
      <c r="R29" s="78"/>
      <c r="S29" s="78"/>
      <c r="T29" s="78"/>
      <c r="U29" s="77"/>
      <c r="V29" s="78"/>
      <c r="W29" s="78"/>
      <c r="X29" s="78"/>
      <c r="Y29" s="78"/>
      <c r="AA29" s="76">
        <v>44409</v>
      </c>
      <c r="AB29" s="235"/>
      <c r="AC29" s="235"/>
      <c r="AD29" s="235"/>
      <c r="AE29" s="235"/>
      <c r="AF29" s="235"/>
      <c r="AG29" s="235"/>
      <c r="AH29" s="235"/>
      <c r="AI29" s="235"/>
      <c r="AJ29" s="235"/>
      <c r="AK29" s="235"/>
      <c r="AL29" s="235">
        <f t="shared" si="3"/>
        <v>0</v>
      </c>
      <c r="AN29" s="76">
        <v>44409</v>
      </c>
      <c r="AO29" s="235"/>
      <c r="AP29" s="235"/>
      <c r="AQ29" s="235"/>
      <c r="AR29" s="235"/>
      <c r="AS29" s="235"/>
      <c r="AT29" s="235"/>
      <c r="AU29" s="235"/>
      <c r="AV29" s="235"/>
      <c r="AW29" s="235"/>
      <c r="AX29" s="235"/>
      <c r="AY29" s="235">
        <f t="shared" si="5"/>
        <v>0</v>
      </c>
      <c r="AZ29" s="239"/>
      <c r="BA29" s="235">
        <f t="shared" si="7"/>
        <v>0</v>
      </c>
      <c r="BC29" s="76">
        <v>44409</v>
      </c>
      <c r="BD29" s="236">
        <f t="shared" si="8"/>
        <v>0</v>
      </c>
      <c r="BE29" s="236">
        <f t="shared" si="32"/>
        <v>0</v>
      </c>
      <c r="BF29" s="236">
        <f t="shared" si="33"/>
        <v>0</v>
      </c>
      <c r="BG29" s="236">
        <f t="shared" si="34"/>
        <v>0</v>
      </c>
      <c r="BH29" s="236">
        <f t="shared" si="35"/>
        <v>0</v>
      </c>
      <c r="BI29" s="236">
        <f t="shared" si="36"/>
        <v>0</v>
      </c>
      <c r="BJ29" s="236">
        <f t="shared" si="37"/>
        <v>0</v>
      </c>
      <c r="BK29" s="236">
        <f t="shared" si="38"/>
        <v>0</v>
      </c>
      <c r="BL29" s="236">
        <f t="shared" si="39"/>
        <v>0</v>
      </c>
      <c r="BM29" s="236">
        <f t="shared" si="40"/>
        <v>0</v>
      </c>
      <c r="BN29" s="237">
        <f t="shared" si="18"/>
        <v>0</v>
      </c>
      <c r="BP29" s="240" t="e">
        <f t="shared" si="19"/>
        <v>#DIV/0!</v>
      </c>
      <c r="BR29" s="76">
        <v>44409</v>
      </c>
      <c r="BS29" s="240">
        <v>0</v>
      </c>
      <c r="BT29" s="240" t="e">
        <f t="shared" si="41"/>
        <v>#DIV/0!</v>
      </c>
      <c r="BU29" s="240" t="e">
        <f t="shared" si="42"/>
        <v>#DIV/0!</v>
      </c>
      <c r="BV29" s="240" t="e">
        <f t="shared" si="43"/>
        <v>#DIV/0!</v>
      </c>
      <c r="BW29" s="240" t="e">
        <f t="shared" si="44"/>
        <v>#DIV/0!</v>
      </c>
      <c r="BX29" s="240" t="e">
        <f t="shared" si="45"/>
        <v>#DIV/0!</v>
      </c>
      <c r="BY29" s="240" t="e">
        <f t="shared" si="46"/>
        <v>#DIV/0!</v>
      </c>
      <c r="BZ29" s="240" t="e">
        <f t="shared" si="47"/>
        <v>#DIV/0!</v>
      </c>
      <c r="CA29" s="240" t="e">
        <f t="shared" si="48"/>
        <v>#DIV/0!</v>
      </c>
      <c r="CB29" s="240" t="e">
        <f t="shared" si="49"/>
        <v>#DIV/0!</v>
      </c>
      <c r="CE29" s="442">
        <f t="shared" si="21"/>
        <v>0</v>
      </c>
      <c r="CF29" s="442">
        <f t="shared" si="22"/>
        <v>0</v>
      </c>
      <c r="CG29" s="442">
        <f t="shared" si="23"/>
        <v>0</v>
      </c>
      <c r="CH29" s="442">
        <f t="shared" si="24"/>
        <v>0</v>
      </c>
      <c r="CI29" s="442">
        <f t="shared" si="25"/>
        <v>0</v>
      </c>
      <c r="CJ29" s="442">
        <f t="shared" si="26"/>
        <v>0</v>
      </c>
      <c r="CK29" s="442">
        <f t="shared" si="27"/>
        <v>0</v>
      </c>
      <c r="CL29" s="442">
        <f t="shared" si="28"/>
        <v>0</v>
      </c>
      <c r="CM29" s="442">
        <f t="shared" si="29"/>
        <v>0</v>
      </c>
      <c r="CN29" s="442">
        <f t="shared" si="30"/>
        <v>0</v>
      </c>
      <c r="CO29" s="442">
        <f t="shared" si="31"/>
        <v>0</v>
      </c>
    </row>
    <row r="30" spans="2:93" s="116" customFormat="1">
      <c r="B30" s="76">
        <v>44440</v>
      </c>
      <c r="C30" s="78"/>
      <c r="D30" s="78"/>
      <c r="E30" s="78"/>
      <c r="F30" s="78"/>
      <c r="G30" s="78"/>
      <c r="H30" s="78"/>
      <c r="I30" s="78"/>
      <c r="J30" s="78"/>
      <c r="K30" s="78"/>
      <c r="L30" s="78"/>
      <c r="M30" s="115"/>
      <c r="O30" s="76">
        <v>44440</v>
      </c>
      <c r="P30" s="78"/>
      <c r="Q30" s="78"/>
      <c r="R30" s="78"/>
      <c r="S30" s="78"/>
      <c r="T30" s="78"/>
      <c r="U30" s="78"/>
      <c r="V30" s="78"/>
      <c r="W30" s="78"/>
      <c r="X30" s="78"/>
      <c r="Y30" s="78"/>
      <c r="AA30" s="76">
        <v>44440</v>
      </c>
      <c r="AB30" s="235"/>
      <c r="AC30" s="235"/>
      <c r="AD30" s="235"/>
      <c r="AE30" s="235"/>
      <c r="AF30" s="235"/>
      <c r="AG30" s="235"/>
      <c r="AH30" s="235"/>
      <c r="AI30" s="235"/>
      <c r="AJ30" s="235"/>
      <c r="AK30" s="235"/>
      <c r="AL30" s="235">
        <f t="shared" si="3"/>
        <v>0</v>
      </c>
      <c r="AN30" s="76">
        <v>44440</v>
      </c>
      <c r="AO30" s="244"/>
      <c r="AP30" s="235"/>
      <c r="AQ30" s="235"/>
      <c r="AR30" s="235"/>
      <c r="AS30" s="235"/>
      <c r="AT30" s="235"/>
      <c r="AU30" s="235"/>
      <c r="AV30" s="235"/>
      <c r="AW30" s="235"/>
      <c r="AX30" s="235"/>
      <c r="AY30" s="235">
        <f t="shared" si="5"/>
        <v>0</v>
      </c>
      <c r="AZ30" s="239"/>
      <c r="BA30" s="235">
        <f t="shared" si="7"/>
        <v>0</v>
      </c>
      <c r="BB30" s="11"/>
      <c r="BC30" s="76">
        <v>44440</v>
      </c>
      <c r="BD30" s="236">
        <f t="shared" si="8"/>
        <v>0</v>
      </c>
      <c r="BE30" s="236">
        <f t="shared" si="32"/>
        <v>0</v>
      </c>
      <c r="BF30" s="236">
        <f t="shared" si="33"/>
        <v>0</v>
      </c>
      <c r="BG30" s="236">
        <f t="shared" si="34"/>
        <v>0</v>
      </c>
      <c r="BH30" s="236">
        <f t="shared" si="35"/>
        <v>0</v>
      </c>
      <c r="BI30" s="236">
        <f t="shared" si="36"/>
        <v>0</v>
      </c>
      <c r="BJ30" s="236">
        <f t="shared" si="37"/>
        <v>0</v>
      </c>
      <c r="BK30" s="236">
        <f t="shared" si="38"/>
        <v>0</v>
      </c>
      <c r="BL30" s="236">
        <f t="shared" si="39"/>
        <v>0</v>
      </c>
      <c r="BM30" s="236">
        <f t="shared" si="40"/>
        <v>0</v>
      </c>
      <c r="BN30" s="237">
        <f t="shared" si="18"/>
        <v>0</v>
      </c>
      <c r="BO30" s="11"/>
      <c r="BP30" s="240" t="e">
        <f t="shared" si="19"/>
        <v>#DIV/0!</v>
      </c>
      <c r="BR30" s="76">
        <v>44440</v>
      </c>
      <c r="BS30" s="240" t="e">
        <f t="shared" si="20"/>
        <v>#DIV/0!</v>
      </c>
      <c r="BT30" s="240" t="e">
        <f t="shared" si="41"/>
        <v>#DIV/0!</v>
      </c>
      <c r="BU30" s="240" t="e">
        <f t="shared" si="42"/>
        <v>#DIV/0!</v>
      </c>
      <c r="BV30" s="240" t="e">
        <f t="shared" si="43"/>
        <v>#DIV/0!</v>
      </c>
      <c r="BW30" s="240" t="e">
        <f t="shared" si="44"/>
        <v>#DIV/0!</v>
      </c>
      <c r="BX30" s="240" t="e">
        <f t="shared" si="45"/>
        <v>#DIV/0!</v>
      </c>
      <c r="BY30" s="240" t="e">
        <f t="shared" si="46"/>
        <v>#DIV/0!</v>
      </c>
      <c r="BZ30" s="240" t="e">
        <f t="shared" si="47"/>
        <v>#DIV/0!</v>
      </c>
      <c r="CA30" s="240" t="e">
        <f t="shared" si="48"/>
        <v>#DIV/0!</v>
      </c>
      <c r="CB30" s="240" t="e">
        <f t="shared" si="49"/>
        <v>#DIV/0!</v>
      </c>
      <c r="CE30" s="442">
        <f t="shared" si="21"/>
        <v>0</v>
      </c>
      <c r="CF30" s="442">
        <f t="shared" si="22"/>
        <v>0</v>
      </c>
      <c r="CG30" s="442">
        <f t="shared" si="23"/>
        <v>0</v>
      </c>
      <c r="CH30" s="442">
        <f t="shared" si="24"/>
        <v>0</v>
      </c>
      <c r="CI30" s="442">
        <f t="shared" si="25"/>
        <v>0</v>
      </c>
      <c r="CJ30" s="442">
        <f t="shared" si="26"/>
        <v>0</v>
      </c>
      <c r="CK30" s="442">
        <f t="shared" si="27"/>
        <v>0</v>
      </c>
      <c r="CL30" s="442">
        <f t="shared" si="28"/>
        <v>0</v>
      </c>
      <c r="CM30" s="442">
        <f t="shared" si="29"/>
        <v>0</v>
      </c>
      <c r="CN30" s="442">
        <f t="shared" si="30"/>
        <v>0</v>
      </c>
      <c r="CO30" s="442">
        <f t="shared" si="31"/>
        <v>0</v>
      </c>
    </row>
    <row r="31" spans="2:93" s="107" customFormat="1" ht="15">
      <c r="B31" s="107" t="s">
        <v>52</v>
      </c>
      <c r="C31" s="106">
        <f>AVERAGE(C7:C30)</f>
        <v>0</v>
      </c>
      <c r="D31" s="106">
        <f t="shared" ref="D31:L31" si="50">AVERAGE(D7:D30)</f>
        <v>-6.2116666666666669</v>
      </c>
      <c r="E31" s="106">
        <f t="shared" si="50"/>
        <v>77.605000000000004</v>
      </c>
      <c r="F31" s="106">
        <f t="shared" si="50"/>
        <v>811.41833333333341</v>
      </c>
      <c r="G31" s="106">
        <f t="shared" si="50"/>
        <v>89.55</v>
      </c>
      <c r="H31" s="106">
        <f t="shared" si="50"/>
        <v>-63.5</v>
      </c>
      <c r="I31" s="106">
        <f t="shared" si="50"/>
        <v>95.699999999999989</v>
      </c>
      <c r="J31" s="106">
        <f t="shared" si="50"/>
        <v>827.73583333333329</v>
      </c>
      <c r="K31" s="106">
        <f t="shared" si="50"/>
        <v>150</v>
      </c>
      <c r="L31" s="106">
        <f t="shared" si="50"/>
        <v>-167.5</v>
      </c>
      <c r="O31" s="107" t="s">
        <v>52</v>
      </c>
      <c r="P31" s="106">
        <f>AVERAGE(P7:P30)</f>
        <v>0</v>
      </c>
      <c r="Q31" s="106">
        <f t="shared" ref="Q31:Y31" si="51">AVERAGE(Q7:Q30)</f>
        <v>1.1458333333333335</v>
      </c>
      <c r="R31" s="106">
        <f t="shared" si="51"/>
        <v>79.495833333333323</v>
      </c>
      <c r="S31" s="106">
        <f t="shared" si="51"/>
        <v>826.99333333333334</v>
      </c>
      <c r="T31" s="106">
        <f t="shared" si="51"/>
        <v>101.25750000000001</v>
      </c>
      <c r="U31" s="106">
        <f t="shared" si="51"/>
        <v>-63.5</v>
      </c>
      <c r="V31" s="106">
        <f t="shared" si="51"/>
        <v>113.96916666666665</v>
      </c>
      <c r="W31" s="106">
        <f t="shared" si="51"/>
        <v>819.7600000000001</v>
      </c>
      <c r="X31" s="106">
        <f t="shared" si="51"/>
        <v>148.32083333333333</v>
      </c>
      <c r="Y31" s="106">
        <f t="shared" si="51"/>
        <v>-187.5</v>
      </c>
      <c r="AC31" s="70"/>
      <c r="AD31" s="70"/>
      <c r="AE31" s="70"/>
      <c r="AF31" s="121"/>
      <c r="AG31" s="121"/>
      <c r="AH31" s="129"/>
      <c r="AI31" s="129"/>
      <c r="AJ31" s="129"/>
      <c r="AK31" s="129"/>
      <c r="AL31" s="122"/>
      <c r="AO31" s="231">
        <v>0</v>
      </c>
      <c r="AP31" s="231"/>
      <c r="AQ31" s="231"/>
      <c r="AR31" s="231"/>
      <c r="AS31" s="231"/>
      <c r="AT31" s="231"/>
      <c r="AU31" s="231"/>
      <c r="AV31" s="231"/>
      <c r="AW31" s="231"/>
      <c r="AX31" s="231"/>
      <c r="AY31" s="231"/>
    </row>
    <row r="32" spans="2:93" ht="15">
      <c r="I32" s="106">
        <f>AVERAGE(I31:L31)</f>
        <v>226.48395833333331</v>
      </c>
      <c r="J32" s="107" t="s">
        <v>53</v>
      </c>
      <c r="V32" s="106">
        <f>AVERAGE(V31:Y31)</f>
        <v>223.63750000000005</v>
      </c>
      <c r="W32" s="107" t="s">
        <v>53</v>
      </c>
    </row>
    <row r="33" spans="1:16">
      <c r="A33" s="1" t="s">
        <v>273</v>
      </c>
      <c r="B33" s="1"/>
      <c r="C33" s="414">
        <f>+Composition!B79</f>
        <v>0.50327784540445597</v>
      </c>
      <c r="D33" s="105"/>
      <c r="E33" s="105"/>
      <c r="F33" s="105"/>
      <c r="G33" s="105"/>
      <c r="H33" s="105"/>
      <c r="I33" s="105"/>
      <c r="J33" s="105"/>
      <c r="K33" s="105"/>
      <c r="L33" s="105"/>
      <c r="M33" s="105"/>
    </row>
    <row r="34" spans="1:16">
      <c r="A34" s="1" t="s">
        <v>274</v>
      </c>
      <c r="B34" s="1"/>
      <c r="C34" s="414">
        <f>1-C33</f>
        <v>0.49672215459554403</v>
      </c>
      <c r="D34" s="105"/>
      <c r="E34" s="105"/>
      <c r="F34" s="105"/>
      <c r="G34" s="105"/>
      <c r="H34" s="105"/>
      <c r="I34" s="105"/>
      <c r="J34" s="105"/>
      <c r="K34" s="105"/>
      <c r="L34" s="105"/>
      <c r="M34" s="105"/>
    </row>
    <row r="35" spans="1:16">
      <c r="A35" s="1"/>
      <c r="B35" s="1"/>
      <c r="C35" s="414"/>
      <c r="D35" s="105"/>
      <c r="E35" s="105"/>
      <c r="F35" s="105"/>
      <c r="G35" s="105"/>
      <c r="H35" s="105"/>
      <c r="I35" s="105"/>
      <c r="J35" s="105"/>
      <c r="K35" s="105"/>
      <c r="L35" s="105"/>
      <c r="M35" s="105"/>
    </row>
    <row r="36" spans="1:16">
      <c r="A36" s="516"/>
      <c r="C36" s="105"/>
      <c r="D36" s="105"/>
      <c r="E36" s="105"/>
      <c r="F36" s="105"/>
      <c r="G36" s="105"/>
      <c r="H36" s="105"/>
      <c r="I36" s="105"/>
      <c r="J36" s="105"/>
      <c r="K36" s="105"/>
      <c r="L36" s="105"/>
      <c r="M36" s="105"/>
    </row>
    <row r="37" spans="1:16">
      <c r="B37" s="117" t="s">
        <v>54</v>
      </c>
    </row>
    <row r="38" spans="1:16">
      <c r="B38" s="11" t="s">
        <v>270</v>
      </c>
      <c r="C38" s="118">
        <f>+C135</f>
        <v>0</v>
      </c>
      <c r="D38" s="118">
        <f t="shared" ref="D38:L38" si="52">+D135</f>
        <v>0.30872960409494554</v>
      </c>
      <c r="E38" s="118">
        <f t="shared" si="52"/>
        <v>0.2669492234757726</v>
      </c>
      <c r="F38" s="118">
        <f t="shared" si="52"/>
        <v>7.804430674405032E-3</v>
      </c>
      <c r="G38" s="118">
        <f t="shared" si="52"/>
        <v>1.0687020161069373E-2</v>
      </c>
      <c r="H38" s="118">
        <f t="shared" si="52"/>
        <v>0.22715955779516506</v>
      </c>
      <c r="I38" s="118">
        <f t="shared" si="52"/>
        <v>5.2497654280706102E-3</v>
      </c>
      <c r="J38" s="118">
        <f t="shared" si="52"/>
        <v>3.6933257247186236E-3</v>
      </c>
      <c r="K38" s="118">
        <f t="shared" si="52"/>
        <v>3.7445714499941187E-3</v>
      </c>
      <c r="L38" s="118">
        <f t="shared" si="52"/>
        <v>2.7505360170524281E-3</v>
      </c>
      <c r="M38" s="113">
        <f>SUM(C38:L38)</f>
        <v>0.83676803482119333</v>
      </c>
      <c r="N38" s="132"/>
    </row>
    <row r="39" spans="1:16">
      <c r="C39" s="119">
        <f t="shared" ref="C39:L39" si="53">+C38*$M39</f>
        <v>0</v>
      </c>
      <c r="D39" s="119">
        <f t="shared" si="53"/>
        <v>1164.3428288836776</v>
      </c>
      <c r="E39" s="119">
        <f t="shared" si="53"/>
        <v>1006.7723014165288</v>
      </c>
      <c r="F39" s="119">
        <f t="shared" si="53"/>
        <v>29.43362984545114</v>
      </c>
      <c r="G39" s="119">
        <f t="shared" si="53"/>
        <v>40.305027835457032</v>
      </c>
      <c r="H39" s="119">
        <f t="shared" si="53"/>
        <v>856.70955626868556</v>
      </c>
      <c r="I39" s="119">
        <f t="shared" si="53"/>
        <v>19.7989653354255</v>
      </c>
      <c r="J39" s="119">
        <f t="shared" si="53"/>
        <v>13.929008638203817</v>
      </c>
      <c r="K39" s="119">
        <f t="shared" si="53"/>
        <v>14.12227676650782</v>
      </c>
      <c r="L39" s="119">
        <f t="shared" si="53"/>
        <v>10.373371534711527</v>
      </c>
      <c r="M39" s="114">
        <f>+'2020-2021 Recy. Tons &amp; Revenue'!$C$7</f>
        <v>3771.4</v>
      </c>
      <c r="N39" s="132"/>
      <c r="O39" s="114">
        <f>SUM(C39:L39)</f>
        <v>3155.7869665246485</v>
      </c>
      <c r="P39" s="114">
        <f>+M39-O39</f>
        <v>615.61303347535159</v>
      </c>
    </row>
    <row r="40" spans="1:16">
      <c r="C40" s="82"/>
      <c r="D40" s="82">
        <f>+$C$33*D39*D7+D39*Q7*$C$34</f>
        <v>-1995.1537051540731</v>
      </c>
      <c r="E40" s="82">
        <f t="shared" ref="E40:L40" si="54">+$C$33*E39*E7+E39*R7*$C$34</f>
        <v>58912.233380108941</v>
      </c>
      <c r="F40" s="82">
        <f t="shared" si="54"/>
        <v>26548.932262237602</v>
      </c>
      <c r="G40" s="82">
        <f t="shared" si="54"/>
        <v>3256.9519498622467</v>
      </c>
      <c r="H40" s="82">
        <f t="shared" si="54"/>
        <v>-54401.056823061532</v>
      </c>
      <c r="I40" s="82">
        <f t="shared" si="54"/>
        <v>1700.1531297201807</v>
      </c>
      <c r="J40" s="82">
        <f t="shared" si="54"/>
        <v>11120.215402736972</v>
      </c>
      <c r="K40" s="82">
        <f t="shared" si="54"/>
        <v>3530.4427772654581</v>
      </c>
      <c r="L40" s="82">
        <f t="shared" si="54"/>
        <v>-1840.5934012470207</v>
      </c>
      <c r="M40" s="114">
        <f>SUM(C40:L40)</f>
        <v>46832.124972468766</v>
      </c>
      <c r="N40" s="132">
        <f>+M40/M39</f>
        <v>12.417702967722533</v>
      </c>
    </row>
    <row r="41" spans="1:16">
      <c r="C41" s="118"/>
      <c r="D41" s="176"/>
      <c r="E41" s="118"/>
      <c r="F41" s="118"/>
      <c r="G41" s="118"/>
      <c r="H41" s="118"/>
      <c r="I41" s="118"/>
      <c r="J41" s="118"/>
      <c r="K41" s="118"/>
      <c r="L41" s="118"/>
      <c r="N41" s="132"/>
    </row>
    <row r="42" spans="1:16">
      <c r="B42" s="11" t="s">
        <v>56</v>
      </c>
      <c r="C42" s="118">
        <f>+C139</f>
        <v>0</v>
      </c>
      <c r="D42" s="118">
        <f t="shared" ref="D42:L42" si="55">+D139</f>
        <v>0.35549842167274731</v>
      </c>
      <c r="E42" s="118">
        <f t="shared" si="55"/>
        <v>0.25670093848202374</v>
      </c>
      <c r="F42" s="118">
        <f t="shared" si="55"/>
        <v>1.1865578135265864E-2</v>
      </c>
      <c r="G42" s="118">
        <f t="shared" si="55"/>
        <v>7.1222620684243893E-3</v>
      </c>
      <c r="H42" s="118">
        <f t="shared" si="55"/>
        <v>0.17046225865716313</v>
      </c>
      <c r="I42" s="118">
        <f t="shared" si="55"/>
        <v>8.0366515091929384E-3</v>
      </c>
      <c r="J42" s="118">
        <f t="shared" si="55"/>
        <v>2.6353426422411302E-3</v>
      </c>
      <c r="K42" s="118">
        <f t="shared" si="55"/>
        <v>4.7239701733053155E-3</v>
      </c>
      <c r="L42" s="118">
        <f t="shared" si="55"/>
        <v>2.8336807193065573E-3</v>
      </c>
      <c r="M42" s="113">
        <f>SUM(C42:L42)</f>
        <v>0.81987910405967035</v>
      </c>
      <c r="N42" s="132"/>
    </row>
    <row r="43" spans="1:16">
      <c r="C43" s="119">
        <f t="shared" ref="C43:L43" si="56">+C42*$M43</f>
        <v>0</v>
      </c>
      <c r="D43" s="119">
        <f t="shared" si="56"/>
        <v>1226.0074068228039</v>
      </c>
      <c r="E43" s="119">
        <f t="shared" si="56"/>
        <v>885.28452654295552</v>
      </c>
      <c r="F43" s="119">
        <f t="shared" si="56"/>
        <v>40.920819315091393</v>
      </c>
      <c r="G43" s="119">
        <f t="shared" si="56"/>
        <v>24.562545195375197</v>
      </c>
      <c r="H43" s="119">
        <f t="shared" si="56"/>
        <v>587.87319143095863</v>
      </c>
      <c r="I43" s="119">
        <f t="shared" si="56"/>
        <v>27.716000059753693</v>
      </c>
      <c r="J43" s="119">
        <f t="shared" si="56"/>
        <v>9.0885061702969878</v>
      </c>
      <c r="K43" s="119">
        <f t="shared" si="56"/>
        <v>16.291555936678044</v>
      </c>
      <c r="L43" s="119">
        <f t="shared" si="56"/>
        <v>9.7725146966725269</v>
      </c>
      <c r="M43" s="114">
        <f>+'2020-2021 Recy. Tons &amp; Revenue'!$C$8</f>
        <v>3448.7000000000007</v>
      </c>
      <c r="N43" s="132"/>
      <c r="O43" s="114">
        <f>SUM(C43:L43)</f>
        <v>2827.5170661705856</v>
      </c>
      <c r="P43" s="114">
        <f>+M43-O43</f>
        <v>621.18293382941511</v>
      </c>
    </row>
    <row r="44" spans="1:16">
      <c r="C44" s="82"/>
      <c r="D44" s="82">
        <f>+$C$33*D43*D8+D43*Q8*$C$34</f>
        <v>-10187.750412956022</v>
      </c>
      <c r="E44" s="82">
        <f t="shared" ref="E44:L44" si="57">+$C$33*E43*E8+E43*R8*$C$34</f>
        <v>50394.582986096204</v>
      </c>
      <c r="F44" s="82">
        <f t="shared" si="57"/>
        <v>32821.493682203974</v>
      </c>
      <c r="G44" s="82">
        <f t="shared" si="57"/>
        <v>2186.1433248179283</v>
      </c>
      <c r="H44" s="82">
        <f t="shared" si="57"/>
        <v>-37329.947655865872</v>
      </c>
      <c r="I44" s="82">
        <f t="shared" si="57"/>
        <v>2206.1631347845714</v>
      </c>
      <c r="J44" s="82">
        <f t="shared" si="57"/>
        <v>7816.1153064554092</v>
      </c>
      <c r="K44" s="82">
        <f t="shared" si="57"/>
        <v>5050.3823403701936</v>
      </c>
      <c r="L44" s="82">
        <f t="shared" si="57"/>
        <v>-1733.9807028116043</v>
      </c>
      <c r="M44" s="114">
        <f>SUM(C44:L44)</f>
        <v>51223.202003094775</v>
      </c>
      <c r="N44" s="132">
        <f>+M44/M43</f>
        <v>14.85290167399158</v>
      </c>
    </row>
    <row r="45" spans="1:16">
      <c r="N45" s="132"/>
    </row>
    <row r="46" spans="1:16">
      <c r="B46" s="11" t="s">
        <v>57</v>
      </c>
      <c r="C46" s="118">
        <f>+C143</f>
        <v>0</v>
      </c>
      <c r="D46" s="118">
        <f t="shared" ref="D46:L46" si="58">+D143</f>
        <v>0.38563459339255646</v>
      </c>
      <c r="E46" s="118">
        <f t="shared" si="58"/>
        <v>0.23374350411983905</v>
      </c>
      <c r="F46" s="118">
        <f t="shared" si="58"/>
        <v>6.2869961001905637E-3</v>
      </c>
      <c r="G46" s="118">
        <f t="shared" si="58"/>
        <v>1.023076652999097E-2</v>
      </c>
      <c r="H46" s="118">
        <f t="shared" si="58"/>
        <v>0.19376044497853739</v>
      </c>
      <c r="I46" s="118">
        <f t="shared" si="58"/>
        <v>2.6596826883564873E-3</v>
      </c>
      <c r="J46" s="118">
        <f t="shared" si="58"/>
        <v>2.6712625686327244E-3</v>
      </c>
      <c r="K46" s="118">
        <f t="shared" si="58"/>
        <v>9.9527739475783572E-4</v>
      </c>
      <c r="L46" s="118">
        <f t="shared" si="58"/>
        <v>2.2893391561799197E-3</v>
      </c>
      <c r="M46" s="113">
        <f>SUM(C46:L46)</f>
        <v>0.83827186692904132</v>
      </c>
      <c r="N46" s="132"/>
    </row>
    <row r="47" spans="1:16">
      <c r="C47" s="119">
        <f t="shared" ref="C47:L47" si="59">+C46*$M47</f>
        <v>0</v>
      </c>
      <c r="D47" s="119">
        <f t="shared" si="59"/>
        <v>1543.6181504317253</v>
      </c>
      <c r="E47" s="119">
        <f t="shared" si="59"/>
        <v>935.62849829089191</v>
      </c>
      <c r="F47" s="119">
        <f t="shared" si="59"/>
        <v>25.165587989842791</v>
      </c>
      <c r="G47" s="119">
        <f t="shared" si="59"/>
        <v>40.95171226624786</v>
      </c>
      <c r="H47" s="119">
        <f t="shared" si="59"/>
        <v>775.58430916008956</v>
      </c>
      <c r="I47" s="119">
        <f t="shared" si="59"/>
        <v>10.64617786495335</v>
      </c>
      <c r="J47" s="119">
        <f t="shared" si="59"/>
        <v>10.692529809723071</v>
      </c>
      <c r="K47" s="119">
        <f t="shared" si="59"/>
        <v>3.9838963557366656</v>
      </c>
      <c r="L47" s="119">
        <f t="shared" si="59"/>
        <v>9.1637667743569846</v>
      </c>
      <c r="M47" s="114">
        <f>+'2020-2021 Recy. Tons &amp; Revenue'!$C$9</f>
        <v>4002.8000000000006</v>
      </c>
      <c r="N47" s="132"/>
      <c r="O47" s="114">
        <f>SUM(C47:L47)</f>
        <v>3355.4346289435675</v>
      </c>
      <c r="P47" s="114">
        <f>+M47-O47</f>
        <v>647.3653710564331</v>
      </c>
    </row>
    <row r="48" spans="1:16">
      <c r="C48" s="82"/>
      <c r="D48" s="82">
        <f>+$C$33*D47*D9+D47*Q9*$C$34</f>
        <v>-9967.2968624911719</v>
      </c>
      <c r="E48" s="82">
        <f t="shared" ref="E48:L48" si="60">+$C$33*E47*E9+E47*R9*$C$34</f>
        <v>50129.833292280091</v>
      </c>
      <c r="F48" s="82">
        <f t="shared" si="60"/>
        <v>21842.18629588369</v>
      </c>
      <c r="G48" s="82">
        <f t="shared" si="60"/>
        <v>4278.1626066894414</v>
      </c>
      <c r="H48" s="82">
        <f t="shared" si="60"/>
        <v>-49249.60363166569</v>
      </c>
      <c r="I48" s="82">
        <f t="shared" si="60"/>
        <v>1211.4350352886354</v>
      </c>
      <c r="J48" s="82">
        <f t="shared" si="60"/>
        <v>10419.116094305424</v>
      </c>
      <c r="K48" s="82">
        <f t="shared" si="60"/>
        <v>1035.8130524915332</v>
      </c>
      <c r="L48" s="82">
        <f t="shared" si="60"/>
        <v>-1625.9678542321881</v>
      </c>
      <c r="M48" s="114">
        <f>SUM(C48:L48)</f>
        <v>28073.678028549755</v>
      </c>
      <c r="N48" s="132">
        <f>+M48/M47</f>
        <v>7.0135100501023659</v>
      </c>
    </row>
    <row r="49" spans="2:16">
      <c r="N49" s="132"/>
    </row>
    <row r="50" spans="2:16">
      <c r="B50" s="11" t="s">
        <v>271</v>
      </c>
      <c r="C50" s="118">
        <f>+C147</f>
        <v>0</v>
      </c>
      <c r="D50" s="118">
        <f t="shared" ref="D50:L50" si="61">+D147</f>
        <v>0.36724834199014944</v>
      </c>
      <c r="E50" s="118">
        <f t="shared" si="61"/>
        <v>0.20878493243651855</v>
      </c>
      <c r="F50" s="118">
        <f t="shared" si="61"/>
        <v>6.829141552940966E-3</v>
      </c>
      <c r="G50" s="118">
        <f t="shared" si="61"/>
        <v>1.0534885960727396E-2</v>
      </c>
      <c r="H50" s="118">
        <f t="shared" si="61"/>
        <v>0.21017472657676123</v>
      </c>
      <c r="I50" s="118">
        <f t="shared" si="61"/>
        <v>3.7057444077864318E-3</v>
      </c>
      <c r="J50" s="118">
        <f t="shared" si="61"/>
        <v>4.8435613670825975E-3</v>
      </c>
      <c r="K50" s="118">
        <f t="shared" si="61"/>
        <v>2.5231315052108884E-3</v>
      </c>
      <c r="L50" s="118">
        <f t="shared" si="61"/>
        <v>2.048294506449496E-3</v>
      </c>
      <c r="M50" s="113">
        <f>SUM(C50:L50)</f>
        <v>0.81669276030362703</v>
      </c>
      <c r="N50" s="132"/>
    </row>
    <row r="51" spans="2:16">
      <c r="C51" s="119">
        <f t="shared" ref="C51:L51" si="62">+C50*$M51</f>
        <v>0</v>
      </c>
      <c r="D51" s="119">
        <f t="shared" si="62"/>
        <v>1468.8831934580007</v>
      </c>
      <c r="E51" s="119">
        <f t="shared" si="62"/>
        <v>835.07709426634335</v>
      </c>
      <c r="F51" s="119">
        <f t="shared" si="62"/>
        <v>27.314517469297982</v>
      </c>
      <c r="G51" s="119">
        <f t="shared" si="62"/>
        <v>42.136383377121369</v>
      </c>
      <c r="H51" s="119">
        <f t="shared" si="62"/>
        <v>840.635853889072</v>
      </c>
      <c r="I51" s="119">
        <f t="shared" si="62"/>
        <v>14.821865907823392</v>
      </c>
      <c r="J51" s="119">
        <f t="shared" si="62"/>
        <v>19.372792399920268</v>
      </c>
      <c r="K51" s="119">
        <f t="shared" si="62"/>
        <v>10.091769081391991</v>
      </c>
      <c r="L51" s="119">
        <f t="shared" si="62"/>
        <v>8.1925635374460501</v>
      </c>
      <c r="M51" s="114">
        <f>+'2020-2021 Recy. Tons &amp; Revenue'!C10</f>
        <v>3999.7000000000003</v>
      </c>
      <c r="N51" s="132"/>
      <c r="O51" s="114">
        <f>SUM(C51:L51)</f>
        <v>3266.526033386418</v>
      </c>
      <c r="P51" s="114">
        <f>+M51-O51</f>
        <v>733.17396661358225</v>
      </c>
    </row>
    <row r="52" spans="2:16">
      <c r="C52" s="82"/>
      <c r="D52" s="82">
        <f>+$C$33*D51*D10+D51*Q10*$C$34</f>
        <v>-3569.5490112379766</v>
      </c>
      <c r="E52" s="82">
        <f t="shared" ref="E52:L52" si="63">+$C$33*E51*E10+E51*R10*$C$34</f>
        <v>50129.248597887869</v>
      </c>
      <c r="F52" s="82">
        <f t="shared" si="63"/>
        <v>23890.721484460759</v>
      </c>
      <c r="G52" s="82">
        <f t="shared" si="63"/>
        <v>5079.043376833024</v>
      </c>
      <c r="H52" s="82">
        <f t="shared" si="63"/>
        <v>-53380.376721956069</v>
      </c>
      <c r="I52" s="82">
        <f t="shared" si="63"/>
        <v>2369.5551938496856</v>
      </c>
      <c r="J52" s="82">
        <f t="shared" si="63"/>
        <v>20088.817250449727</v>
      </c>
      <c r="K52" s="82">
        <f t="shared" si="63"/>
        <v>2623.8599611619175</v>
      </c>
      <c r="L52" s="82">
        <f t="shared" si="63"/>
        <v>-1453.6429487618352</v>
      </c>
      <c r="M52" s="114">
        <f>SUM(C52:L52)</f>
        <v>45777.67718268709</v>
      </c>
      <c r="N52" s="132">
        <f>+M52/M51</f>
        <v>11.445277691498633</v>
      </c>
    </row>
    <row r="53" spans="2:16">
      <c r="C53" s="118"/>
      <c r="D53" s="118"/>
      <c r="E53" s="118"/>
      <c r="F53" s="118"/>
      <c r="G53" s="118"/>
      <c r="H53" s="118"/>
      <c r="I53" s="118"/>
      <c r="J53" s="118"/>
      <c r="K53" s="118"/>
      <c r="L53" s="118"/>
      <c r="N53" s="132"/>
    </row>
    <row r="54" spans="2:16">
      <c r="B54" s="11" t="s">
        <v>58</v>
      </c>
      <c r="C54" s="118">
        <f>+C151</f>
        <v>0</v>
      </c>
      <c r="D54" s="118">
        <f t="shared" ref="D54:L54" si="64">+D151</f>
        <v>0.38310898135249</v>
      </c>
      <c r="E54" s="118">
        <f t="shared" si="64"/>
        <v>0.21532195348472899</v>
      </c>
      <c r="F54" s="118">
        <f t="shared" si="64"/>
        <v>7.7600049234349908E-3</v>
      </c>
      <c r="G54" s="118">
        <f t="shared" si="64"/>
        <v>1.0375579762444263E-2</v>
      </c>
      <c r="H54" s="118">
        <f t="shared" si="64"/>
        <v>0.18167055506134711</v>
      </c>
      <c r="I54" s="118">
        <f t="shared" si="64"/>
        <v>7.8369335951705577E-3</v>
      </c>
      <c r="J54" s="118">
        <f t="shared" si="64"/>
        <v>3.3121289939967665E-3</v>
      </c>
      <c r="K54" s="118">
        <f t="shared" si="64"/>
        <v>3.8520283992681988E-3</v>
      </c>
      <c r="L54" s="118">
        <f t="shared" si="64"/>
        <v>2.401573261272149E-3</v>
      </c>
      <c r="M54" s="113">
        <f>SUM(C54:L54)</f>
        <v>0.81563973883415308</v>
      </c>
      <c r="N54" s="132"/>
    </row>
    <row r="55" spans="2:16">
      <c r="C55" s="119">
        <f t="shared" ref="C55:L55" si="65">+C54*$M55</f>
        <v>0</v>
      </c>
      <c r="D55" s="119">
        <f t="shared" si="65"/>
        <v>1327.8174184695954</v>
      </c>
      <c r="E55" s="119">
        <f t="shared" si="65"/>
        <v>746.28435858272235</v>
      </c>
      <c r="F55" s="119">
        <f t="shared" si="65"/>
        <v>26.895401064133338</v>
      </c>
      <c r="G55" s="119">
        <f t="shared" si="65"/>
        <v>35.960721898655578</v>
      </c>
      <c r="H55" s="119">
        <f t="shared" si="65"/>
        <v>629.65197678712298</v>
      </c>
      <c r="I55" s="119">
        <f t="shared" si="65"/>
        <v>27.162028147501641</v>
      </c>
      <c r="J55" s="119">
        <f t="shared" si="65"/>
        <v>11.479507880293395</v>
      </c>
      <c r="K55" s="119">
        <f t="shared" si="65"/>
        <v>13.350745229023651</v>
      </c>
      <c r="L55" s="119">
        <f t="shared" si="65"/>
        <v>8.3236127662431425</v>
      </c>
      <c r="M55" s="114">
        <f>+'2020-2021 Recy. Tons &amp; Revenue'!C11</f>
        <v>3465.9000000000005</v>
      </c>
      <c r="N55" s="132"/>
      <c r="O55" s="114">
        <f>SUM(C55:L55)</f>
        <v>2826.9257708252912</v>
      </c>
      <c r="P55" s="114">
        <f>+M55-O55</f>
        <v>638.97422917470931</v>
      </c>
    </row>
    <row r="56" spans="2:16">
      <c r="C56" s="82"/>
      <c r="D56" s="82">
        <f>+$C$33*D55*D11+D55*Q11*$C$34</f>
        <v>-8164.2085822196586</v>
      </c>
      <c r="E56" s="82">
        <f t="shared" ref="E56:L56" si="66">+$C$33*E55*E11+E55*R11*$C$34</f>
        <v>51347.593103780469</v>
      </c>
      <c r="F56" s="82">
        <f t="shared" si="66"/>
        <v>22015.133548667007</v>
      </c>
      <c r="G56" s="82">
        <f t="shared" si="66"/>
        <v>3781.2077120102745</v>
      </c>
      <c r="H56" s="82">
        <f t="shared" si="66"/>
        <v>-39982.90052598231</v>
      </c>
      <c r="I56" s="82">
        <f t="shared" si="66"/>
        <v>4752.4645965213967</v>
      </c>
      <c r="J56" s="82">
        <f t="shared" si="66"/>
        <v>12356.185970475617</v>
      </c>
      <c r="K56" s="82">
        <f t="shared" si="66"/>
        <v>2136.1192366437845</v>
      </c>
      <c r="L56" s="82">
        <f t="shared" si="66"/>
        <v>-1476.8955956910718</v>
      </c>
      <c r="M56" s="114">
        <f>SUM(C56:L56)</f>
        <v>46764.699464205507</v>
      </c>
      <c r="N56" s="132">
        <f>+M56/M55</f>
        <v>13.49280113800326</v>
      </c>
    </row>
    <row r="57" spans="2:16">
      <c r="N57" s="132"/>
    </row>
    <row r="58" spans="2:16">
      <c r="B58" s="11" t="s">
        <v>59</v>
      </c>
      <c r="C58" s="118">
        <f>+C155</f>
        <v>0</v>
      </c>
      <c r="D58" s="118">
        <f t="shared" ref="D58:L58" si="67">+D155</f>
        <v>0.43619881388715953</v>
      </c>
      <c r="E58" s="118">
        <f t="shared" si="67"/>
        <v>0.17379531819094143</v>
      </c>
      <c r="F58" s="118">
        <f t="shared" si="67"/>
        <v>9.5599825624281699E-3</v>
      </c>
      <c r="G58" s="118">
        <f t="shared" si="67"/>
        <v>1.0155723652838912E-2</v>
      </c>
      <c r="H58" s="118">
        <f t="shared" si="67"/>
        <v>0.17031675272525981</v>
      </c>
      <c r="I58" s="118">
        <f t="shared" si="67"/>
        <v>7.0044322625760821E-3</v>
      </c>
      <c r="J58" s="118">
        <f t="shared" si="67"/>
        <v>3.5105258246092208E-3</v>
      </c>
      <c r="K58" s="118">
        <f t="shared" si="67"/>
        <v>3.643480917748099E-3</v>
      </c>
      <c r="L58" s="118">
        <f t="shared" si="67"/>
        <v>3.3047011131153809E-3</v>
      </c>
      <c r="M58" s="113">
        <f>SUM(C58:L58)</f>
        <v>0.81748973113667667</v>
      </c>
      <c r="N58" s="132"/>
    </row>
    <row r="59" spans="2:16">
      <c r="C59" s="119">
        <f t="shared" ref="C59:L59" si="68">+C58*$M59</f>
        <v>0</v>
      </c>
      <c r="D59" s="119">
        <f t="shared" si="68"/>
        <v>1546.4294829453136</v>
      </c>
      <c r="E59" s="119">
        <f t="shared" si="68"/>
        <v>616.14611386325328</v>
      </c>
      <c r="F59" s="119">
        <f t="shared" si="68"/>
        <v>33.892432579622849</v>
      </c>
      <c r="G59" s="119">
        <f t="shared" si="68"/>
        <v>36.004477722990629</v>
      </c>
      <c r="H59" s="119">
        <f t="shared" si="68"/>
        <v>603.81376443170018</v>
      </c>
      <c r="I59" s="119">
        <f t="shared" si="68"/>
        <v>24.832393434575231</v>
      </c>
      <c r="J59" s="119">
        <f t="shared" si="68"/>
        <v>12.445656574437594</v>
      </c>
      <c r="K59" s="119">
        <f t="shared" si="68"/>
        <v>12.917014288837272</v>
      </c>
      <c r="L59" s="119">
        <f t="shared" si="68"/>
        <v>11.715958574261174</v>
      </c>
      <c r="M59" s="114">
        <f>+'2020-2021 Recy. Tons &amp; Revenue'!C12</f>
        <v>3545.2400000000002</v>
      </c>
      <c r="N59" s="132"/>
      <c r="O59" s="114">
        <f>SUM(C59:L59)</f>
        <v>2898.197294414992</v>
      </c>
      <c r="P59" s="114">
        <f>+M59-O59</f>
        <v>647.04270558500821</v>
      </c>
    </row>
    <row r="60" spans="2:16">
      <c r="C60" s="82"/>
      <c r="D60" s="82">
        <f>+$C$33*D59*D12+D59*Q12*$C$34</f>
        <v>-33485.688182193837</v>
      </c>
      <c r="E60" s="82">
        <f t="shared" ref="E60:L60" si="69">+$C$33*E59*E12+E59*R12*$C$34</f>
        <v>49602.844480991043</v>
      </c>
      <c r="F60" s="82">
        <f t="shared" si="69"/>
        <v>27934.522885169499</v>
      </c>
      <c r="G60" s="82">
        <f t="shared" si="69"/>
        <v>4118.1652957782599</v>
      </c>
      <c r="H60" s="82">
        <f t="shared" si="69"/>
        <v>-38342.17404141296</v>
      </c>
      <c r="I60" s="82">
        <f t="shared" si="69"/>
        <v>4219.8789489437659</v>
      </c>
      <c r="J60" s="82">
        <f t="shared" si="69"/>
        <v>8052.7368984309369</v>
      </c>
      <c r="K60" s="82">
        <f t="shared" si="69"/>
        <v>1937.5521433255908</v>
      </c>
      <c r="L60" s="82">
        <f t="shared" si="69"/>
        <v>-2078.8145849119301</v>
      </c>
      <c r="M60" s="114">
        <f>SUM(C60:L60)</f>
        <v>21959.023844120362</v>
      </c>
      <c r="N60" s="132">
        <f>+M60/M59</f>
        <v>6.1939456409496563</v>
      </c>
    </row>
    <row r="61" spans="2:16">
      <c r="N61" s="132"/>
    </row>
    <row r="62" spans="2:16">
      <c r="B62" s="11" t="s">
        <v>60</v>
      </c>
      <c r="C62" s="118">
        <f>+C159</f>
        <v>0</v>
      </c>
      <c r="D62" s="118">
        <f t="shared" ref="D62:L62" si="70">+D159</f>
        <v>0.41806970306780766</v>
      </c>
      <c r="E62" s="118">
        <f t="shared" si="70"/>
        <v>0.14513732550160097</v>
      </c>
      <c r="F62" s="118">
        <f t="shared" si="70"/>
        <v>1.2733675189505899E-2</v>
      </c>
      <c r="G62" s="118">
        <f t="shared" si="70"/>
        <v>1.3073743666376977E-2</v>
      </c>
      <c r="H62" s="118">
        <f t="shared" si="70"/>
        <v>0.19867556126534724</v>
      </c>
      <c r="I62" s="118">
        <f t="shared" si="70"/>
        <v>8.8978490364117029E-3</v>
      </c>
      <c r="J62" s="118">
        <f t="shared" si="70"/>
        <v>2.8278095567774177E-3</v>
      </c>
      <c r="K62" s="118">
        <f t="shared" si="70"/>
        <v>3.7943841164862508E-3</v>
      </c>
      <c r="L62" s="118">
        <f t="shared" si="70"/>
        <v>2.9375090654455076E-3</v>
      </c>
      <c r="M62" s="113">
        <f>SUM(C62:L62)</f>
        <v>0.80614756046575953</v>
      </c>
      <c r="N62" s="132"/>
    </row>
    <row r="63" spans="2:16">
      <c r="C63" s="119">
        <f>+C62*$M63</f>
        <v>0</v>
      </c>
      <c r="D63" s="119">
        <f>+D62*$M63</f>
        <v>1580.5125124478468</v>
      </c>
      <c r="E63" s="119">
        <f>+E62*$M63</f>
        <v>548.69165905880243</v>
      </c>
      <c r="F63" s="119">
        <f>+F62*$M63</f>
        <v>48.139659053927048</v>
      </c>
      <c r="G63" s="119">
        <f t="shared" ref="G63:L63" si="71">+G62*$M63</f>
        <v>49.425287930738158</v>
      </c>
      <c r="H63" s="119">
        <f t="shared" si="71"/>
        <v>751.09295936364526</v>
      </c>
      <c r="I63" s="119">
        <f t="shared" si="71"/>
        <v>33.638318282154444</v>
      </c>
      <c r="J63" s="119">
        <f t="shared" si="71"/>
        <v>10.690534029397028</v>
      </c>
      <c r="K63" s="119">
        <f t="shared" si="71"/>
        <v>14.344669152376271</v>
      </c>
      <c r="L63" s="119">
        <f t="shared" si="71"/>
        <v>11.105253021916742</v>
      </c>
      <c r="M63" s="114">
        <f>+'2020-2021 Recy. Tons &amp; Revenue'!C13</f>
        <v>3780.5</v>
      </c>
      <c r="N63" s="132"/>
      <c r="O63" s="114">
        <f>SUM(C63:L63)</f>
        <v>3047.6408523408045</v>
      </c>
      <c r="P63" s="114">
        <f>+M63-O63</f>
        <v>732.85914765919551</v>
      </c>
    </row>
    <row r="64" spans="2:16">
      <c r="C64" s="82"/>
      <c r="D64" s="82">
        <f>+$C$33*D63*D13+D63*Q13*$C$34</f>
        <v>-22009.612935586909</v>
      </c>
      <c r="E64" s="82">
        <f t="shared" ref="E64:L64" si="72">+$C$33*E63*E13+E63*R13*$C$34</f>
        <v>47895.328067832314</v>
      </c>
      <c r="F64" s="82">
        <f t="shared" si="72"/>
        <v>36715.176609762173</v>
      </c>
      <c r="G64" s="82">
        <f t="shared" si="72"/>
        <v>3576.4953472864227</v>
      </c>
      <c r="H64" s="82">
        <f t="shared" si="72"/>
        <v>-47694.402919591477</v>
      </c>
      <c r="I64" s="82">
        <f t="shared" si="72"/>
        <v>5045.7477423231667</v>
      </c>
      <c r="J64" s="82">
        <f t="shared" si="72"/>
        <v>7269.5631399899794</v>
      </c>
      <c r="K64" s="82">
        <f t="shared" si="72"/>
        <v>860.68014914257628</v>
      </c>
      <c r="L64" s="82">
        <f t="shared" si="72"/>
        <v>-1970.4543853385576</v>
      </c>
      <c r="M64" s="114">
        <f>SUM(C64:L64)</f>
        <v>29688.520815819691</v>
      </c>
      <c r="N64" s="132">
        <f>+M64/M63</f>
        <v>7.8530672704191753</v>
      </c>
    </row>
    <row r="65" spans="2:16">
      <c r="N65" s="132"/>
    </row>
    <row r="66" spans="2:16">
      <c r="B66" s="11" t="s">
        <v>61</v>
      </c>
      <c r="C66" s="118">
        <f>+C163</f>
        <v>0</v>
      </c>
      <c r="D66" s="118">
        <f t="shared" ref="D66:L66" si="73">+D163</f>
        <v>0.39529452819477334</v>
      </c>
      <c r="E66" s="118">
        <f t="shared" si="73"/>
        <v>0.15116909783552848</v>
      </c>
      <c r="F66" s="118">
        <f t="shared" si="73"/>
        <v>1.2733449739476981E-2</v>
      </c>
      <c r="G66" s="118">
        <f t="shared" si="73"/>
        <v>1.2024139313119461E-2</v>
      </c>
      <c r="H66" s="118">
        <f t="shared" si="73"/>
        <v>0.22375140502889712</v>
      </c>
      <c r="I66" s="118">
        <f t="shared" si="73"/>
        <v>3.278506123966221E-3</v>
      </c>
      <c r="J66" s="118">
        <f t="shared" si="73"/>
        <v>2.9270118306910149E-3</v>
      </c>
      <c r="K66" s="118">
        <f t="shared" si="73"/>
        <v>4.2052878396882567E-3</v>
      </c>
      <c r="L66" s="118">
        <f t="shared" si="73"/>
        <v>3.6186211055886327E-3</v>
      </c>
      <c r="M66" s="113">
        <f>SUM(C66:L66)</f>
        <v>0.8090020470117294</v>
      </c>
      <c r="N66" s="132"/>
    </row>
    <row r="67" spans="2:16">
      <c r="C67" s="119">
        <f>+C66*$M67</f>
        <v>0</v>
      </c>
      <c r="D67" s="119">
        <f>+D66*$M67</f>
        <v>1417.609189957378</v>
      </c>
      <c r="E67" s="119">
        <f>+E66*$M67</f>
        <v>542.12413034875055</v>
      </c>
      <c r="F67" s="119">
        <f>+F66*$M67</f>
        <v>45.664824790209742</v>
      </c>
      <c r="G67" s="119">
        <f t="shared" ref="G67:L67" si="74">+G66*$M67</f>
        <v>43.121088646102145</v>
      </c>
      <c r="H67" s="119">
        <f t="shared" si="74"/>
        <v>802.41952622868121</v>
      </c>
      <c r="I67" s="119">
        <f t="shared" si="74"/>
        <v>11.757411446828902</v>
      </c>
      <c r="J67" s="119">
        <f t="shared" si="74"/>
        <v>10.496879097342424</v>
      </c>
      <c r="K67" s="119">
        <f t="shared" si="74"/>
        <v>15.081045303568423</v>
      </c>
      <c r="L67" s="119">
        <f t="shared" si="74"/>
        <v>12.977135195073011</v>
      </c>
      <c r="M67" s="114">
        <f>+'2020-2021 Recy. Tons &amp; Revenue'!C14</f>
        <v>3586.21</v>
      </c>
      <c r="N67" s="132"/>
      <c r="O67" s="114">
        <f>SUM(C67:L67)</f>
        <v>2901.2512310139341</v>
      </c>
      <c r="P67" s="114">
        <f>+M67-O67</f>
        <v>684.95876898606593</v>
      </c>
    </row>
    <row r="68" spans="2:16">
      <c r="C68" s="82"/>
      <c r="D68" s="82">
        <f t="shared" ref="D68:L68" si="75">+D67*BT14</f>
        <v>-6580.689862136549</v>
      </c>
      <c r="E68" s="82">
        <f t="shared" si="75"/>
        <v>62011.617081933335</v>
      </c>
      <c r="F68" s="82">
        <f t="shared" si="75"/>
        <v>31697.985780934036</v>
      </c>
      <c r="G68" s="82">
        <f t="shared" si="75"/>
        <v>3608.8957758427268</v>
      </c>
      <c r="H68" s="82">
        <f t="shared" si="75"/>
        <v>-50953.639915521257</v>
      </c>
      <c r="I68" s="82">
        <f t="shared" si="75"/>
        <v>1528.4634880877572</v>
      </c>
      <c r="J68" s="82">
        <f t="shared" si="75"/>
        <v>6718.002622299151</v>
      </c>
      <c r="K68" s="82">
        <f t="shared" si="75"/>
        <v>904.86271821410537</v>
      </c>
      <c r="L68" s="82">
        <f t="shared" si="75"/>
        <v>-2305.3403721324853</v>
      </c>
      <c r="M68" s="114">
        <f>SUM(C68:L68)</f>
        <v>46630.157317520825</v>
      </c>
      <c r="N68" s="132"/>
    </row>
    <row r="69" spans="2:16">
      <c r="N69" s="132"/>
    </row>
    <row r="70" spans="2:16">
      <c r="B70" s="11" t="s">
        <v>62</v>
      </c>
      <c r="C70" s="118">
        <f>+C167</f>
        <v>0</v>
      </c>
      <c r="D70" s="118">
        <f t="shared" ref="D70:L70" si="76">+D167</f>
        <v>0.35663297667387889</v>
      </c>
      <c r="E70" s="118">
        <f t="shared" si="76"/>
        <v>0.17631109398618811</v>
      </c>
      <c r="F70" s="118">
        <f t="shared" si="76"/>
        <v>1.0501793177035479E-2</v>
      </c>
      <c r="G70" s="118">
        <f t="shared" si="76"/>
        <v>1.0060760544177361E-2</v>
      </c>
      <c r="H70" s="118">
        <f t="shared" si="76"/>
        <v>0.23727792762085423</v>
      </c>
      <c r="I70" s="118">
        <f t="shared" si="76"/>
        <v>2.2110910222591065E-3</v>
      </c>
      <c r="J70" s="118">
        <f t="shared" si="76"/>
        <v>2.9449598387622632E-3</v>
      </c>
      <c r="K70" s="118">
        <f t="shared" si="76"/>
        <v>3.4832093423041582E-3</v>
      </c>
      <c r="L70" s="118">
        <f t="shared" si="76"/>
        <v>4.1992945849017461E-3</v>
      </c>
      <c r="M70" s="113">
        <f>SUM(C70:L70)</f>
        <v>0.80362310679036142</v>
      </c>
      <c r="N70" s="132"/>
    </row>
    <row r="71" spans="2:16">
      <c r="C71" s="119">
        <f>+C70*$M71</f>
        <v>0</v>
      </c>
      <c r="D71" s="119">
        <f>+D70*$M71</f>
        <v>1386.3393702243695</v>
      </c>
      <c r="E71" s="119">
        <f>+E70*$M71</f>
        <v>685.37411565250909</v>
      </c>
      <c r="F71" s="119">
        <f>+F70*$M71</f>
        <v>40.823620617090022</v>
      </c>
      <c r="G71" s="119">
        <f t="shared" ref="G71:L71" si="77">+G70*$M71</f>
        <v>39.109194463380661</v>
      </c>
      <c r="H71" s="119">
        <f t="shared" si="77"/>
        <v>922.37048804054666</v>
      </c>
      <c r="I71" s="119">
        <f t="shared" si="77"/>
        <v>8.5951741308278251</v>
      </c>
      <c r="J71" s="119">
        <f t="shared" si="77"/>
        <v>11.447942381220546</v>
      </c>
      <c r="K71" s="119">
        <f t="shared" si="77"/>
        <v>13.540279676338955</v>
      </c>
      <c r="L71" s="119">
        <f t="shared" si="77"/>
        <v>16.323917839888558</v>
      </c>
      <c r="M71" s="114">
        <f>+'2020-2021 Recy. Tons &amp; Revenue'!C15</f>
        <v>3887.3</v>
      </c>
      <c r="N71" s="132"/>
      <c r="O71" s="114">
        <f>SUM(C71:L71)</f>
        <v>3123.9241030261715</v>
      </c>
      <c r="P71" s="114">
        <f>+M71-O71</f>
        <v>763.37589697382873</v>
      </c>
    </row>
    <row r="72" spans="2:16">
      <c r="C72" s="82"/>
      <c r="D72" s="82">
        <f t="shared" ref="D72:L72" si="78">+D71*BT15</f>
        <v>-216.9425714322748</v>
      </c>
      <c r="E72" s="82">
        <f t="shared" si="78"/>
        <v>58301.009494020233</v>
      </c>
      <c r="F72" s="82">
        <f t="shared" si="78"/>
        <v>29854.688791489694</v>
      </c>
      <c r="G72" s="82">
        <f t="shared" si="78"/>
        <v>3454.1813501051979</v>
      </c>
      <c r="H72" s="82">
        <f t="shared" si="78"/>
        <v>-58570.525990574715</v>
      </c>
      <c r="I72" s="82">
        <f t="shared" si="78"/>
        <v>731.08879000131083</v>
      </c>
      <c r="J72" s="82">
        <f t="shared" si="78"/>
        <v>8071.2464011726406</v>
      </c>
      <c r="K72" s="82">
        <f t="shared" si="78"/>
        <v>812.41678058033722</v>
      </c>
      <c r="L72" s="82">
        <f t="shared" si="78"/>
        <v>-2900.3036377402441</v>
      </c>
      <c r="M72" s="114">
        <f>SUM(C72:L72)</f>
        <v>39536.859407622171</v>
      </c>
      <c r="N72" s="132"/>
    </row>
    <row r="73" spans="2:16">
      <c r="N73" s="132"/>
    </row>
    <row r="74" spans="2:16">
      <c r="B74" s="11" t="s">
        <v>63</v>
      </c>
      <c r="C74" s="118">
        <f>+C171</f>
        <v>0</v>
      </c>
      <c r="D74" s="118">
        <f t="shared" ref="D74:L74" si="79">+D171</f>
        <v>0.3916852843481447</v>
      </c>
      <c r="E74" s="118">
        <f t="shared" si="79"/>
        <v>0.17503693984420249</v>
      </c>
      <c r="F74" s="118">
        <f t="shared" si="79"/>
        <v>9.0925210113833813E-3</v>
      </c>
      <c r="G74" s="118">
        <f t="shared" si="79"/>
        <v>7.1231840372590035E-3</v>
      </c>
      <c r="H74" s="118">
        <f t="shared" si="79"/>
        <v>0.23789968911427117</v>
      </c>
      <c r="I74" s="118">
        <f t="shared" si="79"/>
        <v>9.7994018700426721E-4</v>
      </c>
      <c r="J74" s="118">
        <f t="shared" si="79"/>
        <v>3.4776646926013926E-3</v>
      </c>
      <c r="K74" s="118">
        <f t="shared" si="79"/>
        <v>3.910304147901225E-3</v>
      </c>
      <c r="L74" s="118">
        <f t="shared" si="79"/>
        <v>4.1396267007104267E-3</v>
      </c>
      <c r="M74" s="113">
        <f>SUM(C74:L74)</f>
        <v>0.83334515408347809</v>
      </c>
      <c r="N74" s="132"/>
    </row>
    <row r="75" spans="2:16">
      <c r="C75" s="119">
        <f>+C74*$M75</f>
        <v>0</v>
      </c>
      <c r="D75" s="119">
        <f>+D74*$M75</f>
        <v>1614.3465668522524</v>
      </c>
      <c r="E75" s="119">
        <f>+E74*$M75</f>
        <v>721.42174904547437</v>
      </c>
      <c r="F75" s="119">
        <f>+F74*$M75</f>
        <v>37.475189049257061</v>
      </c>
      <c r="G75" s="119">
        <f t="shared" ref="G75:L75" si="80">+G74*$M75</f>
        <v>29.358487936924472</v>
      </c>
      <c r="H75" s="119">
        <f t="shared" si="80"/>
        <v>980.51308467203319</v>
      </c>
      <c r="I75" s="119">
        <f t="shared" si="80"/>
        <v>4.0388626783455672</v>
      </c>
      <c r="J75" s="119">
        <f t="shared" si="80"/>
        <v>14.333334137144343</v>
      </c>
      <c r="K75" s="119">
        <f t="shared" si="80"/>
        <v>16.116474957740813</v>
      </c>
      <c r="L75" s="119">
        <f t="shared" si="80"/>
        <v>17.06163703204605</v>
      </c>
      <c r="M75" s="114">
        <f>+'2020-2021 Recy. Tons &amp; Revenue'!C16</f>
        <v>4121.54</v>
      </c>
      <c r="N75" s="132"/>
      <c r="O75" s="114">
        <f>SUM(C75:L75)</f>
        <v>3434.6653863612182</v>
      </c>
      <c r="P75" s="114">
        <f>+M75-O75</f>
        <v>686.87461363878174</v>
      </c>
    </row>
    <row r="76" spans="2:16">
      <c r="C76" s="82"/>
      <c r="D76" s="82">
        <f t="shared" ref="D76:L76" si="81">+D75*BT16</f>
        <v>3924.8167981971787</v>
      </c>
      <c r="E76" s="82">
        <f t="shared" si="81"/>
        <v>60734.80288135443</v>
      </c>
      <c r="F76" s="82">
        <f t="shared" si="81"/>
        <v>30202.307797345289</v>
      </c>
      <c r="G76" s="82">
        <f t="shared" si="81"/>
        <v>2494.8141484879211</v>
      </c>
      <c r="H76" s="82">
        <f t="shared" si="81"/>
        <v>-62262.58087667411</v>
      </c>
      <c r="I76" s="82">
        <f t="shared" si="81"/>
        <v>306.94802420156361</v>
      </c>
      <c r="J76" s="82">
        <f t="shared" si="81"/>
        <v>10463.1615631111</v>
      </c>
      <c r="K76" s="82">
        <f t="shared" si="81"/>
        <v>966.98849746444898</v>
      </c>
      <c r="L76" s="82">
        <f t="shared" si="81"/>
        <v>-3011.9586097487304</v>
      </c>
      <c r="M76" s="114">
        <f>SUM(C76:L76)</f>
        <v>43819.30022373909</v>
      </c>
      <c r="N76" s="132"/>
    </row>
    <row r="77" spans="2:16">
      <c r="C77" s="82"/>
      <c r="D77" s="82"/>
      <c r="E77" s="82"/>
      <c r="F77" s="82"/>
      <c r="G77" s="82"/>
      <c r="H77" s="82"/>
      <c r="I77" s="82"/>
      <c r="J77" s="82"/>
      <c r="K77" s="82"/>
      <c r="L77" s="82"/>
      <c r="M77" s="114"/>
      <c r="N77" s="132"/>
    </row>
    <row r="78" spans="2:16">
      <c r="B78" s="11" t="s">
        <v>64</v>
      </c>
      <c r="C78" s="118">
        <f>+C175</f>
        <v>0</v>
      </c>
      <c r="D78" s="118">
        <f t="shared" ref="D78:L78" si="82">+D175</f>
        <v>0.36236331197857496</v>
      </c>
      <c r="E78" s="118">
        <f t="shared" si="82"/>
        <v>0.21082911378403454</v>
      </c>
      <c r="F78" s="118">
        <f t="shared" si="82"/>
        <v>8.3662243459861254E-3</v>
      </c>
      <c r="G78" s="118">
        <f t="shared" si="82"/>
        <v>8.7344995816237159E-3</v>
      </c>
      <c r="H78" s="118">
        <f t="shared" si="82"/>
        <v>0.20005283383239181</v>
      </c>
      <c r="I78" s="118">
        <f t="shared" si="82"/>
        <v>5.3783800314140071E-3</v>
      </c>
      <c r="J78" s="118">
        <f t="shared" si="82"/>
        <v>8.7188836705719456E-4</v>
      </c>
      <c r="K78" s="118">
        <f t="shared" si="82"/>
        <v>4.6756640340843286E-3</v>
      </c>
      <c r="L78" s="118">
        <f t="shared" si="82"/>
        <v>5.7778870891551396E-3</v>
      </c>
      <c r="M78" s="113">
        <f>SUM(C78:L78)</f>
        <v>0.80704980304432195</v>
      </c>
      <c r="N78" s="132"/>
    </row>
    <row r="79" spans="2:16">
      <c r="C79" s="119">
        <f>+C78*$M79</f>
        <v>0</v>
      </c>
      <c r="D79" s="119">
        <f>+D78*$M79</f>
        <v>1414.4815646752475</v>
      </c>
      <c r="E79" s="119">
        <f>+E78*$M79</f>
        <v>822.96933736484095</v>
      </c>
      <c r="F79" s="119">
        <f>+F78*$M79</f>
        <v>32.65747307231338</v>
      </c>
      <c r="G79" s="119">
        <f t="shared" ref="G79:L79" si="83">+G78*$M79</f>
        <v>34.095031771872357</v>
      </c>
      <c r="H79" s="119">
        <f t="shared" si="83"/>
        <v>780.90423633640307</v>
      </c>
      <c r="I79" s="119">
        <f t="shared" si="83"/>
        <v>20.994452668824263</v>
      </c>
      <c r="J79" s="119">
        <f t="shared" si="83"/>
        <v>3.403407521924088</v>
      </c>
      <c r="K79" s="119">
        <f t="shared" si="83"/>
        <v>18.251407800407836</v>
      </c>
      <c r="L79" s="119">
        <f t="shared" si="83"/>
        <v>22.553924473646195</v>
      </c>
      <c r="M79" s="114">
        <f>+'2020-2021 Recy. Tons &amp; Revenue'!C17</f>
        <v>3903.49</v>
      </c>
      <c r="N79" s="132"/>
      <c r="O79" s="114">
        <f>SUM(C79:L79)</f>
        <v>3150.3108356854796</v>
      </c>
      <c r="P79" s="114">
        <f>+M79-O79</f>
        <v>753.17916431452022</v>
      </c>
    </row>
    <row r="80" spans="2:16">
      <c r="C80" s="82"/>
      <c r="D80" s="82">
        <f t="shared" ref="D80:L80" si="84">+D79*BT17</f>
        <v>14391.714908053151</v>
      </c>
      <c r="E80" s="82">
        <f t="shared" si="84"/>
        <v>74450.76338826424</v>
      </c>
      <c r="F80" s="82">
        <f t="shared" si="84"/>
        <v>28739.448506013701</v>
      </c>
      <c r="G80" s="82">
        <f t="shared" si="84"/>
        <v>3199.6611618445518</v>
      </c>
      <c r="H80" s="82">
        <f t="shared" si="84"/>
        <v>-49587.419007361597</v>
      </c>
      <c r="I80" s="82">
        <f t="shared" si="84"/>
        <v>882.20583579028334</v>
      </c>
      <c r="J80" s="82">
        <f t="shared" si="84"/>
        <v>2658.3140289329267</v>
      </c>
      <c r="K80" s="82">
        <f t="shared" si="84"/>
        <v>1095.0844680244704</v>
      </c>
      <c r="L80" s="82">
        <f t="shared" si="84"/>
        <v>-3921.5432857536084</v>
      </c>
      <c r="M80" s="114">
        <f>SUM(C80:L80)</f>
        <v>71908.23000380813</v>
      </c>
      <c r="N80" s="132"/>
    </row>
    <row r="81" spans="2:16">
      <c r="C81" s="82"/>
      <c r="D81" s="82"/>
      <c r="E81" s="82"/>
      <c r="F81" s="82"/>
      <c r="G81" s="82"/>
      <c r="H81" s="82"/>
      <c r="I81" s="82"/>
      <c r="J81" s="82"/>
      <c r="K81" s="82"/>
      <c r="L81" s="82"/>
      <c r="M81" s="114"/>
      <c r="N81" s="132"/>
    </row>
    <row r="82" spans="2:16">
      <c r="B82" s="11" t="s">
        <v>65</v>
      </c>
      <c r="C82" s="118">
        <f>+C179</f>
        <v>0</v>
      </c>
      <c r="D82" s="118">
        <f t="shared" ref="D82:L82" si="85">+D179</f>
        <v>0.3901543366206835</v>
      </c>
      <c r="E82" s="118">
        <f t="shared" si="85"/>
        <v>0.21807496350147484</v>
      </c>
      <c r="F82" s="118">
        <f t="shared" si="85"/>
        <v>8.251894447258391E-3</v>
      </c>
      <c r="G82" s="118">
        <f t="shared" si="85"/>
        <v>8.3710733049290401E-3</v>
      </c>
      <c r="H82" s="118">
        <f t="shared" si="85"/>
        <v>0.19450486150423585</v>
      </c>
      <c r="I82" s="118">
        <f t="shared" si="85"/>
        <v>5.1520027013874413E-3</v>
      </c>
      <c r="J82" s="118">
        <f t="shared" si="85"/>
        <v>1.1570280765525532E-3</v>
      </c>
      <c r="K82" s="118">
        <f t="shared" si="85"/>
        <v>4.3425796263742815E-3</v>
      </c>
      <c r="L82" s="118">
        <f t="shared" si="85"/>
        <v>5.1135178619312934E-3</v>
      </c>
      <c r="M82" s="113">
        <f>SUM(C82:L82)</f>
        <v>0.83512225764482728</v>
      </c>
      <c r="N82" s="132"/>
    </row>
    <row r="83" spans="2:16">
      <c r="C83" s="119">
        <f>+C82*$M83</f>
        <v>0</v>
      </c>
      <c r="D83" s="119">
        <f>+D82*$M83</f>
        <v>1636.3033862437803</v>
      </c>
      <c r="E83" s="119">
        <f>+E82*$M83</f>
        <v>914.60421617555039</v>
      </c>
      <c r="F83" s="119">
        <f>+F82*$M83</f>
        <v>34.608362792857214</v>
      </c>
      <c r="G83" s="119">
        <f t="shared" ref="G83:L83" si="86">+G82*$M83</f>
        <v>35.108197730139345</v>
      </c>
      <c r="H83" s="119">
        <f t="shared" si="86"/>
        <v>815.75144410015002</v>
      </c>
      <c r="I83" s="119">
        <f t="shared" si="86"/>
        <v>21.607447809591914</v>
      </c>
      <c r="J83" s="119">
        <f t="shared" si="86"/>
        <v>4.8525641827806423</v>
      </c>
      <c r="K83" s="119">
        <f t="shared" si="86"/>
        <v>18.212735527217472</v>
      </c>
      <c r="L83" s="119">
        <f t="shared" si="86"/>
        <v>21.446042777761225</v>
      </c>
      <c r="M83" s="114">
        <f>+'2020-2021 Recy. Tons &amp; Revenue'!C18</f>
        <v>4193.99</v>
      </c>
      <c r="N83" s="132"/>
      <c r="O83" s="114">
        <f>SUM(C83:L83)</f>
        <v>3502.4943973398285</v>
      </c>
      <c r="P83" s="114">
        <f>+M83-O83</f>
        <v>691.49560266017124</v>
      </c>
    </row>
    <row r="84" spans="2:16">
      <c r="C84" s="82"/>
      <c r="D84" s="82">
        <f t="shared" ref="D84:L84" si="87">+D83*BT18</f>
        <v>31160.482824958737</v>
      </c>
      <c r="E84" s="82">
        <f t="shared" si="87"/>
        <v>90333.383313053317</v>
      </c>
      <c r="F84" s="82">
        <f t="shared" si="87"/>
        <v>30142.175706335038</v>
      </c>
      <c r="G84" s="82">
        <f t="shared" si="87"/>
        <v>3867.5911521728422</v>
      </c>
      <c r="H84" s="82">
        <f t="shared" si="87"/>
        <v>-51800.216700359524</v>
      </c>
      <c r="I84" s="82">
        <f t="shared" si="87"/>
        <v>432.14895619183829</v>
      </c>
      <c r="J84" s="82">
        <f t="shared" si="87"/>
        <v>4621.9705394168932</v>
      </c>
      <c r="K84" s="82">
        <f t="shared" si="87"/>
        <v>1821.2735527217471</v>
      </c>
      <c r="L84" s="82">
        <f t="shared" si="87"/>
        <v>-3770.6758328472461</v>
      </c>
      <c r="M84" s="114">
        <f>SUM(C84:L84)</f>
        <v>106808.13351164365</v>
      </c>
      <c r="N84" s="132"/>
    </row>
    <row r="85" spans="2:16">
      <c r="C85" s="82"/>
      <c r="D85" s="82"/>
      <c r="E85" s="82"/>
      <c r="F85" s="82"/>
      <c r="G85" s="82"/>
      <c r="H85" s="82"/>
      <c r="I85" s="82"/>
      <c r="J85" s="82"/>
      <c r="K85" s="82"/>
      <c r="L85" s="82"/>
      <c r="M85" s="114"/>
      <c r="N85" s="132"/>
    </row>
    <row r="86" spans="2:16">
      <c r="B86" s="11" t="s">
        <v>66</v>
      </c>
      <c r="C86" s="118" t="e">
        <f>+C183</f>
        <v>#DIV/0!</v>
      </c>
      <c r="D86" s="118" t="e">
        <f t="shared" ref="D86:L86" si="88">+D183</f>
        <v>#DIV/0!</v>
      </c>
      <c r="E86" s="118" t="e">
        <f t="shared" si="88"/>
        <v>#DIV/0!</v>
      </c>
      <c r="F86" s="118" t="e">
        <f t="shared" si="88"/>
        <v>#DIV/0!</v>
      </c>
      <c r="G86" s="118" t="e">
        <f t="shared" si="88"/>
        <v>#DIV/0!</v>
      </c>
      <c r="H86" s="118" t="e">
        <f t="shared" si="88"/>
        <v>#DIV/0!</v>
      </c>
      <c r="I86" s="118" t="e">
        <f t="shared" si="88"/>
        <v>#DIV/0!</v>
      </c>
      <c r="J86" s="118" t="e">
        <f t="shared" si="88"/>
        <v>#DIV/0!</v>
      </c>
      <c r="K86" s="118" t="e">
        <f t="shared" si="88"/>
        <v>#DIV/0!</v>
      </c>
      <c r="L86" s="118" t="e">
        <f t="shared" si="88"/>
        <v>#DIV/0!</v>
      </c>
      <c r="M86" s="113" t="e">
        <f>SUM(C86:L86)</f>
        <v>#DIV/0!</v>
      </c>
      <c r="N86" s="132"/>
    </row>
    <row r="87" spans="2:16">
      <c r="C87" s="119" t="e">
        <f>+C86*$M87</f>
        <v>#DIV/0!</v>
      </c>
      <c r="D87" s="119" t="e">
        <f>+D86*$M87</f>
        <v>#DIV/0!</v>
      </c>
      <c r="E87" s="119" t="e">
        <f>+E86*$M87</f>
        <v>#DIV/0!</v>
      </c>
      <c r="F87" s="119" t="e">
        <f>+F86*$M87</f>
        <v>#DIV/0!</v>
      </c>
      <c r="G87" s="119" t="e">
        <f t="shared" ref="G87:L87" si="89">+G86*$M87</f>
        <v>#DIV/0!</v>
      </c>
      <c r="H87" s="119" t="e">
        <f t="shared" si="89"/>
        <v>#DIV/0!</v>
      </c>
      <c r="I87" s="119" t="e">
        <f t="shared" si="89"/>
        <v>#DIV/0!</v>
      </c>
      <c r="J87" s="119" t="e">
        <f t="shared" si="89"/>
        <v>#DIV/0!</v>
      </c>
      <c r="K87" s="119" t="e">
        <f t="shared" si="89"/>
        <v>#DIV/0!</v>
      </c>
      <c r="L87" s="119" t="e">
        <f t="shared" si="89"/>
        <v>#DIV/0!</v>
      </c>
      <c r="M87" s="114">
        <f>+'2020-2021 Recy. Tons &amp; Revenue'!C19</f>
        <v>0</v>
      </c>
      <c r="N87" s="132"/>
      <c r="O87" s="114" t="e">
        <f>SUM(C87:L87)</f>
        <v>#DIV/0!</v>
      </c>
      <c r="P87" s="114" t="e">
        <f>+M87-O87</f>
        <v>#DIV/0!</v>
      </c>
    </row>
    <row r="88" spans="2:16">
      <c r="C88" s="82" t="e">
        <f>+C87*BS19</f>
        <v>#DIV/0!</v>
      </c>
      <c r="D88" s="82" t="e">
        <f t="shared" ref="D88:L88" si="90">+D87*BT19</f>
        <v>#DIV/0!</v>
      </c>
      <c r="E88" s="82" t="e">
        <f t="shared" si="90"/>
        <v>#DIV/0!</v>
      </c>
      <c r="F88" s="82" t="e">
        <f t="shared" si="90"/>
        <v>#DIV/0!</v>
      </c>
      <c r="G88" s="82" t="e">
        <f t="shared" si="90"/>
        <v>#DIV/0!</v>
      </c>
      <c r="H88" s="82" t="e">
        <f t="shared" si="90"/>
        <v>#DIV/0!</v>
      </c>
      <c r="I88" s="82" t="e">
        <f t="shared" si="90"/>
        <v>#DIV/0!</v>
      </c>
      <c r="J88" s="82" t="e">
        <f t="shared" si="90"/>
        <v>#DIV/0!</v>
      </c>
      <c r="K88" s="82" t="e">
        <f t="shared" si="90"/>
        <v>#DIV/0!</v>
      </c>
      <c r="L88" s="82" t="e">
        <f t="shared" si="90"/>
        <v>#DIV/0!</v>
      </c>
      <c r="M88" s="114" t="e">
        <f>SUM(C88:L88)</f>
        <v>#DIV/0!</v>
      </c>
      <c r="N88" s="132"/>
    </row>
    <row r="89" spans="2:16">
      <c r="C89" s="82"/>
      <c r="D89" s="82"/>
      <c r="E89" s="82"/>
      <c r="F89" s="82"/>
      <c r="G89" s="82"/>
      <c r="H89" s="82"/>
      <c r="I89" s="82"/>
      <c r="J89" s="82"/>
      <c r="K89" s="82"/>
      <c r="L89" s="82"/>
      <c r="M89" s="114"/>
      <c r="N89" s="132"/>
    </row>
    <row r="90" spans="2:16">
      <c r="B90" s="11" t="s">
        <v>67</v>
      </c>
      <c r="C90" s="118" t="e">
        <f>+C187</f>
        <v>#DIV/0!</v>
      </c>
      <c r="D90" s="118" t="e">
        <f t="shared" ref="D90:L90" si="91">+D187</f>
        <v>#DIV/0!</v>
      </c>
      <c r="E90" s="118" t="e">
        <f t="shared" si="91"/>
        <v>#DIV/0!</v>
      </c>
      <c r="F90" s="118" t="e">
        <f t="shared" si="91"/>
        <v>#DIV/0!</v>
      </c>
      <c r="G90" s="118" t="e">
        <f t="shared" si="91"/>
        <v>#DIV/0!</v>
      </c>
      <c r="H90" s="118" t="e">
        <f t="shared" si="91"/>
        <v>#DIV/0!</v>
      </c>
      <c r="I90" s="118" t="e">
        <f t="shared" si="91"/>
        <v>#DIV/0!</v>
      </c>
      <c r="J90" s="118" t="e">
        <f t="shared" si="91"/>
        <v>#DIV/0!</v>
      </c>
      <c r="K90" s="118" t="e">
        <f t="shared" si="91"/>
        <v>#DIV/0!</v>
      </c>
      <c r="L90" s="118" t="e">
        <f t="shared" si="91"/>
        <v>#DIV/0!</v>
      </c>
      <c r="M90" s="113" t="e">
        <f>SUM(C90:L90)</f>
        <v>#DIV/0!</v>
      </c>
      <c r="N90" s="132"/>
    </row>
    <row r="91" spans="2:16">
      <c r="C91" s="119" t="e">
        <f>+C90*$M91</f>
        <v>#DIV/0!</v>
      </c>
      <c r="D91" s="119" t="e">
        <f>+D90*$M91</f>
        <v>#DIV/0!</v>
      </c>
      <c r="E91" s="119" t="e">
        <f>+E90*$M91</f>
        <v>#DIV/0!</v>
      </c>
      <c r="F91" s="119" t="e">
        <f>+F90*$M91</f>
        <v>#DIV/0!</v>
      </c>
      <c r="G91" s="119" t="e">
        <f t="shared" ref="G91:L91" si="92">+G90*$M91</f>
        <v>#DIV/0!</v>
      </c>
      <c r="H91" s="119" t="e">
        <f t="shared" si="92"/>
        <v>#DIV/0!</v>
      </c>
      <c r="I91" s="119" t="e">
        <f t="shared" si="92"/>
        <v>#DIV/0!</v>
      </c>
      <c r="J91" s="119" t="e">
        <f t="shared" si="92"/>
        <v>#DIV/0!</v>
      </c>
      <c r="K91" s="119" t="e">
        <f t="shared" si="92"/>
        <v>#DIV/0!</v>
      </c>
      <c r="L91" s="119" t="e">
        <f t="shared" si="92"/>
        <v>#DIV/0!</v>
      </c>
      <c r="M91" s="114">
        <f>+'2020-2021 Recy. Tons &amp; Revenue'!C20</f>
        <v>0</v>
      </c>
      <c r="N91" s="132"/>
      <c r="O91" s="114" t="e">
        <f>SUM(C91:L91)</f>
        <v>#DIV/0!</v>
      </c>
      <c r="P91" s="114" t="e">
        <f>+M91-O91</f>
        <v>#DIV/0!</v>
      </c>
    </row>
    <row r="92" spans="2:16">
      <c r="C92" s="82" t="e">
        <f>+C91*BS20</f>
        <v>#DIV/0!</v>
      </c>
      <c r="D92" s="82" t="e">
        <f t="shared" ref="D92:L92" si="93">+D91*BT20</f>
        <v>#DIV/0!</v>
      </c>
      <c r="E92" s="82" t="e">
        <f t="shared" si="93"/>
        <v>#DIV/0!</v>
      </c>
      <c r="F92" s="82" t="e">
        <f t="shared" si="93"/>
        <v>#DIV/0!</v>
      </c>
      <c r="G92" s="82" t="e">
        <f t="shared" si="93"/>
        <v>#DIV/0!</v>
      </c>
      <c r="H92" s="82" t="e">
        <f t="shared" si="93"/>
        <v>#DIV/0!</v>
      </c>
      <c r="I92" s="82" t="e">
        <f t="shared" si="93"/>
        <v>#DIV/0!</v>
      </c>
      <c r="J92" s="82" t="e">
        <f t="shared" si="93"/>
        <v>#DIV/0!</v>
      </c>
      <c r="K92" s="82" t="e">
        <f t="shared" si="93"/>
        <v>#DIV/0!</v>
      </c>
      <c r="L92" s="82" t="e">
        <f t="shared" si="93"/>
        <v>#DIV/0!</v>
      </c>
      <c r="M92" s="114" t="e">
        <f>SUM(C92:L92)</f>
        <v>#DIV/0!</v>
      </c>
      <c r="N92" s="132"/>
    </row>
    <row r="93" spans="2:16">
      <c r="C93" s="82"/>
      <c r="D93" s="82"/>
      <c r="E93" s="82"/>
      <c r="F93" s="82"/>
      <c r="G93" s="82"/>
      <c r="H93" s="82"/>
      <c r="I93" s="82"/>
      <c r="J93" s="82"/>
      <c r="K93" s="82"/>
      <c r="L93" s="82"/>
      <c r="M93" s="114"/>
      <c r="N93" s="132"/>
    </row>
    <row r="94" spans="2:16">
      <c r="B94" s="11" t="s">
        <v>57</v>
      </c>
      <c r="C94" s="118" t="e">
        <f>+C191</f>
        <v>#DIV/0!</v>
      </c>
      <c r="D94" s="118" t="e">
        <f t="shared" ref="D94:L94" si="94">+D191</f>
        <v>#DIV/0!</v>
      </c>
      <c r="E94" s="118" t="e">
        <f t="shared" si="94"/>
        <v>#DIV/0!</v>
      </c>
      <c r="F94" s="118" t="e">
        <f t="shared" si="94"/>
        <v>#DIV/0!</v>
      </c>
      <c r="G94" s="118" t="e">
        <f t="shared" si="94"/>
        <v>#DIV/0!</v>
      </c>
      <c r="H94" s="118" t="e">
        <f t="shared" si="94"/>
        <v>#DIV/0!</v>
      </c>
      <c r="I94" s="118" t="e">
        <f t="shared" si="94"/>
        <v>#DIV/0!</v>
      </c>
      <c r="J94" s="118" t="e">
        <f t="shared" si="94"/>
        <v>#DIV/0!</v>
      </c>
      <c r="K94" s="118" t="e">
        <f t="shared" si="94"/>
        <v>#DIV/0!</v>
      </c>
      <c r="L94" s="118" t="e">
        <f t="shared" si="94"/>
        <v>#DIV/0!</v>
      </c>
      <c r="M94" s="113" t="e">
        <f>SUM(C94:L94)</f>
        <v>#DIV/0!</v>
      </c>
      <c r="N94" s="132"/>
    </row>
    <row r="95" spans="2:16">
      <c r="C95" s="119" t="e">
        <f>+C94*$M95</f>
        <v>#DIV/0!</v>
      </c>
      <c r="D95" s="119" t="e">
        <f>+D94*$M95</f>
        <v>#DIV/0!</v>
      </c>
      <c r="E95" s="119" t="e">
        <f>+E94*$M95</f>
        <v>#DIV/0!</v>
      </c>
      <c r="F95" s="119" t="e">
        <f>+F94*$M95</f>
        <v>#DIV/0!</v>
      </c>
      <c r="G95" s="119" t="e">
        <f t="shared" ref="G95:L95" si="95">+G94*$M95</f>
        <v>#DIV/0!</v>
      </c>
      <c r="H95" s="119" t="e">
        <f t="shared" si="95"/>
        <v>#DIV/0!</v>
      </c>
      <c r="I95" s="119" t="e">
        <f t="shared" si="95"/>
        <v>#DIV/0!</v>
      </c>
      <c r="J95" s="119" t="e">
        <f t="shared" si="95"/>
        <v>#DIV/0!</v>
      </c>
      <c r="K95" s="119" t="e">
        <f t="shared" si="95"/>
        <v>#DIV/0!</v>
      </c>
      <c r="L95" s="119" t="e">
        <f t="shared" si="95"/>
        <v>#DIV/0!</v>
      </c>
      <c r="M95" s="114">
        <f>+'2020-2021 Recy. Tons &amp; Revenue'!C21</f>
        <v>0</v>
      </c>
      <c r="N95" s="132"/>
      <c r="O95" s="114" t="e">
        <f>SUM(C95:L95)</f>
        <v>#DIV/0!</v>
      </c>
      <c r="P95" s="114" t="e">
        <f>+M95-O95</f>
        <v>#DIV/0!</v>
      </c>
    </row>
    <row r="96" spans="2:16">
      <c r="C96" s="82" t="e">
        <f>+C95*BS21</f>
        <v>#DIV/0!</v>
      </c>
      <c r="D96" s="82" t="e">
        <f t="shared" ref="D96:L96" si="96">+D95*BT21</f>
        <v>#DIV/0!</v>
      </c>
      <c r="E96" s="82" t="e">
        <f t="shared" si="96"/>
        <v>#DIV/0!</v>
      </c>
      <c r="F96" s="82" t="e">
        <f t="shared" si="96"/>
        <v>#DIV/0!</v>
      </c>
      <c r="G96" s="82" t="e">
        <f t="shared" si="96"/>
        <v>#DIV/0!</v>
      </c>
      <c r="H96" s="82" t="e">
        <f t="shared" si="96"/>
        <v>#DIV/0!</v>
      </c>
      <c r="I96" s="82" t="e">
        <f t="shared" si="96"/>
        <v>#DIV/0!</v>
      </c>
      <c r="J96" s="82" t="e">
        <f t="shared" si="96"/>
        <v>#DIV/0!</v>
      </c>
      <c r="K96" s="82" t="e">
        <f t="shared" si="96"/>
        <v>#DIV/0!</v>
      </c>
      <c r="L96" s="82" t="e">
        <f t="shared" si="96"/>
        <v>#DIV/0!</v>
      </c>
      <c r="M96" s="114" t="e">
        <f>SUM(C96:L96)</f>
        <v>#DIV/0!</v>
      </c>
      <c r="N96" s="132"/>
    </row>
    <row r="97" spans="2:16">
      <c r="C97" s="82"/>
      <c r="D97" s="82"/>
      <c r="E97" s="82"/>
      <c r="F97" s="82"/>
      <c r="G97" s="82"/>
      <c r="H97" s="82"/>
      <c r="I97" s="82"/>
      <c r="J97" s="82"/>
      <c r="K97" s="82"/>
      <c r="L97" s="82"/>
      <c r="M97" s="114"/>
      <c r="N97" s="132"/>
    </row>
    <row r="98" spans="2:16">
      <c r="B98" s="11" t="s">
        <v>272</v>
      </c>
      <c r="C98" s="118" t="e">
        <f>+C195</f>
        <v>#DIV/0!</v>
      </c>
      <c r="D98" s="118" t="e">
        <f t="shared" ref="D98:L98" si="97">+D195</f>
        <v>#DIV/0!</v>
      </c>
      <c r="E98" s="118" t="e">
        <f t="shared" si="97"/>
        <v>#DIV/0!</v>
      </c>
      <c r="F98" s="118" t="e">
        <f t="shared" si="97"/>
        <v>#DIV/0!</v>
      </c>
      <c r="G98" s="118" t="e">
        <f t="shared" si="97"/>
        <v>#DIV/0!</v>
      </c>
      <c r="H98" s="118" t="e">
        <f t="shared" si="97"/>
        <v>#DIV/0!</v>
      </c>
      <c r="I98" s="118" t="e">
        <f t="shared" si="97"/>
        <v>#DIV/0!</v>
      </c>
      <c r="J98" s="118" t="e">
        <f t="shared" si="97"/>
        <v>#DIV/0!</v>
      </c>
      <c r="K98" s="118" t="e">
        <f t="shared" si="97"/>
        <v>#DIV/0!</v>
      </c>
      <c r="L98" s="118" t="e">
        <f t="shared" si="97"/>
        <v>#DIV/0!</v>
      </c>
      <c r="M98" s="113" t="e">
        <f>SUM(C98:L98)</f>
        <v>#DIV/0!</v>
      </c>
      <c r="N98" s="132"/>
    </row>
    <row r="99" spans="2:16">
      <c r="C99" s="119" t="e">
        <f t="shared" ref="C99:L99" si="98">+C98*$M99</f>
        <v>#DIV/0!</v>
      </c>
      <c r="D99" s="119" t="e">
        <f t="shared" si="98"/>
        <v>#DIV/0!</v>
      </c>
      <c r="E99" s="119" t="e">
        <f t="shared" si="98"/>
        <v>#DIV/0!</v>
      </c>
      <c r="F99" s="119" t="e">
        <f t="shared" si="98"/>
        <v>#DIV/0!</v>
      </c>
      <c r="G99" s="119" t="e">
        <f t="shared" si="98"/>
        <v>#DIV/0!</v>
      </c>
      <c r="H99" s="119" t="e">
        <f t="shared" si="98"/>
        <v>#DIV/0!</v>
      </c>
      <c r="I99" s="119" t="e">
        <f t="shared" si="98"/>
        <v>#DIV/0!</v>
      </c>
      <c r="J99" s="119" t="e">
        <f t="shared" si="98"/>
        <v>#DIV/0!</v>
      </c>
      <c r="K99" s="119" t="e">
        <f t="shared" si="98"/>
        <v>#DIV/0!</v>
      </c>
      <c r="L99" s="119" t="e">
        <f t="shared" si="98"/>
        <v>#DIV/0!</v>
      </c>
      <c r="M99" s="114">
        <f>+'2020-2021 Recy. Tons &amp; Revenue'!C22</f>
        <v>0</v>
      </c>
      <c r="N99" s="132"/>
      <c r="O99" s="114" t="e">
        <f>SUM(C99:L99)</f>
        <v>#DIV/0!</v>
      </c>
      <c r="P99" s="114" t="e">
        <f>+M99-O99</f>
        <v>#DIV/0!</v>
      </c>
    </row>
    <row r="100" spans="2:16">
      <c r="C100" s="82" t="e">
        <f>+C99*BS22</f>
        <v>#DIV/0!</v>
      </c>
      <c r="D100" s="82" t="e">
        <f t="shared" ref="D100:L100" si="99">+D99*BT22</f>
        <v>#DIV/0!</v>
      </c>
      <c r="E100" s="82" t="e">
        <f t="shared" si="99"/>
        <v>#DIV/0!</v>
      </c>
      <c r="F100" s="82" t="e">
        <f t="shared" si="99"/>
        <v>#DIV/0!</v>
      </c>
      <c r="G100" s="82" t="e">
        <f t="shared" si="99"/>
        <v>#DIV/0!</v>
      </c>
      <c r="H100" s="82" t="e">
        <f t="shared" si="99"/>
        <v>#DIV/0!</v>
      </c>
      <c r="I100" s="82" t="e">
        <f t="shared" si="99"/>
        <v>#DIV/0!</v>
      </c>
      <c r="J100" s="82" t="e">
        <f t="shared" si="99"/>
        <v>#DIV/0!</v>
      </c>
      <c r="K100" s="82" t="e">
        <f t="shared" si="99"/>
        <v>#DIV/0!</v>
      </c>
      <c r="L100" s="82" t="e">
        <f t="shared" si="99"/>
        <v>#DIV/0!</v>
      </c>
      <c r="M100" s="114" t="e">
        <f>SUM(C100:L100)</f>
        <v>#DIV/0!</v>
      </c>
      <c r="N100" s="132"/>
    </row>
    <row r="101" spans="2:16">
      <c r="C101" s="118"/>
      <c r="D101" s="118"/>
      <c r="E101" s="118"/>
      <c r="F101" s="118"/>
      <c r="G101" s="118"/>
      <c r="H101" s="118"/>
      <c r="I101" s="118"/>
      <c r="J101" s="118"/>
      <c r="K101" s="118"/>
      <c r="L101" s="118"/>
      <c r="N101" s="132"/>
    </row>
    <row r="102" spans="2:16">
      <c r="B102" s="11" t="s">
        <v>58</v>
      </c>
      <c r="C102" s="118" t="e">
        <f>+C199</f>
        <v>#DIV/0!</v>
      </c>
      <c r="D102" s="118" t="e">
        <f t="shared" ref="D102:L102" si="100">+D199</f>
        <v>#DIV/0!</v>
      </c>
      <c r="E102" s="118" t="e">
        <f t="shared" si="100"/>
        <v>#DIV/0!</v>
      </c>
      <c r="F102" s="118" t="e">
        <f t="shared" si="100"/>
        <v>#DIV/0!</v>
      </c>
      <c r="G102" s="118" t="e">
        <f t="shared" si="100"/>
        <v>#DIV/0!</v>
      </c>
      <c r="H102" s="118" t="e">
        <f t="shared" si="100"/>
        <v>#DIV/0!</v>
      </c>
      <c r="I102" s="118" t="e">
        <f t="shared" si="100"/>
        <v>#DIV/0!</v>
      </c>
      <c r="J102" s="118" t="e">
        <f t="shared" si="100"/>
        <v>#DIV/0!</v>
      </c>
      <c r="K102" s="118" t="e">
        <f t="shared" si="100"/>
        <v>#DIV/0!</v>
      </c>
      <c r="L102" s="118" t="e">
        <f t="shared" si="100"/>
        <v>#DIV/0!</v>
      </c>
      <c r="M102" s="113" t="e">
        <f>SUM(C102:L102)</f>
        <v>#DIV/0!</v>
      </c>
      <c r="N102" s="132"/>
    </row>
    <row r="103" spans="2:16">
      <c r="C103" s="119" t="e">
        <f t="shared" ref="C103:L103" si="101">+C102*$M103</f>
        <v>#DIV/0!</v>
      </c>
      <c r="D103" s="119" t="e">
        <f t="shared" si="101"/>
        <v>#DIV/0!</v>
      </c>
      <c r="E103" s="119" t="e">
        <f t="shared" si="101"/>
        <v>#DIV/0!</v>
      </c>
      <c r="F103" s="119" t="e">
        <f t="shared" si="101"/>
        <v>#DIV/0!</v>
      </c>
      <c r="G103" s="119" t="e">
        <f t="shared" si="101"/>
        <v>#DIV/0!</v>
      </c>
      <c r="H103" s="119" t="e">
        <f t="shared" si="101"/>
        <v>#DIV/0!</v>
      </c>
      <c r="I103" s="119" t="e">
        <f t="shared" si="101"/>
        <v>#DIV/0!</v>
      </c>
      <c r="J103" s="119" t="e">
        <f t="shared" si="101"/>
        <v>#DIV/0!</v>
      </c>
      <c r="K103" s="119" t="e">
        <f t="shared" si="101"/>
        <v>#DIV/0!</v>
      </c>
      <c r="L103" s="119" t="e">
        <f t="shared" si="101"/>
        <v>#DIV/0!</v>
      </c>
      <c r="M103" s="114">
        <f>+'2020-2021 Recy. Tons &amp; Revenue'!C23</f>
        <v>0</v>
      </c>
      <c r="N103" s="132"/>
      <c r="O103" s="114" t="e">
        <f>SUM(C103:L103)</f>
        <v>#DIV/0!</v>
      </c>
      <c r="P103" s="114" t="e">
        <f>+M103-O103</f>
        <v>#DIV/0!</v>
      </c>
    </row>
    <row r="104" spans="2:16">
      <c r="C104" s="82" t="e">
        <f>+C103*BS23</f>
        <v>#DIV/0!</v>
      </c>
      <c r="D104" s="82" t="e">
        <f t="shared" ref="D104:L104" si="102">+D103*BT23</f>
        <v>#DIV/0!</v>
      </c>
      <c r="E104" s="82" t="e">
        <f t="shared" si="102"/>
        <v>#DIV/0!</v>
      </c>
      <c r="F104" s="82" t="e">
        <f t="shared" si="102"/>
        <v>#DIV/0!</v>
      </c>
      <c r="G104" s="82" t="e">
        <f t="shared" si="102"/>
        <v>#DIV/0!</v>
      </c>
      <c r="H104" s="82" t="e">
        <f t="shared" si="102"/>
        <v>#DIV/0!</v>
      </c>
      <c r="I104" s="82" t="e">
        <f t="shared" si="102"/>
        <v>#DIV/0!</v>
      </c>
      <c r="J104" s="82" t="e">
        <f t="shared" si="102"/>
        <v>#DIV/0!</v>
      </c>
      <c r="K104" s="82" t="e">
        <f t="shared" si="102"/>
        <v>#DIV/0!</v>
      </c>
      <c r="L104" s="82" t="e">
        <f t="shared" si="102"/>
        <v>#DIV/0!</v>
      </c>
      <c r="M104" s="114" t="e">
        <f>SUM(C104:L104)</f>
        <v>#DIV/0!</v>
      </c>
      <c r="N104" s="132"/>
    </row>
    <row r="105" spans="2:16">
      <c r="N105" s="132"/>
    </row>
    <row r="106" spans="2:16">
      <c r="B106" s="11" t="s">
        <v>59</v>
      </c>
      <c r="C106" s="118" t="e">
        <f>+C203</f>
        <v>#DIV/0!</v>
      </c>
      <c r="D106" s="118" t="e">
        <f t="shared" ref="D106:L106" si="103">+D203</f>
        <v>#DIV/0!</v>
      </c>
      <c r="E106" s="118" t="e">
        <f t="shared" si="103"/>
        <v>#DIV/0!</v>
      </c>
      <c r="F106" s="118" t="e">
        <f t="shared" si="103"/>
        <v>#DIV/0!</v>
      </c>
      <c r="G106" s="118" t="e">
        <f t="shared" si="103"/>
        <v>#DIV/0!</v>
      </c>
      <c r="H106" s="118" t="e">
        <f t="shared" si="103"/>
        <v>#DIV/0!</v>
      </c>
      <c r="I106" s="118" t="e">
        <f t="shared" si="103"/>
        <v>#DIV/0!</v>
      </c>
      <c r="J106" s="118" t="e">
        <f t="shared" si="103"/>
        <v>#DIV/0!</v>
      </c>
      <c r="K106" s="118" t="e">
        <f t="shared" si="103"/>
        <v>#DIV/0!</v>
      </c>
      <c r="L106" s="118" t="e">
        <f t="shared" si="103"/>
        <v>#DIV/0!</v>
      </c>
      <c r="M106" s="113" t="e">
        <f>SUM(C106:L106)</f>
        <v>#DIV/0!</v>
      </c>
      <c r="N106" s="132"/>
    </row>
    <row r="107" spans="2:16">
      <c r="C107" s="119" t="e">
        <f t="shared" ref="C107:L107" si="104">+C106*$M107</f>
        <v>#DIV/0!</v>
      </c>
      <c r="D107" s="119" t="e">
        <f t="shared" si="104"/>
        <v>#DIV/0!</v>
      </c>
      <c r="E107" s="119" t="e">
        <f t="shared" si="104"/>
        <v>#DIV/0!</v>
      </c>
      <c r="F107" s="119" t="e">
        <f t="shared" si="104"/>
        <v>#DIV/0!</v>
      </c>
      <c r="G107" s="119" t="e">
        <f t="shared" si="104"/>
        <v>#DIV/0!</v>
      </c>
      <c r="H107" s="119" t="e">
        <f t="shared" si="104"/>
        <v>#DIV/0!</v>
      </c>
      <c r="I107" s="119" t="e">
        <f t="shared" si="104"/>
        <v>#DIV/0!</v>
      </c>
      <c r="J107" s="119" t="e">
        <f t="shared" si="104"/>
        <v>#DIV/0!</v>
      </c>
      <c r="K107" s="119" t="e">
        <f t="shared" si="104"/>
        <v>#DIV/0!</v>
      </c>
      <c r="L107" s="119" t="e">
        <f t="shared" si="104"/>
        <v>#DIV/0!</v>
      </c>
      <c r="M107" s="114">
        <f>+'2020-2021 Recy. Tons &amp; Revenue'!C24</f>
        <v>0</v>
      </c>
      <c r="N107" s="132"/>
      <c r="O107" s="114" t="e">
        <f>SUM(C107:L107)</f>
        <v>#DIV/0!</v>
      </c>
      <c r="P107" s="114" t="e">
        <f>+M107-O107</f>
        <v>#DIV/0!</v>
      </c>
    </row>
    <row r="108" spans="2:16">
      <c r="C108" s="82" t="e">
        <f>+C107*BS24</f>
        <v>#DIV/0!</v>
      </c>
      <c r="D108" s="82" t="e">
        <f t="shared" ref="D108:L108" si="105">+D107*BT24</f>
        <v>#DIV/0!</v>
      </c>
      <c r="E108" s="82" t="e">
        <f t="shared" si="105"/>
        <v>#DIV/0!</v>
      </c>
      <c r="F108" s="82" t="e">
        <f t="shared" si="105"/>
        <v>#DIV/0!</v>
      </c>
      <c r="G108" s="82" t="e">
        <f t="shared" si="105"/>
        <v>#DIV/0!</v>
      </c>
      <c r="H108" s="82" t="e">
        <f t="shared" si="105"/>
        <v>#DIV/0!</v>
      </c>
      <c r="I108" s="82" t="e">
        <f t="shared" si="105"/>
        <v>#DIV/0!</v>
      </c>
      <c r="J108" s="82" t="e">
        <f t="shared" si="105"/>
        <v>#DIV/0!</v>
      </c>
      <c r="K108" s="82" t="e">
        <f t="shared" si="105"/>
        <v>#DIV/0!</v>
      </c>
      <c r="L108" s="82" t="e">
        <f t="shared" si="105"/>
        <v>#DIV/0!</v>
      </c>
      <c r="M108" s="114" t="e">
        <f>SUM(C108:L108)</f>
        <v>#DIV/0!</v>
      </c>
      <c r="N108" s="132"/>
    </row>
    <row r="109" spans="2:16">
      <c r="C109" s="82"/>
      <c r="D109" s="82"/>
      <c r="E109" s="82"/>
      <c r="F109" s="82"/>
      <c r="G109" s="82"/>
      <c r="H109" s="82"/>
      <c r="I109" s="82"/>
      <c r="J109" s="82"/>
      <c r="K109" s="82"/>
      <c r="L109" s="82"/>
      <c r="M109" s="114"/>
      <c r="N109" s="132"/>
    </row>
    <row r="110" spans="2:16">
      <c r="B110" s="11" t="s">
        <v>60</v>
      </c>
      <c r="C110" s="118" t="e">
        <f>+C207</f>
        <v>#DIV/0!</v>
      </c>
      <c r="D110" s="118" t="e">
        <f t="shared" ref="D110:L110" si="106">+D207</f>
        <v>#DIV/0!</v>
      </c>
      <c r="E110" s="118" t="e">
        <f t="shared" si="106"/>
        <v>#DIV/0!</v>
      </c>
      <c r="F110" s="118" t="e">
        <f t="shared" si="106"/>
        <v>#DIV/0!</v>
      </c>
      <c r="G110" s="118" t="e">
        <f t="shared" si="106"/>
        <v>#DIV/0!</v>
      </c>
      <c r="H110" s="118" t="e">
        <f t="shared" si="106"/>
        <v>#DIV/0!</v>
      </c>
      <c r="I110" s="118" t="e">
        <f t="shared" si="106"/>
        <v>#DIV/0!</v>
      </c>
      <c r="J110" s="118" t="e">
        <f t="shared" si="106"/>
        <v>#DIV/0!</v>
      </c>
      <c r="K110" s="118" t="e">
        <f t="shared" si="106"/>
        <v>#DIV/0!</v>
      </c>
      <c r="L110" s="118" t="e">
        <f t="shared" si="106"/>
        <v>#DIV/0!</v>
      </c>
      <c r="M110" s="113" t="e">
        <f>SUM(C110:L110)</f>
        <v>#DIV/0!</v>
      </c>
      <c r="N110" s="132"/>
    </row>
    <row r="111" spans="2:16">
      <c r="C111" s="119" t="e">
        <f t="shared" ref="C111:L111" si="107">+C110*$M111</f>
        <v>#DIV/0!</v>
      </c>
      <c r="D111" s="119" t="e">
        <f t="shared" si="107"/>
        <v>#DIV/0!</v>
      </c>
      <c r="E111" s="119" t="e">
        <f t="shared" si="107"/>
        <v>#DIV/0!</v>
      </c>
      <c r="F111" s="119" t="e">
        <f t="shared" si="107"/>
        <v>#DIV/0!</v>
      </c>
      <c r="G111" s="119" t="e">
        <f t="shared" si="107"/>
        <v>#DIV/0!</v>
      </c>
      <c r="H111" s="119" t="e">
        <f t="shared" si="107"/>
        <v>#DIV/0!</v>
      </c>
      <c r="I111" s="119" t="e">
        <f t="shared" si="107"/>
        <v>#DIV/0!</v>
      </c>
      <c r="J111" s="119" t="e">
        <f t="shared" si="107"/>
        <v>#DIV/0!</v>
      </c>
      <c r="K111" s="119" t="e">
        <f t="shared" si="107"/>
        <v>#DIV/0!</v>
      </c>
      <c r="L111" s="119" t="e">
        <f t="shared" si="107"/>
        <v>#DIV/0!</v>
      </c>
      <c r="M111" s="114">
        <f>+'2020-2021 Recy. Tons &amp; Revenue'!C25</f>
        <v>0</v>
      </c>
      <c r="N111" s="132"/>
      <c r="O111" s="114" t="e">
        <f>SUM(C111:L111)</f>
        <v>#DIV/0!</v>
      </c>
      <c r="P111" s="114" t="e">
        <f>+M111-O111</f>
        <v>#DIV/0!</v>
      </c>
    </row>
    <row r="112" spans="2:16">
      <c r="C112" s="82" t="e">
        <f>+C111*BS25</f>
        <v>#DIV/0!</v>
      </c>
      <c r="D112" s="82" t="e">
        <f t="shared" ref="D112:L112" si="108">+D111*BT25</f>
        <v>#DIV/0!</v>
      </c>
      <c r="E112" s="82" t="e">
        <f t="shared" si="108"/>
        <v>#DIV/0!</v>
      </c>
      <c r="F112" s="82" t="e">
        <f t="shared" si="108"/>
        <v>#DIV/0!</v>
      </c>
      <c r="G112" s="82" t="e">
        <f t="shared" si="108"/>
        <v>#DIV/0!</v>
      </c>
      <c r="H112" s="82" t="e">
        <f t="shared" si="108"/>
        <v>#DIV/0!</v>
      </c>
      <c r="I112" s="82" t="e">
        <f t="shared" si="108"/>
        <v>#DIV/0!</v>
      </c>
      <c r="J112" s="82" t="e">
        <f t="shared" si="108"/>
        <v>#DIV/0!</v>
      </c>
      <c r="K112" s="82" t="e">
        <f t="shared" si="108"/>
        <v>#DIV/0!</v>
      </c>
      <c r="L112" s="82" t="e">
        <f t="shared" si="108"/>
        <v>#DIV/0!</v>
      </c>
      <c r="M112" s="114" t="e">
        <f>SUM(C112:L112)</f>
        <v>#DIV/0!</v>
      </c>
      <c r="N112" s="132"/>
    </row>
    <row r="113" spans="2:17">
      <c r="C113" s="82"/>
      <c r="D113" s="82"/>
      <c r="E113" s="82"/>
      <c r="F113" s="82"/>
      <c r="G113" s="82"/>
      <c r="H113" s="82"/>
      <c r="I113" s="82"/>
      <c r="J113" s="82"/>
      <c r="K113" s="82"/>
      <c r="L113" s="82"/>
      <c r="M113" s="114"/>
      <c r="N113" s="132"/>
    </row>
    <row r="114" spans="2:17">
      <c r="B114" s="11" t="s">
        <v>61</v>
      </c>
      <c r="C114" s="118" t="e">
        <f>+C211</f>
        <v>#DIV/0!</v>
      </c>
      <c r="D114" s="118" t="e">
        <f t="shared" ref="D114:L114" si="109">+D211</f>
        <v>#DIV/0!</v>
      </c>
      <c r="E114" s="118" t="e">
        <f t="shared" si="109"/>
        <v>#DIV/0!</v>
      </c>
      <c r="F114" s="118" t="e">
        <f t="shared" si="109"/>
        <v>#DIV/0!</v>
      </c>
      <c r="G114" s="118" t="e">
        <f t="shared" si="109"/>
        <v>#DIV/0!</v>
      </c>
      <c r="H114" s="118" t="e">
        <f t="shared" si="109"/>
        <v>#DIV/0!</v>
      </c>
      <c r="I114" s="118" t="e">
        <f t="shared" si="109"/>
        <v>#DIV/0!</v>
      </c>
      <c r="J114" s="118" t="e">
        <f t="shared" si="109"/>
        <v>#DIV/0!</v>
      </c>
      <c r="K114" s="118" t="e">
        <f t="shared" si="109"/>
        <v>#DIV/0!</v>
      </c>
      <c r="L114" s="118" t="e">
        <f t="shared" si="109"/>
        <v>#DIV/0!</v>
      </c>
      <c r="M114" s="113" t="e">
        <f>SUM(C114:L114)</f>
        <v>#DIV/0!</v>
      </c>
      <c r="N114" s="132"/>
    </row>
    <row r="115" spans="2:17">
      <c r="C115" s="119" t="e">
        <f t="shared" ref="C115:L115" si="110">+C114*$M115</f>
        <v>#DIV/0!</v>
      </c>
      <c r="D115" s="119" t="e">
        <f t="shared" si="110"/>
        <v>#DIV/0!</v>
      </c>
      <c r="E115" s="119" t="e">
        <f t="shared" si="110"/>
        <v>#DIV/0!</v>
      </c>
      <c r="F115" s="119" t="e">
        <f t="shared" si="110"/>
        <v>#DIV/0!</v>
      </c>
      <c r="G115" s="119" t="e">
        <f t="shared" si="110"/>
        <v>#DIV/0!</v>
      </c>
      <c r="H115" s="119" t="e">
        <f t="shared" si="110"/>
        <v>#DIV/0!</v>
      </c>
      <c r="I115" s="119" t="e">
        <f t="shared" si="110"/>
        <v>#DIV/0!</v>
      </c>
      <c r="J115" s="119" t="e">
        <f t="shared" si="110"/>
        <v>#DIV/0!</v>
      </c>
      <c r="K115" s="119" t="e">
        <f t="shared" si="110"/>
        <v>#DIV/0!</v>
      </c>
      <c r="L115" s="119" t="e">
        <f t="shared" si="110"/>
        <v>#DIV/0!</v>
      </c>
      <c r="M115" s="114">
        <f>+'2020-2021 Recy. Tons &amp; Revenue'!C26</f>
        <v>0</v>
      </c>
      <c r="N115" s="132"/>
      <c r="O115" s="114" t="e">
        <f>SUM(C115:L115)</f>
        <v>#DIV/0!</v>
      </c>
      <c r="P115" s="114" t="e">
        <f>+M115-O115</f>
        <v>#DIV/0!</v>
      </c>
    </row>
    <row r="116" spans="2:17">
      <c r="C116" s="82" t="e">
        <f>+C115*BS26</f>
        <v>#DIV/0!</v>
      </c>
      <c r="D116" s="82" t="e">
        <f t="shared" ref="D116:L116" si="111">+D115*BT26</f>
        <v>#DIV/0!</v>
      </c>
      <c r="E116" s="82" t="e">
        <f t="shared" si="111"/>
        <v>#DIV/0!</v>
      </c>
      <c r="F116" s="82" t="e">
        <f t="shared" si="111"/>
        <v>#DIV/0!</v>
      </c>
      <c r="G116" s="82" t="e">
        <f t="shared" si="111"/>
        <v>#DIV/0!</v>
      </c>
      <c r="H116" s="82" t="e">
        <f t="shared" si="111"/>
        <v>#DIV/0!</v>
      </c>
      <c r="I116" s="82" t="e">
        <f t="shared" si="111"/>
        <v>#DIV/0!</v>
      </c>
      <c r="J116" s="82" t="e">
        <f t="shared" si="111"/>
        <v>#DIV/0!</v>
      </c>
      <c r="K116" s="82" t="e">
        <f t="shared" si="111"/>
        <v>#DIV/0!</v>
      </c>
      <c r="L116" s="82" t="e">
        <f t="shared" si="111"/>
        <v>#DIV/0!</v>
      </c>
      <c r="M116" s="114" t="e">
        <f>SUM(C116:L116)</f>
        <v>#DIV/0!</v>
      </c>
      <c r="N116" s="132"/>
    </row>
    <row r="117" spans="2:17">
      <c r="C117" s="82"/>
      <c r="D117" s="82"/>
      <c r="E117" s="82"/>
      <c r="F117" s="82"/>
      <c r="G117" s="82"/>
      <c r="H117" s="82"/>
      <c r="I117" s="82"/>
      <c r="J117" s="82"/>
      <c r="K117" s="82"/>
      <c r="L117" s="82"/>
      <c r="M117" s="114"/>
      <c r="N117" s="132"/>
    </row>
    <row r="118" spans="2:17">
      <c r="B118" s="11" t="s">
        <v>68</v>
      </c>
      <c r="C118" s="118" t="e">
        <f>+C215</f>
        <v>#DIV/0!</v>
      </c>
      <c r="D118" s="118" t="e">
        <f t="shared" ref="D118:L118" si="112">+D215</f>
        <v>#DIV/0!</v>
      </c>
      <c r="E118" s="118" t="e">
        <f t="shared" si="112"/>
        <v>#DIV/0!</v>
      </c>
      <c r="F118" s="118" t="e">
        <f t="shared" si="112"/>
        <v>#DIV/0!</v>
      </c>
      <c r="G118" s="118" t="e">
        <f t="shared" si="112"/>
        <v>#DIV/0!</v>
      </c>
      <c r="H118" s="118" t="e">
        <f t="shared" si="112"/>
        <v>#DIV/0!</v>
      </c>
      <c r="I118" s="118" t="e">
        <f t="shared" si="112"/>
        <v>#DIV/0!</v>
      </c>
      <c r="J118" s="118" t="e">
        <f t="shared" si="112"/>
        <v>#DIV/0!</v>
      </c>
      <c r="K118" s="118" t="e">
        <f t="shared" si="112"/>
        <v>#DIV/0!</v>
      </c>
      <c r="L118" s="118" t="e">
        <f t="shared" si="112"/>
        <v>#DIV/0!</v>
      </c>
      <c r="M118" s="113" t="e">
        <f>SUM(C118:L118)</f>
        <v>#DIV/0!</v>
      </c>
      <c r="N118" s="132"/>
    </row>
    <row r="119" spans="2:17">
      <c r="C119" s="119" t="e">
        <f t="shared" ref="C119:L119" si="113">+C118*$M119</f>
        <v>#DIV/0!</v>
      </c>
      <c r="D119" s="119" t="e">
        <f t="shared" si="113"/>
        <v>#DIV/0!</v>
      </c>
      <c r="E119" s="119" t="e">
        <f t="shared" si="113"/>
        <v>#DIV/0!</v>
      </c>
      <c r="F119" s="119" t="e">
        <f t="shared" si="113"/>
        <v>#DIV/0!</v>
      </c>
      <c r="G119" s="119" t="e">
        <f t="shared" si="113"/>
        <v>#DIV/0!</v>
      </c>
      <c r="H119" s="119" t="e">
        <f t="shared" si="113"/>
        <v>#DIV/0!</v>
      </c>
      <c r="I119" s="119" t="e">
        <f t="shared" si="113"/>
        <v>#DIV/0!</v>
      </c>
      <c r="J119" s="119" t="e">
        <f t="shared" si="113"/>
        <v>#DIV/0!</v>
      </c>
      <c r="K119" s="119" t="e">
        <f t="shared" si="113"/>
        <v>#DIV/0!</v>
      </c>
      <c r="L119" s="119" t="e">
        <f t="shared" si="113"/>
        <v>#DIV/0!</v>
      </c>
      <c r="M119" s="114">
        <f>+'2020-2021 Recy. Tons &amp; Revenue'!C27</f>
        <v>0</v>
      </c>
      <c r="N119" s="132"/>
      <c r="O119" s="114" t="e">
        <f>SUM(C119:L119)</f>
        <v>#DIV/0!</v>
      </c>
      <c r="P119" s="114" t="e">
        <f>+M119-O119</f>
        <v>#DIV/0!</v>
      </c>
    </row>
    <row r="120" spans="2:17">
      <c r="C120" s="82" t="e">
        <f>+C119*BS27</f>
        <v>#DIV/0!</v>
      </c>
      <c r="D120" s="82" t="e">
        <f t="shared" ref="D120:L120" si="114">+D119*BT27</f>
        <v>#DIV/0!</v>
      </c>
      <c r="E120" s="82" t="e">
        <f t="shared" si="114"/>
        <v>#DIV/0!</v>
      </c>
      <c r="F120" s="82" t="e">
        <f t="shared" si="114"/>
        <v>#DIV/0!</v>
      </c>
      <c r="G120" s="82" t="e">
        <f t="shared" si="114"/>
        <v>#DIV/0!</v>
      </c>
      <c r="H120" s="82" t="e">
        <f t="shared" si="114"/>
        <v>#DIV/0!</v>
      </c>
      <c r="I120" s="82" t="e">
        <f t="shared" si="114"/>
        <v>#DIV/0!</v>
      </c>
      <c r="J120" s="82" t="e">
        <f t="shared" si="114"/>
        <v>#DIV/0!</v>
      </c>
      <c r="K120" s="82" t="e">
        <f t="shared" si="114"/>
        <v>#DIV/0!</v>
      </c>
      <c r="L120" s="82" t="e">
        <f t="shared" si="114"/>
        <v>#DIV/0!</v>
      </c>
      <c r="M120" s="114" t="e">
        <f>SUM(C120:L120)</f>
        <v>#DIV/0!</v>
      </c>
      <c r="N120" s="132"/>
    </row>
    <row r="121" spans="2:17">
      <c r="C121" s="119"/>
      <c r="D121" s="119"/>
      <c r="E121" s="119"/>
      <c r="F121" s="119"/>
      <c r="G121" s="119"/>
      <c r="H121" s="119"/>
      <c r="I121" s="119"/>
      <c r="J121" s="119"/>
      <c r="K121" s="119"/>
      <c r="L121" s="119"/>
      <c r="M121" s="114"/>
      <c r="N121" s="132"/>
    </row>
    <row r="122" spans="2:17">
      <c r="B122" s="11" t="s">
        <v>69</v>
      </c>
      <c r="C122" s="118" t="e">
        <f>+C219</f>
        <v>#DIV/0!</v>
      </c>
      <c r="D122" s="118" t="e">
        <f t="shared" ref="D122:L122" si="115">+D219</f>
        <v>#DIV/0!</v>
      </c>
      <c r="E122" s="118" t="e">
        <f t="shared" si="115"/>
        <v>#DIV/0!</v>
      </c>
      <c r="F122" s="118" t="e">
        <f t="shared" si="115"/>
        <v>#DIV/0!</v>
      </c>
      <c r="G122" s="118" t="e">
        <f t="shared" si="115"/>
        <v>#DIV/0!</v>
      </c>
      <c r="H122" s="118" t="e">
        <f t="shared" si="115"/>
        <v>#DIV/0!</v>
      </c>
      <c r="I122" s="118" t="e">
        <f t="shared" si="115"/>
        <v>#DIV/0!</v>
      </c>
      <c r="J122" s="118" t="e">
        <f t="shared" si="115"/>
        <v>#DIV/0!</v>
      </c>
      <c r="K122" s="118" t="e">
        <f t="shared" si="115"/>
        <v>#DIV/0!</v>
      </c>
      <c r="L122" s="118" t="e">
        <f t="shared" si="115"/>
        <v>#DIV/0!</v>
      </c>
      <c r="M122" s="113" t="e">
        <f>SUM(C122:L122)</f>
        <v>#DIV/0!</v>
      </c>
      <c r="N122" s="132"/>
    </row>
    <row r="123" spans="2:17">
      <c r="C123" s="119" t="e">
        <f t="shared" ref="C123:L123" si="116">+C122*$M123</f>
        <v>#DIV/0!</v>
      </c>
      <c r="D123" s="119" t="e">
        <f t="shared" si="116"/>
        <v>#DIV/0!</v>
      </c>
      <c r="E123" s="119" t="e">
        <f t="shared" si="116"/>
        <v>#DIV/0!</v>
      </c>
      <c r="F123" s="119" t="e">
        <f t="shared" si="116"/>
        <v>#DIV/0!</v>
      </c>
      <c r="G123" s="119" t="e">
        <f t="shared" si="116"/>
        <v>#DIV/0!</v>
      </c>
      <c r="H123" s="119" t="e">
        <f t="shared" si="116"/>
        <v>#DIV/0!</v>
      </c>
      <c r="I123" s="119" t="e">
        <f t="shared" si="116"/>
        <v>#DIV/0!</v>
      </c>
      <c r="J123" s="119" t="e">
        <f t="shared" si="116"/>
        <v>#DIV/0!</v>
      </c>
      <c r="K123" s="119" t="e">
        <f t="shared" si="116"/>
        <v>#DIV/0!</v>
      </c>
      <c r="L123" s="119" t="e">
        <f t="shared" si="116"/>
        <v>#DIV/0!</v>
      </c>
      <c r="M123" s="114">
        <f>+'2020-2021 Recy. Tons &amp; Revenue'!C28</f>
        <v>0</v>
      </c>
      <c r="N123" s="132"/>
      <c r="O123" s="114" t="e">
        <f>SUM(C123:L123)</f>
        <v>#DIV/0!</v>
      </c>
      <c r="P123" s="114" t="e">
        <f>+M123-O123</f>
        <v>#DIV/0!</v>
      </c>
    </row>
    <row r="124" spans="2:17">
      <c r="C124" s="82" t="e">
        <f>+C123*BS28</f>
        <v>#DIV/0!</v>
      </c>
      <c r="D124" s="82" t="e">
        <f t="shared" ref="D124:L124" si="117">+D123*BT28</f>
        <v>#DIV/0!</v>
      </c>
      <c r="E124" s="82" t="e">
        <f t="shared" si="117"/>
        <v>#DIV/0!</v>
      </c>
      <c r="F124" s="82" t="e">
        <f t="shared" si="117"/>
        <v>#DIV/0!</v>
      </c>
      <c r="G124" s="82" t="e">
        <f t="shared" si="117"/>
        <v>#DIV/0!</v>
      </c>
      <c r="H124" s="82" t="e">
        <f t="shared" si="117"/>
        <v>#DIV/0!</v>
      </c>
      <c r="I124" s="82" t="e">
        <f t="shared" si="117"/>
        <v>#DIV/0!</v>
      </c>
      <c r="J124" s="82" t="e">
        <f t="shared" si="117"/>
        <v>#DIV/0!</v>
      </c>
      <c r="K124" s="82" t="e">
        <f t="shared" si="117"/>
        <v>#DIV/0!</v>
      </c>
      <c r="L124" s="82" t="e">
        <f t="shared" si="117"/>
        <v>#DIV/0!</v>
      </c>
      <c r="M124" s="170" t="e">
        <f>SUM(C124:L124)</f>
        <v>#DIV/0!</v>
      </c>
      <c r="N124" s="132"/>
      <c r="Q124" s="132"/>
    </row>
    <row r="125" spans="2:17">
      <c r="C125" s="119"/>
      <c r="D125" s="119"/>
      <c r="E125" s="119"/>
      <c r="F125" s="119"/>
      <c r="G125" s="119"/>
      <c r="H125" s="119"/>
      <c r="I125" s="119"/>
      <c r="J125" s="119"/>
      <c r="K125" s="119"/>
      <c r="L125" s="119"/>
      <c r="M125" s="114"/>
    </row>
    <row r="126" spans="2:17">
      <c r="B126" s="11" t="s">
        <v>70</v>
      </c>
      <c r="C126" s="118" t="e">
        <f>+C223</f>
        <v>#DIV/0!</v>
      </c>
      <c r="D126" s="118" t="e">
        <f t="shared" ref="D126:L126" si="118">+D223</f>
        <v>#DIV/0!</v>
      </c>
      <c r="E126" s="118" t="e">
        <f t="shared" si="118"/>
        <v>#DIV/0!</v>
      </c>
      <c r="F126" s="118" t="e">
        <f t="shared" si="118"/>
        <v>#DIV/0!</v>
      </c>
      <c r="G126" s="118" t="e">
        <f t="shared" si="118"/>
        <v>#DIV/0!</v>
      </c>
      <c r="H126" s="118" t="e">
        <f t="shared" si="118"/>
        <v>#DIV/0!</v>
      </c>
      <c r="I126" s="118" t="e">
        <f t="shared" si="118"/>
        <v>#DIV/0!</v>
      </c>
      <c r="J126" s="118" t="e">
        <f t="shared" si="118"/>
        <v>#DIV/0!</v>
      </c>
      <c r="K126" s="118" t="e">
        <f t="shared" si="118"/>
        <v>#DIV/0!</v>
      </c>
      <c r="L126" s="118" t="e">
        <f t="shared" si="118"/>
        <v>#DIV/0!</v>
      </c>
      <c r="M126" s="113" t="e">
        <f>SUM(C126:L126)</f>
        <v>#DIV/0!</v>
      </c>
    </row>
    <row r="127" spans="2:17">
      <c r="C127" s="119" t="e">
        <f t="shared" ref="C127:L127" si="119">+C126*$M127</f>
        <v>#DIV/0!</v>
      </c>
      <c r="D127" s="119" t="e">
        <f t="shared" si="119"/>
        <v>#DIV/0!</v>
      </c>
      <c r="E127" s="119" t="e">
        <f t="shared" si="119"/>
        <v>#DIV/0!</v>
      </c>
      <c r="F127" s="119" t="e">
        <f t="shared" si="119"/>
        <v>#DIV/0!</v>
      </c>
      <c r="G127" s="119" t="e">
        <f t="shared" si="119"/>
        <v>#DIV/0!</v>
      </c>
      <c r="H127" s="119" t="e">
        <f t="shared" si="119"/>
        <v>#DIV/0!</v>
      </c>
      <c r="I127" s="119" t="e">
        <f t="shared" si="119"/>
        <v>#DIV/0!</v>
      </c>
      <c r="J127" s="119" t="e">
        <f t="shared" si="119"/>
        <v>#DIV/0!</v>
      </c>
      <c r="K127" s="119" t="e">
        <f t="shared" si="119"/>
        <v>#DIV/0!</v>
      </c>
      <c r="L127" s="119" t="e">
        <f t="shared" si="119"/>
        <v>#DIV/0!</v>
      </c>
      <c r="M127" s="114">
        <f>+'2020-2021 Recy. Tons &amp; Revenue'!C29</f>
        <v>0</v>
      </c>
      <c r="O127" s="114" t="e">
        <f>SUM(C127:L127)</f>
        <v>#DIV/0!</v>
      </c>
      <c r="P127" s="114" t="e">
        <f>+M127-O127</f>
        <v>#DIV/0!</v>
      </c>
    </row>
    <row r="128" spans="2:17">
      <c r="C128" s="247" t="e">
        <f>+C127*BS29</f>
        <v>#DIV/0!</v>
      </c>
      <c r="D128" s="82" t="e">
        <f t="shared" ref="D128:L128" si="120">+D127*BT29</f>
        <v>#DIV/0!</v>
      </c>
      <c r="E128" s="82" t="e">
        <f t="shared" si="120"/>
        <v>#DIV/0!</v>
      </c>
      <c r="F128" s="82" t="e">
        <f t="shared" si="120"/>
        <v>#DIV/0!</v>
      </c>
      <c r="G128" s="82" t="e">
        <f t="shared" si="120"/>
        <v>#DIV/0!</v>
      </c>
      <c r="H128" s="82" t="e">
        <f t="shared" si="120"/>
        <v>#DIV/0!</v>
      </c>
      <c r="I128" s="82" t="e">
        <f t="shared" si="120"/>
        <v>#DIV/0!</v>
      </c>
      <c r="J128" s="82" t="e">
        <f t="shared" si="120"/>
        <v>#DIV/0!</v>
      </c>
      <c r="K128" s="82" t="e">
        <f t="shared" si="120"/>
        <v>#DIV/0!</v>
      </c>
      <c r="L128" s="82" t="e">
        <f t="shared" si="120"/>
        <v>#DIV/0!</v>
      </c>
      <c r="M128" s="170" t="e">
        <f>SUM(C128:L128)</f>
        <v>#DIV/0!</v>
      </c>
    </row>
    <row r="129" spans="2:16">
      <c r="C129" s="82"/>
      <c r="D129" s="82"/>
      <c r="E129" s="82"/>
      <c r="F129" s="82"/>
      <c r="G129" s="82"/>
      <c r="H129" s="82"/>
      <c r="I129" s="82"/>
      <c r="J129" s="82"/>
      <c r="K129" s="82"/>
      <c r="L129" s="82"/>
      <c r="M129" s="114"/>
    </row>
    <row r="130" spans="2:16">
      <c r="B130" s="11" t="s">
        <v>71</v>
      </c>
      <c r="C130" s="118" t="e">
        <f>+C227</f>
        <v>#DIV/0!</v>
      </c>
      <c r="D130" s="118" t="e">
        <f t="shared" ref="D130:L130" si="121">+D227</f>
        <v>#DIV/0!</v>
      </c>
      <c r="E130" s="118" t="e">
        <f t="shared" si="121"/>
        <v>#DIV/0!</v>
      </c>
      <c r="F130" s="118" t="e">
        <f t="shared" si="121"/>
        <v>#DIV/0!</v>
      </c>
      <c r="G130" s="118" t="e">
        <f t="shared" si="121"/>
        <v>#DIV/0!</v>
      </c>
      <c r="H130" s="118" t="e">
        <f t="shared" si="121"/>
        <v>#DIV/0!</v>
      </c>
      <c r="I130" s="118" t="e">
        <f t="shared" si="121"/>
        <v>#DIV/0!</v>
      </c>
      <c r="J130" s="118" t="e">
        <f t="shared" si="121"/>
        <v>#DIV/0!</v>
      </c>
      <c r="K130" s="118" t="e">
        <f t="shared" si="121"/>
        <v>#DIV/0!</v>
      </c>
      <c r="L130" s="118" t="e">
        <f t="shared" si="121"/>
        <v>#DIV/0!</v>
      </c>
      <c r="M130" s="113" t="e">
        <f>SUM(C130:L130)</f>
        <v>#DIV/0!</v>
      </c>
    </row>
    <row r="131" spans="2:16">
      <c r="C131" s="119" t="e">
        <f t="shared" ref="C131:L131" si="122">+C130*$M131</f>
        <v>#DIV/0!</v>
      </c>
      <c r="D131" s="119" t="e">
        <f t="shared" si="122"/>
        <v>#DIV/0!</v>
      </c>
      <c r="E131" s="119" t="e">
        <f t="shared" si="122"/>
        <v>#DIV/0!</v>
      </c>
      <c r="F131" s="119" t="e">
        <f t="shared" si="122"/>
        <v>#DIV/0!</v>
      </c>
      <c r="G131" s="119" t="e">
        <f t="shared" si="122"/>
        <v>#DIV/0!</v>
      </c>
      <c r="H131" s="119" t="e">
        <f t="shared" si="122"/>
        <v>#DIV/0!</v>
      </c>
      <c r="I131" s="119" t="e">
        <f t="shared" si="122"/>
        <v>#DIV/0!</v>
      </c>
      <c r="J131" s="119" t="e">
        <f t="shared" si="122"/>
        <v>#DIV/0!</v>
      </c>
      <c r="K131" s="119" t="e">
        <f t="shared" si="122"/>
        <v>#DIV/0!</v>
      </c>
      <c r="L131" s="119" t="e">
        <f t="shared" si="122"/>
        <v>#DIV/0!</v>
      </c>
      <c r="M131" s="114">
        <f>+'2020-2021 Recy. Tons &amp; Revenue'!C30</f>
        <v>0</v>
      </c>
      <c r="O131" s="114" t="e">
        <f>SUM(C131:L131)</f>
        <v>#DIV/0!</v>
      </c>
      <c r="P131" s="114" t="e">
        <f>+M131-O131</f>
        <v>#DIV/0!</v>
      </c>
    </row>
    <row r="132" spans="2:16">
      <c r="C132" s="245"/>
      <c r="D132" s="82" t="e">
        <f t="shared" ref="D132:L132" si="123">+D131*BT30</f>
        <v>#DIV/0!</v>
      </c>
      <c r="E132" s="82" t="e">
        <f t="shared" si="123"/>
        <v>#DIV/0!</v>
      </c>
      <c r="F132" s="82" t="e">
        <f t="shared" si="123"/>
        <v>#DIV/0!</v>
      </c>
      <c r="G132" s="82" t="e">
        <f t="shared" si="123"/>
        <v>#DIV/0!</v>
      </c>
      <c r="H132" s="82" t="e">
        <f t="shared" si="123"/>
        <v>#DIV/0!</v>
      </c>
      <c r="I132" s="82" t="e">
        <f t="shared" si="123"/>
        <v>#DIV/0!</v>
      </c>
      <c r="J132" s="82" t="e">
        <f t="shared" si="123"/>
        <v>#DIV/0!</v>
      </c>
      <c r="K132" s="82" t="e">
        <f t="shared" si="123"/>
        <v>#DIV/0!</v>
      </c>
      <c r="L132" s="82" t="e">
        <f t="shared" si="123"/>
        <v>#DIV/0!</v>
      </c>
      <c r="M132" s="114" t="e">
        <f>SUM(C132:L132)</f>
        <v>#DIV/0!</v>
      </c>
    </row>
    <row r="134" spans="2:16">
      <c r="B134" s="117" t="s">
        <v>72</v>
      </c>
    </row>
    <row r="135" spans="2:16">
      <c r="B135" s="11" t="str">
        <f>+B38</f>
        <v>Oct; '19</v>
      </c>
      <c r="C135" s="118">
        <f>+Composition!$D$43</f>
        <v>0</v>
      </c>
      <c r="D135" s="118">
        <f>+Composition!$D$44</f>
        <v>0.30872960409494554</v>
      </c>
      <c r="E135" s="118">
        <f>+Composition!$D$45</f>
        <v>0.2669492234757726</v>
      </c>
      <c r="F135" s="118">
        <f>+Composition!$D$46</f>
        <v>7.804430674405032E-3</v>
      </c>
      <c r="G135" s="118">
        <f>+Composition!$D$47</f>
        <v>1.0687020161069373E-2</v>
      </c>
      <c r="H135" s="118">
        <f>+Composition!$D$48</f>
        <v>0.22715955779516506</v>
      </c>
      <c r="I135" s="118">
        <f>+Composition!$D$49</f>
        <v>5.2497654280706102E-3</v>
      </c>
      <c r="J135" s="118">
        <f>+Composition!$D$50</f>
        <v>3.6933257247186236E-3</v>
      </c>
      <c r="K135" s="118">
        <f>+Composition!$D$51</f>
        <v>3.7445714499941187E-3</v>
      </c>
      <c r="L135" s="118">
        <f>+Composition!$D$52</f>
        <v>2.7505360170524281E-3</v>
      </c>
      <c r="M135" s="118">
        <f>+M38</f>
        <v>0.83676803482119333</v>
      </c>
    </row>
    <row r="136" spans="2:16">
      <c r="C136" s="119">
        <f t="shared" ref="C136:L136" si="124">+C135*$M136</f>
        <v>0</v>
      </c>
      <c r="D136" s="119">
        <f t="shared" si="124"/>
        <v>1082.9308322838403</v>
      </c>
      <c r="E136" s="119">
        <f t="shared" si="124"/>
        <v>936.37779118596745</v>
      </c>
      <c r="F136" s="119">
        <f t="shared" si="124"/>
        <v>27.37560147661053</v>
      </c>
      <c r="G136" s="119">
        <f t="shared" si="124"/>
        <v>37.486860618983037</v>
      </c>
      <c r="H136" s="119">
        <f t="shared" si="124"/>
        <v>796.80758087810045</v>
      </c>
      <c r="I136" s="119">
        <f t="shared" si="124"/>
        <v>18.414602192043279</v>
      </c>
      <c r="J136" s="119">
        <f t="shared" si="124"/>
        <v>12.955078644595515</v>
      </c>
      <c r="K136" s="119">
        <f t="shared" si="124"/>
        <v>13.13483327514437</v>
      </c>
      <c r="L136" s="119">
        <f t="shared" si="124"/>
        <v>9.6480551870148012</v>
      </c>
      <c r="M136" s="114">
        <f>+'2020-2021 Recy. Tons &amp; Revenue'!$D$7</f>
        <v>3507.7</v>
      </c>
    </row>
    <row r="137" spans="2:16">
      <c r="C137" s="82">
        <f t="shared" ref="C137:L137" si="125">+C136*C7</f>
        <v>0</v>
      </c>
      <c r="D137" s="82">
        <f t="shared" si="125"/>
        <v>-9822.1826488144325</v>
      </c>
      <c r="E137" s="82">
        <f t="shared" si="125"/>
        <v>48541.824695080555</v>
      </c>
      <c r="F137" s="82">
        <f t="shared" si="125"/>
        <v>24518.957462526221</v>
      </c>
      <c r="G137" s="82">
        <f t="shared" si="125"/>
        <v>2788.2726928399579</v>
      </c>
      <c r="H137" s="82">
        <f t="shared" si="125"/>
        <v>-50597.281385759379</v>
      </c>
      <c r="I137" s="82">
        <f t="shared" si="125"/>
        <v>1541.6704955178634</v>
      </c>
      <c r="J137" s="82">
        <f t="shared" si="125"/>
        <v>10449.436883944298</v>
      </c>
      <c r="K137" s="82">
        <f t="shared" si="125"/>
        <v>3415.0566515375363</v>
      </c>
      <c r="L137" s="82">
        <f t="shared" si="125"/>
        <v>-1616.0492438249792</v>
      </c>
      <c r="M137" s="114">
        <f>SUM(C137:L137)</f>
        <v>29219.705603047641</v>
      </c>
      <c r="N137" s="132">
        <f>+M137/M136</f>
        <v>8.3301609610421767</v>
      </c>
    </row>
    <row r="138" spans="2:16">
      <c r="C138" s="118"/>
      <c r="D138" s="118"/>
      <c r="E138" s="118"/>
      <c r="F138" s="118"/>
      <c r="G138" s="118"/>
      <c r="H138" s="118"/>
      <c r="I138" s="118"/>
      <c r="J138" s="118"/>
      <c r="K138" s="118"/>
      <c r="L138" s="118"/>
      <c r="N138" s="132"/>
    </row>
    <row r="139" spans="2:16">
      <c r="B139" s="11" t="s">
        <v>56</v>
      </c>
      <c r="C139" s="118">
        <f>+Composition!$F$43</f>
        <v>0</v>
      </c>
      <c r="D139" s="118">
        <f>+Composition!$F$44</f>
        <v>0.35549842167274731</v>
      </c>
      <c r="E139" s="118">
        <f>+Composition!$F$45</f>
        <v>0.25670093848202374</v>
      </c>
      <c r="F139" s="118">
        <f>+Composition!$F$46</f>
        <v>1.1865578135265864E-2</v>
      </c>
      <c r="G139" s="118">
        <f>+Composition!$F$47</f>
        <v>7.1222620684243893E-3</v>
      </c>
      <c r="H139" s="118">
        <f>+Composition!$F$48</f>
        <v>0.17046225865716313</v>
      </c>
      <c r="I139" s="118">
        <f>+Composition!$F$49</f>
        <v>8.0366515091929384E-3</v>
      </c>
      <c r="J139" s="118">
        <f>+Composition!$F$50</f>
        <v>2.6353426422411302E-3</v>
      </c>
      <c r="K139" s="118">
        <f>+Composition!$F$51</f>
        <v>4.7239701733053155E-3</v>
      </c>
      <c r="L139" s="118">
        <f>+Composition!$F$52</f>
        <v>2.8336807193065573E-3</v>
      </c>
      <c r="M139" s="118">
        <f>+M42</f>
        <v>0.81987910405967035</v>
      </c>
      <c r="N139" s="132"/>
    </row>
    <row r="140" spans="2:16">
      <c r="C140" s="119">
        <f t="shared" ref="C140:L140" si="126">+C139*$M140</f>
        <v>0</v>
      </c>
      <c r="D140" s="119">
        <f t="shared" si="126"/>
        <v>1161.6977423422038</v>
      </c>
      <c r="E140" s="119">
        <f t="shared" si="126"/>
        <v>838.84732677155728</v>
      </c>
      <c r="F140" s="119">
        <f t="shared" si="126"/>
        <v>38.774336230421795</v>
      </c>
      <c r="G140" s="119">
        <f t="shared" si="126"/>
        <v>23.274127987197222</v>
      </c>
      <c r="H140" s="119">
        <f t="shared" si="126"/>
        <v>557.03656883987776</v>
      </c>
      <c r="I140" s="119">
        <f t="shared" si="126"/>
        <v>26.262169801740686</v>
      </c>
      <c r="J140" s="119">
        <f t="shared" si="126"/>
        <v>8.6117726863155664</v>
      </c>
      <c r="K140" s="119">
        <f t="shared" si="126"/>
        <v>15.436989732327111</v>
      </c>
      <c r="L140" s="119">
        <f t="shared" si="126"/>
        <v>9.2599018545499678</v>
      </c>
      <c r="M140" s="114">
        <f>+'2020-2021 Recy. Tons &amp; Revenue'!$D$8</f>
        <v>3267.8</v>
      </c>
      <c r="N140" s="132"/>
    </row>
    <row r="141" spans="2:16">
      <c r="C141" s="82">
        <f t="shared" ref="C141:L141" si="127">+C140*C8</f>
        <v>0</v>
      </c>
      <c r="D141" s="82">
        <f t="shared" si="127"/>
        <v>-14881.348079403631</v>
      </c>
      <c r="E141" s="82">
        <f t="shared" si="127"/>
        <v>43267.745114876925</v>
      </c>
      <c r="F141" s="82">
        <f t="shared" si="127"/>
        <v>29238.563721274164</v>
      </c>
      <c r="G141" s="82">
        <f t="shared" si="127"/>
        <v>1906.1510821514526</v>
      </c>
      <c r="H141" s="82">
        <f t="shared" si="127"/>
        <v>-35371.822121332239</v>
      </c>
      <c r="I141" s="82">
        <f t="shared" si="127"/>
        <v>2105.9633964015857</v>
      </c>
      <c r="J141" s="82">
        <f t="shared" si="127"/>
        <v>7406.1245102313869</v>
      </c>
      <c r="K141" s="82">
        <f t="shared" si="127"/>
        <v>4785.4668170214045</v>
      </c>
      <c r="L141" s="82">
        <f t="shared" si="127"/>
        <v>-1551.0335606371195</v>
      </c>
      <c r="M141" s="114">
        <f>SUM(C141:L141)</f>
        <v>36905.810880583929</v>
      </c>
      <c r="N141" s="132">
        <f>+M141/M140</f>
        <v>11.293778958499274</v>
      </c>
    </row>
    <row r="142" spans="2:16">
      <c r="N142" s="132"/>
    </row>
    <row r="143" spans="2:16">
      <c r="B143" s="11" t="s">
        <v>73</v>
      </c>
      <c r="C143" s="118">
        <f>+Composition!$H$43</f>
        <v>0</v>
      </c>
      <c r="D143" s="118">
        <f>+Composition!$H$44</f>
        <v>0.38563459339255646</v>
      </c>
      <c r="E143" s="118">
        <f>+Composition!$H$45</f>
        <v>0.23374350411983905</v>
      </c>
      <c r="F143" s="118">
        <f>+Composition!$H$46</f>
        <v>6.2869961001905637E-3</v>
      </c>
      <c r="G143" s="118">
        <f>+Composition!$H$47</f>
        <v>1.023076652999097E-2</v>
      </c>
      <c r="H143" s="118">
        <f>+Composition!$H$48</f>
        <v>0.19376044497853739</v>
      </c>
      <c r="I143" s="118">
        <f>+Composition!$H$49</f>
        <v>2.6596826883564873E-3</v>
      </c>
      <c r="J143" s="118">
        <f>+Composition!$H$50</f>
        <v>2.6712625686327244E-3</v>
      </c>
      <c r="K143" s="118">
        <f>+Composition!$H$51</f>
        <v>9.9527739475783572E-4</v>
      </c>
      <c r="L143" s="118">
        <f>+Composition!$H$52</f>
        <v>2.2893391561799197E-3</v>
      </c>
      <c r="M143" s="118">
        <f>+M46</f>
        <v>0.83827186692904132</v>
      </c>
      <c r="N143" s="132"/>
    </row>
    <row r="144" spans="2:16">
      <c r="C144" s="119">
        <f t="shared" ref="C144:L144" si="128">+C143*$M144</f>
        <v>0</v>
      </c>
      <c r="D144" s="119">
        <f t="shared" si="128"/>
        <v>1417.662179537848</v>
      </c>
      <c r="E144" s="119">
        <f t="shared" si="128"/>
        <v>859.28319497526991</v>
      </c>
      <c r="F144" s="119">
        <f t="shared" si="128"/>
        <v>23.112129323598545</v>
      </c>
      <c r="G144" s="119">
        <f t="shared" si="128"/>
        <v>37.610139302222201</v>
      </c>
      <c r="H144" s="119">
        <f t="shared" si="128"/>
        <v>712.29827262119954</v>
      </c>
      <c r="I144" s="119">
        <f t="shared" si="128"/>
        <v>9.7774723052823518</v>
      </c>
      <c r="J144" s="119">
        <f t="shared" si="128"/>
        <v>9.8200420295562481</v>
      </c>
      <c r="K144" s="119">
        <f t="shared" si="128"/>
        <v>3.6588188530608603</v>
      </c>
      <c r="L144" s="119">
        <f t="shared" si="128"/>
        <v>8.4160228191654962</v>
      </c>
      <c r="M144" s="114">
        <f>+'2020-2021 Recy. Tons &amp; Revenue'!$D$9</f>
        <v>3676.18</v>
      </c>
      <c r="N144" s="132"/>
    </row>
    <row r="145" spans="2:14">
      <c r="C145" s="82">
        <f t="shared" ref="C145:L145" si="129">+C144*C9</f>
        <v>0</v>
      </c>
      <c r="D145" s="82">
        <f t="shared" si="129"/>
        <v>-21420.875532816885</v>
      </c>
      <c r="E145" s="82">
        <f t="shared" si="129"/>
        <v>41322.92884636073</v>
      </c>
      <c r="F145" s="82">
        <f t="shared" si="129"/>
        <v>20230.27791823904</v>
      </c>
      <c r="G145" s="82">
        <f t="shared" si="129"/>
        <v>3749.354787038531</v>
      </c>
      <c r="H145" s="82">
        <f t="shared" si="129"/>
        <v>-45230.940311446167</v>
      </c>
      <c r="I145" s="82">
        <f t="shared" si="129"/>
        <v>735.65701624944415</v>
      </c>
      <c r="J145" s="82">
        <f t="shared" si="129"/>
        <v>9917.8496481706279</v>
      </c>
      <c r="K145" s="82">
        <f t="shared" si="129"/>
        <v>951.2929017958237</v>
      </c>
      <c r="L145" s="82">
        <f t="shared" si="129"/>
        <v>-1409.6838222102206</v>
      </c>
      <c r="M145" s="114">
        <f>SUM(C145:L145)</f>
        <v>8845.8614513809189</v>
      </c>
      <c r="N145" s="132">
        <f>+M145/M144</f>
        <v>2.4062645059221581</v>
      </c>
    </row>
    <row r="146" spans="2:14">
      <c r="N146" s="132"/>
    </row>
    <row r="147" spans="2:14">
      <c r="B147" s="11" t="str">
        <f>+B50</f>
        <v>Jan. '20</v>
      </c>
      <c r="C147" s="118">
        <f>+Composition!$J$43</f>
        <v>0</v>
      </c>
      <c r="D147" s="118">
        <f>+Composition!$J$44</f>
        <v>0.36724834199014944</v>
      </c>
      <c r="E147" s="118">
        <f>+Composition!$J$45</f>
        <v>0.20878493243651855</v>
      </c>
      <c r="F147" s="118">
        <f>+Composition!$J$46</f>
        <v>6.829141552940966E-3</v>
      </c>
      <c r="G147" s="118">
        <f>+Composition!$J$47</f>
        <v>1.0534885960727396E-2</v>
      </c>
      <c r="H147" s="118">
        <f>+Composition!$J$48</f>
        <v>0.21017472657676123</v>
      </c>
      <c r="I147" s="118">
        <f>+Composition!$J$49</f>
        <v>3.7057444077864318E-3</v>
      </c>
      <c r="J147" s="118">
        <f>+Composition!$J$50</f>
        <v>4.8435613670825975E-3</v>
      </c>
      <c r="K147" s="118">
        <f>+Composition!$J$51</f>
        <v>2.5231315052108884E-3</v>
      </c>
      <c r="L147" s="118">
        <f>+Composition!$J$52</f>
        <v>2.048294506449496E-3</v>
      </c>
      <c r="M147" s="113">
        <f>SUM(C147:L147)</f>
        <v>0.81669276030362703</v>
      </c>
      <c r="N147" s="132"/>
    </row>
    <row r="148" spans="2:14">
      <c r="C148" s="119">
        <f t="shared" ref="C148:L148" si="130">+C147*$M148</f>
        <v>0</v>
      </c>
      <c r="D148" s="119">
        <f t="shared" si="130"/>
        <v>1389.8513502617207</v>
      </c>
      <c r="E148" s="119">
        <f t="shared" si="130"/>
        <v>790.14657680600442</v>
      </c>
      <c r="F148" s="119">
        <f t="shared" si="130"/>
        <v>25.844886207105084</v>
      </c>
      <c r="G148" s="119">
        <f t="shared" si="130"/>
        <v>39.869275918372828</v>
      </c>
      <c r="H148" s="119">
        <f t="shared" si="130"/>
        <v>795.40625272975285</v>
      </c>
      <c r="I148" s="119">
        <f t="shared" si="130"/>
        <v>14.024389711267752</v>
      </c>
      <c r="J148" s="119">
        <f t="shared" si="130"/>
        <v>18.330457993724089</v>
      </c>
      <c r="K148" s="119">
        <f t="shared" si="130"/>
        <v>9.548791181470607</v>
      </c>
      <c r="L148" s="119">
        <f t="shared" si="130"/>
        <v>7.7517705596581177</v>
      </c>
      <c r="M148" s="114">
        <f>+'2020-2021 Recy. Tons &amp; Revenue'!D10</f>
        <v>3784.5</v>
      </c>
      <c r="N148" s="132"/>
    </row>
    <row r="149" spans="2:14">
      <c r="C149" s="82">
        <f t="shared" ref="C149:L149" si="131">+C148*C10</f>
        <v>0</v>
      </c>
      <c r="D149" s="82">
        <f t="shared" si="131"/>
        <v>-6560.0983732353216</v>
      </c>
      <c r="E149" s="82">
        <f t="shared" si="131"/>
        <v>42580.99902407558</v>
      </c>
      <c r="F149" s="82">
        <f t="shared" si="131"/>
        <v>22871.173600115573</v>
      </c>
      <c r="G149" s="82">
        <f t="shared" si="131"/>
        <v>4583.3719595761404</v>
      </c>
      <c r="H149" s="82">
        <f t="shared" si="131"/>
        <v>-50508.297048339307</v>
      </c>
      <c r="I149" s="82">
        <f t="shared" si="131"/>
        <v>1963.4145595774853</v>
      </c>
      <c r="J149" s="82">
        <f t="shared" si="131"/>
        <v>19133.881967589015</v>
      </c>
      <c r="K149" s="82">
        <f t="shared" si="131"/>
        <v>2482.6857071823579</v>
      </c>
      <c r="L149" s="82">
        <f t="shared" si="131"/>
        <v>-1298.4215687427347</v>
      </c>
      <c r="M149" s="114">
        <f>SUM(C149:L149)</f>
        <v>35248.709827798797</v>
      </c>
      <c r="N149" s="132">
        <f>+M149/M148</f>
        <v>9.3139674535074111</v>
      </c>
    </row>
    <row r="150" spans="2:14">
      <c r="C150" s="118"/>
      <c r="D150" s="118"/>
      <c r="E150" s="118"/>
      <c r="F150" s="118"/>
      <c r="G150" s="118"/>
      <c r="H150" s="118"/>
      <c r="I150" s="118"/>
      <c r="J150" s="118"/>
      <c r="K150" s="118"/>
      <c r="L150" s="118"/>
      <c r="N150" s="132"/>
    </row>
    <row r="151" spans="2:14">
      <c r="B151" s="11" t="s">
        <v>58</v>
      </c>
      <c r="C151" s="118">
        <f>+Composition!$L$43</f>
        <v>0</v>
      </c>
      <c r="D151" s="118">
        <f>+Composition!$L$44</f>
        <v>0.38310898135249</v>
      </c>
      <c r="E151" s="118">
        <f>+Composition!$L$45</f>
        <v>0.21532195348472899</v>
      </c>
      <c r="F151" s="118">
        <f>+Composition!$L$46</f>
        <v>7.7600049234349908E-3</v>
      </c>
      <c r="G151" s="118">
        <f>+Composition!$L$47</f>
        <v>1.0375579762444263E-2</v>
      </c>
      <c r="H151" s="118">
        <f>+Composition!$L$48</f>
        <v>0.18167055506134711</v>
      </c>
      <c r="I151" s="118">
        <f>+Composition!$L$49</f>
        <v>7.8369335951705577E-3</v>
      </c>
      <c r="J151" s="118">
        <f>+Composition!$L$50</f>
        <v>3.3121289939967665E-3</v>
      </c>
      <c r="K151" s="118">
        <f>+Composition!$L$51</f>
        <v>3.8520283992681988E-3</v>
      </c>
      <c r="L151" s="118">
        <f>+Composition!$L$52</f>
        <v>2.401573261272149E-3</v>
      </c>
      <c r="M151" s="113">
        <f>SUM(C151:L151)</f>
        <v>0.81563973883415308</v>
      </c>
      <c r="N151" s="132"/>
    </row>
    <row r="152" spans="2:14">
      <c r="C152" s="119">
        <f t="shared" ref="C152:L152" si="132">+C151*$M152</f>
        <v>0</v>
      </c>
      <c r="D152" s="119">
        <f t="shared" si="132"/>
        <v>1246.9048016079491</v>
      </c>
      <c r="E152" s="119">
        <f t="shared" si="132"/>
        <v>700.80836200674742</v>
      </c>
      <c r="F152" s="119">
        <f t="shared" si="132"/>
        <v>25.256488024303863</v>
      </c>
      <c r="G152" s="119">
        <f t="shared" si="132"/>
        <v>33.769399452827344</v>
      </c>
      <c r="H152" s="119">
        <f t="shared" si="132"/>
        <v>591.28315555816641</v>
      </c>
      <c r="I152" s="119">
        <f t="shared" si="132"/>
        <v>25.506867772201613</v>
      </c>
      <c r="J152" s="119">
        <f t="shared" si="132"/>
        <v>10.779986236761275</v>
      </c>
      <c r="K152" s="119">
        <f t="shared" si="132"/>
        <v>12.537196831098205</v>
      </c>
      <c r="L152" s="119">
        <f t="shared" si="132"/>
        <v>7.8164004934624627</v>
      </c>
      <c r="M152" s="114">
        <f>+'2020-2021 Recy. Tons &amp; Revenue'!D11</f>
        <v>3254.7</v>
      </c>
      <c r="N152" s="132"/>
    </row>
    <row r="153" spans="2:14">
      <c r="C153" s="82">
        <f t="shared" ref="C153:L153" si="133">+C152*C11</f>
        <v>0</v>
      </c>
      <c r="D153" s="82">
        <f t="shared" si="133"/>
        <v>-17793.331518945433</v>
      </c>
      <c r="E153" s="82">
        <f t="shared" si="133"/>
        <v>41775.186459222212</v>
      </c>
      <c r="F153" s="82">
        <f t="shared" si="133"/>
        <v>21157.360017959349</v>
      </c>
      <c r="G153" s="82">
        <f t="shared" si="133"/>
        <v>3388.4215410966958</v>
      </c>
      <c r="H153" s="82">
        <f t="shared" si="133"/>
        <v>-37546.480377943568</v>
      </c>
      <c r="I153" s="82">
        <f t="shared" si="133"/>
        <v>4336.1675212742739</v>
      </c>
      <c r="J153" s="82">
        <f t="shared" si="133"/>
        <v>11642.385135702176</v>
      </c>
      <c r="K153" s="82">
        <f t="shared" si="133"/>
        <v>2005.9514929757129</v>
      </c>
      <c r="L153" s="82">
        <f t="shared" si="133"/>
        <v>-1309.2470826549625</v>
      </c>
      <c r="M153" s="114">
        <f>SUM(C153:L153)</f>
        <v>27656.413188686456</v>
      </c>
      <c r="N153" s="132">
        <f>+M153/M152</f>
        <v>8.4973770819695993</v>
      </c>
    </row>
    <row r="154" spans="2:14">
      <c r="N154" s="132"/>
    </row>
    <row r="155" spans="2:14">
      <c r="B155" s="11" t="s">
        <v>59</v>
      </c>
      <c r="C155" s="118">
        <f>+Composition!$N$43</f>
        <v>0</v>
      </c>
      <c r="D155" s="118">
        <f>+Composition!$N$44</f>
        <v>0.43619881388715953</v>
      </c>
      <c r="E155" s="118">
        <f>+Composition!$N$45</f>
        <v>0.17379531819094143</v>
      </c>
      <c r="F155" s="118">
        <f>+Composition!$N$46</f>
        <v>9.5599825624281699E-3</v>
      </c>
      <c r="G155" s="118">
        <f>+Composition!$N$47</f>
        <v>1.0155723652838912E-2</v>
      </c>
      <c r="H155" s="118">
        <f>+Composition!$N$48</f>
        <v>0.17031675272525981</v>
      </c>
      <c r="I155" s="118">
        <f>+Composition!$N$49</f>
        <v>7.0044322625760821E-3</v>
      </c>
      <c r="J155" s="118">
        <f>+Composition!$N$50</f>
        <v>3.5105258246092208E-3</v>
      </c>
      <c r="K155" s="118">
        <f>+Composition!$N$51</f>
        <v>3.643480917748099E-3</v>
      </c>
      <c r="L155" s="118">
        <f>+Composition!$N$52</f>
        <v>3.3047011131153809E-3</v>
      </c>
      <c r="M155" s="113">
        <f>SUM(C155:L155)</f>
        <v>0.81748973113667667</v>
      </c>
      <c r="N155" s="132"/>
    </row>
    <row r="156" spans="2:14">
      <c r="C156" s="119">
        <f t="shared" ref="C156:L156" si="134">+C155*$M156</f>
        <v>0</v>
      </c>
      <c r="D156" s="119">
        <f t="shared" si="134"/>
        <v>1461.2005966999011</v>
      </c>
      <c r="E156" s="119">
        <f t="shared" si="134"/>
        <v>582.18824664192505</v>
      </c>
      <c r="F156" s="119">
        <f t="shared" si="134"/>
        <v>32.024507586749998</v>
      </c>
      <c r="G156" s="119">
        <f t="shared" si="134"/>
        <v>34.020150878462424</v>
      </c>
      <c r="H156" s="119">
        <f t="shared" si="134"/>
        <v>570.53557411671147</v>
      </c>
      <c r="I156" s="119">
        <f t="shared" si="134"/>
        <v>23.463797414790484</v>
      </c>
      <c r="J156" s="119">
        <f t="shared" si="134"/>
        <v>11.759734933567197</v>
      </c>
      <c r="K156" s="119">
        <f t="shared" si="134"/>
        <v>12.205114552318468</v>
      </c>
      <c r="L156" s="119">
        <f t="shared" si="134"/>
        <v>11.070253023769556</v>
      </c>
      <c r="M156" s="114">
        <f>+'2020-2021 Recy. Tons &amp; Revenue'!D12</f>
        <v>3349.8499999999995</v>
      </c>
      <c r="N156" s="132"/>
    </row>
    <row r="157" spans="2:14">
      <c r="C157" s="82">
        <f t="shared" ref="C157:L157" si="135">+C156*C12</f>
        <v>0</v>
      </c>
      <c r="D157" s="82">
        <f t="shared" si="135"/>
        <v>-37961.99150226343</v>
      </c>
      <c r="E157" s="82">
        <f t="shared" si="135"/>
        <v>45987.049602245657</v>
      </c>
      <c r="F157" s="82">
        <f t="shared" si="135"/>
        <v>26133.919661243202</v>
      </c>
      <c r="G157" s="82">
        <f t="shared" si="135"/>
        <v>3732.6909543848969</v>
      </c>
      <c r="H157" s="82">
        <f t="shared" si="135"/>
        <v>-36229.008956411177</v>
      </c>
      <c r="I157" s="82">
        <f t="shared" si="135"/>
        <v>3754.2075863664777</v>
      </c>
      <c r="J157" s="82">
        <f t="shared" si="135"/>
        <v>7576.6796203480089</v>
      </c>
      <c r="K157" s="82">
        <f t="shared" si="135"/>
        <v>1830.7671828477703</v>
      </c>
      <c r="L157" s="82">
        <f t="shared" si="135"/>
        <v>-1854.2673814814007</v>
      </c>
      <c r="M157" s="114">
        <f>SUM(C157:L157)</f>
        <v>12970.046767280002</v>
      </c>
      <c r="N157" s="132">
        <f>+M157/M156</f>
        <v>3.8718291169097139</v>
      </c>
    </row>
    <row r="158" spans="2:14">
      <c r="N158" s="132"/>
    </row>
    <row r="159" spans="2:14">
      <c r="B159" s="11" t="s">
        <v>60</v>
      </c>
      <c r="C159" s="118">
        <f>+Composition!$P$43</f>
        <v>0</v>
      </c>
      <c r="D159" s="118">
        <f>+Composition!$P$44</f>
        <v>0.41806970306780766</v>
      </c>
      <c r="E159" s="118">
        <f>+Composition!$P$45</f>
        <v>0.14513732550160097</v>
      </c>
      <c r="F159" s="118">
        <f>+Composition!$P$46</f>
        <v>1.2733675189505899E-2</v>
      </c>
      <c r="G159" s="118">
        <f>+Composition!$P$47</f>
        <v>1.3073743666376977E-2</v>
      </c>
      <c r="H159" s="118">
        <f>+Composition!$P$48</f>
        <v>0.19867556126534724</v>
      </c>
      <c r="I159" s="118">
        <f>+Composition!$P$49</f>
        <v>8.8978490364117029E-3</v>
      </c>
      <c r="J159" s="118">
        <f>+Composition!$P$50</f>
        <v>2.8278095567774177E-3</v>
      </c>
      <c r="K159" s="118">
        <f>+Composition!$P$51</f>
        <v>3.7943841164862508E-3</v>
      </c>
      <c r="L159" s="118">
        <f>+Composition!$P$52</f>
        <v>2.9375090654455076E-3</v>
      </c>
      <c r="M159" s="118">
        <f>+M62</f>
        <v>0.80614756046575953</v>
      </c>
      <c r="N159" s="132"/>
    </row>
    <row r="160" spans="2:14">
      <c r="C160" s="119">
        <f>+C159*$M160</f>
        <v>0</v>
      </c>
      <c r="D160" s="119">
        <f>+D159*$M160</f>
        <v>1557.7318943276819</v>
      </c>
      <c r="E160" s="119">
        <f>+E159*$M160</f>
        <v>540.78312619222015</v>
      </c>
      <c r="F160" s="119">
        <f>+F159*$M160</f>
        <v>47.445801092850871</v>
      </c>
      <c r="G160" s="119">
        <f t="shared" ref="G160:L160" si="136">+G159*$M160</f>
        <v>48.712899638357278</v>
      </c>
      <c r="H160" s="119">
        <f t="shared" si="136"/>
        <v>740.26712803029648</v>
      </c>
      <c r="I160" s="119">
        <f t="shared" si="136"/>
        <v>33.15347448816037</v>
      </c>
      <c r="J160" s="119">
        <f t="shared" si="136"/>
        <v>10.536446686648226</v>
      </c>
      <c r="K160" s="119">
        <f t="shared" si="136"/>
        <v>14.137913161868935</v>
      </c>
      <c r="L160" s="119">
        <f t="shared" si="136"/>
        <v>10.945188152940615</v>
      </c>
      <c r="M160" s="114">
        <f>+'2020-2021 Recy. Tons &amp; Revenue'!D13</f>
        <v>3726.0099999999998</v>
      </c>
      <c r="N160" s="132"/>
    </row>
    <row r="161" spans="2:14">
      <c r="C161" s="82">
        <f t="shared" ref="C161:L161" si="137">+C160*C13</f>
        <v>0</v>
      </c>
      <c r="D161" s="82">
        <f t="shared" si="137"/>
        <v>-26559.328798286977</v>
      </c>
      <c r="E161" s="82">
        <f t="shared" si="137"/>
        <v>48848.939788943244</v>
      </c>
      <c r="F161" s="82">
        <f t="shared" si="137"/>
        <v>33816.520270918532</v>
      </c>
      <c r="G161" s="82">
        <f t="shared" si="137"/>
        <v>3241.8434709326766</v>
      </c>
      <c r="H161" s="82">
        <f t="shared" si="137"/>
        <v>-47006.96262992383</v>
      </c>
      <c r="I161" s="82">
        <f t="shared" si="137"/>
        <v>4973.0211732240559</v>
      </c>
      <c r="J161" s="82">
        <f t="shared" si="137"/>
        <v>7164.7837469207934</v>
      </c>
      <c r="K161" s="82">
        <f t="shared" si="137"/>
        <v>848.27478971213611</v>
      </c>
      <c r="L161" s="82">
        <f t="shared" si="137"/>
        <v>-1833.3190156175531</v>
      </c>
      <c r="M161" s="114">
        <f>SUM(C161:L161)</f>
        <v>23493.772796823087</v>
      </c>
      <c r="N161" s="132">
        <f>+M161/M160</f>
        <v>6.3053434630672189</v>
      </c>
    </row>
    <row r="163" spans="2:14">
      <c r="B163" s="11" t="s">
        <v>61</v>
      </c>
      <c r="C163" s="118">
        <f>+Composition!$R$43</f>
        <v>0</v>
      </c>
      <c r="D163" s="118">
        <f>+Composition!$R$44</f>
        <v>0.39529452819477334</v>
      </c>
      <c r="E163" s="118">
        <f>+Composition!$R$45</f>
        <v>0.15116909783552848</v>
      </c>
      <c r="F163" s="118">
        <f>+Composition!$R$46</f>
        <v>1.2733449739476981E-2</v>
      </c>
      <c r="G163" s="118">
        <f>+Composition!$R$47</f>
        <v>1.2024139313119461E-2</v>
      </c>
      <c r="H163" s="118">
        <f>+Composition!$R$48</f>
        <v>0.22375140502889712</v>
      </c>
      <c r="I163" s="118">
        <f>+Composition!$R$49</f>
        <v>3.278506123966221E-3</v>
      </c>
      <c r="J163" s="118">
        <f>+Composition!$R$50</f>
        <v>2.9270118306910149E-3</v>
      </c>
      <c r="K163" s="118">
        <f>+Composition!$R$51</f>
        <v>4.2052878396882567E-3</v>
      </c>
      <c r="L163" s="118">
        <f>+Composition!$R$52</f>
        <v>3.6186211055886327E-3</v>
      </c>
      <c r="M163" s="118">
        <f>+M66</f>
        <v>0.8090020470117294</v>
      </c>
    </row>
    <row r="164" spans="2:14">
      <c r="C164" s="119">
        <f>+C163*$M164</f>
        <v>0</v>
      </c>
      <c r="D164" s="119">
        <f>+D163*$M164</f>
        <v>1420.9652405017519</v>
      </c>
      <c r="E164" s="119">
        <f>+E163*$M164</f>
        <v>543.40755598937426</v>
      </c>
      <c r="F164" s="119">
        <f>+F163*$M164</f>
        <v>45.772931778497906</v>
      </c>
      <c r="G164" s="119">
        <f t="shared" ref="G164:L164" si="138">+G163*$M164</f>
        <v>43.22317358887053</v>
      </c>
      <c r="H164" s="119">
        <f t="shared" si="138"/>
        <v>804.31917565737649</v>
      </c>
      <c r="I164" s="119">
        <f t="shared" si="138"/>
        <v>11.785245963821376</v>
      </c>
      <c r="J164" s="119">
        <f t="shared" si="138"/>
        <v>10.521729427784992</v>
      </c>
      <c r="K164" s="119">
        <f t="shared" si="138"/>
        <v>15.116748197327377</v>
      </c>
      <c r="L164" s="119">
        <f t="shared" si="138"/>
        <v>13.007857288259459</v>
      </c>
      <c r="M164" s="114">
        <f>+'2020-2021 Recy. Tons &amp; Revenue'!D14</f>
        <v>3594.7000000000003</v>
      </c>
    </row>
    <row r="165" spans="2:14">
      <c r="C165" s="82">
        <f t="shared" ref="C165:L165" si="139">+C164*C14</f>
        <v>0</v>
      </c>
      <c r="D165" s="82">
        <f t="shared" si="139"/>
        <v>-6294.8760154227602</v>
      </c>
      <c r="E165" s="82">
        <f t="shared" si="139"/>
        <v>65774.050576953858</v>
      </c>
      <c r="F165" s="82">
        <f t="shared" si="139"/>
        <v>31806.694834242626</v>
      </c>
      <c r="G165" s="82">
        <f t="shared" si="139"/>
        <v>3326.4554393994758</v>
      </c>
      <c r="H165" s="82">
        <f t="shared" si="139"/>
        <v>-51074.267654243406</v>
      </c>
      <c r="I165" s="82">
        <f t="shared" si="139"/>
        <v>1532.0819752967789</v>
      </c>
      <c r="J165" s="82">
        <f t="shared" si="139"/>
        <v>6733.9068337823946</v>
      </c>
      <c r="K165" s="82">
        <f t="shared" si="139"/>
        <v>907.0048918396426</v>
      </c>
      <c r="L165" s="82">
        <f t="shared" si="139"/>
        <v>-2178.8160957834593</v>
      </c>
      <c r="M165" s="114">
        <f>SUM(C165:L165)</f>
        <v>50532.234786065135</v>
      </c>
    </row>
    <row r="167" spans="2:14">
      <c r="B167" s="11" t="s">
        <v>62</v>
      </c>
      <c r="C167" s="118">
        <f>+Composition!$T$43</f>
        <v>0</v>
      </c>
      <c r="D167" s="118">
        <f>+Composition!$T$44</f>
        <v>0.35663297667387889</v>
      </c>
      <c r="E167" s="118">
        <f>+Composition!$T$45</f>
        <v>0.17631109398618811</v>
      </c>
      <c r="F167" s="118">
        <f>+Composition!$T$46</f>
        <v>1.0501793177035479E-2</v>
      </c>
      <c r="G167" s="118">
        <f>+Composition!$T$47</f>
        <v>1.0060760544177361E-2</v>
      </c>
      <c r="H167" s="118">
        <f>+Composition!$T$48</f>
        <v>0.23727792762085423</v>
      </c>
      <c r="I167" s="118">
        <f>+Composition!$T$49</f>
        <v>2.2110910222591065E-3</v>
      </c>
      <c r="J167" s="118">
        <f>+Composition!$T$50</f>
        <v>2.9449598387622632E-3</v>
      </c>
      <c r="K167" s="118">
        <f>+Composition!$T$51</f>
        <v>3.4832093423041582E-3</v>
      </c>
      <c r="L167" s="118">
        <f>+Composition!$T$52</f>
        <v>4.1992945849017461E-3</v>
      </c>
      <c r="M167" s="118">
        <f>+M70</f>
        <v>0.80362310679036142</v>
      </c>
    </row>
    <row r="168" spans="2:14">
      <c r="C168" s="119">
        <f>+C167*$M168</f>
        <v>0</v>
      </c>
      <c r="D168" s="119">
        <f>+D167*$M168</f>
        <v>1356.3928991730638</v>
      </c>
      <c r="E168" s="119">
        <f>+E167*$M168</f>
        <v>670.56927309048876</v>
      </c>
      <c r="F168" s="119">
        <f>+F167*$M168</f>
        <v>39.941785044014345</v>
      </c>
      <c r="G168" s="119">
        <f t="shared" ref="G168:L168" si="140">+G167*$M168</f>
        <v>38.264392400486081</v>
      </c>
      <c r="H168" s="119">
        <f t="shared" si="140"/>
        <v>902.44626045822349</v>
      </c>
      <c r="I168" s="119">
        <f t="shared" si="140"/>
        <v>8.409508817688728</v>
      </c>
      <c r="J168" s="119">
        <f t="shared" si="140"/>
        <v>11.200654103559678</v>
      </c>
      <c r="K168" s="119">
        <f t="shared" si="140"/>
        <v>13.247794587865673</v>
      </c>
      <c r="L168" s="119">
        <f t="shared" si="140"/>
        <v>15.971303073594358</v>
      </c>
      <c r="M168" s="114">
        <f>+'2020-2021 Recy. Tons &amp; Revenue'!D15</f>
        <v>3803.33</v>
      </c>
    </row>
    <row r="169" spans="2:14">
      <c r="C169" s="82">
        <f t="shared" ref="C169:L169" si="141">+C168*C15</f>
        <v>0</v>
      </c>
      <c r="D169" s="82">
        <f t="shared" si="141"/>
        <v>-963.03895841287522</v>
      </c>
      <c r="E169" s="82">
        <f t="shared" si="141"/>
        <v>64582.526691344974</v>
      </c>
      <c r="F169" s="82">
        <f t="shared" si="141"/>
        <v>29171.083289045437</v>
      </c>
      <c r="G169" s="82">
        <f t="shared" si="141"/>
        <v>3111.2777460835232</v>
      </c>
      <c r="H169" s="82">
        <f t="shared" si="141"/>
        <v>-57305.337539097192</v>
      </c>
      <c r="I169" s="82">
        <f t="shared" si="141"/>
        <v>420.13906053172889</v>
      </c>
      <c r="J169" s="82">
        <f t="shared" si="141"/>
        <v>7840.4578724917747</v>
      </c>
      <c r="K169" s="82">
        <f t="shared" si="141"/>
        <v>794.86767527194036</v>
      </c>
      <c r="L169" s="82">
        <f t="shared" si="141"/>
        <v>-2675.1932648270549</v>
      </c>
      <c r="M169" s="114">
        <f>SUM(C169:L169)</f>
        <v>44976.782572432254</v>
      </c>
    </row>
    <row r="171" spans="2:14">
      <c r="B171" s="11" t="s">
        <v>63</v>
      </c>
      <c r="C171" s="118">
        <f>+Composition!$V$43</f>
        <v>0</v>
      </c>
      <c r="D171" s="118">
        <f>+Composition!$V$44</f>
        <v>0.3916852843481447</v>
      </c>
      <c r="E171" s="118">
        <f>+Composition!$V$45</f>
        <v>0.17503693984420249</v>
      </c>
      <c r="F171" s="118">
        <f>+Composition!$V$46</f>
        <v>9.0925210113833813E-3</v>
      </c>
      <c r="G171" s="118">
        <f>+Composition!$V$47</f>
        <v>7.1231840372590035E-3</v>
      </c>
      <c r="H171" s="118">
        <f>+Composition!$V$48</f>
        <v>0.23789968911427117</v>
      </c>
      <c r="I171" s="118">
        <f>+Composition!$V$49</f>
        <v>9.7994018700426721E-4</v>
      </c>
      <c r="J171" s="118">
        <f>+Composition!$V$50</f>
        <v>3.4776646926013926E-3</v>
      </c>
      <c r="K171" s="118">
        <f>+Composition!$V$51</f>
        <v>3.910304147901225E-3</v>
      </c>
      <c r="L171" s="118">
        <f>+Composition!$V$52</f>
        <v>4.1396267007104267E-3</v>
      </c>
      <c r="M171" s="118">
        <f>+M74</f>
        <v>0.83334515408347809</v>
      </c>
    </row>
    <row r="172" spans="2:14">
      <c r="C172" s="119">
        <f>+C171*$M172</f>
        <v>0</v>
      </c>
      <c r="D172" s="119">
        <f>+D171*$M172</f>
        <v>1524.7955602917361</v>
      </c>
      <c r="E172" s="119">
        <f>+E171*$M172</f>
        <v>681.40305348889433</v>
      </c>
      <c r="F172" s="119">
        <f>+F171*$M172</f>
        <v>35.396365970424483</v>
      </c>
      <c r="G172" s="119">
        <f t="shared" ref="G172:L172" si="142">+G171*$M172</f>
        <v>27.72991437048595</v>
      </c>
      <c r="H172" s="119">
        <f t="shared" si="142"/>
        <v>926.12207874983744</v>
      </c>
      <c r="I172" s="119">
        <f t="shared" si="142"/>
        <v>3.8148189533907821</v>
      </c>
      <c r="J172" s="119">
        <f t="shared" si="142"/>
        <v>13.538235658474889</v>
      </c>
      <c r="K172" s="119">
        <f t="shared" si="142"/>
        <v>15.222462120406158</v>
      </c>
      <c r="L172" s="119">
        <f t="shared" si="142"/>
        <v>16.11519417946263</v>
      </c>
      <c r="M172" s="114">
        <f>+'2020-2021 Recy. Tons &amp; Revenue'!D16</f>
        <v>3892.9100000000003</v>
      </c>
    </row>
    <row r="173" spans="2:14">
      <c r="C173" s="82">
        <f t="shared" ref="C173:L173" si="143">+C172*C16</f>
        <v>0</v>
      </c>
      <c r="D173" s="82">
        <f t="shared" si="143"/>
        <v>2058.4740063938439</v>
      </c>
      <c r="E173" s="82">
        <f t="shared" si="143"/>
        <v>58771.013363417136</v>
      </c>
      <c r="F173" s="82">
        <f t="shared" si="143"/>
        <v>28267.183900321288</v>
      </c>
      <c r="G173" s="82">
        <f t="shared" si="143"/>
        <v>2148.5137654252517</v>
      </c>
      <c r="H173" s="82">
        <f t="shared" si="143"/>
        <v>-58808.752000614681</v>
      </c>
      <c r="I173" s="82">
        <f t="shared" si="143"/>
        <v>179.94501003144319</v>
      </c>
      <c r="J173" s="82">
        <f t="shared" si="143"/>
        <v>9858.0016770750753</v>
      </c>
      <c r="K173" s="82">
        <f t="shared" si="143"/>
        <v>913.34772722436946</v>
      </c>
      <c r="L173" s="82">
        <f t="shared" si="143"/>
        <v>-2699.2950250599906</v>
      </c>
      <c r="M173" s="114">
        <f>SUM(C173:L173)</f>
        <v>40688.43242421373</v>
      </c>
    </row>
    <row r="174" spans="2:14">
      <c r="C174" s="82"/>
      <c r="D174" s="82"/>
      <c r="E174" s="82"/>
      <c r="F174" s="82"/>
      <c r="G174" s="82"/>
      <c r="H174" s="82"/>
      <c r="I174" s="82"/>
      <c r="J174" s="82"/>
      <c r="K174" s="82"/>
      <c r="L174" s="82"/>
      <c r="M174" s="114"/>
    </row>
    <row r="175" spans="2:14">
      <c r="B175" s="11" t="s">
        <v>64</v>
      </c>
      <c r="C175" s="118">
        <f>+Composition!$X$43</f>
        <v>0</v>
      </c>
      <c r="D175" s="118">
        <f>+Composition!$X$44</f>
        <v>0.36236331197857496</v>
      </c>
      <c r="E175" s="118">
        <f>+Composition!$X$45</f>
        <v>0.21082911378403454</v>
      </c>
      <c r="F175" s="118">
        <f>+Composition!$X$46</f>
        <v>8.3662243459861254E-3</v>
      </c>
      <c r="G175" s="118">
        <f>+Composition!$X$47</f>
        <v>8.7344995816237159E-3</v>
      </c>
      <c r="H175" s="118">
        <f>+Composition!$X$48</f>
        <v>0.20005283383239181</v>
      </c>
      <c r="I175" s="118">
        <f>+Composition!$X$49</f>
        <v>5.3783800314140071E-3</v>
      </c>
      <c r="J175" s="118">
        <f>+Composition!$X$50</f>
        <v>8.7188836705719456E-4</v>
      </c>
      <c r="K175" s="118">
        <f>+Composition!$X$51</f>
        <v>4.6756640340843286E-3</v>
      </c>
      <c r="L175" s="118">
        <f>+Composition!$X$52</f>
        <v>5.7778870891551396E-3</v>
      </c>
      <c r="M175" s="118">
        <f>+M78</f>
        <v>0.80704980304432195</v>
      </c>
    </row>
    <row r="176" spans="2:14">
      <c r="C176" s="119">
        <f>+C175*$M176</f>
        <v>0</v>
      </c>
      <c r="D176" s="119">
        <f>+D175*$M176</f>
        <v>1281.2260803282466</v>
      </c>
      <c r="E176" s="119">
        <f>+E175*$M176</f>
        <v>745.43903906190019</v>
      </c>
      <c r="F176" s="119">
        <f>+F175*$M176</f>
        <v>29.580877731320445</v>
      </c>
      <c r="G176" s="119">
        <f t="shared" ref="G176:L176" si="144">+G175*$M176</f>
        <v>30.883006895726059</v>
      </c>
      <c r="H176" s="119">
        <f t="shared" si="144"/>
        <v>707.33680722287943</v>
      </c>
      <c r="I176" s="119">
        <f t="shared" si="144"/>
        <v>19.016607196072076</v>
      </c>
      <c r="J176" s="119">
        <f t="shared" si="144"/>
        <v>3.0827792938224761</v>
      </c>
      <c r="K176" s="119">
        <f t="shared" si="144"/>
        <v>16.531979108513667</v>
      </c>
      <c r="L176" s="119">
        <f t="shared" si="144"/>
        <v>20.429164275480289</v>
      </c>
      <c r="M176" s="114">
        <f>+'2020-2021 Recy. Tons &amp; Revenue'!D17</f>
        <v>3535.7500000000005</v>
      </c>
    </row>
    <row r="177" spans="2:13">
      <c r="C177" s="82">
        <f t="shared" ref="C177:L177" si="145">+C176*C17</f>
        <v>0</v>
      </c>
      <c r="D177" s="82">
        <f t="shared" si="145"/>
        <v>12837.88532488903</v>
      </c>
      <c r="E177" s="82">
        <f t="shared" si="145"/>
        <v>69452.555269397242</v>
      </c>
      <c r="F177" s="82">
        <f t="shared" si="145"/>
        <v>25965.50285499846</v>
      </c>
      <c r="G177" s="82">
        <f t="shared" si="145"/>
        <v>2649.1443315153815</v>
      </c>
      <c r="H177" s="82">
        <f t="shared" si="145"/>
        <v>-44915.887258652845</v>
      </c>
      <c r="I177" s="82">
        <f t="shared" si="145"/>
        <v>800.97949509855584</v>
      </c>
      <c r="J177" s="82">
        <f t="shared" si="145"/>
        <v>2404.5678491815315</v>
      </c>
      <c r="K177" s="82">
        <f t="shared" si="145"/>
        <v>991.91874651082003</v>
      </c>
      <c r="L177" s="82">
        <f t="shared" si="145"/>
        <v>-3421.8850161429486</v>
      </c>
      <c r="M177" s="114">
        <f>SUM(C177:L177)</f>
        <v>66764.781596795248</v>
      </c>
    </row>
    <row r="179" spans="2:13">
      <c r="B179" s="11" t="s">
        <v>65</v>
      </c>
      <c r="C179" s="118">
        <f>+Composition!$Z$43</f>
        <v>0</v>
      </c>
      <c r="D179" s="118">
        <f>+Composition!$Z$44</f>
        <v>0.3901543366206835</v>
      </c>
      <c r="E179" s="118">
        <f>+Composition!$Z$45</f>
        <v>0.21807496350147484</v>
      </c>
      <c r="F179" s="118">
        <f>+Composition!$Z$46</f>
        <v>8.251894447258391E-3</v>
      </c>
      <c r="G179" s="118">
        <f>+Composition!$Z$47</f>
        <v>8.3710733049290401E-3</v>
      </c>
      <c r="H179" s="118">
        <f>+Composition!$Z$48</f>
        <v>0.19450486150423585</v>
      </c>
      <c r="I179" s="118">
        <f>+Composition!$Z$49</f>
        <v>5.1520027013874413E-3</v>
      </c>
      <c r="J179" s="118">
        <f>+Composition!$Z$50</f>
        <v>1.1570280765525532E-3</v>
      </c>
      <c r="K179" s="118">
        <f>+Composition!$Z$51</f>
        <v>4.3425796263742815E-3</v>
      </c>
      <c r="L179" s="118">
        <f>+Composition!$Z$52</f>
        <v>5.1135178619312934E-3</v>
      </c>
      <c r="M179" s="118">
        <f>+M82</f>
        <v>0.83512225764482728</v>
      </c>
    </row>
    <row r="180" spans="2:13">
      <c r="C180" s="119">
        <f>+C179*$M180</f>
        <v>0</v>
      </c>
      <c r="D180" s="119">
        <f>+D179*$M180</f>
        <v>1479.2194472335607</v>
      </c>
      <c r="E180" s="119">
        <f>+E179*$M180</f>
        <v>826.80287437058666</v>
      </c>
      <c r="F180" s="119">
        <f>+F179*$M180</f>
        <v>31.285985050502045</v>
      </c>
      <c r="G180" s="119">
        <f t="shared" ref="G180:L180" si="146">+G179*$M180</f>
        <v>31.737836196108812</v>
      </c>
      <c r="H180" s="119">
        <f t="shared" si="146"/>
        <v>737.43989676131469</v>
      </c>
      <c r="I180" s="119">
        <f t="shared" si="146"/>
        <v>19.533148481959302</v>
      </c>
      <c r="J180" s="119">
        <f t="shared" si="146"/>
        <v>4.3867215385990539</v>
      </c>
      <c r="K180" s="119">
        <f t="shared" si="146"/>
        <v>16.46432611804666</v>
      </c>
      <c r="L180" s="119">
        <f t="shared" si="146"/>
        <v>19.387238216190447</v>
      </c>
      <c r="M180" s="114">
        <f>+'2020-2021 Recy. Tons &amp; Revenue'!D18</f>
        <v>3791.37</v>
      </c>
    </row>
    <row r="181" spans="2:13">
      <c r="C181" s="82">
        <f t="shared" ref="C181:L181" si="147">+C180*C18</f>
        <v>0</v>
      </c>
      <c r="D181" s="82">
        <f t="shared" si="147"/>
        <v>26980.962717540144</v>
      </c>
      <c r="E181" s="82">
        <f t="shared" si="147"/>
        <v>82812.575896957962</v>
      </c>
      <c r="F181" s="82">
        <f t="shared" si="147"/>
        <v>26873.409718979237</v>
      </c>
      <c r="G181" s="82">
        <f t="shared" si="147"/>
        <v>3349.293853775363</v>
      </c>
      <c r="H181" s="82">
        <f t="shared" si="147"/>
        <v>-46827.433444343485</v>
      </c>
      <c r="I181" s="82">
        <f t="shared" si="147"/>
        <v>390.66296963918603</v>
      </c>
      <c r="J181" s="82">
        <f t="shared" si="147"/>
        <v>4211.2526770550921</v>
      </c>
      <c r="K181" s="82">
        <f t="shared" si="147"/>
        <v>1646.4326118046661</v>
      </c>
      <c r="L181" s="82">
        <f t="shared" si="147"/>
        <v>-3247.3624012118999</v>
      </c>
      <c r="M181" s="114">
        <f>SUM(C181:L181)</f>
        <v>96189.79460019627</v>
      </c>
    </row>
    <row r="183" spans="2:13">
      <c r="B183" s="11" t="s">
        <v>66</v>
      </c>
      <c r="C183" s="118" t="e">
        <f>+Composition!$AB$43</f>
        <v>#DIV/0!</v>
      </c>
      <c r="D183" s="118" t="e">
        <f>+Composition!$AB$44</f>
        <v>#DIV/0!</v>
      </c>
      <c r="E183" s="118" t="e">
        <f>+Composition!$AB$45</f>
        <v>#DIV/0!</v>
      </c>
      <c r="F183" s="118" t="e">
        <f>+Composition!$AB$46</f>
        <v>#DIV/0!</v>
      </c>
      <c r="G183" s="118" t="e">
        <f>+Composition!$AB$47</f>
        <v>#DIV/0!</v>
      </c>
      <c r="H183" s="118" t="e">
        <f>+Composition!$AB$48</f>
        <v>#DIV/0!</v>
      </c>
      <c r="I183" s="118" t="e">
        <f>+Composition!$AB$49</f>
        <v>#DIV/0!</v>
      </c>
      <c r="J183" s="118" t="e">
        <f>+Composition!$AB$50</f>
        <v>#DIV/0!</v>
      </c>
      <c r="K183" s="118" t="e">
        <f>+Composition!$AB$51</f>
        <v>#DIV/0!</v>
      </c>
      <c r="L183" s="118" t="e">
        <f>+Composition!$AB$52</f>
        <v>#DIV/0!</v>
      </c>
      <c r="M183" s="118" t="e">
        <f>+M86</f>
        <v>#DIV/0!</v>
      </c>
    </row>
    <row r="184" spans="2:13">
      <c r="C184" s="119" t="e">
        <f>+C183*$M184</f>
        <v>#DIV/0!</v>
      </c>
      <c r="D184" s="119" t="e">
        <f>+D183*$M184</f>
        <v>#DIV/0!</v>
      </c>
      <c r="E184" s="119" t="e">
        <f>+E183*$M184</f>
        <v>#DIV/0!</v>
      </c>
      <c r="F184" s="119" t="e">
        <f>+F183*$M184</f>
        <v>#DIV/0!</v>
      </c>
      <c r="G184" s="119" t="e">
        <f t="shared" ref="G184:L184" si="148">+G183*$M184</f>
        <v>#DIV/0!</v>
      </c>
      <c r="H184" s="119" t="e">
        <f t="shared" si="148"/>
        <v>#DIV/0!</v>
      </c>
      <c r="I184" s="119" t="e">
        <f t="shared" si="148"/>
        <v>#DIV/0!</v>
      </c>
      <c r="J184" s="119" t="e">
        <f t="shared" si="148"/>
        <v>#DIV/0!</v>
      </c>
      <c r="K184" s="119" t="e">
        <f t="shared" si="148"/>
        <v>#DIV/0!</v>
      </c>
      <c r="L184" s="119" t="e">
        <f t="shared" si="148"/>
        <v>#DIV/0!</v>
      </c>
      <c r="M184" s="114">
        <f>+'2020-2021 Recy. Tons &amp; Revenue'!D19</f>
        <v>0</v>
      </c>
    </row>
    <row r="185" spans="2:13">
      <c r="C185" s="82" t="e">
        <f t="shared" ref="C185:L185" si="149">+C184*C19</f>
        <v>#DIV/0!</v>
      </c>
      <c r="D185" s="82" t="e">
        <f t="shared" si="149"/>
        <v>#DIV/0!</v>
      </c>
      <c r="E185" s="82" t="e">
        <f t="shared" si="149"/>
        <v>#DIV/0!</v>
      </c>
      <c r="F185" s="82" t="e">
        <f t="shared" si="149"/>
        <v>#DIV/0!</v>
      </c>
      <c r="G185" s="82" t="e">
        <f t="shared" si="149"/>
        <v>#DIV/0!</v>
      </c>
      <c r="H185" s="82" t="e">
        <f t="shared" si="149"/>
        <v>#DIV/0!</v>
      </c>
      <c r="I185" s="82" t="e">
        <f t="shared" si="149"/>
        <v>#DIV/0!</v>
      </c>
      <c r="J185" s="82" t="e">
        <f t="shared" si="149"/>
        <v>#DIV/0!</v>
      </c>
      <c r="K185" s="82" t="e">
        <f t="shared" si="149"/>
        <v>#DIV/0!</v>
      </c>
      <c r="L185" s="82" t="e">
        <f t="shared" si="149"/>
        <v>#DIV/0!</v>
      </c>
      <c r="M185" s="114" t="e">
        <f>SUM(C185:L185)</f>
        <v>#DIV/0!</v>
      </c>
    </row>
    <row r="186" spans="2:13">
      <c r="C186" s="82"/>
      <c r="D186" s="82"/>
      <c r="E186" s="82"/>
      <c r="F186" s="82"/>
      <c r="G186" s="82"/>
      <c r="H186" s="82"/>
      <c r="I186" s="82"/>
      <c r="J186" s="82"/>
      <c r="K186" s="82"/>
      <c r="L186" s="82"/>
      <c r="M186" s="114"/>
    </row>
    <row r="187" spans="2:13">
      <c r="B187" s="11" t="s">
        <v>67</v>
      </c>
      <c r="C187" s="118" t="e">
        <f>+Composition!$AD$43</f>
        <v>#DIV/0!</v>
      </c>
      <c r="D187" s="118" t="e">
        <f>+Composition!$AD$44</f>
        <v>#DIV/0!</v>
      </c>
      <c r="E187" s="118" t="e">
        <f>+Composition!$AD$45</f>
        <v>#DIV/0!</v>
      </c>
      <c r="F187" s="118" t="e">
        <f>+Composition!$AD$46</f>
        <v>#DIV/0!</v>
      </c>
      <c r="G187" s="118" t="e">
        <f>+Composition!$AD$47</f>
        <v>#DIV/0!</v>
      </c>
      <c r="H187" s="118" t="e">
        <f>+Composition!$AD$48</f>
        <v>#DIV/0!</v>
      </c>
      <c r="I187" s="118" t="e">
        <f>+Composition!$AD$49</f>
        <v>#DIV/0!</v>
      </c>
      <c r="J187" s="118" t="e">
        <f>+Composition!$AD$50</f>
        <v>#DIV/0!</v>
      </c>
      <c r="K187" s="118" t="e">
        <f>+Composition!$AD$51</f>
        <v>#DIV/0!</v>
      </c>
      <c r="L187" s="118" t="e">
        <f>+Composition!$AD$52</f>
        <v>#DIV/0!</v>
      </c>
      <c r="M187" s="118" t="e">
        <f>+M90</f>
        <v>#DIV/0!</v>
      </c>
    </row>
    <row r="188" spans="2:13">
      <c r="C188" s="119" t="e">
        <f>+C187*$M188</f>
        <v>#DIV/0!</v>
      </c>
      <c r="D188" s="119" t="e">
        <f>+D187*$M188</f>
        <v>#DIV/0!</v>
      </c>
      <c r="E188" s="119" t="e">
        <f>+E187*$M188</f>
        <v>#DIV/0!</v>
      </c>
      <c r="F188" s="119" t="e">
        <f>+F187*$M188</f>
        <v>#DIV/0!</v>
      </c>
      <c r="G188" s="119" t="e">
        <f t="shared" ref="G188:L188" si="150">+G187*$M188</f>
        <v>#DIV/0!</v>
      </c>
      <c r="H188" s="119" t="e">
        <f t="shared" si="150"/>
        <v>#DIV/0!</v>
      </c>
      <c r="I188" s="119" t="e">
        <f t="shared" si="150"/>
        <v>#DIV/0!</v>
      </c>
      <c r="J188" s="119" t="e">
        <f t="shared" si="150"/>
        <v>#DIV/0!</v>
      </c>
      <c r="K188" s="119" t="e">
        <f t="shared" si="150"/>
        <v>#DIV/0!</v>
      </c>
      <c r="L188" s="119" t="e">
        <f t="shared" si="150"/>
        <v>#DIV/0!</v>
      </c>
      <c r="M188" s="114">
        <f>+'2020-2021 Recy. Tons &amp; Revenue'!D20</f>
        <v>0</v>
      </c>
    </row>
    <row r="189" spans="2:13">
      <c r="C189" s="82" t="e">
        <f t="shared" ref="C189:L189" si="151">+C188*C20</f>
        <v>#DIV/0!</v>
      </c>
      <c r="D189" s="82" t="e">
        <f t="shared" si="151"/>
        <v>#DIV/0!</v>
      </c>
      <c r="E189" s="82" t="e">
        <f t="shared" si="151"/>
        <v>#DIV/0!</v>
      </c>
      <c r="F189" s="82" t="e">
        <f t="shared" si="151"/>
        <v>#DIV/0!</v>
      </c>
      <c r="G189" s="82" t="e">
        <f t="shared" si="151"/>
        <v>#DIV/0!</v>
      </c>
      <c r="H189" s="82" t="e">
        <f t="shared" si="151"/>
        <v>#DIV/0!</v>
      </c>
      <c r="I189" s="82" t="e">
        <f t="shared" si="151"/>
        <v>#DIV/0!</v>
      </c>
      <c r="J189" s="82" t="e">
        <f t="shared" si="151"/>
        <v>#DIV/0!</v>
      </c>
      <c r="K189" s="82" t="e">
        <f t="shared" si="151"/>
        <v>#DIV/0!</v>
      </c>
      <c r="L189" s="82" t="e">
        <f t="shared" si="151"/>
        <v>#DIV/0!</v>
      </c>
      <c r="M189" s="114" t="e">
        <f>SUM(C189:L189)</f>
        <v>#DIV/0!</v>
      </c>
    </row>
    <row r="191" spans="2:13">
      <c r="B191" s="11" t="s">
        <v>57</v>
      </c>
      <c r="C191" s="118" t="e">
        <f>+Composition!$AF$43</f>
        <v>#DIV/0!</v>
      </c>
      <c r="D191" s="118" t="e">
        <f>+Composition!$AF$44</f>
        <v>#DIV/0!</v>
      </c>
      <c r="E191" s="118" t="e">
        <f>+Composition!$AF$45</f>
        <v>#DIV/0!</v>
      </c>
      <c r="F191" s="118" t="e">
        <f>+Composition!$AF$46</f>
        <v>#DIV/0!</v>
      </c>
      <c r="G191" s="118" t="e">
        <f>+Composition!$AF$47</f>
        <v>#DIV/0!</v>
      </c>
      <c r="H191" s="118" t="e">
        <f>+Composition!$AF$48</f>
        <v>#DIV/0!</v>
      </c>
      <c r="I191" s="118" t="e">
        <f>+Composition!$AF$49</f>
        <v>#DIV/0!</v>
      </c>
      <c r="J191" s="118" t="e">
        <f>+Composition!$AF$50</f>
        <v>#DIV/0!</v>
      </c>
      <c r="K191" s="118" t="e">
        <f>+Composition!$AF$51</f>
        <v>#DIV/0!</v>
      </c>
      <c r="L191" s="118" t="e">
        <f>+Composition!$AF$52</f>
        <v>#DIV/0!</v>
      </c>
      <c r="M191" s="118" t="e">
        <f>+M94</f>
        <v>#DIV/0!</v>
      </c>
    </row>
    <row r="192" spans="2:13">
      <c r="C192" s="119" t="e">
        <f>+C191*$M192</f>
        <v>#DIV/0!</v>
      </c>
      <c r="D192" s="119" t="e">
        <f>+D191*$M192</f>
        <v>#DIV/0!</v>
      </c>
      <c r="E192" s="119" t="e">
        <f>+E191*$M192</f>
        <v>#DIV/0!</v>
      </c>
      <c r="F192" s="119" t="e">
        <f>+F191*$M192</f>
        <v>#DIV/0!</v>
      </c>
      <c r="G192" s="119" t="e">
        <f t="shared" ref="G192:L192" si="152">+G191*$M192</f>
        <v>#DIV/0!</v>
      </c>
      <c r="H192" s="119" t="e">
        <f t="shared" si="152"/>
        <v>#DIV/0!</v>
      </c>
      <c r="I192" s="119" t="e">
        <f t="shared" si="152"/>
        <v>#DIV/0!</v>
      </c>
      <c r="J192" s="119" t="e">
        <f t="shared" si="152"/>
        <v>#DIV/0!</v>
      </c>
      <c r="K192" s="119" t="e">
        <f t="shared" si="152"/>
        <v>#DIV/0!</v>
      </c>
      <c r="L192" s="119" t="e">
        <f t="shared" si="152"/>
        <v>#DIV/0!</v>
      </c>
      <c r="M192" s="114">
        <f>+'2020-2021 Recy. Tons &amp; Revenue'!D21</f>
        <v>0</v>
      </c>
    </row>
    <row r="193" spans="2:13">
      <c r="C193" s="82" t="e">
        <f t="shared" ref="C193:L193" si="153">+C192*C21</f>
        <v>#DIV/0!</v>
      </c>
      <c r="D193" s="82" t="e">
        <f t="shared" si="153"/>
        <v>#DIV/0!</v>
      </c>
      <c r="E193" s="82" t="e">
        <f t="shared" si="153"/>
        <v>#DIV/0!</v>
      </c>
      <c r="F193" s="82" t="e">
        <f t="shared" si="153"/>
        <v>#DIV/0!</v>
      </c>
      <c r="G193" s="82" t="e">
        <f t="shared" si="153"/>
        <v>#DIV/0!</v>
      </c>
      <c r="H193" s="82" t="e">
        <f t="shared" si="153"/>
        <v>#DIV/0!</v>
      </c>
      <c r="I193" s="82" t="e">
        <f t="shared" si="153"/>
        <v>#DIV/0!</v>
      </c>
      <c r="J193" s="82" t="e">
        <f t="shared" si="153"/>
        <v>#DIV/0!</v>
      </c>
      <c r="K193" s="82" t="e">
        <f t="shared" si="153"/>
        <v>#DIV/0!</v>
      </c>
      <c r="L193" s="82" t="e">
        <f t="shared" si="153"/>
        <v>#DIV/0!</v>
      </c>
      <c r="M193" s="114" t="e">
        <f>SUM(C193:L193)</f>
        <v>#DIV/0!</v>
      </c>
    </row>
    <row r="195" spans="2:13">
      <c r="B195" s="11" t="s">
        <v>272</v>
      </c>
      <c r="C195" s="118" t="e">
        <f>+Composition!$AH$43</f>
        <v>#DIV/0!</v>
      </c>
      <c r="D195" s="118" t="e">
        <f>+Composition!$AH$44</f>
        <v>#DIV/0!</v>
      </c>
      <c r="E195" s="118" t="e">
        <f>+Composition!$AH$45</f>
        <v>#DIV/0!</v>
      </c>
      <c r="F195" s="118" t="e">
        <f>+Composition!$AH$46</f>
        <v>#DIV/0!</v>
      </c>
      <c r="G195" s="118" t="e">
        <f>+Composition!$AH$47</f>
        <v>#DIV/0!</v>
      </c>
      <c r="H195" s="118" t="e">
        <f>+Composition!$AH$48</f>
        <v>#DIV/0!</v>
      </c>
      <c r="I195" s="118" t="e">
        <f>+Composition!$AH$49</f>
        <v>#DIV/0!</v>
      </c>
      <c r="J195" s="118" t="e">
        <f>+Composition!$AH$50</f>
        <v>#DIV/0!</v>
      </c>
      <c r="K195" s="118" t="e">
        <f>+Composition!$AH$51</f>
        <v>#DIV/0!</v>
      </c>
      <c r="L195" s="118" t="e">
        <f>+Composition!$AH$52</f>
        <v>#DIV/0!</v>
      </c>
      <c r="M195" s="113" t="e">
        <f>SUM(C195:L195)</f>
        <v>#DIV/0!</v>
      </c>
    </row>
    <row r="196" spans="2:13">
      <c r="C196" s="119" t="e">
        <f t="shared" ref="C196:L196" si="154">+C195*$M196</f>
        <v>#DIV/0!</v>
      </c>
      <c r="D196" s="119" t="e">
        <f t="shared" si="154"/>
        <v>#DIV/0!</v>
      </c>
      <c r="E196" s="119" t="e">
        <f t="shared" si="154"/>
        <v>#DIV/0!</v>
      </c>
      <c r="F196" s="119" t="e">
        <f t="shared" si="154"/>
        <v>#DIV/0!</v>
      </c>
      <c r="G196" s="119" t="e">
        <f t="shared" si="154"/>
        <v>#DIV/0!</v>
      </c>
      <c r="H196" s="119" t="e">
        <f t="shared" si="154"/>
        <v>#DIV/0!</v>
      </c>
      <c r="I196" s="119" t="e">
        <f t="shared" si="154"/>
        <v>#DIV/0!</v>
      </c>
      <c r="J196" s="119" t="e">
        <f t="shared" si="154"/>
        <v>#DIV/0!</v>
      </c>
      <c r="K196" s="119" t="e">
        <f t="shared" si="154"/>
        <v>#DIV/0!</v>
      </c>
      <c r="L196" s="119" t="e">
        <f t="shared" si="154"/>
        <v>#DIV/0!</v>
      </c>
      <c r="M196" s="114">
        <f>+'2020-2021 Recy. Tons &amp; Revenue'!D22</f>
        <v>0</v>
      </c>
    </row>
    <row r="197" spans="2:13">
      <c r="C197" s="82" t="e">
        <f t="shared" ref="C197:L197" si="155">+C196*C22</f>
        <v>#DIV/0!</v>
      </c>
      <c r="D197" s="82" t="e">
        <f t="shared" si="155"/>
        <v>#DIV/0!</v>
      </c>
      <c r="E197" s="82" t="e">
        <f t="shared" si="155"/>
        <v>#DIV/0!</v>
      </c>
      <c r="F197" s="82" t="e">
        <f t="shared" si="155"/>
        <v>#DIV/0!</v>
      </c>
      <c r="G197" s="82" t="e">
        <f t="shared" si="155"/>
        <v>#DIV/0!</v>
      </c>
      <c r="H197" s="82" t="e">
        <f t="shared" si="155"/>
        <v>#DIV/0!</v>
      </c>
      <c r="I197" s="82" t="e">
        <f t="shared" si="155"/>
        <v>#DIV/0!</v>
      </c>
      <c r="J197" s="82" t="e">
        <f t="shared" si="155"/>
        <v>#DIV/0!</v>
      </c>
      <c r="K197" s="82" t="e">
        <f t="shared" si="155"/>
        <v>#DIV/0!</v>
      </c>
      <c r="L197" s="82" t="e">
        <f t="shared" si="155"/>
        <v>#DIV/0!</v>
      </c>
      <c r="M197" s="114" t="e">
        <f>SUM(C197:L197)</f>
        <v>#DIV/0!</v>
      </c>
    </row>
    <row r="198" spans="2:13">
      <c r="C198" s="118"/>
      <c r="D198" s="118"/>
      <c r="E198" s="118"/>
      <c r="F198" s="118"/>
      <c r="G198" s="118"/>
      <c r="H198" s="118"/>
      <c r="I198" s="118"/>
      <c r="J198" s="118"/>
      <c r="K198" s="118"/>
      <c r="L198" s="118"/>
    </row>
    <row r="199" spans="2:13">
      <c r="B199" s="11" t="s">
        <v>58</v>
      </c>
      <c r="C199" s="118" t="e">
        <f>+Composition!$AJ$43</f>
        <v>#DIV/0!</v>
      </c>
      <c r="D199" s="118" t="e">
        <f>+Composition!$AJ$44</f>
        <v>#DIV/0!</v>
      </c>
      <c r="E199" s="118" t="e">
        <f>+Composition!$AJ$45</f>
        <v>#DIV/0!</v>
      </c>
      <c r="F199" s="118" t="e">
        <f>+Composition!$AJ$46</f>
        <v>#DIV/0!</v>
      </c>
      <c r="G199" s="118" t="e">
        <f>+Composition!$AJ$47</f>
        <v>#DIV/0!</v>
      </c>
      <c r="H199" s="118" t="e">
        <f>+Composition!$AJ$48</f>
        <v>#DIV/0!</v>
      </c>
      <c r="I199" s="118" t="e">
        <f>+Composition!$AJ$49</f>
        <v>#DIV/0!</v>
      </c>
      <c r="J199" s="118" t="e">
        <f>+Composition!$AJ$50</f>
        <v>#DIV/0!</v>
      </c>
      <c r="K199" s="118" t="e">
        <f>+Composition!$AJ$51</f>
        <v>#DIV/0!</v>
      </c>
      <c r="L199" s="118" t="e">
        <f>+Composition!$AJ$52</f>
        <v>#DIV/0!</v>
      </c>
      <c r="M199" s="113" t="e">
        <f>SUM(C199:L199)</f>
        <v>#DIV/0!</v>
      </c>
    </row>
    <row r="200" spans="2:13">
      <c r="C200" s="119" t="e">
        <f t="shared" ref="C200:L200" si="156">+C199*$M200</f>
        <v>#DIV/0!</v>
      </c>
      <c r="D200" s="119" t="e">
        <f t="shared" si="156"/>
        <v>#DIV/0!</v>
      </c>
      <c r="E200" s="119" t="e">
        <f t="shared" si="156"/>
        <v>#DIV/0!</v>
      </c>
      <c r="F200" s="119" t="e">
        <f t="shared" si="156"/>
        <v>#DIV/0!</v>
      </c>
      <c r="G200" s="119" t="e">
        <f t="shared" si="156"/>
        <v>#DIV/0!</v>
      </c>
      <c r="H200" s="119" t="e">
        <f t="shared" si="156"/>
        <v>#DIV/0!</v>
      </c>
      <c r="I200" s="119" t="e">
        <f t="shared" si="156"/>
        <v>#DIV/0!</v>
      </c>
      <c r="J200" s="119" t="e">
        <f t="shared" si="156"/>
        <v>#DIV/0!</v>
      </c>
      <c r="K200" s="119" t="e">
        <f t="shared" si="156"/>
        <v>#DIV/0!</v>
      </c>
      <c r="L200" s="119" t="e">
        <f t="shared" si="156"/>
        <v>#DIV/0!</v>
      </c>
      <c r="M200" s="114">
        <f>+'2020-2021 Recy. Tons &amp; Revenue'!D23</f>
        <v>0</v>
      </c>
    </row>
    <row r="201" spans="2:13">
      <c r="C201" s="82" t="e">
        <f t="shared" ref="C201:L201" si="157">+C200*C23</f>
        <v>#DIV/0!</v>
      </c>
      <c r="D201" s="82" t="e">
        <f t="shared" si="157"/>
        <v>#DIV/0!</v>
      </c>
      <c r="E201" s="82" t="e">
        <f t="shared" si="157"/>
        <v>#DIV/0!</v>
      </c>
      <c r="F201" s="82" t="e">
        <f t="shared" si="157"/>
        <v>#DIV/0!</v>
      </c>
      <c r="G201" s="82" t="e">
        <f t="shared" si="157"/>
        <v>#DIV/0!</v>
      </c>
      <c r="H201" s="82" t="e">
        <f t="shared" si="157"/>
        <v>#DIV/0!</v>
      </c>
      <c r="I201" s="82" t="e">
        <f t="shared" si="157"/>
        <v>#DIV/0!</v>
      </c>
      <c r="J201" s="82" t="e">
        <f t="shared" si="157"/>
        <v>#DIV/0!</v>
      </c>
      <c r="K201" s="82" t="e">
        <f t="shared" si="157"/>
        <v>#DIV/0!</v>
      </c>
      <c r="L201" s="82" t="e">
        <f t="shared" si="157"/>
        <v>#DIV/0!</v>
      </c>
      <c r="M201" s="114" t="e">
        <f>SUM(C201:L201)</f>
        <v>#DIV/0!</v>
      </c>
    </row>
    <row r="203" spans="2:13">
      <c r="B203" s="11" t="s">
        <v>59</v>
      </c>
      <c r="C203" s="118" t="e">
        <f>+Composition!$AL$43</f>
        <v>#DIV/0!</v>
      </c>
      <c r="D203" s="118" t="e">
        <f>+Composition!$AL$44</f>
        <v>#DIV/0!</v>
      </c>
      <c r="E203" s="118" t="e">
        <f>+Composition!$AL$45</f>
        <v>#DIV/0!</v>
      </c>
      <c r="F203" s="118" t="e">
        <f>+Composition!$AL$46</f>
        <v>#DIV/0!</v>
      </c>
      <c r="G203" s="118" t="e">
        <f>+Composition!$AL$47</f>
        <v>#DIV/0!</v>
      </c>
      <c r="H203" s="118" t="e">
        <f>+Composition!$AL$48</f>
        <v>#DIV/0!</v>
      </c>
      <c r="I203" s="118" t="e">
        <f>+Composition!$AL$49</f>
        <v>#DIV/0!</v>
      </c>
      <c r="J203" s="118" t="e">
        <f>+Composition!$AL$50</f>
        <v>#DIV/0!</v>
      </c>
      <c r="K203" s="118" t="e">
        <f>+Composition!$AL$51</f>
        <v>#DIV/0!</v>
      </c>
      <c r="L203" s="118" t="e">
        <f>+Composition!$AL$52</f>
        <v>#DIV/0!</v>
      </c>
      <c r="M203" s="113" t="e">
        <f>SUM(C203:L203)</f>
        <v>#DIV/0!</v>
      </c>
    </row>
    <row r="204" spans="2:13">
      <c r="C204" s="119" t="e">
        <f t="shared" ref="C204:L204" si="158">+C203*$M204</f>
        <v>#DIV/0!</v>
      </c>
      <c r="D204" s="119" t="e">
        <f t="shared" si="158"/>
        <v>#DIV/0!</v>
      </c>
      <c r="E204" s="119" t="e">
        <f t="shared" si="158"/>
        <v>#DIV/0!</v>
      </c>
      <c r="F204" s="119" t="e">
        <f t="shared" si="158"/>
        <v>#DIV/0!</v>
      </c>
      <c r="G204" s="119" t="e">
        <f t="shared" si="158"/>
        <v>#DIV/0!</v>
      </c>
      <c r="H204" s="119" t="e">
        <f t="shared" si="158"/>
        <v>#DIV/0!</v>
      </c>
      <c r="I204" s="119" t="e">
        <f t="shared" si="158"/>
        <v>#DIV/0!</v>
      </c>
      <c r="J204" s="119" t="e">
        <f t="shared" si="158"/>
        <v>#DIV/0!</v>
      </c>
      <c r="K204" s="119" t="e">
        <f t="shared" si="158"/>
        <v>#DIV/0!</v>
      </c>
      <c r="L204" s="119" t="e">
        <f t="shared" si="158"/>
        <v>#DIV/0!</v>
      </c>
      <c r="M204" s="114">
        <f>+'2020-2021 Recy. Tons &amp; Revenue'!D24</f>
        <v>0</v>
      </c>
    </row>
    <row r="205" spans="2:13">
      <c r="C205" s="82" t="e">
        <f t="shared" ref="C205:L205" si="159">+C204*C24</f>
        <v>#DIV/0!</v>
      </c>
      <c r="D205" s="82" t="e">
        <f t="shared" si="159"/>
        <v>#DIV/0!</v>
      </c>
      <c r="E205" s="82" t="e">
        <f t="shared" si="159"/>
        <v>#DIV/0!</v>
      </c>
      <c r="F205" s="82" t="e">
        <f t="shared" si="159"/>
        <v>#DIV/0!</v>
      </c>
      <c r="G205" s="82" t="e">
        <f t="shared" si="159"/>
        <v>#DIV/0!</v>
      </c>
      <c r="H205" s="82" t="e">
        <f t="shared" si="159"/>
        <v>#DIV/0!</v>
      </c>
      <c r="I205" s="82" t="e">
        <f t="shared" si="159"/>
        <v>#DIV/0!</v>
      </c>
      <c r="J205" s="82" t="e">
        <f t="shared" si="159"/>
        <v>#DIV/0!</v>
      </c>
      <c r="K205" s="82" t="e">
        <f t="shared" si="159"/>
        <v>#DIV/0!</v>
      </c>
      <c r="L205" s="82" t="e">
        <f t="shared" si="159"/>
        <v>#DIV/0!</v>
      </c>
      <c r="M205" s="114" t="e">
        <f>SUM(C205:L205)</f>
        <v>#DIV/0!</v>
      </c>
    </row>
    <row r="207" spans="2:13">
      <c r="B207" s="11" t="s">
        <v>60</v>
      </c>
      <c r="C207" s="118" t="e">
        <f>+Composition!$AN$43</f>
        <v>#DIV/0!</v>
      </c>
      <c r="D207" s="118" t="e">
        <f>+Composition!$AN$44</f>
        <v>#DIV/0!</v>
      </c>
      <c r="E207" s="118" t="e">
        <f>+Composition!$AN$45</f>
        <v>#DIV/0!</v>
      </c>
      <c r="F207" s="118" t="e">
        <f>+Composition!$AN$46</f>
        <v>#DIV/0!</v>
      </c>
      <c r="G207" s="118" t="e">
        <f>+Composition!$AN$47</f>
        <v>#DIV/0!</v>
      </c>
      <c r="H207" s="118" t="e">
        <f>+Composition!$AN$48</f>
        <v>#DIV/0!</v>
      </c>
      <c r="I207" s="118" t="e">
        <f>+Composition!$AN$49</f>
        <v>#DIV/0!</v>
      </c>
      <c r="J207" s="118" t="e">
        <f>+Composition!$AN$50</f>
        <v>#DIV/0!</v>
      </c>
      <c r="K207" s="118" t="e">
        <f>+Composition!$AN$51</f>
        <v>#DIV/0!</v>
      </c>
      <c r="L207" s="118" t="e">
        <f>+Composition!$AN$52</f>
        <v>#DIV/0!</v>
      </c>
      <c r="M207" s="113" t="e">
        <f>SUM(C207:L207)</f>
        <v>#DIV/0!</v>
      </c>
    </row>
    <row r="208" spans="2:13">
      <c r="C208" s="119" t="e">
        <f t="shared" ref="C208:L208" si="160">+C207*$M208</f>
        <v>#DIV/0!</v>
      </c>
      <c r="D208" s="119" t="e">
        <f t="shared" si="160"/>
        <v>#DIV/0!</v>
      </c>
      <c r="E208" s="119" t="e">
        <f t="shared" si="160"/>
        <v>#DIV/0!</v>
      </c>
      <c r="F208" s="119" t="e">
        <f t="shared" si="160"/>
        <v>#DIV/0!</v>
      </c>
      <c r="G208" s="119" t="e">
        <f t="shared" si="160"/>
        <v>#DIV/0!</v>
      </c>
      <c r="H208" s="119" t="e">
        <f t="shared" si="160"/>
        <v>#DIV/0!</v>
      </c>
      <c r="I208" s="119" t="e">
        <f t="shared" si="160"/>
        <v>#DIV/0!</v>
      </c>
      <c r="J208" s="119" t="e">
        <f t="shared" si="160"/>
        <v>#DIV/0!</v>
      </c>
      <c r="K208" s="119" t="e">
        <f t="shared" si="160"/>
        <v>#DIV/0!</v>
      </c>
      <c r="L208" s="119" t="e">
        <f t="shared" si="160"/>
        <v>#DIV/0!</v>
      </c>
      <c r="M208" s="114">
        <f>+'2020-2021 Recy. Tons &amp; Revenue'!D25</f>
        <v>0</v>
      </c>
    </row>
    <row r="209" spans="2:13">
      <c r="C209" s="82" t="e">
        <f t="shared" ref="C209:L209" si="161">+C208*C25</f>
        <v>#DIV/0!</v>
      </c>
      <c r="D209" s="82" t="e">
        <f t="shared" si="161"/>
        <v>#DIV/0!</v>
      </c>
      <c r="E209" s="82" t="e">
        <f t="shared" si="161"/>
        <v>#DIV/0!</v>
      </c>
      <c r="F209" s="82" t="e">
        <f t="shared" si="161"/>
        <v>#DIV/0!</v>
      </c>
      <c r="G209" s="82" t="e">
        <f t="shared" si="161"/>
        <v>#DIV/0!</v>
      </c>
      <c r="H209" s="82" t="e">
        <f t="shared" si="161"/>
        <v>#DIV/0!</v>
      </c>
      <c r="I209" s="82" t="e">
        <f t="shared" si="161"/>
        <v>#DIV/0!</v>
      </c>
      <c r="J209" s="82" t="e">
        <f t="shared" si="161"/>
        <v>#DIV/0!</v>
      </c>
      <c r="K209" s="82" t="e">
        <f t="shared" si="161"/>
        <v>#DIV/0!</v>
      </c>
      <c r="L209" s="82" t="e">
        <f t="shared" si="161"/>
        <v>#DIV/0!</v>
      </c>
      <c r="M209" s="114" t="e">
        <f>SUM(C209:L209)</f>
        <v>#DIV/0!</v>
      </c>
    </row>
    <row r="211" spans="2:13">
      <c r="B211" s="11" t="s">
        <v>61</v>
      </c>
      <c r="C211" s="118" t="e">
        <f>+Composition!$AP$43</f>
        <v>#DIV/0!</v>
      </c>
      <c r="D211" s="118" t="e">
        <f>+Composition!$AP$44</f>
        <v>#DIV/0!</v>
      </c>
      <c r="E211" s="118" t="e">
        <f>+Composition!$AP$45</f>
        <v>#DIV/0!</v>
      </c>
      <c r="F211" s="118" t="e">
        <f>+Composition!$AP$46</f>
        <v>#DIV/0!</v>
      </c>
      <c r="G211" s="118" t="e">
        <f>+Composition!$AP$47</f>
        <v>#DIV/0!</v>
      </c>
      <c r="H211" s="118" t="e">
        <f>+Composition!$AP$48</f>
        <v>#DIV/0!</v>
      </c>
      <c r="I211" s="118" t="e">
        <f>+Composition!$AP$49</f>
        <v>#DIV/0!</v>
      </c>
      <c r="J211" s="118" t="e">
        <f>+Composition!$AP$50</f>
        <v>#DIV/0!</v>
      </c>
      <c r="K211" s="118" t="e">
        <f>+Composition!$AP$51</f>
        <v>#DIV/0!</v>
      </c>
      <c r="L211" s="118" t="e">
        <f>+Composition!$AP$52</f>
        <v>#DIV/0!</v>
      </c>
      <c r="M211" s="113" t="e">
        <f>SUM(C211:L211)</f>
        <v>#DIV/0!</v>
      </c>
    </row>
    <row r="212" spans="2:13">
      <c r="C212" s="119" t="e">
        <f t="shared" ref="C212:L212" si="162">+C211*$M212</f>
        <v>#DIV/0!</v>
      </c>
      <c r="D212" s="119" t="e">
        <f t="shared" si="162"/>
        <v>#DIV/0!</v>
      </c>
      <c r="E212" s="119" t="e">
        <f t="shared" si="162"/>
        <v>#DIV/0!</v>
      </c>
      <c r="F212" s="119" t="e">
        <f t="shared" si="162"/>
        <v>#DIV/0!</v>
      </c>
      <c r="G212" s="119" t="e">
        <f t="shared" si="162"/>
        <v>#DIV/0!</v>
      </c>
      <c r="H212" s="119" t="e">
        <f t="shared" si="162"/>
        <v>#DIV/0!</v>
      </c>
      <c r="I212" s="119" t="e">
        <f t="shared" si="162"/>
        <v>#DIV/0!</v>
      </c>
      <c r="J212" s="119" t="e">
        <f t="shared" si="162"/>
        <v>#DIV/0!</v>
      </c>
      <c r="K212" s="119" t="e">
        <f t="shared" si="162"/>
        <v>#DIV/0!</v>
      </c>
      <c r="L212" s="119" t="e">
        <f t="shared" si="162"/>
        <v>#DIV/0!</v>
      </c>
      <c r="M212" s="114">
        <f>+'2020-2021 Recy. Tons &amp; Revenue'!D26</f>
        <v>0</v>
      </c>
    </row>
    <row r="213" spans="2:13">
      <c r="C213" s="82" t="e">
        <f t="shared" ref="C213:L213" si="163">+C212*C26</f>
        <v>#DIV/0!</v>
      </c>
      <c r="D213" s="82" t="e">
        <f t="shared" si="163"/>
        <v>#DIV/0!</v>
      </c>
      <c r="E213" s="82" t="e">
        <f t="shared" si="163"/>
        <v>#DIV/0!</v>
      </c>
      <c r="F213" s="82" t="e">
        <f t="shared" si="163"/>
        <v>#DIV/0!</v>
      </c>
      <c r="G213" s="82" t="e">
        <f t="shared" si="163"/>
        <v>#DIV/0!</v>
      </c>
      <c r="H213" s="82" t="e">
        <f t="shared" si="163"/>
        <v>#DIV/0!</v>
      </c>
      <c r="I213" s="82" t="e">
        <f t="shared" si="163"/>
        <v>#DIV/0!</v>
      </c>
      <c r="J213" s="82" t="e">
        <f t="shared" si="163"/>
        <v>#DIV/0!</v>
      </c>
      <c r="K213" s="82" t="e">
        <f t="shared" si="163"/>
        <v>#DIV/0!</v>
      </c>
      <c r="L213" s="82" t="e">
        <f t="shared" si="163"/>
        <v>#DIV/0!</v>
      </c>
      <c r="M213" s="114" t="e">
        <f>SUM(C213:L213)</f>
        <v>#DIV/0!</v>
      </c>
    </row>
    <row r="215" spans="2:13">
      <c r="B215" s="11" t="s">
        <v>68</v>
      </c>
      <c r="C215" s="118" t="e">
        <f>+Composition!$AR$43</f>
        <v>#DIV/0!</v>
      </c>
      <c r="D215" s="118" t="e">
        <f>+Composition!$AR$44</f>
        <v>#DIV/0!</v>
      </c>
      <c r="E215" s="118" t="e">
        <f>+Composition!$AR$45</f>
        <v>#DIV/0!</v>
      </c>
      <c r="F215" s="118" t="e">
        <f>+Composition!$AR$46</f>
        <v>#DIV/0!</v>
      </c>
      <c r="G215" s="118" t="e">
        <f>+Composition!$AR$47</f>
        <v>#DIV/0!</v>
      </c>
      <c r="H215" s="118" t="e">
        <f>+Composition!$AR$48</f>
        <v>#DIV/0!</v>
      </c>
      <c r="I215" s="118" t="e">
        <f>+Composition!$AR$49</f>
        <v>#DIV/0!</v>
      </c>
      <c r="J215" s="118" t="e">
        <f>+Composition!$AR$50</f>
        <v>#DIV/0!</v>
      </c>
      <c r="K215" s="118" t="e">
        <f>+Composition!$AR$51</f>
        <v>#DIV/0!</v>
      </c>
      <c r="L215" s="118" t="e">
        <f>+Composition!$AR$52</f>
        <v>#DIV/0!</v>
      </c>
      <c r="M215" s="113" t="e">
        <f>SUM(C215:L215)</f>
        <v>#DIV/0!</v>
      </c>
    </row>
    <row r="216" spans="2:13">
      <c r="C216" s="119" t="e">
        <f t="shared" ref="C216:L216" si="164">+C215*$M216</f>
        <v>#DIV/0!</v>
      </c>
      <c r="D216" s="119" t="e">
        <f t="shared" si="164"/>
        <v>#DIV/0!</v>
      </c>
      <c r="E216" s="119" t="e">
        <f t="shared" si="164"/>
        <v>#DIV/0!</v>
      </c>
      <c r="F216" s="119" t="e">
        <f t="shared" si="164"/>
        <v>#DIV/0!</v>
      </c>
      <c r="G216" s="119" t="e">
        <f t="shared" si="164"/>
        <v>#DIV/0!</v>
      </c>
      <c r="H216" s="119" t="e">
        <f t="shared" si="164"/>
        <v>#DIV/0!</v>
      </c>
      <c r="I216" s="119" t="e">
        <f t="shared" si="164"/>
        <v>#DIV/0!</v>
      </c>
      <c r="J216" s="119" t="e">
        <f t="shared" si="164"/>
        <v>#DIV/0!</v>
      </c>
      <c r="K216" s="119" t="e">
        <f t="shared" si="164"/>
        <v>#DIV/0!</v>
      </c>
      <c r="L216" s="119" t="e">
        <f t="shared" si="164"/>
        <v>#DIV/0!</v>
      </c>
      <c r="M216" s="114">
        <f>+'2020-2021 Recy. Tons &amp; Revenue'!D27</f>
        <v>0</v>
      </c>
    </row>
    <row r="217" spans="2:13">
      <c r="C217" s="82" t="e">
        <f t="shared" ref="C217:L217" si="165">+C216*C27</f>
        <v>#DIV/0!</v>
      </c>
      <c r="D217" s="82" t="e">
        <f t="shared" si="165"/>
        <v>#DIV/0!</v>
      </c>
      <c r="E217" s="82" t="e">
        <f t="shared" si="165"/>
        <v>#DIV/0!</v>
      </c>
      <c r="F217" s="82" t="e">
        <f t="shared" si="165"/>
        <v>#DIV/0!</v>
      </c>
      <c r="G217" s="82" t="e">
        <f t="shared" si="165"/>
        <v>#DIV/0!</v>
      </c>
      <c r="H217" s="82" t="e">
        <f t="shared" si="165"/>
        <v>#DIV/0!</v>
      </c>
      <c r="I217" s="82" t="e">
        <f t="shared" si="165"/>
        <v>#DIV/0!</v>
      </c>
      <c r="J217" s="82" t="e">
        <f t="shared" si="165"/>
        <v>#DIV/0!</v>
      </c>
      <c r="K217" s="82" t="e">
        <f t="shared" si="165"/>
        <v>#DIV/0!</v>
      </c>
      <c r="L217" s="82" t="e">
        <f t="shared" si="165"/>
        <v>#DIV/0!</v>
      </c>
      <c r="M217" s="114" t="e">
        <f>SUM(C217:L217)</f>
        <v>#DIV/0!</v>
      </c>
    </row>
    <row r="219" spans="2:13">
      <c r="B219" s="11" t="s">
        <v>69</v>
      </c>
      <c r="C219" s="118" t="e">
        <f>+Composition!$AT$43</f>
        <v>#DIV/0!</v>
      </c>
      <c r="D219" s="118" t="e">
        <f>+Composition!$AT$44</f>
        <v>#DIV/0!</v>
      </c>
      <c r="E219" s="118" t="e">
        <f>+Composition!$AT$45</f>
        <v>#DIV/0!</v>
      </c>
      <c r="F219" s="118" t="e">
        <f>+Composition!$AT$46</f>
        <v>#DIV/0!</v>
      </c>
      <c r="G219" s="118" t="e">
        <f>+Composition!$AT$47</f>
        <v>#DIV/0!</v>
      </c>
      <c r="H219" s="118" t="e">
        <f>+Composition!$AT$48</f>
        <v>#DIV/0!</v>
      </c>
      <c r="I219" s="118" t="e">
        <f>+Composition!$AT$49</f>
        <v>#DIV/0!</v>
      </c>
      <c r="J219" s="118" t="e">
        <f>+Composition!$AT$50</f>
        <v>#DIV/0!</v>
      </c>
      <c r="K219" s="118" t="e">
        <f>+Composition!$AT$51</f>
        <v>#DIV/0!</v>
      </c>
      <c r="L219" s="118" t="e">
        <f>+Composition!$AT$52</f>
        <v>#DIV/0!</v>
      </c>
      <c r="M219" s="113" t="e">
        <f>SUM(C219:L219)</f>
        <v>#DIV/0!</v>
      </c>
    </row>
    <row r="220" spans="2:13">
      <c r="C220" s="119" t="e">
        <f t="shared" ref="C220:L220" si="166">+C219*$M220</f>
        <v>#DIV/0!</v>
      </c>
      <c r="D220" s="119" t="e">
        <f t="shared" si="166"/>
        <v>#DIV/0!</v>
      </c>
      <c r="E220" s="119" t="e">
        <f t="shared" si="166"/>
        <v>#DIV/0!</v>
      </c>
      <c r="F220" s="119" t="e">
        <f t="shared" si="166"/>
        <v>#DIV/0!</v>
      </c>
      <c r="G220" s="119" t="e">
        <f t="shared" si="166"/>
        <v>#DIV/0!</v>
      </c>
      <c r="H220" s="119" t="e">
        <f t="shared" si="166"/>
        <v>#DIV/0!</v>
      </c>
      <c r="I220" s="119" t="e">
        <f t="shared" si="166"/>
        <v>#DIV/0!</v>
      </c>
      <c r="J220" s="119" t="e">
        <f t="shared" si="166"/>
        <v>#DIV/0!</v>
      </c>
      <c r="K220" s="119" t="e">
        <f t="shared" si="166"/>
        <v>#DIV/0!</v>
      </c>
      <c r="L220" s="119" t="e">
        <f t="shared" si="166"/>
        <v>#DIV/0!</v>
      </c>
      <c r="M220" s="114">
        <f>+'2020-2021 Recy. Tons &amp; Revenue'!D28</f>
        <v>0</v>
      </c>
    </row>
    <row r="221" spans="2:13">
      <c r="C221" s="82" t="e">
        <f t="shared" ref="C221:L221" si="167">+C220*C28</f>
        <v>#DIV/0!</v>
      </c>
      <c r="D221" s="82" t="e">
        <f t="shared" si="167"/>
        <v>#DIV/0!</v>
      </c>
      <c r="E221" s="82" t="e">
        <f t="shared" si="167"/>
        <v>#DIV/0!</v>
      </c>
      <c r="F221" s="82" t="e">
        <f t="shared" si="167"/>
        <v>#DIV/0!</v>
      </c>
      <c r="G221" s="82" t="e">
        <f t="shared" si="167"/>
        <v>#DIV/0!</v>
      </c>
      <c r="H221" s="82" t="e">
        <f t="shared" si="167"/>
        <v>#DIV/0!</v>
      </c>
      <c r="I221" s="82" t="e">
        <f t="shared" si="167"/>
        <v>#DIV/0!</v>
      </c>
      <c r="J221" s="82" t="e">
        <f t="shared" si="167"/>
        <v>#DIV/0!</v>
      </c>
      <c r="K221" s="82" t="e">
        <f t="shared" si="167"/>
        <v>#DIV/0!</v>
      </c>
      <c r="L221" s="82" t="e">
        <f t="shared" si="167"/>
        <v>#DIV/0!</v>
      </c>
      <c r="M221" s="114" t="e">
        <f>SUM(C221:L221)</f>
        <v>#DIV/0!</v>
      </c>
    </row>
    <row r="223" spans="2:13">
      <c r="B223" s="11" t="s">
        <v>70</v>
      </c>
      <c r="C223" s="118" t="e">
        <f>+Composition!$AV$43</f>
        <v>#DIV/0!</v>
      </c>
      <c r="D223" s="118" t="e">
        <f>+Composition!$AV$44</f>
        <v>#DIV/0!</v>
      </c>
      <c r="E223" s="118" t="e">
        <f>+Composition!$AV$45</f>
        <v>#DIV/0!</v>
      </c>
      <c r="F223" s="118" t="e">
        <f>+Composition!$AV$46</f>
        <v>#DIV/0!</v>
      </c>
      <c r="G223" s="118" t="e">
        <f>+Composition!$AV$47</f>
        <v>#DIV/0!</v>
      </c>
      <c r="H223" s="118" t="e">
        <f>+Composition!$AV$48</f>
        <v>#DIV/0!</v>
      </c>
      <c r="I223" s="118" t="e">
        <f>+Composition!$AV$49</f>
        <v>#DIV/0!</v>
      </c>
      <c r="J223" s="118" t="e">
        <f>+Composition!$AV$50</f>
        <v>#DIV/0!</v>
      </c>
      <c r="K223" s="118" t="e">
        <f>+Composition!$AV$51</f>
        <v>#DIV/0!</v>
      </c>
      <c r="L223" s="118" t="e">
        <f>+Composition!$AV$52</f>
        <v>#DIV/0!</v>
      </c>
      <c r="M223" s="113" t="e">
        <f>SUM(C223:L223)</f>
        <v>#DIV/0!</v>
      </c>
    </row>
    <row r="224" spans="2:13">
      <c r="C224" s="119" t="e">
        <f t="shared" ref="C224:L224" si="168">+C223*$M224</f>
        <v>#DIV/0!</v>
      </c>
      <c r="D224" s="119" t="e">
        <f t="shared" si="168"/>
        <v>#DIV/0!</v>
      </c>
      <c r="E224" s="119" t="e">
        <f t="shared" si="168"/>
        <v>#DIV/0!</v>
      </c>
      <c r="F224" s="119" t="e">
        <f t="shared" si="168"/>
        <v>#DIV/0!</v>
      </c>
      <c r="G224" s="119" t="e">
        <f t="shared" si="168"/>
        <v>#DIV/0!</v>
      </c>
      <c r="H224" s="119" t="e">
        <f t="shared" si="168"/>
        <v>#DIV/0!</v>
      </c>
      <c r="I224" s="119" t="e">
        <f t="shared" si="168"/>
        <v>#DIV/0!</v>
      </c>
      <c r="J224" s="119" t="e">
        <f t="shared" si="168"/>
        <v>#DIV/0!</v>
      </c>
      <c r="K224" s="119" t="e">
        <f t="shared" si="168"/>
        <v>#DIV/0!</v>
      </c>
      <c r="L224" s="119" t="e">
        <f t="shared" si="168"/>
        <v>#DIV/0!</v>
      </c>
      <c r="M224" s="114">
        <f>+'2020-2021 Recy. Tons &amp; Revenue'!D29</f>
        <v>0</v>
      </c>
    </row>
    <row r="225" spans="2:13">
      <c r="C225" s="82" t="e">
        <f t="shared" ref="C225:L225" si="169">+C224*C29</f>
        <v>#DIV/0!</v>
      </c>
      <c r="D225" s="82" t="e">
        <f t="shared" si="169"/>
        <v>#DIV/0!</v>
      </c>
      <c r="E225" s="82" t="e">
        <f t="shared" si="169"/>
        <v>#DIV/0!</v>
      </c>
      <c r="F225" s="82" t="e">
        <f t="shared" si="169"/>
        <v>#DIV/0!</v>
      </c>
      <c r="G225" s="82" t="e">
        <f t="shared" si="169"/>
        <v>#DIV/0!</v>
      </c>
      <c r="H225" s="82" t="e">
        <f t="shared" si="169"/>
        <v>#DIV/0!</v>
      </c>
      <c r="I225" s="82" t="e">
        <f t="shared" si="169"/>
        <v>#DIV/0!</v>
      </c>
      <c r="J225" s="82" t="e">
        <f t="shared" si="169"/>
        <v>#DIV/0!</v>
      </c>
      <c r="K225" s="82" t="e">
        <f t="shared" si="169"/>
        <v>#DIV/0!</v>
      </c>
      <c r="L225" s="82" t="e">
        <f t="shared" si="169"/>
        <v>#DIV/0!</v>
      </c>
      <c r="M225" s="114" t="e">
        <f>SUM(C225:L225)</f>
        <v>#DIV/0!</v>
      </c>
    </row>
    <row r="227" spans="2:13">
      <c r="B227" s="11" t="s">
        <v>71</v>
      </c>
      <c r="C227" s="118" t="e">
        <f>+Composition!$AX$43</f>
        <v>#DIV/0!</v>
      </c>
      <c r="D227" s="118" t="e">
        <f>+Composition!$AX$44</f>
        <v>#DIV/0!</v>
      </c>
      <c r="E227" s="118" t="e">
        <f>+Composition!$AX$45</f>
        <v>#DIV/0!</v>
      </c>
      <c r="F227" s="118" t="e">
        <f>+Composition!$AX$46</f>
        <v>#DIV/0!</v>
      </c>
      <c r="G227" s="118" t="e">
        <f>+Composition!$AX$47</f>
        <v>#DIV/0!</v>
      </c>
      <c r="H227" s="118" t="e">
        <f>+Composition!$AX$48</f>
        <v>#DIV/0!</v>
      </c>
      <c r="I227" s="118" t="e">
        <f>+Composition!$AX$49</f>
        <v>#DIV/0!</v>
      </c>
      <c r="J227" s="118" t="e">
        <f>+Composition!$AX$50</f>
        <v>#DIV/0!</v>
      </c>
      <c r="K227" s="118" t="e">
        <f>+Composition!$AX$51</f>
        <v>#DIV/0!</v>
      </c>
      <c r="L227" s="118" t="e">
        <f>+Composition!$AX$52</f>
        <v>#DIV/0!</v>
      </c>
      <c r="M227" s="113" t="e">
        <f>SUM(C227:L227)</f>
        <v>#DIV/0!</v>
      </c>
    </row>
    <row r="228" spans="2:13">
      <c r="C228" s="119" t="e">
        <f t="shared" ref="C228:L228" si="170">+C227*$M228</f>
        <v>#DIV/0!</v>
      </c>
      <c r="D228" s="119" t="e">
        <f t="shared" si="170"/>
        <v>#DIV/0!</v>
      </c>
      <c r="E228" s="119" t="e">
        <f t="shared" si="170"/>
        <v>#DIV/0!</v>
      </c>
      <c r="F228" s="119" t="e">
        <f t="shared" si="170"/>
        <v>#DIV/0!</v>
      </c>
      <c r="G228" s="119" t="e">
        <f t="shared" si="170"/>
        <v>#DIV/0!</v>
      </c>
      <c r="H228" s="119" t="e">
        <f t="shared" si="170"/>
        <v>#DIV/0!</v>
      </c>
      <c r="I228" s="119" t="e">
        <f t="shared" si="170"/>
        <v>#DIV/0!</v>
      </c>
      <c r="J228" s="119" t="e">
        <f t="shared" si="170"/>
        <v>#DIV/0!</v>
      </c>
      <c r="K228" s="119" t="e">
        <f t="shared" si="170"/>
        <v>#DIV/0!</v>
      </c>
      <c r="L228" s="119" t="e">
        <f t="shared" si="170"/>
        <v>#DIV/0!</v>
      </c>
      <c r="M228" s="114">
        <f>+'2020-2021 Recy. Tons &amp; Revenue'!D30</f>
        <v>0</v>
      </c>
    </row>
    <row r="229" spans="2:13">
      <c r="C229" s="82" t="e">
        <f t="shared" ref="C229:L229" si="171">+C228*C30</f>
        <v>#DIV/0!</v>
      </c>
      <c r="D229" s="82" t="e">
        <f t="shared" si="171"/>
        <v>#DIV/0!</v>
      </c>
      <c r="E229" s="82" t="e">
        <f t="shared" si="171"/>
        <v>#DIV/0!</v>
      </c>
      <c r="F229" s="82" t="e">
        <f t="shared" si="171"/>
        <v>#DIV/0!</v>
      </c>
      <c r="G229" s="82" t="e">
        <f t="shared" si="171"/>
        <v>#DIV/0!</v>
      </c>
      <c r="H229" s="82" t="e">
        <f t="shared" si="171"/>
        <v>#DIV/0!</v>
      </c>
      <c r="I229" s="82" t="e">
        <f t="shared" si="171"/>
        <v>#DIV/0!</v>
      </c>
      <c r="J229" s="82" t="e">
        <f t="shared" si="171"/>
        <v>#DIV/0!</v>
      </c>
      <c r="K229" s="82" t="e">
        <f t="shared" si="171"/>
        <v>#DIV/0!</v>
      </c>
      <c r="L229" s="82" t="e">
        <f t="shared" si="171"/>
        <v>#DIV/0!</v>
      </c>
      <c r="M229" s="114" t="e">
        <f>SUM(C229:L229)</f>
        <v>#DIV/0!</v>
      </c>
    </row>
  </sheetData>
  <mergeCells count="12">
    <mergeCell ref="BR2:CB2"/>
    <mergeCell ref="BS3:CB3"/>
    <mergeCell ref="C3:L3"/>
    <mergeCell ref="P3:Y3"/>
    <mergeCell ref="AB3:AK3"/>
    <mergeCell ref="AO3:AX3"/>
    <mergeCell ref="BD3:BM3"/>
    <mergeCell ref="B1:L1"/>
    <mergeCell ref="O1:Y1"/>
    <mergeCell ref="AA2:AK2"/>
    <mergeCell ref="AN2:AX2"/>
    <mergeCell ref="BC2:BM2"/>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3:CG81"/>
  <sheetViews>
    <sheetView zoomScaleNormal="100" workbookViewId="0">
      <pane xSplit="1" topLeftCell="B1" activePane="topRight" state="frozen"/>
      <selection pane="topRight" activeCell="D21" sqref="D21"/>
    </sheetView>
  </sheetViews>
  <sheetFormatPr defaultRowHeight="12.75"/>
  <cols>
    <col min="1" max="1" width="36.5703125" bestFit="1" customWidth="1"/>
    <col min="2" max="2" width="7" bestFit="1" customWidth="1"/>
    <col min="3" max="3" width="9.28515625" bestFit="1" customWidth="1"/>
    <col min="4" max="4" width="7.7109375" bestFit="1" customWidth="1"/>
    <col min="5" max="5" width="9.28515625" bestFit="1" customWidth="1"/>
    <col min="6" max="6" width="7.7109375" bestFit="1" customWidth="1"/>
    <col min="7" max="7" width="9.28515625" bestFit="1" customWidth="1"/>
    <col min="8" max="8" width="7.7109375" bestFit="1" customWidth="1"/>
    <col min="9" max="9" width="9.28515625" bestFit="1" customWidth="1"/>
    <col min="10" max="10" width="7.7109375" bestFit="1" customWidth="1"/>
    <col min="11" max="11" width="9.28515625" bestFit="1" customWidth="1"/>
    <col min="12" max="12" width="7.7109375" bestFit="1" customWidth="1"/>
    <col min="13" max="13" width="9.28515625" bestFit="1" customWidth="1"/>
    <col min="14" max="14" width="7.7109375" bestFit="1" customWidth="1"/>
    <col min="15" max="15" width="9.28515625" bestFit="1" customWidth="1"/>
    <col min="16" max="16" width="7.7109375" bestFit="1" customWidth="1"/>
    <col min="17" max="17" width="9.28515625" bestFit="1" customWidth="1"/>
    <col min="18" max="18" width="7.7109375" bestFit="1" customWidth="1"/>
    <col min="19" max="19" width="9.28515625" bestFit="1" customWidth="1"/>
    <col min="20" max="20" width="7.7109375" bestFit="1" customWidth="1"/>
    <col min="21" max="21" width="9.28515625" bestFit="1" customWidth="1"/>
    <col min="22" max="22" width="7.7109375" bestFit="1" customWidth="1"/>
    <col min="23" max="23" width="9.28515625" bestFit="1" customWidth="1"/>
    <col min="24" max="24" width="7.7109375" bestFit="1" customWidth="1"/>
    <col min="25" max="25" width="11.140625" customWidth="1"/>
    <col min="26" max="26" width="7.7109375" bestFit="1" customWidth="1"/>
    <col min="27" max="27" width="9.28515625" bestFit="1" customWidth="1"/>
    <col min="28" max="28" width="7.7109375" bestFit="1" customWidth="1"/>
    <col min="29" max="29" width="9.28515625" bestFit="1" customWidth="1"/>
    <col min="30" max="30" width="7.7109375" bestFit="1" customWidth="1"/>
    <col min="31" max="31" width="9.28515625" bestFit="1" customWidth="1"/>
    <col min="32" max="32" width="7.7109375" bestFit="1" customWidth="1"/>
    <col min="33" max="33" width="9.28515625" bestFit="1" customWidth="1"/>
    <col min="34" max="34" width="7.7109375" bestFit="1" customWidth="1"/>
    <col min="35" max="35" width="9.28515625" bestFit="1" customWidth="1"/>
    <col min="36" max="36" width="7.7109375" bestFit="1" customWidth="1"/>
    <col min="37" max="37" width="9.28515625" bestFit="1" customWidth="1"/>
    <col min="38" max="38" width="7.7109375" bestFit="1" customWidth="1"/>
    <col min="39" max="39" width="9.28515625" bestFit="1" customWidth="1"/>
    <col min="40" max="40" width="7.7109375" bestFit="1" customWidth="1"/>
    <col min="41" max="41" width="9.28515625" bestFit="1" customWidth="1"/>
    <col min="42" max="42" width="7.7109375" bestFit="1" customWidth="1"/>
    <col min="43" max="43" width="9.28515625" bestFit="1" customWidth="1"/>
    <col min="44" max="44" width="7.7109375" bestFit="1" customWidth="1"/>
    <col min="45" max="45" width="9.28515625" bestFit="1" customWidth="1"/>
    <col min="46" max="46" width="7.7109375" bestFit="1" customWidth="1"/>
    <col min="47" max="47" width="9.28515625" bestFit="1" customWidth="1"/>
    <col min="48" max="48" width="7.7109375" bestFit="1" customWidth="1"/>
    <col min="49" max="49" width="9.28515625" bestFit="1" customWidth="1"/>
    <col min="50" max="50" width="7.7109375" bestFit="1" customWidth="1"/>
    <col min="51" max="51" width="11.28515625" bestFit="1" customWidth="1"/>
    <col min="52" max="52" width="7.7109375" bestFit="1" customWidth="1"/>
    <col min="53" max="53" width="2.42578125" customWidth="1"/>
    <col min="54" max="54" width="10.140625" bestFit="1" customWidth="1"/>
    <col min="55" max="55" width="9.5703125" customWidth="1"/>
    <col min="56" max="56" width="12.140625" bestFit="1" customWidth="1"/>
    <col min="58" max="58" width="10.7109375" bestFit="1" customWidth="1"/>
    <col min="80" max="80" width="11" bestFit="1" customWidth="1"/>
    <col min="81" max="81" width="11" customWidth="1"/>
    <col min="85" max="85" width="10.28515625" bestFit="1" customWidth="1"/>
  </cols>
  <sheetData>
    <row r="3" spans="1:85" ht="15">
      <c r="A3" s="1" t="s">
        <v>190</v>
      </c>
      <c r="B3" s="1"/>
      <c r="BD3" s="13"/>
    </row>
    <row r="4" spans="1:85" ht="15">
      <c r="A4" s="8"/>
      <c r="B4" s="410"/>
      <c r="C4" s="10">
        <v>43743</v>
      </c>
      <c r="D4" s="6"/>
      <c r="E4" s="10">
        <v>43774</v>
      </c>
      <c r="F4" s="6"/>
      <c r="G4" s="10">
        <v>43804</v>
      </c>
      <c r="H4" s="2"/>
      <c r="I4" s="10">
        <v>43841</v>
      </c>
      <c r="J4" s="6"/>
      <c r="K4" s="10">
        <v>43862</v>
      </c>
      <c r="L4" s="6"/>
      <c r="M4" s="10">
        <v>43895</v>
      </c>
      <c r="N4" s="6"/>
      <c r="O4" s="10">
        <v>43926</v>
      </c>
      <c r="P4" s="6"/>
      <c r="Q4" s="10">
        <v>43956</v>
      </c>
      <c r="R4" s="6"/>
      <c r="S4" s="10">
        <v>43987</v>
      </c>
      <c r="T4" s="6"/>
      <c r="U4" s="10">
        <v>44017</v>
      </c>
      <c r="V4" s="6"/>
      <c r="W4" s="10">
        <v>44048</v>
      </c>
      <c r="X4" s="6"/>
      <c r="Y4" s="10">
        <v>44079</v>
      </c>
      <c r="Z4" s="6"/>
      <c r="AA4" s="10">
        <v>44109</v>
      </c>
      <c r="AB4" s="6"/>
      <c r="AC4" s="10">
        <v>44140</v>
      </c>
      <c r="AD4" s="6"/>
      <c r="AE4" s="10">
        <v>44170</v>
      </c>
      <c r="AF4" s="6"/>
      <c r="AG4" s="10">
        <v>44201</v>
      </c>
      <c r="AH4" s="6"/>
      <c r="AI4" s="10">
        <v>44232</v>
      </c>
      <c r="AJ4" s="6"/>
      <c r="AK4" s="10">
        <v>44260</v>
      </c>
      <c r="AL4" s="6"/>
      <c r="AM4" s="10">
        <v>44291</v>
      </c>
      <c r="AN4" s="6"/>
      <c r="AO4" s="10">
        <v>44321</v>
      </c>
      <c r="AP4" s="6"/>
      <c r="AQ4" s="10">
        <v>44352</v>
      </c>
      <c r="AR4" s="6"/>
      <c r="AS4" s="10">
        <v>44382</v>
      </c>
      <c r="AT4" s="6"/>
      <c r="AU4" s="10">
        <v>44413</v>
      </c>
      <c r="AV4" s="6"/>
      <c r="AW4" s="10">
        <v>44444</v>
      </c>
      <c r="AX4" s="6"/>
      <c r="AY4" s="10" t="s">
        <v>80</v>
      </c>
      <c r="AZ4" s="6"/>
      <c r="BD4" s="13"/>
      <c r="BE4" s="242"/>
      <c r="BF4" s="242"/>
      <c r="BG4" s="242"/>
      <c r="BH4" s="242"/>
      <c r="BI4" s="242"/>
      <c r="BJ4" s="242"/>
      <c r="BK4" s="242"/>
      <c r="BL4" s="242"/>
      <c r="BM4" s="242"/>
      <c r="BN4" s="242"/>
      <c r="BO4" s="242"/>
      <c r="BP4" s="242"/>
      <c r="BQ4" s="242"/>
      <c r="BR4" s="242"/>
      <c r="BS4" s="242"/>
      <c r="BT4" s="242"/>
      <c r="BU4" s="242"/>
      <c r="BV4" s="242"/>
      <c r="BW4" s="242"/>
      <c r="BX4" s="242"/>
      <c r="BY4" s="242"/>
      <c r="BZ4" s="242"/>
      <c r="CA4" s="242"/>
      <c r="CB4" s="242"/>
      <c r="CC4" s="242"/>
    </row>
    <row r="5" spans="1:85" ht="15">
      <c r="A5" s="9"/>
      <c r="B5" s="411"/>
      <c r="C5" s="3" t="s">
        <v>7</v>
      </c>
      <c r="D5" s="7"/>
      <c r="E5" s="3" t="s">
        <v>7</v>
      </c>
      <c r="F5" s="7"/>
      <c r="G5" s="3" t="s">
        <v>7</v>
      </c>
      <c r="H5" s="4"/>
      <c r="I5" s="3" t="s">
        <v>7</v>
      </c>
      <c r="J5" s="7"/>
      <c r="K5" s="3" t="s">
        <v>7</v>
      </c>
      <c r="L5" s="7"/>
      <c r="M5" s="3" t="s">
        <v>7</v>
      </c>
      <c r="N5" s="7"/>
      <c r="O5" s="3" t="s">
        <v>7</v>
      </c>
      <c r="P5" s="7"/>
      <c r="Q5" s="3" t="s">
        <v>7</v>
      </c>
      <c r="R5" s="7"/>
      <c r="S5" s="3" t="s">
        <v>7</v>
      </c>
      <c r="T5" s="7"/>
      <c r="U5" s="3" t="s">
        <v>7</v>
      </c>
      <c r="V5" s="7"/>
      <c r="W5" s="3" t="s">
        <v>7</v>
      </c>
      <c r="X5" s="7"/>
      <c r="Y5" s="3" t="s">
        <v>7</v>
      </c>
      <c r="Z5" s="7"/>
      <c r="AA5" s="3" t="s">
        <v>7</v>
      </c>
      <c r="AB5" s="7"/>
      <c r="AC5" s="3" t="s">
        <v>7</v>
      </c>
      <c r="AD5" s="7"/>
      <c r="AE5" s="3" t="s">
        <v>7</v>
      </c>
      <c r="AF5" s="7"/>
      <c r="AG5" s="3" t="s">
        <v>7</v>
      </c>
      <c r="AH5" s="7"/>
      <c r="AI5" s="3" t="s">
        <v>7</v>
      </c>
      <c r="AJ5" s="7"/>
      <c r="AK5" s="3" t="s">
        <v>7</v>
      </c>
      <c r="AL5" s="7"/>
      <c r="AM5" s="3" t="s">
        <v>7</v>
      </c>
      <c r="AN5" s="7"/>
      <c r="AO5" s="3" t="s">
        <v>7</v>
      </c>
      <c r="AP5" s="7"/>
      <c r="AQ5" s="3" t="s">
        <v>7</v>
      </c>
      <c r="AR5" s="7"/>
      <c r="AS5" s="3" t="s">
        <v>7</v>
      </c>
      <c r="AT5" s="7"/>
      <c r="AU5" s="3" t="s">
        <v>7</v>
      </c>
      <c r="AV5" s="7"/>
      <c r="AW5" s="3" t="s">
        <v>7</v>
      </c>
      <c r="AX5" s="7"/>
      <c r="AY5" s="3" t="s">
        <v>7</v>
      </c>
      <c r="AZ5" s="7"/>
      <c r="BD5" s="13"/>
      <c r="BE5" s="241"/>
      <c r="BF5" s="241"/>
      <c r="BG5" s="241"/>
      <c r="BH5" s="241"/>
      <c r="BI5" s="241"/>
      <c r="BJ5" s="241"/>
      <c r="BK5" s="241"/>
      <c r="BL5" s="241"/>
      <c r="BM5" s="241"/>
      <c r="BN5" s="241"/>
      <c r="BO5" s="241"/>
      <c r="BP5" s="241"/>
      <c r="BQ5" s="241"/>
      <c r="BR5" s="241"/>
      <c r="BS5" s="241"/>
      <c r="BT5" s="241"/>
      <c r="BU5" s="241"/>
      <c r="BV5" s="241"/>
      <c r="BW5" s="241"/>
      <c r="BX5" s="241"/>
      <c r="BY5" s="241"/>
      <c r="BZ5" s="241"/>
      <c r="CA5" s="241"/>
      <c r="CB5" s="241"/>
      <c r="CC5" s="241"/>
    </row>
    <row r="6" spans="1:85" ht="15">
      <c r="A6" s="9" t="s">
        <v>3</v>
      </c>
      <c r="B6" s="12"/>
      <c r="C6" s="432">
        <v>0</v>
      </c>
      <c r="D6" s="5">
        <f t="shared" ref="D6:D16" si="0">C6/$C$17</f>
        <v>0</v>
      </c>
      <c r="E6" s="91">
        <v>0</v>
      </c>
      <c r="F6" s="5">
        <f t="shared" ref="F6:F16" si="1">E6/E$17</f>
        <v>0</v>
      </c>
      <c r="G6" s="91">
        <v>0</v>
      </c>
      <c r="H6" s="5">
        <f t="shared" ref="H6:H16" si="2">G6/G$17</f>
        <v>0</v>
      </c>
      <c r="I6" s="91">
        <v>0</v>
      </c>
      <c r="J6" s="5">
        <f t="shared" ref="J6:J16" si="3">I6/I$17</f>
        <v>0</v>
      </c>
      <c r="K6" s="91">
        <v>0</v>
      </c>
      <c r="L6" s="5">
        <f t="shared" ref="L6:R16" si="4">K6/K$17</f>
        <v>0</v>
      </c>
      <c r="M6" s="91">
        <v>0</v>
      </c>
      <c r="N6" s="5">
        <f t="shared" si="4"/>
        <v>0</v>
      </c>
      <c r="O6" s="91">
        <v>0</v>
      </c>
      <c r="P6" s="5">
        <f t="shared" si="4"/>
        <v>0</v>
      </c>
      <c r="Q6" s="91">
        <v>0</v>
      </c>
      <c r="R6" s="5">
        <f t="shared" si="4"/>
        <v>0</v>
      </c>
      <c r="S6" s="91">
        <v>0</v>
      </c>
      <c r="T6" s="5">
        <f t="shared" ref="T6:T16" si="5">S6/S$17</f>
        <v>0</v>
      </c>
      <c r="U6" s="91">
        <v>0</v>
      </c>
      <c r="V6" s="5">
        <f t="shared" ref="V6:V16" si="6">U6/U$17</f>
        <v>0</v>
      </c>
      <c r="W6" s="91">
        <v>0</v>
      </c>
      <c r="X6" s="5">
        <f t="shared" ref="X6:X16" si="7">W6/W$17</f>
        <v>0</v>
      </c>
      <c r="Y6" s="91">
        <v>0</v>
      </c>
      <c r="Z6" s="5">
        <f t="shared" ref="Z6:Z16" si="8">Y6/Y$17</f>
        <v>0</v>
      </c>
      <c r="AA6" s="91"/>
      <c r="AB6" s="5" t="e">
        <f t="shared" ref="AB6:AB16" si="9">AA6/AA$17</f>
        <v>#DIV/0!</v>
      </c>
      <c r="AC6" s="91"/>
      <c r="AD6" s="5" t="e">
        <f t="shared" ref="AD6:AD16" si="10">AC6/AC$17</f>
        <v>#DIV/0!</v>
      </c>
      <c r="AE6" s="91"/>
      <c r="AF6" s="127" t="e">
        <f t="shared" ref="AF6:AF16" si="11">AE6/AE$17</f>
        <v>#DIV/0!</v>
      </c>
      <c r="AG6" s="91"/>
      <c r="AH6" s="127" t="e">
        <f t="shared" ref="AH6:AH16" si="12">AG6/AG$17</f>
        <v>#DIV/0!</v>
      </c>
      <c r="AI6" s="91"/>
      <c r="AJ6" s="127" t="e">
        <f t="shared" ref="AJ6:AJ16" si="13">AI6/AI$17</f>
        <v>#DIV/0!</v>
      </c>
      <c r="AK6" s="91"/>
      <c r="AL6" s="127" t="e">
        <f t="shared" ref="AL6:AL16" si="14">AK6/AK$17</f>
        <v>#DIV/0!</v>
      </c>
      <c r="AM6" s="91"/>
      <c r="AN6" s="127" t="e">
        <f t="shared" ref="AN6:AN16" si="15">AM6/AM$17</f>
        <v>#DIV/0!</v>
      </c>
      <c r="AO6" s="91"/>
      <c r="AP6" s="127" t="e">
        <f t="shared" ref="AP6:AP16" si="16">AO6/AO$17</f>
        <v>#DIV/0!</v>
      </c>
      <c r="AQ6" s="91"/>
      <c r="AR6" s="127" t="e">
        <f t="shared" ref="AR6:AR16" si="17">AQ6/AQ$17</f>
        <v>#DIV/0!</v>
      </c>
      <c r="AS6" s="91"/>
      <c r="AT6" s="127" t="e">
        <f t="shared" ref="AT6:AT16" si="18">AS6/AS$17</f>
        <v>#DIV/0!</v>
      </c>
      <c r="AU6" s="91"/>
      <c r="AV6" s="127" t="e">
        <f t="shared" ref="AV6:AV16" si="19">AU6/AU$17</f>
        <v>#DIV/0!</v>
      </c>
      <c r="AW6" s="91"/>
      <c r="AX6" s="127" t="e">
        <f t="shared" ref="AX6:AX16" si="20">AW6/AW$17</f>
        <v>#DIV/0!</v>
      </c>
      <c r="AY6" s="16">
        <f>+Y6+W6+U6+S6+Q6+O6+M6+K6+I6+G6+E6+C6+AA6+AC6+AE6+AG6+AI6+AK6+AM6+AO6+AQ6+AS6+AU6+AW6</f>
        <v>0</v>
      </c>
      <c r="AZ6" s="15">
        <f t="shared" ref="AZ6:AZ16" si="21">AY6/AY$17</f>
        <v>0</v>
      </c>
      <c r="BD6" s="13"/>
      <c r="BE6" s="226"/>
      <c r="BF6" s="226"/>
      <c r="BG6" s="226"/>
      <c r="BH6" s="226"/>
      <c r="BI6" s="226"/>
      <c r="BJ6" s="226"/>
      <c r="BK6" s="226"/>
      <c r="BL6" s="226"/>
      <c r="BM6" s="226"/>
      <c r="BN6" s="226"/>
      <c r="BO6" s="226"/>
      <c r="BP6" s="226"/>
      <c r="BQ6" s="226"/>
      <c r="BR6" s="226"/>
      <c r="BS6" s="226"/>
      <c r="BT6" s="226"/>
      <c r="BU6" s="226"/>
      <c r="BV6" s="226"/>
      <c r="BW6" s="226"/>
      <c r="BX6" s="226"/>
      <c r="BY6" s="226"/>
      <c r="BZ6" s="226"/>
      <c r="CA6" s="226"/>
      <c r="CB6" s="226"/>
      <c r="CC6" s="226"/>
      <c r="CD6" s="226"/>
      <c r="CE6" s="226"/>
      <c r="CF6" s="226"/>
      <c r="CG6" s="226"/>
    </row>
    <row r="7" spans="1:85" ht="15">
      <c r="A7" s="9" t="s">
        <v>6</v>
      </c>
      <c r="B7" s="12"/>
      <c r="C7" s="432">
        <v>2379.1927858110125</v>
      </c>
      <c r="D7" s="5">
        <f t="shared" si="0"/>
        <v>0.30872960409494554</v>
      </c>
      <c r="E7" s="91">
        <v>2565.5818694978334</v>
      </c>
      <c r="F7" s="5">
        <f t="shared" si="1"/>
        <v>0.35549842167274731</v>
      </c>
      <c r="G7" s="91">
        <v>3250.0548423570476</v>
      </c>
      <c r="H7" s="5">
        <f t="shared" si="2"/>
        <v>0.38563459339255646</v>
      </c>
      <c r="I7" s="91">
        <v>3279.3</v>
      </c>
      <c r="J7" s="5">
        <f t="shared" si="3"/>
        <v>0.36724834199014944</v>
      </c>
      <c r="K7" s="91">
        <v>2739.03</v>
      </c>
      <c r="L7" s="5">
        <f t="shared" si="4"/>
        <v>0.38310898135249</v>
      </c>
      <c r="M7" s="91">
        <v>3412.03</v>
      </c>
      <c r="N7" s="5">
        <f t="shared" si="4"/>
        <v>0.43619881388715953</v>
      </c>
      <c r="O7" s="91">
        <v>3429.94</v>
      </c>
      <c r="P7" s="5">
        <f t="shared" si="4"/>
        <v>0.41806970306780766</v>
      </c>
      <c r="Q7" s="91">
        <v>3126.42</v>
      </c>
      <c r="R7" s="5">
        <f t="shared" si="4"/>
        <v>0.39529452819477334</v>
      </c>
      <c r="S7" s="91">
        <v>3008.11</v>
      </c>
      <c r="T7" s="5">
        <f t="shared" si="5"/>
        <v>0.35663297667387889</v>
      </c>
      <c r="U7" s="91">
        <v>3313.54</v>
      </c>
      <c r="V7" s="5">
        <f t="shared" si="6"/>
        <v>0.3916852843481447</v>
      </c>
      <c r="W7" s="91">
        <v>2784.57</v>
      </c>
      <c r="X7" s="5">
        <f t="shared" si="7"/>
        <v>0.36236331197857496</v>
      </c>
      <c r="Y7" s="91">
        <v>3142.74</v>
      </c>
      <c r="Z7" s="5">
        <f t="shared" si="8"/>
        <v>0.3901543366206835</v>
      </c>
      <c r="AA7" s="91"/>
      <c r="AB7" s="5" t="e">
        <f t="shared" si="9"/>
        <v>#DIV/0!</v>
      </c>
      <c r="AC7" s="91"/>
      <c r="AD7" s="5" t="e">
        <f t="shared" si="10"/>
        <v>#DIV/0!</v>
      </c>
      <c r="AE7" s="91"/>
      <c r="AF7" s="127" t="e">
        <f t="shared" si="11"/>
        <v>#DIV/0!</v>
      </c>
      <c r="AG7" s="91"/>
      <c r="AH7" s="127" t="e">
        <f t="shared" si="12"/>
        <v>#DIV/0!</v>
      </c>
      <c r="AI7" s="91"/>
      <c r="AJ7" s="127" t="e">
        <f t="shared" si="13"/>
        <v>#DIV/0!</v>
      </c>
      <c r="AK7" s="91"/>
      <c r="AL7" s="127" t="e">
        <f t="shared" si="14"/>
        <v>#DIV/0!</v>
      </c>
      <c r="AM7" s="91"/>
      <c r="AN7" s="127" t="e">
        <f t="shared" si="15"/>
        <v>#DIV/0!</v>
      </c>
      <c r="AO7" s="91"/>
      <c r="AP7" s="127" t="e">
        <f t="shared" si="16"/>
        <v>#DIV/0!</v>
      </c>
      <c r="AQ7" s="91"/>
      <c r="AR7" s="127" t="e">
        <f t="shared" si="17"/>
        <v>#DIV/0!</v>
      </c>
      <c r="AS7" s="91"/>
      <c r="AT7" s="127" t="e">
        <f t="shared" si="18"/>
        <v>#DIV/0!</v>
      </c>
      <c r="AU7" s="91"/>
      <c r="AV7" s="127" t="e">
        <f t="shared" si="19"/>
        <v>#DIV/0!</v>
      </c>
      <c r="AW7" s="91"/>
      <c r="AX7" s="127" t="e">
        <f t="shared" si="20"/>
        <v>#DIV/0!</v>
      </c>
      <c r="AY7" s="16">
        <f t="shared" ref="AY7:AY16" si="22">+Y7+W7+U7+S7+Q7+O7+M7+K7+I7+G7+E7+C7+AA7+AC7+AE7+AG7+AI7+AK7+AM7+AO7+AQ7+AS7+AU7+AW7</f>
        <v>36430.509497665887</v>
      </c>
      <c r="AZ7" s="15">
        <f t="shared" si="21"/>
        <v>0.37948655042821872</v>
      </c>
      <c r="BD7" s="13"/>
      <c r="BE7" s="226"/>
      <c r="BF7" s="226"/>
      <c r="BG7" s="226"/>
      <c r="BH7" s="226"/>
      <c r="BI7" s="226"/>
      <c r="BJ7" s="226"/>
      <c r="BK7" s="226"/>
      <c r="BL7" s="226"/>
      <c r="BM7" s="226"/>
      <c r="BN7" s="226"/>
      <c r="BO7" s="226"/>
      <c r="BP7" s="226"/>
      <c r="BQ7" s="226"/>
      <c r="BR7" s="226"/>
      <c r="BS7" s="226"/>
      <c r="BT7" s="226"/>
      <c r="BU7" s="226"/>
      <c r="BV7" s="226"/>
      <c r="BW7" s="226"/>
      <c r="BX7" s="226"/>
      <c r="BY7" s="226"/>
      <c r="BZ7" s="226"/>
      <c r="CA7" s="226"/>
      <c r="CB7" s="226"/>
      <c r="CC7" s="226"/>
      <c r="CD7" s="226"/>
      <c r="CE7" s="226"/>
      <c r="CF7" s="226"/>
      <c r="CG7" s="226"/>
    </row>
    <row r="8" spans="1:85" ht="15">
      <c r="A8" s="9" t="s">
        <v>1</v>
      </c>
      <c r="B8" s="12"/>
      <c r="C8" s="432">
        <v>2057.2166006991879</v>
      </c>
      <c r="D8" s="5">
        <f t="shared" si="0"/>
        <v>0.2669492234757726</v>
      </c>
      <c r="E8" s="91">
        <v>1852.5743955589733</v>
      </c>
      <c r="F8" s="5">
        <f t="shared" si="1"/>
        <v>0.25670093848202374</v>
      </c>
      <c r="G8" s="91">
        <v>1969.9456958750391</v>
      </c>
      <c r="H8" s="5">
        <f t="shared" si="2"/>
        <v>0.23374350411983905</v>
      </c>
      <c r="I8" s="91">
        <v>1864.32</v>
      </c>
      <c r="J8" s="5">
        <f t="shared" si="3"/>
        <v>0.20878493243651855</v>
      </c>
      <c r="K8" s="91">
        <v>1539.44</v>
      </c>
      <c r="L8" s="5">
        <f t="shared" si="4"/>
        <v>0.21532195348472899</v>
      </c>
      <c r="M8" s="91">
        <v>1359.46</v>
      </c>
      <c r="N8" s="5">
        <f t="shared" si="4"/>
        <v>0.17379531819094143</v>
      </c>
      <c r="O8" s="91">
        <v>1190.74</v>
      </c>
      <c r="P8" s="5">
        <f t="shared" si="4"/>
        <v>0.14513732550160097</v>
      </c>
      <c r="Q8" s="91">
        <v>1195.6099999999999</v>
      </c>
      <c r="R8" s="5">
        <f t="shared" si="4"/>
        <v>0.15116909783552848</v>
      </c>
      <c r="S8" s="91">
        <v>1487.14</v>
      </c>
      <c r="T8" s="5">
        <f t="shared" si="5"/>
        <v>0.17631109398618811</v>
      </c>
      <c r="U8" s="91">
        <v>1480.76</v>
      </c>
      <c r="V8" s="5">
        <f t="shared" si="6"/>
        <v>0.17503693984420249</v>
      </c>
      <c r="W8" s="91">
        <v>1620.11</v>
      </c>
      <c r="X8" s="5">
        <f t="shared" si="7"/>
        <v>0.21082911378403454</v>
      </c>
      <c r="Y8" s="91">
        <v>1756.62</v>
      </c>
      <c r="Z8" s="5">
        <f t="shared" si="8"/>
        <v>0.21807496350147484</v>
      </c>
      <c r="AA8" s="91"/>
      <c r="AB8" s="5" t="e">
        <f t="shared" si="9"/>
        <v>#DIV/0!</v>
      </c>
      <c r="AC8" s="91"/>
      <c r="AD8" s="5" t="e">
        <f t="shared" si="10"/>
        <v>#DIV/0!</v>
      </c>
      <c r="AE8" s="91"/>
      <c r="AF8" s="127" t="e">
        <f t="shared" si="11"/>
        <v>#DIV/0!</v>
      </c>
      <c r="AG8" s="91"/>
      <c r="AH8" s="127" t="e">
        <f t="shared" si="12"/>
        <v>#DIV/0!</v>
      </c>
      <c r="AI8" s="91"/>
      <c r="AJ8" s="127" t="e">
        <f t="shared" si="13"/>
        <v>#DIV/0!</v>
      </c>
      <c r="AK8" s="91"/>
      <c r="AL8" s="127" t="e">
        <f t="shared" si="14"/>
        <v>#DIV/0!</v>
      </c>
      <c r="AM8" s="91"/>
      <c r="AN8" s="127" t="e">
        <f t="shared" si="15"/>
        <v>#DIV/0!</v>
      </c>
      <c r="AO8" s="91"/>
      <c r="AP8" s="127" t="e">
        <f t="shared" si="16"/>
        <v>#DIV/0!</v>
      </c>
      <c r="AQ8" s="91"/>
      <c r="AR8" s="127" t="e">
        <f t="shared" si="17"/>
        <v>#DIV/0!</v>
      </c>
      <c r="AS8" s="91"/>
      <c r="AT8" s="127" t="e">
        <f t="shared" si="18"/>
        <v>#DIV/0!</v>
      </c>
      <c r="AU8" s="91"/>
      <c r="AV8" s="127" t="e">
        <f t="shared" si="19"/>
        <v>#DIV/0!</v>
      </c>
      <c r="AW8" s="91"/>
      <c r="AX8" s="127" t="e">
        <f t="shared" si="20"/>
        <v>#DIV/0!</v>
      </c>
      <c r="AY8" s="16">
        <f t="shared" si="22"/>
        <v>19373.9366921332</v>
      </c>
      <c r="AZ8" s="15">
        <f t="shared" si="21"/>
        <v>0.20181294483359824</v>
      </c>
      <c r="BD8" s="13"/>
      <c r="BE8" s="226"/>
      <c r="BF8" s="226"/>
      <c r="BG8" s="226"/>
      <c r="BH8" s="226"/>
      <c r="BI8" s="226"/>
      <c r="BJ8" s="226"/>
      <c r="BK8" s="226"/>
      <c r="BL8" s="226"/>
      <c r="BM8" s="226"/>
      <c r="BN8" s="226"/>
      <c r="BO8" s="226"/>
      <c r="BP8" s="226"/>
      <c r="BQ8" s="226"/>
      <c r="BR8" s="226"/>
      <c r="BS8" s="226"/>
      <c r="BT8" s="226"/>
      <c r="BU8" s="226"/>
      <c r="BV8" s="226"/>
      <c r="BW8" s="226"/>
      <c r="BX8" s="226"/>
      <c r="BY8" s="226"/>
      <c r="BZ8" s="226"/>
      <c r="CA8" s="226"/>
      <c r="CB8" s="226"/>
      <c r="CC8" s="226"/>
      <c r="CD8" s="226"/>
      <c r="CE8" s="226"/>
      <c r="CF8" s="226"/>
      <c r="CG8" s="226"/>
    </row>
    <row r="9" spans="1:85" ht="15">
      <c r="A9" s="9" t="s">
        <v>0</v>
      </c>
      <c r="B9" s="12"/>
      <c r="C9" s="433">
        <v>60.144038380576617</v>
      </c>
      <c r="D9" s="5">
        <f t="shared" si="0"/>
        <v>7.804430674405032E-3</v>
      </c>
      <c r="E9" s="91">
        <v>85.632200536100783</v>
      </c>
      <c r="F9" s="5">
        <f t="shared" si="1"/>
        <v>1.1865578135265864E-2</v>
      </c>
      <c r="G9" s="131">
        <v>52.985604687451819</v>
      </c>
      <c r="H9" s="5">
        <f t="shared" si="2"/>
        <v>6.2869961001905637E-3</v>
      </c>
      <c r="I9" s="91">
        <v>60.98</v>
      </c>
      <c r="J9" s="5">
        <f t="shared" si="3"/>
        <v>6.829141552940966E-3</v>
      </c>
      <c r="K9" s="91">
        <v>55.48</v>
      </c>
      <c r="L9" s="5">
        <f t="shared" si="4"/>
        <v>7.7600049234349908E-3</v>
      </c>
      <c r="M9" s="91">
        <v>74.78</v>
      </c>
      <c r="N9" s="5">
        <f t="shared" si="4"/>
        <v>9.5599825624281699E-3</v>
      </c>
      <c r="O9" s="91">
        <v>104.47</v>
      </c>
      <c r="P9" s="5">
        <f t="shared" si="4"/>
        <v>1.2733675189505899E-2</v>
      </c>
      <c r="Q9" s="91">
        <v>100.71</v>
      </c>
      <c r="R9" s="5">
        <f t="shared" si="4"/>
        <v>1.2733449739476981E-2</v>
      </c>
      <c r="S9" s="91">
        <v>88.58</v>
      </c>
      <c r="T9" s="5">
        <f t="shared" si="5"/>
        <v>1.0501793177035479E-2</v>
      </c>
      <c r="U9" s="91">
        <v>76.92</v>
      </c>
      <c r="V9" s="5">
        <f t="shared" si="6"/>
        <v>9.0925210113833813E-3</v>
      </c>
      <c r="W9" s="91">
        <v>64.290000000000006</v>
      </c>
      <c r="X9" s="5">
        <f t="shared" si="7"/>
        <v>8.3662243459861254E-3</v>
      </c>
      <c r="Y9" s="91">
        <v>66.47</v>
      </c>
      <c r="Z9" s="5">
        <f t="shared" si="8"/>
        <v>8.251894447258391E-3</v>
      </c>
      <c r="AA9" s="91"/>
      <c r="AB9" s="5" t="e">
        <f t="shared" si="9"/>
        <v>#DIV/0!</v>
      </c>
      <c r="AC9" s="91"/>
      <c r="AD9" s="5" t="e">
        <f t="shared" si="10"/>
        <v>#DIV/0!</v>
      </c>
      <c r="AE9" s="91"/>
      <c r="AF9" s="127" t="e">
        <f t="shared" si="11"/>
        <v>#DIV/0!</v>
      </c>
      <c r="AG9" s="91"/>
      <c r="AH9" s="127" t="e">
        <f t="shared" si="12"/>
        <v>#DIV/0!</v>
      </c>
      <c r="AI9" s="91"/>
      <c r="AJ9" s="127" t="e">
        <f t="shared" si="13"/>
        <v>#DIV/0!</v>
      </c>
      <c r="AK9" s="91"/>
      <c r="AL9" s="127" t="e">
        <f t="shared" si="14"/>
        <v>#DIV/0!</v>
      </c>
      <c r="AM9" s="91"/>
      <c r="AN9" s="127" t="e">
        <f t="shared" si="15"/>
        <v>#DIV/0!</v>
      </c>
      <c r="AO9" s="91"/>
      <c r="AP9" s="127" t="e">
        <f t="shared" si="16"/>
        <v>#DIV/0!</v>
      </c>
      <c r="AQ9" s="91"/>
      <c r="AR9" s="127" t="e">
        <f t="shared" si="17"/>
        <v>#DIV/0!</v>
      </c>
      <c r="AS9" s="91"/>
      <c r="AT9" s="127" t="e">
        <f t="shared" si="18"/>
        <v>#DIV/0!</v>
      </c>
      <c r="AU9" s="91"/>
      <c r="AV9" s="127" t="e">
        <f t="shared" si="19"/>
        <v>#DIV/0!</v>
      </c>
      <c r="AW9" s="91"/>
      <c r="AX9" s="127" t="e">
        <f t="shared" si="20"/>
        <v>#DIV/0!</v>
      </c>
      <c r="AY9" s="16">
        <f t="shared" si="22"/>
        <v>891.44184360412908</v>
      </c>
      <c r="AZ9" s="15">
        <f t="shared" si="21"/>
        <v>9.2859033486308203E-3</v>
      </c>
      <c r="BD9" s="13"/>
      <c r="BE9" s="226"/>
      <c r="BF9" s="226"/>
      <c r="BG9" s="226"/>
      <c r="BH9" s="226"/>
      <c r="BI9" s="226"/>
      <c r="BJ9" s="226"/>
      <c r="BK9" s="226"/>
      <c r="BL9" s="226"/>
      <c r="BM9" s="226"/>
      <c r="BN9" s="226"/>
      <c r="BO9" s="226"/>
      <c r="BP9" s="226"/>
      <c r="BQ9" s="226"/>
      <c r="BR9" s="226"/>
      <c r="BS9" s="226"/>
      <c r="BT9" s="226"/>
      <c r="BU9" s="226"/>
      <c r="BV9" s="226"/>
      <c r="BW9" s="226"/>
      <c r="BX9" s="226"/>
      <c r="BY9" s="226"/>
      <c r="BZ9" s="226"/>
      <c r="CA9" s="226"/>
      <c r="CB9" s="226"/>
      <c r="CC9" s="226"/>
      <c r="CD9" s="226"/>
      <c r="CE9" s="226"/>
      <c r="CF9" s="226"/>
      <c r="CG9" s="226"/>
    </row>
    <row r="10" spans="1:85" ht="15">
      <c r="A10" s="9" t="s">
        <v>4</v>
      </c>
      <c r="B10" s="12"/>
      <c r="C10" s="433">
        <v>82.358416335135558</v>
      </c>
      <c r="D10" s="5">
        <f t="shared" si="0"/>
        <v>1.0687020161069373E-2</v>
      </c>
      <c r="E10" s="91">
        <v>51.40035881617122</v>
      </c>
      <c r="F10" s="5">
        <f t="shared" si="1"/>
        <v>7.1222620684243893E-3</v>
      </c>
      <c r="G10" s="131">
        <v>86.222950097151127</v>
      </c>
      <c r="H10" s="5">
        <f t="shared" si="2"/>
        <v>1.023076652999097E-2</v>
      </c>
      <c r="I10" s="91">
        <v>94.07</v>
      </c>
      <c r="J10" s="5">
        <f t="shared" si="3"/>
        <v>1.0534885960727396E-2</v>
      </c>
      <c r="K10" s="91">
        <v>74.180000000000007</v>
      </c>
      <c r="L10" s="5">
        <f t="shared" si="4"/>
        <v>1.0375579762444263E-2</v>
      </c>
      <c r="M10" s="91">
        <v>79.44</v>
      </c>
      <c r="N10" s="5">
        <f t="shared" si="4"/>
        <v>1.0155723652838912E-2</v>
      </c>
      <c r="O10" s="91">
        <v>107.26</v>
      </c>
      <c r="P10" s="5">
        <f>O10/O$17</f>
        <v>1.3073743666376977E-2</v>
      </c>
      <c r="Q10" s="91">
        <v>95.1</v>
      </c>
      <c r="R10" s="5">
        <f t="shared" si="4"/>
        <v>1.2024139313119461E-2</v>
      </c>
      <c r="S10" s="91">
        <v>84.86</v>
      </c>
      <c r="T10" s="5">
        <f t="shared" si="5"/>
        <v>1.0060760544177361E-2</v>
      </c>
      <c r="U10" s="91">
        <v>60.26</v>
      </c>
      <c r="V10" s="5">
        <f t="shared" si="6"/>
        <v>7.1231840372590035E-3</v>
      </c>
      <c r="W10" s="91">
        <v>67.12</v>
      </c>
      <c r="X10" s="5">
        <f t="shared" si="7"/>
        <v>8.7344995816237159E-3</v>
      </c>
      <c r="Y10" s="91">
        <v>67.430000000000007</v>
      </c>
      <c r="Z10" s="5">
        <f t="shared" si="8"/>
        <v>8.3710733049290401E-3</v>
      </c>
      <c r="AA10" s="91"/>
      <c r="AB10" s="5" t="e">
        <f t="shared" si="9"/>
        <v>#DIV/0!</v>
      </c>
      <c r="AC10" s="91"/>
      <c r="AD10" s="5" t="e">
        <f t="shared" si="10"/>
        <v>#DIV/0!</v>
      </c>
      <c r="AE10" s="91"/>
      <c r="AF10" s="127" t="e">
        <f t="shared" si="11"/>
        <v>#DIV/0!</v>
      </c>
      <c r="AG10" s="91"/>
      <c r="AH10" s="127" t="e">
        <f t="shared" si="12"/>
        <v>#DIV/0!</v>
      </c>
      <c r="AI10" s="91"/>
      <c r="AJ10" s="127" t="e">
        <f t="shared" si="13"/>
        <v>#DIV/0!</v>
      </c>
      <c r="AK10" s="91"/>
      <c r="AL10" s="127" t="e">
        <f t="shared" si="14"/>
        <v>#DIV/0!</v>
      </c>
      <c r="AM10" s="91"/>
      <c r="AN10" s="127" t="e">
        <f t="shared" si="15"/>
        <v>#DIV/0!</v>
      </c>
      <c r="AO10" s="91"/>
      <c r="AP10" s="127" t="e">
        <f t="shared" si="16"/>
        <v>#DIV/0!</v>
      </c>
      <c r="AQ10" s="91"/>
      <c r="AR10" s="127" t="e">
        <f t="shared" si="17"/>
        <v>#DIV/0!</v>
      </c>
      <c r="AS10" s="91"/>
      <c r="AT10" s="127" t="e">
        <f t="shared" si="18"/>
        <v>#DIV/0!</v>
      </c>
      <c r="AU10" s="91"/>
      <c r="AV10" s="127" t="e">
        <f t="shared" si="19"/>
        <v>#DIV/0!</v>
      </c>
      <c r="AW10" s="91"/>
      <c r="AX10" s="127" t="e">
        <f t="shared" si="20"/>
        <v>#DIV/0!</v>
      </c>
      <c r="AY10" s="16">
        <f t="shared" si="22"/>
        <v>949.70172524845793</v>
      </c>
      <c r="AZ10" s="15">
        <f t="shared" si="21"/>
        <v>9.8927804365007872E-3</v>
      </c>
      <c r="BD10" s="13"/>
      <c r="BE10" s="226"/>
      <c r="BF10" s="226"/>
      <c r="BG10" s="226"/>
      <c r="BH10" s="226"/>
      <c r="BI10" s="226"/>
      <c r="BJ10" s="226"/>
      <c r="BK10" s="226"/>
      <c r="BL10" s="226"/>
      <c r="BM10" s="226"/>
      <c r="BN10" s="226"/>
      <c r="BO10" s="226"/>
      <c r="BP10" s="226"/>
      <c r="BQ10" s="226"/>
      <c r="BR10" s="226"/>
      <c r="BS10" s="226"/>
      <c r="BT10" s="226"/>
      <c r="BU10" s="226"/>
      <c r="BV10" s="226"/>
      <c r="BW10" s="226"/>
      <c r="BX10" s="226"/>
      <c r="BY10" s="226"/>
      <c r="BZ10" s="226"/>
      <c r="CA10" s="226"/>
      <c r="CB10" s="226"/>
      <c r="CC10" s="226"/>
      <c r="CD10" s="226"/>
      <c r="CE10" s="226"/>
      <c r="CF10" s="226"/>
      <c r="CG10" s="226"/>
    </row>
    <row r="11" spans="1:85" ht="15">
      <c r="A11" s="9" t="s">
        <v>2</v>
      </c>
      <c r="B11" s="12"/>
      <c r="C11" s="433">
        <v>1750.5816545149539</v>
      </c>
      <c r="D11" s="5">
        <f t="shared" si="0"/>
        <v>0.22715955779516506</v>
      </c>
      <c r="E11" s="91">
        <v>1230.2020306775223</v>
      </c>
      <c r="F11" s="5">
        <f t="shared" si="1"/>
        <v>0.17046225865716313</v>
      </c>
      <c r="G11" s="131">
        <v>1632.9760951158146</v>
      </c>
      <c r="H11" s="5">
        <f t="shared" si="2"/>
        <v>0.19376044497853739</v>
      </c>
      <c r="I11" s="91">
        <v>1876.73</v>
      </c>
      <c r="J11" s="5">
        <f t="shared" si="3"/>
        <v>0.21017472657676123</v>
      </c>
      <c r="K11" s="91">
        <v>1298.8499999999999</v>
      </c>
      <c r="L11" s="5">
        <f t="shared" si="4"/>
        <v>0.18167055506134711</v>
      </c>
      <c r="M11" s="91">
        <v>1332.25</v>
      </c>
      <c r="N11" s="5">
        <f t="shared" si="4"/>
        <v>0.17031675272525981</v>
      </c>
      <c r="O11" s="91">
        <v>1629.98</v>
      </c>
      <c r="P11" s="5">
        <f>O11/O$17</f>
        <v>0.19867556126534724</v>
      </c>
      <c r="Q11" s="91">
        <v>1769.67</v>
      </c>
      <c r="R11" s="5">
        <f t="shared" si="4"/>
        <v>0.22375140502889712</v>
      </c>
      <c r="S11" s="91">
        <v>2001.38</v>
      </c>
      <c r="T11" s="5">
        <f t="shared" si="5"/>
        <v>0.23727792762085423</v>
      </c>
      <c r="U11" s="91">
        <v>2012.56</v>
      </c>
      <c r="V11" s="5">
        <f t="shared" si="6"/>
        <v>0.23789968911427117</v>
      </c>
      <c r="W11" s="91">
        <v>1537.3</v>
      </c>
      <c r="X11" s="5">
        <f t="shared" si="7"/>
        <v>0.20005283383239181</v>
      </c>
      <c r="Y11" s="91">
        <v>1566.76</v>
      </c>
      <c r="Z11" s="5">
        <f t="shared" si="8"/>
        <v>0.19450486150423585</v>
      </c>
      <c r="AA11" s="91"/>
      <c r="AB11" s="5" t="e">
        <f t="shared" si="9"/>
        <v>#DIV/0!</v>
      </c>
      <c r="AC11" s="91"/>
      <c r="AD11" s="5" t="e">
        <f t="shared" si="10"/>
        <v>#DIV/0!</v>
      </c>
      <c r="AE11" s="91"/>
      <c r="AF11" s="127" t="e">
        <f t="shared" si="11"/>
        <v>#DIV/0!</v>
      </c>
      <c r="AG11" s="91"/>
      <c r="AH11" s="127" t="e">
        <f t="shared" si="12"/>
        <v>#DIV/0!</v>
      </c>
      <c r="AI11" s="91"/>
      <c r="AJ11" s="127" t="e">
        <f t="shared" si="13"/>
        <v>#DIV/0!</v>
      </c>
      <c r="AK11" s="91"/>
      <c r="AL11" s="127" t="e">
        <f t="shared" si="14"/>
        <v>#DIV/0!</v>
      </c>
      <c r="AM11" s="91"/>
      <c r="AN11" s="127" t="e">
        <f t="shared" si="15"/>
        <v>#DIV/0!</v>
      </c>
      <c r="AO11" s="91"/>
      <c r="AP11" s="127" t="e">
        <f t="shared" si="16"/>
        <v>#DIV/0!</v>
      </c>
      <c r="AQ11" s="91"/>
      <c r="AR11" s="127" t="e">
        <f t="shared" si="17"/>
        <v>#DIV/0!</v>
      </c>
      <c r="AS11" s="91"/>
      <c r="AT11" s="127" t="e">
        <f t="shared" si="18"/>
        <v>#DIV/0!</v>
      </c>
      <c r="AU11" s="91"/>
      <c r="AV11" s="127" t="e">
        <f t="shared" si="19"/>
        <v>#DIV/0!</v>
      </c>
      <c r="AW11" s="91"/>
      <c r="AX11" s="127" t="e">
        <f t="shared" si="20"/>
        <v>#DIV/0!</v>
      </c>
      <c r="AY11" s="16">
        <f t="shared" si="22"/>
        <v>19639.239780308289</v>
      </c>
      <c r="AZ11" s="15">
        <f t="shared" si="21"/>
        <v>0.2045765337907049</v>
      </c>
      <c r="BD11" s="13"/>
      <c r="BE11" s="226"/>
      <c r="BF11" s="226"/>
      <c r="BG11" s="226"/>
      <c r="BH11" s="226"/>
      <c r="BI11" s="226"/>
      <c r="BJ11" s="226"/>
      <c r="BK11" s="226"/>
      <c r="BL11" s="226"/>
      <c r="BM11" s="226"/>
      <c r="BN11" s="226"/>
      <c r="BO11" s="226"/>
      <c r="BP11" s="226"/>
      <c r="BQ11" s="226"/>
      <c r="BR11" s="226"/>
      <c r="BS11" s="226"/>
      <c r="BT11" s="226"/>
      <c r="BU11" s="226"/>
      <c r="BV11" s="226"/>
      <c r="BW11" s="226"/>
      <c r="BX11" s="226"/>
      <c r="BY11" s="226"/>
      <c r="BZ11" s="226"/>
      <c r="CA11" s="226"/>
      <c r="CB11" s="226"/>
      <c r="CC11" s="226"/>
      <c r="CD11" s="226"/>
      <c r="CE11" s="226"/>
      <c r="CF11" s="226"/>
      <c r="CG11" s="226"/>
    </row>
    <row r="12" spans="1:85" ht="15">
      <c r="A12" s="9" t="s">
        <v>8</v>
      </c>
      <c r="B12" s="12"/>
      <c r="C12" s="433">
        <v>40.456774692149274</v>
      </c>
      <c r="D12" s="5">
        <f t="shared" si="0"/>
        <v>5.2497654280706102E-3</v>
      </c>
      <c r="E12" s="91">
        <v>57.999378186939623</v>
      </c>
      <c r="F12" s="5">
        <f t="shared" si="1"/>
        <v>8.0366515091929384E-3</v>
      </c>
      <c r="G12" s="131">
        <v>22.41529870124214</v>
      </c>
      <c r="H12" s="5">
        <f t="shared" si="2"/>
        <v>2.6596826883564873E-3</v>
      </c>
      <c r="I12" s="91">
        <v>33.090000000000003</v>
      </c>
      <c r="J12" s="5">
        <f t="shared" si="3"/>
        <v>3.7057444077864318E-3</v>
      </c>
      <c r="K12" s="91">
        <v>56.03</v>
      </c>
      <c r="L12" s="5">
        <f t="shared" si="4"/>
        <v>7.8369335951705577E-3</v>
      </c>
      <c r="M12" s="91">
        <v>54.79</v>
      </c>
      <c r="N12" s="5">
        <f t="shared" si="4"/>
        <v>7.0044322625760821E-3</v>
      </c>
      <c r="O12" s="91">
        <v>73</v>
      </c>
      <c r="P12" s="5">
        <f t="shared" si="4"/>
        <v>8.8978490364117029E-3</v>
      </c>
      <c r="Q12" s="91">
        <v>25.93</v>
      </c>
      <c r="R12" s="5">
        <f t="shared" si="4"/>
        <v>3.278506123966221E-3</v>
      </c>
      <c r="S12" s="91">
        <v>18.649999999999999</v>
      </c>
      <c r="T12" s="5">
        <f t="shared" si="5"/>
        <v>2.2110910222591065E-3</v>
      </c>
      <c r="U12" s="91">
        <v>8.2899999999999991</v>
      </c>
      <c r="V12" s="5">
        <f t="shared" si="6"/>
        <v>9.7994018700426721E-4</v>
      </c>
      <c r="W12" s="91">
        <v>41.33</v>
      </c>
      <c r="X12" s="5">
        <f t="shared" si="7"/>
        <v>5.3783800314140071E-3</v>
      </c>
      <c r="Y12" s="91">
        <v>41.5</v>
      </c>
      <c r="Z12" s="5">
        <f t="shared" si="8"/>
        <v>5.1520027013874413E-3</v>
      </c>
      <c r="AA12" s="91"/>
      <c r="AB12" s="5" t="e">
        <f t="shared" si="9"/>
        <v>#DIV/0!</v>
      </c>
      <c r="AC12" s="91"/>
      <c r="AD12" s="5" t="e">
        <f t="shared" si="10"/>
        <v>#DIV/0!</v>
      </c>
      <c r="AE12" s="91"/>
      <c r="AF12" s="127" t="e">
        <f t="shared" si="11"/>
        <v>#DIV/0!</v>
      </c>
      <c r="AG12" s="91"/>
      <c r="AH12" s="127" t="e">
        <f t="shared" si="12"/>
        <v>#DIV/0!</v>
      </c>
      <c r="AI12" s="91"/>
      <c r="AJ12" s="127" t="e">
        <f t="shared" si="13"/>
        <v>#DIV/0!</v>
      </c>
      <c r="AK12" s="91"/>
      <c r="AL12" s="127" t="e">
        <f t="shared" si="14"/>
        <v>#DIV/0!</v>
      </c>
      <c r="AM12" s="91"/>
      <c r="AN12" s="127" t="e">
        <f t="shared" si="15"/>
        <v>#DIV/0!</v>
      </c>
      <c r="AO12" s="91"/>
      <c r="AP12" s="127" t="e">
        <f t="shared" si="16"/>
        <v>#DIV/0!</v>
      </c>
      <c r="AQ12" s="91"/>
      <c r="AR12" s="127" t="e">
        <f t="shared" si="17"/>
        <v>#DIV/0!</v>
      </c>
      <c r="AS12" s="91"/>
      <c r="AT12" s="127" t="e">
        <f t="shared" si="18"/>
        <v>#DIV/0!</v>
      </c>
      <c r="AU12" s="91"/>
      <c r="AV12" s="127" t="e">
        <f t="shared" si="19"/>
        <v>#DIV/0!</v>
      </c>
      <c r="AW12" s="91"/>
      <c r="AX12" s="127" t="e">
        <f t="shared" si="20"/>
        <v>#DIV/0!</v>
      </c>
      <c r="AY12" s="16">
        <f t="shared" si="22"/>
        <v>473.48145158033105</v>
      </c>
      <c r="AZ12" s="15">
        <f t="shared" si="21"/>
        <v>4.9321254418217136E-3</v>
      </c>
      <c r="BD12" s="13"/>
      <c r="BE12" s="226"/>
      <c r="BF12" s="226"/>
      <c r="BG12" s="226"/>
      <c r="BH12" s="226"/>
      <c r="BI12" s="226"/>
      <c r="BJ12" s="226"/>
      <c r="BK12" s="226"/>
      <c r="BL12" s="226"/>
      <c r="BM12" s="226"/>
      <c r="BN12" s="226"/>
      <c r="BO12" s="226"/>
      <c r="BP12" s="226"/>
      <c r="BQ12" s="226"/>
      <c r="BR12" s="226"/>
      <c r="BS12" s="226"/>
      <c r="BT12" s="226"/>
      <c r="BU12" s="226"/>
      <c r="BV12" s="226"/>
      <c r="BW12" s="226"/>
      <c r="BX12" s="226"/>
      <c r="BY12" s="226"/>
      <c r="BZ12" s="226"/>
      <c r="CA12" s="226"/>
      <c r="CB12" s="226"/>
      <c r="CC12" s="226"/>
      <c r="CD12" s="226"/>
      <c r="CE12" s="226"/>
      <c r="CF12" s="226"/>
      <c r="CG12" s="226"/>
    </row>
    <row r="13" spans="1:85" ht="15">
      <c r="A13" s="9" t="s">
        <v>10</v>
      </c>
      <c r="B13" s="12"/>
      <c r="C13" s="433">
        <v>28.462232981060076</v>
      </c>
      <c r="D13" s="5">
        <f t="shared" si="0"/>
        <v>3.6933257247186236E-3</v>
      </c>
      <c r="E13" s="91">
        <v>19.01889541741016</v>
      </c>
      <c r="F13" s="5">
        <f t="shared" si="1"/>
        <v>2.6353426422411302E-3</v>
      </c>
      <c r="G13" s="131">
        <v>22.512891724820783</v>
      </c>
      <c r="H13" s="5">
        <f t="shared" si="2"/>
        <v>2.6712625686327244E-3</v>
      </c>
      <c r="I13" s="91">
        <v>43.25</v>
      </c>
      <c r="J13" s="5">
        <f t="shared" si="3"/>
        <v>4.8435613670825975E-3</v>
      </c>
      <c r="K13" s="91">
        <v>23.68</v>
      </c>
      <c r="L13" s="5">
        <f t="shared" si="4"/>
        <v>3.3121289939967665E-3</v>
      </c>
      <c r="M13" s="91">
        <v>27.46</v>
      </c>
      <c r="N13" s="5">
        <f t="shared" si="4"/>
        <v>3.5105258246092208E-3</v>
      </c>
      <c r="O13" s="91">
        <v>23.2</v>
      </c>
      <c r="P13" s="5">
        <f t="shared" si="4"/>
        <v>2.8278095567774177E-3</v>
      </c>
      <c r="Q13" s="91">
        <v>23.15</v>
      </c>
      <c r="R13" s="5">
        <f t="shared" si="4"/>
        <v>2.9270118306910149E-3</v>
      </c>
      <c r="S13" s="91">
        <v>24.84</v>
      </c>
      <c r="T13" s="5">
        <f t="shared" si="5"/>
        <v>2.9449598387622632E-3</v>
      </c>
      <c r="U13" s="91">
        <v>29.42</v>
      </c>
      <c r="V13" s="5">
        <f t="shared" si="6"/>
        <v>3.4776646926013926E-3</v>
      </c>
      <c r="W13" s="91">
        <v>6.7</v>
      </c>
      <c r="X13" s="5">
        <f t="shared" si="7"/>
        <v>8.7188836705719456E-4</v>
      </c>
      <c r="Y13" s="91">
        <v>9.32</v>
      </c>
      <c r="Z13" s="5">
        <f t="shared" si="8"/>
        <v>1.1570280765525532E-3</v>
      </c>
      <c r="AA13" s="91"/>
      <c r="AB13" s="5" t="e">
        <f t="shared" si="9"/>
        <v>#DIV/0!</v>
      </c>
      <c r="AC13" s="91"/>
      <c r="AD13" s="5" t="e">
        <f t="shared" si="10"/>
        <v>#DIV/0!</v>
      </c>
      <c r="AE13" s="91"/>
      <c r="AF13" s="127" t="e">
        <f t="shared" si="11"/>
        <v>#DIV/0!</v>
      </c>
      <c r="AG13" s="91"/>
      <c r="AH13" s="127" t="e">
        <f t="shared" si="12"/>
        <v>#DIV/0!</v>
      </c>
      <c r="AI13" s="91"/>
      <c r="AJ13" s="127" t="e">
        <f t="shared" si="13"/>
        <v>#DIV/0!</v>
      </c>
      <c r="AK13" s="91"/>
      <c r="AL13" s="127" t="e">
        <f t="shared" si="14"/>
        <v>#DIV/0!</v>
      </c>
      <c r="AM13" s="91"/>
      <c r="AN13" s="127" t="e">
        <f t="shared" si="15"/>
        <v>#DIV/0!</v>
      </c>
      <c r="AO13" s="91"/>
      <c r="AP13" s="127" t="e">
        <f t="shared" si="16"/>
        <v>#DIV/0!</v>
      </c>
      <c r="AQ13" s="91"/>
      <c r="AR13" s="127" t="e">
        <f t="shared" si="17"/>
        <v>#DIV/0!</v>
      </c>
      <c r="AS13" s="91"/>
      <c r="AT13" s="127" t="e">
        <f t="shared" si="18"/>
        <v>#DIV/0!</v>
      </c>
      <c r="AU13" s="91"/>
      <c r="AV13" s="127" t="e">
        <f t="shared" si="19"/>
        <v>#DIV/0!</v>
      </c>
      <c r="AW13" s="91"/>
      <c r="AX13" s="127" t="e">
        <f t="shared" si="20"/>
        <v>#DIV/0!</v>
      </c>
      <c r="AY13" s="16">
        <f t="shared" si="22"/>
        <v>281.014020123291</v>
      </c>
      <c r="AZ13" s="15">
        <f t="shared" si="21"/>
        <v>2.927245393737528E-3</v>
      </c>
      <c r="BD13" s="13"/>
      <c r="BE13" s="226"/>
      <c r="BF13" s="226"/>
      <c r="BG13" s="226"/>
      <c r="BH13" s="226"/>
      <c r="BI13" s="226"/>
      <c r="BJ13" s="226"/>
      <c r="BK13" s="226"/>
      <c r="BL13" s="226"/>
      <c r="BM13" s="226"/>
      <c r="BN13" s="226"/>
      <c r="BO13" s="226"/>
      <c r="BP13" s="226"/>
      <c r="BQ13" s="226"/>
      <c r="BR13" s="226"/>
      <c r="BS13" s="226"/>
      <c r="BT13" s="226"/>
      <c r="BU13" s="226"/>
      <c r="BV13" s="226"/>
      <c r="BW13" s="226"/>
      <c r="BX13" s="226"/>
      <c r="BY13" s="226"/>
      <c r="BZ13" s="226"/>
      <c r="CA13" s="226"/>
      <c r="CB13" s="226"/>
      <c r="CC13" s="226"/>
      <c r="CD13" s="226"/>
      <c r="CE13" s="226"/>
      <c r="CF13" s="226"/>
      <c r="CG13" s="226"/>
    </row>
    <row r="14" spans="1:85" ht="15">
      <c r="A14" s="9" t="s">
        <v>11</v>
      </c>
      <c r="B14" s="12"/>
      <c r="C14" s="433">
        <v>28.857152866493593</v>
      </c>
      <c r="D14" s="5">
        <f t="shared" si="0"/>
        <v>3.7445714499941187E-3</v>
      </c>
      <c r="E14" s="91">
        <v>34.092225140277634</v>
      </c>
      <c r="F14" s="5">
        <f t="shared" si="1"/>
        <v>4.7239701733053155E-3</v>
      </c>
      <c r="G14" s="131">
        <v>8.3880081604308874</v>
      </c>
      <c r="H14" s="5">
        <f t="shared" si="2"/>
        <v>9.9527739475783572E-4</v>
      </c>
      <c r="I14" s="91">
        <v>22.53</v>
      </c>
      <c r="J14" s="5">
        <f t="shared" si="3"/>
        <v>2.5231315052108884E-3</v>
      </c>
      <c r="K14" s="91">
        <v>27.54</v>
      </c>
      <c r="L14" s="5">
        <f t="shared" si="4"/>
        <v>3.8520283992681988E-3</v>
      </c>
      <c r="M14" s="91">
        <v>28.5</v>
      </c>
      <c r="N14" s="5">
        <f t="shared" si="4"/>
        <v>3.643480917748099E-3</v>
      </c>
      <c r="O14" s="91">
        <v>31.13</v>
      </c>
      <c r="P14" s="5">
        <f t="shared" si="4"/>
        <v>3.7943841164862508E-3</v>
      </c>
      <c r="Q14" s="91">
        <v>33.26</v>
      </c>
      <c r="R14" s="5">
        <f t="shared" si="4"/>
        <v>4.2052878396882567E-3</v>
      </c>
      <c r="S14" s="91">
        <v>29.38</v>
      </c>
      <c r="T14" s="5">
        <f t="shared" si="5"/>
        <v>3.4832093423041582E-3</v>
      </c>
      <c r="U14" s="91">
        <v>33.08</v>
      </c>
      <c r="V14" s="5">
        <f t="shared" si="6"/>
        <v>3.910304147901225E-3</v>
      </c>
      <c r="W14" s="91">
        <v>35.93</v>
      </c>
      <c r="X14" s="5">
        <f t="shared" si="7"/>
        <v>4.6756640340843286E-3</v>
      </c>
      <c r="Y14" s="91">
        <v>34.979999999999997</v>
      </c>
      <c r="Z14" s="5">
        <f t="shared" si="8"/>
        <v>4.3425796263742815E-3</v>
      </c>
      <c r="AA14" s="91"/>
      <c r="AB14" s="5" t="e">
        <f t="shared" si="9"/>
        <v>#DIV/0!</v>
      </c>
      <c r="AC14" s="91"/>
      <c r="AD14" s="5" t="e">
        <f t="shared" si="10"/>
        <v>#DIV/0!</v>
      </c>
      <c r="AE14" s="91"/>
      <c r="AF14" s="127" t="e">
        <f t="shared" si="11"/>
        <v>#DIV/0!</v>
      </c>
      <c r="AG14" s="91"/>
      <c r="AH14" s="127" t="e">
        <f t="shared" si="12"/>
        <v>#DIV/0!</v>
      </c>
      <c r="AI14" s="91"/>
      <c r="AJ14" s="127" t="e">
        <f t="shared" si="13"/>
        <v>#DIV/0!</v>
      </c>
      <c r="AK14" s="91"/>
      <c r="AL14" s="127" t="e">
        <f t="shared" si="14"/>
        <v>#DIV/0!</v>
      </c>
      <c r="AM14" s="91"/>
      <c r="AN14" s="127" t="e">
        <f t="shared" si="15"/>
        <v>#DIV/0!</v>
      </c>
      <c r="AO14" s="91"/>
      <c r="AP14" s="127" t="e">
        <f t="shared" si="16"/>
        <v>#DIV/0!</v>
      </c>
      <c r="AQ14" s="91"/>
      <c r="AR14" s="127" t="e">
        <f t="shared" si="17"/>
        <v>#DIV/0!</v>
      </c>
      <c r="AS14" s="91"/>
      <c r="AT14" s="127" t="e">
        <f t="shared" si="18"/>
        <v>#DIV/0!</v>
      </c>
      <c r="AU14" s="91"/>
      <c r="AV14" s="127" t="e">
        <f t="shared" si="19"/>
        <v>#DIV/0!</v>
      </c>
      <c r="AW14" s="91"/>
      <c r="AX14" s="127" t="e">
        <f t="shared" si="20"/>
        <v>#DIV/0!</v>
      </c>
      <c r="AY14" s="16">
        <f t="shared" si="22"/>
        <v>347.66738616720215</v>
      </c>
      <c r="AZ14" s="15">
        <f t="shared" si="21"/>
        <v>3.6215550891880899E-3</v>
      </c>
      <c r="BD14" s="13"/>
      <c r="BE14" s="226"/>
      <c r="BF14" s="226"/>
      <c r="BG14" s="226"/>
      <c r="BH14" s="226"/>
      <c r="BI14" s="226"/>
      <c r="BJ14" s="226"/>
      <c r="BK14" s="226"/>
      <c r="BL14" s="226"/>
      <c r="BM14" s="226"/>
      <c r="BN14" s="226"/>
      <c r="BO14" s="226"/>
      <c r="BP14" s="226"/>
      <c r="BQ14" s="226"/>
      <c r="BR14" s="226"/>
      <c r="BS14" s="226"/>
      <c r="BT14" s="226"/>
      <c r="BU14" s="226"/>
      <c r="BV14" s="226"/>
      <c r="BW14" s="226"/>
      <c r="BX14" s="226"/>
      <c r="BY14" s="226"/>
      <c r="BZ14" s="226"/>
      <c r="CA14" s="226"/>
      <c r="CB14" s="226"/>
      <c r="CC14" s="226"/>
      <c r="CD14" s="226"/>
      <c r="CE14" s="226"/>
      <c r="CF14" s="226"/>
      <c r="CG14" s="226"/>
    </row>
    <row r="15" spans="1:85" ht="15">
      <c r="A15" s="9" t="s">
        <v>9</v>
      </c>
      <c r="B15" s="12"/>
      <c r="C15" s="433">
        <v>21.196721539123793</v>
      </c>
      <c r="D15" s="5">
        <f t="shared" si="0"/>
        <v>2.7505360170524281E-3</v>
      </c>
      <c r="E15" s="91">
        <v>20.450273290076346</v>
      </c>
      <c r="F15" s="5">
        <f t="shared" si="1"/>
        <v>2.8336807193065573E-3</v>
      </c>
      <c r="G15" s="131">
        <v>19.294114007988167</v>
      </c>
      <c r="H15" s="5">
        <f t="shared" si="2"/>
        <v>2.2893391561799197E-3</v>
      </c>
      <c r="I15" s="91">
        <v>18.29</v>
      </c>
      <c r="J15" s="5">
        <f t="shared" si="3"/>
        <v>2.048294506449496E-3</v>
      </c>
      <c r="K15" s="91">
        <v>17.170000000000002</v>
      </c>
      <c r="L15" s="5">
        <f t="shared" si="4"/>
        <v>2.401573261272149E-3</v>
      </c>
      <c r="M15" s="91">
        <v>25.85</v>
      </c>
      <c r="N15" s="5">
        <f t="shared" si="4"/>
        <v>3.3047011131153809E-3</v>
      </c>
      <c r="O15" s="91">
        <v>24.1</v>
      </c>
      <c r="P15" s="5">
        <f t="shared" si="4"/>
        <v>2.9375090654455076E-3</v>
      </c>
      <c r="Q15" s="91">
        <v>28.62</v>
      </c>
      <c r="R15" s="5">
        <f t="shared" si="4"/>
        <v>3.6186211055886327E-3</v>
      </c>
      <c r="S15" s="91">
        <v>35.42</v>
      </c>
      <c r="T15" s="5">
        <f t="shared" si="5"/>
        <v>4.1992945849017461E-3</v>
      </c>
      <c r="U15" s="91">
        <v>35.020000000000003</v>
      </c>
      <c r="V15" s="5">
        <f t="shared" si="6"/>
        <v>4.1396267007104267E-3</v>
      </c>
      <c r="W15" s="91">
        <v>44.4</v>
      </c>
      <c r="X15" s="5">
        <f t="shared" si="7"/>
        <v>5.7778870891551396E-3</v>
      </c>
      <c r="Y15" s="91">
        <v>41.19</v>
      </c>
      <c r="Z15" s="5">
        <f t="shared" si="8"/>
        <v>5.1135178619312934E-3</v>
      </c>
      <c r="AA15" s="91"/>
      <c r="AB15" s="5" t="e">
        <f t="shared" si="9"/>
        <v>#DIV/0!</v>
      </c>
      <c r="AC15" s="91"/>
      <c r="AD15" s="5" t="e">
        <f t="shared" si="10"/>
        <v>#DIV/0!</v>
      </c>
      <c r="AE15" s="91"/>
      <c r="AF15" s="127" t="e">
        <f t="shared" si="11"/>
        <v>#DIV/0!</v>
      </c>
      <c r="AG15" s="91"/>
      <c r="AH15" s="127" t="e">
        <f t="shared" si="12"/>
        <v>#DIV/0!</v>
      </c>
      <c r="AI15" s="91"/>
      <c r="AJ15" s="127" t="e">
        <f t="shared" si="13"/>
        <v>#DIV/0!</v>
      </c>
      <c r="AK15" s="91"/>
      <c r="AL15" s="127" t="e">
        <f t="shared" si="14"/>
        <v>#DIV/0!</v>
      </c>
      <c r="AM15" s="91"/>
      <c r="AN15" s="127" t="e">
        <f t="shared" si="15"/>
        <v>#DIV/0!</v>
      </c>
      <c r="AO15" s="91"/>
      <c r="AP15" s="127" t="e">
        <f t="shared" si="16"/>
        <v>#DIV/0!</v>
      </c>
      <c r="AQ15" s="91"/>
      <c r="AR15" s="127" t="e">
        <f t="shared" si="17"/>
        <v>#DIV/0!</v>
      </c>
      <c r="AS15" s="91"/>
      <c r="AT15" s="127" t="e">
        <f t="shared" si="18"/>
        <v>#DIV/0!</v>
      </c>
      <c r="AU15" s="91"/>
      <c r="AV15" s="127" t="e">
        <f t="shared" si="19"/>
        <v>#DIV/0!</v>
      </c>
      <c r="AW15" s="91"/>
      <c r="AX15" s="127" t="e">
        <f t="shared" si="20"/>
        <v>#DIV/0!</v>
      </c>
      <c r="AY15" s="16">
        <f t="shared" si="22"/>
        <v>331.00110883718838</v>
      </c>
      <c r="AZ15" s="15">
        <f t="shared" si="21"/>
        <v>3.4479470837098201E-3</v>
      </c>
      <c r="BD15" s="13"/>
      <c r="BE15" s="226"/>
      <c r="BF15" s="226"/>
      <c r="BG15" s="226"/>
      <c r="BH15" s="226"/>
      <c r="BI15" s="226"/>
      <c r="BJ15" s="226"/>
      <c r="BK15" s="226"/>
      <c r="BL15" s="226"/>
      <c r="BM15" s="226"/>
      <c r="BN15" s="226"/>
      <c r="BO15" s="226"/>
      <c r="BP15" s="226"/>
      <c r="BQ15" s="226"/>
      <c r="BR15" s="226"/>
      <c r="BS15" s="226"/>
      <c r="BT15" s="226"/>
      <c r="BU15" s="226"/>
      <c r="BV15" s="226"/>
      <c r="BW15" s="226"/>
      <c r="BX15" s="226"/>
      <c r="BY15" s="226"/>
      <c r="BZ15" s="226"/>
      <c r="CA15" s="226"/>
      <c r="CB15" s="226"/>
      <c r="CC15" s="226"/>
      <c r="CD15" s="226"/>
      <c r="CE15" s="226"/>
      <c r="CF15" s="226"/>
      <c r="CG15" s="226"/>
    </row>
    <row r="16" spans="1:85" ht="16.5">
      <c r="A16" s="9" t="s">
        <v>5</v>
      </c>
      <c r="B16" s="12"/>
      <c r="C16" s="434">
        <v>1257.9302691287633</v>
      </c>
      <c r="D16" s="97">
        <f t="shared" si="0"/>
        <v>0.16323196517880673</v>
      </c>
      <c r="E16" s="98">
        <v>1299.9070509731087</v>
      </c>
      <c r="F16" s="97">
        <f t="shared" si="1"/>
        <v>0.18012089594032962</v>
      </c>
      <c r="G16" s="440">
        <v>1363.01387644851</v>
      </c>
      <c r="H16" s="97">
        <f t="shared" si="2"/>
        <v>0.1617281330709584</v>
      </c>
      <c r="I16" s="98">
        <f>1636.57+0.25</f>
        <v>1636.82</v>
      </c>
      <c r="J16" s="97">
        <f t="shared" si="3"/>
        <v>0.18330723969637311</v>
      </c>
      <c r="K16" s="98">
        <f>0.17+1317.91</f>
        <v>1318.0800000000002</v>
      </c>
      <c r="L16" s="97">
        <f t="shared" si="4"/>
        <v>0.18436026116584706</v>
      </c>
      <c r="M16" s="98">
        <f>0.19+1427.44</f>
        <v>1427.63</v>
      </c>
      <c r="N16" s="100">
        <f t="shared" si="4"/>
        <v>0.18251026886332347</v>
      </c>
      <c r="O16" s="98">
        <v>1590.41</v>
      </c>
      <c r="P16" s="97">
        <f t="shared" si="4"/>
        <v>0.19385243953424025</v>
      </c>
      <c r="Q16" s="98">
        <f>0.16+1510.46</f>
        <v>1510.6200000000001</v>
      </c>
      <c r="R16" s="97">
        <f t="shared" si="4"/>
        <v>0.19099795298827046</v>
      </c>
      <c r="S16" s="98">
        <f>0.19+1656.2</f>
        <v>1656.39</v>
      </c>
      <c r="T16" s="100">
        <f t="shared" si="5"/>
        <v>0.19637689320963872</v>
      </c>
      <c r="U16" s="98">
        <v>1409.85</v>
      </c>
      <c r="V16" s="100">
        <f t="shared" si="6"/>
        <v>0.16665484591652183</v>
      </c>
      <c r="W16" s="98">
        <f>0.19+1482.53</f>
        <v>1482.72</v>
      </c>
      <c r="X16" s="5">
        <f t="shared" si="7"/>
        <v>0.19295019695567814</v>
      </c>
      <c r="Y16" s="98">
        <f>0.2+1327.91</f>
        <v>1328.1100000000001</v>
      </c>
      <c r="Z16" s="5">
        <f t="shared" si="8"/>
        <v>0.16487774235517288</v>
      </c>
      <c r="AA16" s="98"/>
      <c r="AB16" s="5" t="e">
        <f t="shared" si="9"/>
        <v>#DIV/0!</v>
      </c>
      <c r="AC16" s="98"/>
      <c r="AD16" s="5" t="e">
        <f t="shared" si="10"/>
        <v>#DIV/0!</v>
      </c>
      <c r="AE16" s="98"/>
      <c r="AF16" s="127" t="e">
        <f t="shared" si="11"/>
        <v>#DIV/0!</v>
      </c>
      <c r="AG16" s="98"/>
      <c r="AH16" s="127" t="e">
        <f t="shared" si="12"/>
        <v>#DIV/0!</v>
      </c>
      <c r="AI16" s="98"/>
      <c r="AJ16" s="127" t="e">
        <f t="shared" si="13"/>
        <v>#DIV/0!</v>
      </c>
      <c r="AK16" s="98"/>
      <c r="AL16" s="127" t="e">
        <f t="shared" si="14"/>
        <v>#DIV/0!</v>
      </c>
      <c r="AM16" s="98"/>
      <c r="AN16" s="127" t="e">
        <f t="shared" si="15"/>
        <v>#DIV/0!</v>
      </c>
      <c r="AO16" s="98"/>
      <c r="AP16" s="127" t="e">
        <f t="shared" si="16"/>
        <v>#DIV/0!</v>
      </c>
      <c r="AQ16" s="98"/>
      <c r="AR16" s="127" t="e">
        <f t="shared" si="17"/>
        <v>#DIV/0!</v>
      </c>
      <c r="AS16" s="98"/>
      <c r="AT16" s="100" t="e">
        <f t="shared" si="18"/>
        <v>#DIV/0!</v>
      </c>
      <c r="AU16" s="98"/>
      <c r="AV16" s="100" t="e">
        <f t="shared" si="19"/>
        <v>#DIV/0!</v>
      </c>
      <c r="AW16" s="98"/>
      <c r="AX16" s="100" t="e">
        <f t="shared" si="20"/>
        <v>#DIV/0!</v>
      </c>
      <c r="AY16" s="17">
        <f t="shared" si="22"/>
        <v>17281.481196550383</v>
      </c>
      <c r="AZ16" s="128">
        <f t="shared" si="21"/>
        <v>0.18001641415388958</v>
      </c>
      <c r="BD16" s="13"/>
      <c r="BE16" s="226"/>
      <c r="BF16" s="226"/>
      <c r="BG16" s="226"/>
      <c r="BH16" s="226"/>
      <c r="BI16" s="226"/>
      <c r="BJ16" s="226"/>
      <c r="BK16" s="226"/>
      <c r="BL16" s="226"/>
      <c r="BM16" s="226"/>
      <c r="BN16" s="226"/>
      <c r="BO16" s="226"/>
      <c r="BP16" s="226"/>
      <c r="BQ16" s="226"/>
      <c r="BR16" s="226"/>
      <c r="BS16" s="226"/>
      <c r="BT16" s="226"/>
      <c r="BU16" s="226"/>
      <c r="BV16" s="226"/>
      <c r="BW16" s="226"/>
      <c r="BX16" s="226"/>
      <c r="BY16" s="226"/>
      <c r="BZ16" s="226"/>
      <c r="CA16" s="226"/>
      <c r="CB16" s="226"/>
      <c r="CC16" s="226"/>
      <c r="CD16" s="226"/>
      <c r="CE16" s="226"/>
      <c r="CF16" s="226"/>
      <c r="CG16" s="226"/>
    </row>
    <row r="17" spans="1:85" s="1" customFormat="1" ht="15">
      <c r="A17" s="18"/>
      <c r="B17" s="412"/>
      <c r="C17" s="69">
        <f t="shared" ref="C17:AZ17" si="23">SUM(C6:C16)</f>
        <v>7706.3966469484558</v>
      </c>
      <c r="D17" s="68">
        <f t="shared" si="23"/>
        <v>1</v>
      </c>
      <c r="E17" s="69">
        <f t="shared" si="23"/>
        <v>7216.8586780944133</v>
      </c>
      <c r="F17" s="68">
        <f t="shared" si="23"/>
        <v>1</v>
      </c>
      <c r="G17" s="69">
        <f t="shared" si="23"/>
        <v>8427.8093771754975</v>
      </c>
      <c r="H17" s="20">
        <f t="shared" si="23"/>
        <v>0.99999999999999978</v>
      </c>
      <c r="I17" s="69">
        <f t="shared" si="23"/>
        <v>8929.3799999999992</v>
      </c>
      <c r="J17" s="20">
        <f t="shared" si="23"/>
        <v>1.0000000000000002</v>
      </c>
      <c r="K17" s="69">
        <f t="shared" si="23"/>
        <v>7149.48</v>
      </c>
      <c r="L17" s="20">
        <f t="shared" si="23"/>
        <v>1.0000000000000002</v>
      </c>
      <c r="M17" s="69">
        <f t="shared" si="23"/>
        <v>7822.19</v>
      </c>
      <c r="N17" s="68">
        <f t="shared" si="23"/>
        <v>1.0000000000000002</v>
      </c>
      <c r="O17" s="69">
        <f t="shared" si="23"/>
        <v>8204.2300000000014</v>
      </c>
      <c r="P17" s="68">
        <f t="shared" si="23"/>
        <v>0.99999999999999978</v>
      </c>
      <c r="Q17" s="69">
        <f t="shared" si="23"/>
        <v>7909.09</v>
      </c>
      <c r="R17" s="68">
        <f t="shared" si="23"/>
        <v>0.99999999999999989</v>
      </c>
      <c r="S17" s="69">
        <f t="shared" si="23"/>
        <v>8434.75</v>
      </c>
      <c r="T17" s="68">
        <f t="shared" si="23"/>
        <v>1.0000000000000002</v>
      </c>
      <c r="U17" s="69">
        <f t="shared" si="23"/>
        <v>8459.7000000000007</v>
      </c>
      <c r="V17" s="68">
        <f t="shared" si="23"/>
        <v>0.99999999999999989</v>
      </c>
      <c r="W17" s="69">
        <f t="shared" si="23"/>
        <v>7684.47</v>
      </c>
      <c r="X17" s="68">
        <f t="shared" si="23"/>
        <v>1</v>
      </c>
      <c r="Y17" s="69">
        <f t="shared" si="23"/>
        <v>8055.119999999999</v>
      </c>
      <c r="Z17" s="68">
        <f t="shared" si="23"/>
        <v>1.0000000000000002</v>
      </c>
      <c r="AA17" s="69">
        <f t="shared" ref="AA17:AF17" si="24">SUM(AA6:AA16)</f>
        <v>0</v>
      </c>
      <c r="AB17" s="68" t="e">
        <f t="shared" si="24"/>
        <v>#DIV/0!</v>
      </c>
      <c r="AC17" s="69">
        <f t="shared" si="24"/>
        <v>0</v>
      </c>
      <c r="AD17" s="68" t="e">
        <f t="shared" si="24"/>
        <v>#DIV/0!</v>
      </c>
      <c r="AE17" s="69">
        <f t="shared" si="24"/>
        <v>0</v>
      </c>
      <c r="AF17" s="68" t="e">
        <f t="shared" si="24"/>
        <v>#DIV/0!</v>
      </c>
      <c r="AG17" s="69">
        <f t="shared" ref="AG17:AN17" si="25">SUM(AG6:AG16)</f>
        <v>0</v>
      </c>
      <c r="AH17" s="68" t="e">
        <f t="shared" si="25"/>
        <v>#DIV/0!</v>
      </c>
      <c r="AI17" s="69">
        <f t="shared" si="25"/>
        <v>0</v>
      </c>
      <c r="AJ17" s="68" t="e">
        <f t="shared" si="25"/>
        <v>#DIV/0!</v>
      </c>
      <c r="AK17" s="69">
        <f t="shared" si="25"/>
        <v>0</v>
      </c>
      <c r="AL17" s="68" t="e">
        <f t="shared" si="25"/>
        <v>#DIV/0!</v>
      </c>
      <c r="AM17" s="69">
        <f t="shared" si="25"/>
        <v>0</v>
      </c>
      <c r="AN17" s="68" t="e">
        <f t="shared" si="25"/>
        <v>#DIV/0!</v>
      </c>
      <c r="AO17" s="69">
        <f t="shared" ref="AO17:AT17" si="26">SUM(AO6:AO16)</f>
        <v>0</v>
      </c>
      <c r="AP17" s="68" t="e">
        <f t="shared" si="26"/>
        <v>#DIV/0!</v>
      </c>
      <c r="AQ17" s="69">
        <f t="shared" si="26"/>
        <v>0</v>
      </c>
      <c r="AR17" s="68" t="e">
        <f t="shared" si="26"/>
        <v>#DIV/0!</v>
      </c>
      <c r="AS17" s="69">
        <f t="shared" si="26"/>
        <v>0</v>
      </c>
      <c r="AT17" s="68" t="e">
        <f t="shared" si="26"/>
        <v>#DIV/0!</v>
      </c>
      <c r="AU17" s="69">
        <f>SUM(AU6:AU16)</f>
        <v>0</v>
      </c>
      <c r="AV17" s="68" t="e">
        <f>SUM(AV6:AV16)</f>
        <v>#DIV/0!</v>
      </c>
      <c r="AW17" s="69">
        <f>SUM(AW6:AW16)</f>
        <v>0</v>
      </c>
      <c r="AX17" s="68" t="e">
        <f>SUM(AX6:AX16)</f>
        <v>#DIV/0!</v>
      </c>
      <c r="AY17" s="19">
        <f t="shared" si="23"/>
        <v>95999.474702218344</v>
      </c>
      <c r="AZ17" s="20">
        <f t="shared" si="23"/>
        <v>1</v>
      </c>
      <c r="BD17" s="13"/>
      <c r="BE17"/>
      <c r="BF17"/>
      <c r="BG17"/>
    </row>
    <row r="18" spans="1:85" ht="15">
      <c r="C18" s="70"/>
      <c r="E18" s="70"/>
      <c r="G18" s="70"/>
      <c r="I18" s="70"/>
      <c r="K18" s="70"/>
      <c r="M18" s="70"/>
      <c r="O18" s="70"/>
      <c r="Q18" s="70"/>
      <c r="S18" s="70"/>
      <c r="U18" s="70"/>
      <c r="Y18" s="70"/>
      <c r="BD18" s="13"/>
    </row>
    <row r="19" spans="1:85" ht="15">
      <c r="C19" s="70"/>
      <c r="D19" s="70"/>
      <c r="E19" s="70"/>
      <c r="F19" s="70"/>
      <c r="G19" s="70"/>
      <c r="H19" s="70"/>
      <c r="I19" s="70"/>
      <c r="J19" s="70"/>
      <c r="K19" s="70"/>
      <c r="L19" s="70"/>
      <c r="M19" s="70"/>
      <c r="N19" s="70"/>
      <c r="O19" s="70"/>
      <c r="P19" s="70"/>
      <c r="Q19" s="91"/>
      <c r="Y19" s="70"/>
      <c r="BD19" s="13"/>
    </row>
    <row r="20" spans="1:85" ht="15">
      <c r="A20" s="227"/>
      <c r="B20" s="227"/>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K20" s="131"/>
      <c r="BD20" s="13"/>
    </row>
    <row r="21" spans="1:85" ht="15">
      <c r="A21" s="166"/>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BD21" s="13"/>
    </row>
    <row r="22" spans="1:85" ht="14.25" customHeight="1">
      <c r="A22" s="1" t="s">
        <v>191</v>
      </c>
      <c r="B22" s="1"/>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BD22" s="13"/>
    </row>
    <row r="23" spans="1:85">
      <c r="A23" s="166"/>
      <c r="B23" s="166"/>
      <c r="C23" s="10">
        <v>43743</v>
      </c>
      <c r="D23" s="6"/>
      <c r="E23" s="10">
        <v>43774</v>
      </c>
      <c r="F23" s="6"/>
      <c r="G23" s="10">
        <v>43804</v>
      </c>
      <c r="H23" s="2"/>
      <c r="I23" s="10">
        <v>43841</v>
      </c>
      <c r="J23" s="6"/>
      <c r="K23" s="10">
        <v>43862</v>
      </c>
      <c r="L23" s="6"/>
      <c r="M23" s="10">
        <v>43895</v>
      </c>
      <c r="N23" s="6"/>
      <c r="O23" s="10">
        <v>43926</v>
      </c>
      <c r="P23" s="6"/>
      <c r="Q23" s="10">
        <v>43956</v>
      </c>
      <c r="R23" s="6"/>
      <c r="S23" s="10">
        <v>43987</v>
      </c>
      <c r="T23" s="6"/>
      <c r="U23" s="10">
        <v>44017</v>
      </c>
      <c r="V23" s="6"/>
      <c r="W23" s="10">
        <v>44048</v>
      </c>
      <c r="X23" s="6"/>
      <c r="Y23" s="10">
        <v>44079</v>
      </c>
      <c r="Z23" s="6"/>
      <c r="AA23" s="10">
        <v>44109</v>
      </c>
      <c r="AB23" s="6"/>
      <c r="AC23" s="10">
        <v>44140</v>
      </c>
      <c r="AD23" s="6"/>
      <c r="AE23" s="10">
        <v>44170</v>
      </c>
      <c r="AF23" s="6"/>
      <c r="AG23" s="10">
        <v>44201</v>
      </c>
      <c r="AH23" s="6"/>
      <c r="AI23" s="10">
        <v>44232</v>
      </c>
      <c r="AJ23" s="6"/>
      <c r="AK23" s="10">
        <v>44260</v>
      </c>
      <c r="AL23" s="6"/>
      <c r="AM23" s="10">
        <v>44291</v>
      </c>
      <c r="AN23" s="6"/>
      <c r="AO23" s="10">
        <v>44321</v>
      </c>
      <c r="AP23" s="6"/>
      <c r="AQ23" s="10">
        <v>44352</v>
      </c>
      <c r="AR23" s="6"/>
      <c r="AS23" s="10">
        <v>44382</v>
      </c>
      <c r="AT23" s="6"/>
      <c r="AU23" s="10">
        <v>44413</v>
      </c>
      <c r="AV23" s="6"/>
      <c r="AW23" s="10">
        <v>44444</v>
      </c>
      <c r="AX23" s="6"/>
      <c r="AY23" s="513" t="s">
        <v>80</v>
      </c>
      <c r="AZ23" s="513"/>
      <c r="BE23" s="242"/>
      <c r="BF23" s="242"/>
      <c r="BG23" s="242"/>
      <c r="BH23" s="242"/>
      <c r="BI23" s="242"/>
      <c r="BJ23" s="242"/>
      <c r="BK23" s="242"/>
      <c r="BL23" s="242"/>
      <c r="BM23" s="242"/>
      <c r="BN23" s="242"/>
      <c r="BO23" s="242"/>
      <c r="BP23" s="242"/>
      <c r="BQ23" s="242"/>
      <c r="BR23" s="242"/>
      <c r="BS23" s="242"/>
      <c r="BT23" s="242"/>
      <c r="BU23" s="242"/>
      <c r="BV23" s="242"/>
      <c r="BW23" s="242"/>
      <c r="BX23" s="242"/>
      <c r="BY23" s="242"/>
      <c r="BZ23" s="242"/>
      <c r="CA23" s="242"/>
      <c r="CB23" s="242"/>
    </row>
    <row r="24" spans="1:85">
      <c r="A24" s="166"/>
      <c r="B24" s="166"/>
      <c r="C24" s="229" t="s">
        <v>7</v>
      </c>
      <c r="D24" s="229" t="s">
        <v>117</v>
      </c>
      <c r="E24" s="438" t="s">
        <v>7</v>
      </c>
      <c r="F24" s="229" t="s">
        <v>117</v>
      </c>
      <c r="G24" s="438" t="s">
        <v>7</v>
      </c>
      <c r="H24" s="229" t="s">
        <v>117</v>
      </c>
      <c r="I24" s="229" t="s">
        <v>7</v>
      </c>
      <c r="J24" s="229" t="s">
        <v>117</v>
      </c>
      <c r="K24" s="229" t="s">
        <v>7</v>
      </c>
      <c r="L24" s="229" t="s">
        <v>117</v>
      </c>
      <c r="M24" s="229" t="s">
        <v>7</v>
      </c>
      <c r="N24" s="229" t="s">
        <v>117</v>
      </c>
      <c r="O24" s="229" t="s">
        <v>7</v>
      </c>
      <c r="P24" s="229" t="s">
        <v>117</v>
      </c>
      <c r="Q24" s="229" t="s">
        <v>7</v>
      </c>
      <c r="R24" s="229" t="s">
        <v>117</v>
      </c>
      <c r="S24" s="229" t="s">
        <v>7</v>
      </c>
      <c r="T24" s="229" t="s">
        <v>117</v>
      </c>
      <c r="U24" s="229" t="s">
        <v>7</v>
      </c>
      <c r="V24" s="229" t="s">
        <v>117</v>
      </c>
      <c r="W24" s="229" t="s">
        <v>7</v>
      </c>
      <c r="X24" s="229" t="s">
        <v>117</v>
      </c>
      <c r="Y24" s="229" t="s">
        <v>7</v>
      </c>
      <c r="Z24" s="229" t="s">
        <v>117</v>
      </c>
      <c r="AA24" s="229" t="s">
        <v>7</v>
      </c>
      <c r="AB24" s="229" t="s">
        <v>117</v>
      </c>
      <c r="AC24" s="229" t="s">
        <v>7</v>
      </c>
      <c r="AD24" s="229" t="s">
        <v>117</v>
      </c>
      <c r="AE24" s="229" t="s">
        <v>7</v>
      </c>
      <c r="AF24" s="229" t="s">
        <v>117</v>
      </c>
      <c r="AG24" s="229" t="s">
        <v>7</v>
      </c>
      <c r="AH24" s="229" t="s">
        <v>117</v>
      </c>
      <c r="AI24" s="229" t="s">
        <v>7</v>
      </c>
      <c r="AJ24" s="229" t="s">
        <v>117</v>
      </c>
      <c r="AK24" s="229" t="s">
        <v>7</v>
      </c>
      <c r="AL24" s="229" t="s">
        <v>117</v>
      </c>
      <c r="AM24" s="229" t="s">
        <v>7</v>
      </c>
      <c r="AN24" s="229" t="s">
        <v>117</v>
      </c>
      <c r="AO24" s="229" t="s">
        <v>7</v>
      </c>
      <c r="AP24" s="229" t="s">
        <v>117</v>
      </c>
      <c r="AQ24" s="229" t="s">
        <v>7</v>
      </c>
      <c r="AR24" s="229" t="s">
        <v>117</v>
      </c>
      <c r="AS24" s="229" t="s">
        <v>7</v>
      </c>
      <c r="AT24" s="229" t="s">
        <v>117</v>
      </c>
      <c r="AU24" s="229" t="s">
        <v>7</v>
      </c>
      <c r="AV24" s="229" t="s">
        <v>117</v>
      </c>
      <c r="AW24" s="229" t="s">
        <v>7</v>
      </c>
      <c r="AX24" s="229" t="s">
        <v>117</v>
      </c>
      <c r="AY24" s="229" t="s">
        <v>7</v>
      </c>
      <c r="AZ24" s="229" t="s">
        <v>117</v>
      </c>
      <c r="BE24" s="241"/>
      <c r="BF24" s="241"/>
      <c r="BG24" s="241"/>
      <c r="BH24" s="241"/>
      <c r="BI24" s="241"/>
      <c r="BJ24" s="241"/>
      <c r="BK24" s="241"/>
      <c r="BL24" s="241"/>
      <c r="BM24" s="241"/>
      <c r="BN24" s="241"/>
      <c r="BO24" s="241"/>
      <c r="BP24" s="241"/>
      <c r="BQ24" s="241"/>
      <c r="BR24" s="241"/>
      <c r="BS24" s="241"/>
      <c r="BT24" s="241"/>
      <c r="BU24" s="241"/>
      <c r="BV24" s="241"/>
      <c r="BW24" s="241"/>
      <c r="BX24" s="241"/>
      <c r="BY24" s="241"/>
      <c r="BZ24" s="241"/>
      <c r="CA24" s="241"/>
      <c r="CB24" s="241"/>
    </row>
    <row r="25" spans="1:85">
      <c r="A25" s="166" t="s">
        <v>3</v>
      </c>
      <c r="B25" s="166"/>
      <c r="C25" s="435">
        <v>0</v>
      </c>
      <c r="D25" s="230">
        <f t="shared" ref="D25:D36" si="27">+C25/C$36</f>
        <v>0</v>
      </c>
      <c r="E25" s="435">
        <v>0</v>
      </c>
      <c r="F25" s="230">
        <f t="shared" ref="F25:F36" si="28">+E25/E$36</f>
        <v>0</v>
      </c>
      <c r="G25" s="432">
        <v>0</v>
      </c>
      <c r="H25" s="230">
        <f t="shared" ref="H25:H36" si="29">+G25/G$36</f>
        <v>0</v>
      </c>
      <c r="I25" s="91">
        <v>0</v>
      </c>
      <c r="J25" s="230">
        <f>+I25/I$36</f>
        <v>0</v>
      </c>
      <c r="K25" s="91">
        <v>0</v>
      </c>
      <c r="L25" s="230">
        <f>+K25/K$36</f>
        <v>0</v>
      </c>
      <c r="M25" s="91">
        <v>0</v>
      </c>
      <c r="N25" s="230">
        <f t="shared" ref="N25:N36" si="30">+M25/M$36</f>
        <v>0</v>
      </c>
      <c r="O25" s="91">
        <v>0</v>
      </c>
      <c r="P25" s="230">
        <f t="shared" ref="P25:P36" si="31">+O25/O$36</f>
        <v>0</v>
      </c>
      <c r="Q25" s="91">
        <v>0</v>
      </c>
      <c r="R25" s="230">
        <f t="shared" ref="R25:R36" si="32">+Q25/Q$36</f>
        <v>0</v>
      </c>
      <c r="S25" s="91">
        <v>0</v>
      </c>
      <c r="T25" s="230">
        <f t="shared" ref="T25:T36" si="33">+S25/S$36</f>
        <v>0</v>
      </c>
      <c r="U25" s="91">
        <v>0</v>
      </c>
      <c r="V25" s="230">
        <f t="shared" ref="V25:V36" si="34">+U25/U$36</f>
        <v>0</v>
      </c>
      <c r="W25" s="91">
        <v>0</v>
      </c>
      <c r="X25" s="230">
        <f t="shared" ref="X25:X36" si="35">+W25/W$36</f>
        <v>0</v>
      </c>
      <c r="Y25" s="91">
        <v>0</v>
      </c>
      <c r="Z25" s="230">
        <f t="shared" ref="Z25:Z36" si="36">+Y25/Y$36</f>
        <v>0</v>
      </c>
      <c r="AA25" s="91"/>
      <c r="AB25" s="230" t="e">
        <f t="shared" ref="AB25:AB36" si="37">+AA25/AA$36</f>
        <v>#DIV/0!</v>
      </c>
      <c r="AC25" s="91"/>
      <c r="AD25" s="230" t="e">
        <f t="shared" ref="AD25:AD36" si="38">+AC25/AC$36</f>
        <v>#DIV/0!</v>
      </c>
      <c r="AE25" s="91"/>
      <c r="AF25" s="230" t="e">
        <f t="shared" ref="AF25:AF36" si="39">+AE25/AE$36</f>
        <v>#DIV/0!</v>
      </c>
      <c r="AG25" s="91"/>
      <c r="AH25" s="230" t="e">
        <f t="shared" ref="AH25:AH36" si="40">+AG25/AG$36</f>
        <v>#DIV/0!</v>
      </c>
      <c r="AI25" s="91"/>
      <c r="AJ25" s="230" t="e">
        <f t="shared" ref="AJ25:AJ36" si="41">+AI25/AI$36</f>
        <v>#DIV/0!</v>
      </c>
      <c r="AK25" s="91"/>
      <c r="AL25" s="230" t="e">
        <f t="shared" ref="AL25:AL36" si="42">+AK25/AK$36</f>
        <v>#DIV/0!</v>
      </c>
      <c r="AM25" s="91"/>
      <c r="AN25" s="230" t="e">
        <f t="shared" ref="AN25:AP36" si="43">+AM25/AM$36</f>
        <v>#DIV/0!</v>
      </c>
      <c r="AO25" s="91"/>
      <c r="AP25" s="230" t="e">
        <f t="shared" si="43"/>
        <v>#DIV/0!</v>
      </c>
      <c r="AQ25" s="91"/>
      <c r="AR25" s="230" t="e">
        <f t="shared" ref="AR25:AR36" si="44">+AQ25/AQ$36</f>
        <v>#DIV/0!</v>
      </c>
      <c r="AS25" s="91"/>
      <c r="AT25" s="230" t="e">
        <f t="shared" ref="AT25:AT36" si="45">+AS25/AS$36</f>
        <v>#DIV/0!</v>
      </c>
      <c r="AU25" s="91"/>
      <c r="AV25" s="230" t="e">
        <f t="shared" ref="AV25:AV36" si="46">+AU25/AU$36</f>
        <v>#DIV/0!</v>
      </c>
      <c r="AW25" s="91"/>
      <c r="AX25" s="230" t="e">
        <f t="shared" ref="AX25:AX36" si="47">+AW25/AW$36</f>
        <v>#DIV/0!</v>
      </c>
      <c r="AY25" s="16">
        <f>+Y25+W25+U25+S25+Q25+O25+M25+K25+I25+G25+E25+C25+AA25+AC25+AE25+AG25+AI25+AK25+AM25+AO25+AQ25+AS25+AU25+AW25</f>
        <v>0</v>
      </c>
      <c r="AZ25" s="230">
        <f t="shared" ref="AZ25:AZ36" si="48">+AY25/AY$36</f>
        <v>0</v>
      </c>
      <c r="BB25" s="226"/>
      <c r="BC25" s="134"/>
      <c r="BD25" s="134"/>
      <c r="BE25" s="226"/>
      <c r="BF25" s="226"/>
      <c r="BG25" s="226"/>
      <c r="BH25" s="226"/>
      <c r="BI25" s="226"/>
      <c r="BJ25" s="226"/>
      <c r="BK25" s="226"/>
      <c r="BL25" s="226"/>
      <c r="BM25" s="226"/>
      <c r="BN25" s="226"/>
      <c r="BO25" s="226"/>
      <c r="BP25" s="226"/>
      <c r="BQ25" s="226"/>
      <c r="BR25" s="226"/>
      <c r="BS25" s="226"/>
      <c r="BT25" s="226"/>
      <c r="BU25" s="226"/>
      <c r="BV25" s="226"/>
      <c r="BW25" s="226"/>
      <c r="BX25" s="226"/>
      <c r="BY25" s="226"/>
      <c r="BZ25" s="226"/>
      <c r="CA25" s="226"/>
      <c r="CB25" s="226"/>
      <c r="CC25" s="226"/>
      <c r="CD25" s="226"/>
      <c r="CE25" s="226"/>
      <c r="CF25" s="226"/>
      <c r="CG25" s="226"/>
    </row>
    <row r="26" spans="1:85">
      <c r="A26" s="166" t="s">
        <v>6</v>
      </c>
      <c r="B26" s="166"/>
      <c r="C26" s="432">
        <v>2268.2110745083905</v>
      </c>
      <c r="D26" s="230">
        <f t="shared" si="27"/>
        <v>0.40013466369322326</v>
      </c>
      <c r="E26" s="432">
        <v>2105.0358638425469</v>
      </c>
      <c r="F26" s="230">
        <f t="shared" si="28"/>
        <v>0.41832463430383277</v>
      </c>
      <c r="G26" s="432">
        <v>2433.8707982292444</v>
      </c>
      <c r="H26" s="230">
        <f t="shared" si="29"/>
        <v>0.43505134402437501</v>
      </c>
      <c r="I26" s="91">
        <v>1461.83</v>
      </c>
      <c r="J26" s="230">
        <f t="shared" ref="J26:L36" si="49">+I26/I$36</f>
        <v>0.25158463399816539</v>
      </c>
      <c r="K26" s="91">
        <v>1507.79</v>
      </c>
      <c r="L26" s="230">
        <f t="shared" si="49"/>
        <v>0.30731023294017418</v>
      </c>
      <c r="M26" s="91">
        <v>1204.3599999999999</v>
      </c>
      <c r="N26" s="230">
        <f t="shared" si="30"/>
        <v>0.24758502023875348</v>
      </c>
      <c r="O26" s="91">
        <v>1011.88</v>
      </c>
      <c r="P26" s="230">
        <f t="shared" si="31"/>
        <v>0.2143759056973128</v>
      </c>
      <c r="Q26" s="91">
        <v>911.02</v>
      </c>
      <c r="R26" s="230">
        <f t="shared" si="32"/>
        <v>0.19197757852258479</v>
      </c>
      <c r="S26" s="91">
        <v>689.03</v>
      </c>
      <c r="T26" s="230">
        <f t="shared" si="33"/>
        <v>0.13479916972022077</v>
      </c>
      <c r="U26" s="91">
        <v>895.93</v>
      </c>
      <c r="V26" s="230">
        <f t="shared" si="34"/>
        <v>0.16571073449253595</v>
      </c>
      <c r="W26" s="91">
        <v>944.91</v>
      </c>
      <c r="X26" s="230">
        <f t="shared" si="35"/>
        <v>0.19288876912995817</v>
      </c>
      <c r="Y26" s="91">
        <v>1002.99</v>
      </c>
      <c r="Z26" s="230">
        <f t="shared" si="36"/>
        <v>0.18931662246718067</v>
      </c>
      <c r="AA26" s="91"/>
      <c r="AB26" s="230" t="e">
        <f t="shared" si="37"/>
        <v>#DIV/0!</v>
      </c>
      <c r="AC26" s="91"/>
      <c r="AD26" s="230" t="e">
        <f t="shared" si="38"/>
        <v>#DIV/0!</v>
      </c>
      <c r="AE26" s="91"/>
      <c r="AF26" s="230" t="e">
        <f t="shared" si="39"/>
        <v>#DIV/0!</v>
      </c>
      <c r="AG26" s="91"/>
      <c r="AH26" s="230" t="e">
        <f t="shared" si="40"/>
        <v>#DIV/0!</v>
      </c>
      <c r="AI26" s="91"/>
      <c r="AJ26" s="230" t="e">
        <f t="shared" si="41"/>
        <v>#DIV/0!</v>
      </c>
      <c r="AK26" s="91"/>
      <c r="AL26" s="230" t="e">
        <f t="shared" si="42"/>
        <v>#DIV/0!</v>
      </c>
      <c r="AM26" s="91"/>
      <c r="AN26" s="230" t="e">
        <f t="shared" si="43"/>
        <v>#DIV/0!</v>
      </c>
      <c r="AO26" s="91"/>
      <c r="AP26" s="230" t="e">
        <f t="shared" si="43"/>
        <v>#DIV/0!</v>
      </c>
      <c r="AQ26" s="91"/>
      <c r="AR26" s="230" t="e">
        <f t="shared" si="44"/>
        <v>#DIV/0!</v>
      </c>
      <c r="AS26" s="91"/>
      <c r="AT26" s="230" t="e">
        <f t="shared" si="45"/>
        <v>#DIV/0!</v>
      </c>
      <c r="AU26" s="91"/>
      <c r="AV26" s="230" t="e">
        <f t="shared" si="46"/>
        <v>#DIV/0!</v>
      </c>
      <c r="AW26" s="91"/>
      <c r="AX26" s="230" t="e">
        <f t="shared" si="47"/>
        <v>#DIV/0!</v>
      </c>
      <c r="AY26" s="16">
        <f t="shared" ref="AY26:AY35" si="50">+Y26+W26+U26+S26+Q26+O26+M26+K26+I26+G26+E26+C26+AA26+AC26+AE26+AG26+AI26+AK26+AM26+AO26+AQ26+AS26+AU26+AW26</f>
        <v>16436.857736580179</v>
      </c>
      <c r="AZ26" s="230">
        <f t="shared" si="48"/>
        <v>0.264867839631098</v>
      </c>
      <c r="BB26" s="226"/>
      <c r="BC26" s="134"/>
      <c r="BD26" s="134"/>
      <c r="BE26" s="226"/>
      <c r="BF26" s="226"/>
      <c r="BG26" s="226"/>
      <c r="BH26" s="226"/>
      <c r="BI26" s="226"/>
      <c r="BJ26" s="226"/>
      <c r="BK26" s="226"/>
      <c r="BL26" s="226"/>
      <c r="BM26" s="226"/>
      <c r="BN26" s="226"/>
      <c r="BO26" s="226"/>
      <c r="BP26" s="226"/>
      <c r="BQ26" s="226"/>
      <c r="BR26" s="226"/>
      <c r="BS26" s="226"/>
      <c r="BT26" s="226"/>
      <c r="BU26" s="226"/>
      <c r="BV26" s="226"/>
      <c r="BW26" s="226"/>
      <c r="BX26" s="226"/>
      <c r="BY26" s="226"/>
      <c r="BZ26" s="226"/>
      <c r="CA26" s="226"/>
      <c r="CB26" s="226"/>
      <c r="CC26" s="226"/>
      <c r="CD26" s="226"/>
      <c r="CE26" s="226"/>
      <c r="CF26" s="226"/>
      <c r="CG26" s="226"/>
    </row>
    <row r="27" spans="1:85">
      <c r="A27" s="166" t="s">
        <v>1</v>
      </c>
      <c r="B27" s="166"/>
      <c r="C27" s="432">
        <v>1920.1639444910766</v>
      </c>
      <c r="D27" s="230">
        <f t="shared" si="27"/>
        <v>0.33873573883828939</v>
      </c>
      <c r="E27" s="432">
        <v>1687.7864607480758</v>
      </c>
      <c r="F27" s="230">
        <f t="shared" si="28"/>
        <v>0.33540647268906093</v>
      </c>
      <c r="G27" s="432">
        <v>1786.9120824264703</v>
      </c>
      <c r="H27" s="230">
        <f t="shared" si="29"/>
        <v>0.31940828727581788</v>
      </c>
      <c r="I27" s="91">
        <v>2261.7199999999998</v>
      </c>
      <c r="J27" s="230">
        <f t="shared" si="49"/>
        <v>0.38924772265333901</v>
      </c>
      <c r="K27" s="91">
        <v>1721.2</v>
      </c>
      <c r="L27" s="230">
        <f t="shared" si="49"/>
        <v>0.35080639408447317</v>
      </c>
      <c r="M27" s="91">
        <v>1877.94</v>
      </c>
      <c r="N27" s="230">
        <f t="shared" si="30"/>
        <v>0.3860555090730054</v>
      </c>
      <c r="O27" s="91">
        <v>1786.4</v>
      </c>
      <c r="P27" s="230">
        <f t="shared" si="31"/>
        <v>0.37846495428082338</v>
      </c>
      <c r="Q27" s="91">
        <v>2010.71</v>
      </c>
      <c r="R27" s="230">
        <f t="shared" si="32"/>
        <v>0.4237132411046371</v>
      </c>
      <c r="S27" s="91">
        <v>2137.34</v>
      </c>
      <c r="T27" s="230">
        <f t="shared" si="33"/>
        <v>0.41814094801360852</v>
      </c>
      <c r="U27" s="91">
        <v>2232.91</v>
      </c>
      <c r="V27" s="230">
        <f t="shared" si="34"/>
        <v>0.41299784152303021</v>
      </c>
      <c r="W27" s="91">
        <v>2080.1</v>
      </c>
      <c r="X27" s="230">
        <f t="shared" si="35"/>
        <v>0.42462025872011727</v>
      </c>
      <c r="Y27" s="91">
        <v>2334.27</v>
      </c>
      <c r="Z27" s="230">
        <f t="shared" si="36"/>
        <v>0.44059872214724555</v>
      </c>
      <c r="AA27" s="91"/>
      <c r="AB27" s="230" t="e">
        <f t="shared" si="37"/>
        <v>#DIV/0!</v>
      </c>
      <c r="AC27" s="91"/>
      <c r="AD27" s="230" t="e">
        <f t="shared" si="38"/>
        <v>#DIV/0!</v>
      </c>
      <c r="AE27" s="91"/>
      <c r="AF27" s="230" t="e">
        <f t="shared" si="39"/>
        <v>#DIV/0!</v>
      </c>
      <c r="AG27" s="91"/>
      <c r="AH27" s="230" t="e">
        <f t="shared" si="40"/>
        <v>#DIV/0!</v>
      </c>
      <c r="AI27" s="91"/>
      <c r="AJ27" s="230" t="e">
        <f t="shared" si="41"/>
        <v>#DIV/0!</v>
      </c>
      <c r="AK27" s="91"/>
      <c r="AL27" s="230" t="e">
        <f t="shared" si="42"/>
        <v>#DIV/0!</v>
      </c>
      <c r="AM27" s="91"/>
      <c r="AN27" s="230" t="e">
        <f t="shared" si="43"/>
        <v>#DIV/0!</v>
      </c>
      <c r="AO27" s="91"/>
      <c r="AP27" s="230" t="e">
        <f t="shared" si="43"/>
        <v>#DIV/0!</v>
      </c>
      <c r="AQ27" s="91"/>
      <c r="AR27" s="230" t="e">
        <f t="shared" si="44"/>
        <v>#DIV/0!</v>
      </c>
      <c r="AS27" s="91"/>
      <c r="AT27" s="230" t="e">
        <f t="shared" si="45"/>
        <v>#DIV/0!</v>
      </c>
      <c r="AU27" s="91"/>
      <c r="AV27" s="230" t="e">
        <f t="shared" si="46"/>
        <v>#DIV/0!</v>
      </c>
      <c r="AW27" s="91"/>
      <c r="AX27" s="230" t="e">
        <f t="shared" si="47"/>
        <v>#DIV/0!</v>
      </c>
      <c r="AY27" s="16">
        <f t="shared" si="50"/>
        <v>23837.452487665625</v>
      </c>
      <c r="AZ27" s="230">
        <f t="shared" si="48"/>
        <v>0.384122965830972</v>
      </c>
      <c r="BB27" s="226"/>
      <c r="BC27" s="134"/>
      <c r="BD27" s="134"/>
      <c r="BE27" s="226"/>
      <c r="BF27" s="226"/>
      <c r="BG27" s="226"/>
      <c r="BH27" s="226"/>
      <c r="BI27" s="226"/>
      <c r="BJ27" s="226"/>
      <c r="BK27" s="226"/>
      <c r="BL27" s="226"/>
      <c r="BM27" s="226"/>
      <c r="BN27" s="226"/>
      <c r="BO27" s="226"/>
      <c r="BP27" s="226"/>
      <c r="BQ27" s="226"/>
      <c r="BR27" s="226"/>
      <c r="BS27" s="226"/>
      <c r="BT27" s="226"/>
      <c r="BU27" s="226"/>
      <c r="BV27" s="226"/>
      <c r="BW27" s="226"/>
      <c r="BX27" s="226"/>
      <c r="BY27" s="226"/>
      <c r="BZ27" s="226"/>
      <c r="CA27" s="226"/>
      <c r="CB27" s="226"/>
      <c r="CC27" s="226"/>
      <c r="CD27" s="226"/>
      <c r="CE27" s="226"/>
      <c r="CF27" s="226"/>
      <c r="CG27" s="226"/>
    </row>
    <row r="28" spans="1:85">
      <c r="A28" s="166" t="s">
        <v>0</v>
      </c>
      <c r="B28" s="166"/>
      <c r="C28" s="433">
        <v>71.427647606353602</v>
      </c>
      <c r="D28" s="230">
        <f t="shared" si="27"/>
        <v>1.2600537081656258E-2</v>
      </c>
      <c r="E28" s="432">
        <v>64.377869042997133</v>
      </c>
      <c r="F28" s="230">
        <f t="shared" si="28"/>
        <v>1.2793534298989119E-2</v>
      </c>
      <c r="G28" s="432">
        <v>64.679335028258151</v>
      </c>
      <c r="H28" s="230">
        <f t="shared" si="29"/>
        <v>1.1561349786980833E-2</v>
      </c>
      <c r="I28" s="91">
        <v>92.85</v>
      </c>
      <c r="J28" s="230">
        <f t="shared" si="49"/>
        <v>1.597971943846388E-2</v>
      </c>
      <c r="K28" s="91">
        <v>78.95</v>
      </c>
      <c r="L28" s="230">
        <f t="shared" si="49"/>
        <v>1.609119498778129E-2</v>
      </c>
      <c r="M28" s="91">
        <v>93.45</v>
      </c>
      <c r="N28" s="230">
        <f t="shared" si="30"/>
        <v>1.9210883906233614E-2</v>
      </c>
      <c r="O28" s="91">
        <v>122.01</v>
      </c>
      <c r="P28" s="230">
        <f t="shared" si="31"/>
        <v>2.5848919095277239E-2</v>
      </c>
      <c r="Q28" s="91">
        <v>116.75</v>
      </c>
      <c r="R28" s="230">
        <f t="shared" si="32"/>
        <v>2.4602513987082363E-2</v>
      </c>
      <c r="S28" s="91">
        <v>126.1</v>
      </c>
      <c r="T28" s="230">
        <f t="shared" si="33"/>
        <v>2.4669717286213717E-2</v>
      </c>
      <c r="U28" s="91">
        <v>132.44</v>
      </c>
      <c r="V28" s="230">
        <f t="shared" si="34"/>
        <v>2.4496031694654117E-2</v>
      </c>
      <c r="W28" s="91">
        <v>105.95</v>
      </c>
      <c r="X28" s="230">
        <f t="shared" si="35"/>
        <v>2.1628054618237792E-2</v>
      </c>
      <c r="Y28" s="91">
        <v>111.17</v>
      </c>
      <c r="Z28" s="230">
        <f t="shared" si="36"/>
        <v>2.0983587991581648E-2</v>
      </c>
      <c r="AA28" s="91"/>
      <c r="AB28" s="230" t="e">
        <f t="shared" si="37"/>
        <v>#DIV/0!</v>
      </c>
      <c r="AC28" s="91"/>
      <c r="AD28" s="230" t="e">
        <f t="shared" si="38"/>
        <v>#DIV/0!</v>
      </c>
      <c r="AE28" s="91"/>
      <c r="AF28" s="230" t="e">
        <f t="shared" si="39"/>
        <v>#DIV/0!</v>
      </c>
      <c r="AG28" s="91"/>
      <c r="AH28" s="230" t="e">
        <f t="shared" si="40"/>
        <v>#DIV/0!</v>
      </c>
      <c r="AI28" s="91"/>
      <c r="AJ28" s="230" t="e">
        <f t="shared" si="41"/>
        <v>#DIV/0!</v>
      </c>
      <c r="AK28" s="91"/>
      <c r="AL28" s="230" t="e">
        <f t="shared" si="42"/>
        <v>#DIV/0!</v>
      </c>
      <c r="AM28" s="91"/>
      <c r="AN28" s="230" t="e">
        <f t="shared" si="43"/>
        <v>#DIV/0!</v>
      </c>
      <c r="AO28" s="91"/>
      <c r="AP28" s="230" t="e">
        <f t="shared" si="43"/>
        <v>#DIV/0!</v>
      </c>
      <c r="AQ28" s="91"/>
      <c r="AR28" s="230" t="e">
        <f t="shared" si="44"/>
        <v>#DIV/0!</v>
      </c>
      <c r="AS28" s="91"/>
      <c r="AT28" s="230" t="e">
        <f t="shared" si="45"/>
        <v>#DIV/0!</v>
      </c>
      <c r="AU28" s="91"/>
      <c r="AV28" s="230" t="e">
        <f t="shared" si="46"/>
        <v>#DIV/0!</v>
      </c>
      <c r="AW28" s="91"/>
      <c r="AX28" s="230" t="e">
        <f t="shared" si="47"/>
        <v>#DIV/0!</v>
      </c>
      <c r="AY28" s="16">
        <f t="shared" si="50"/>
        <v>1180.154851677609</v>
      </c>
      <c r="AZ28" s="230">
        <f t="shared" si="48"/>
        <v>1.9017325026689864E-2</v>
      </c>
      <c r="BB28" s="226"/>
      <c r="BC28" s="134"/>
      <c r="BD28" s="134"/>
      <c r="BE28" s="226"/>
      <c r="BF28" s="226"/>
      <c r="BG28" s="226"/>
      <c r="BH28" s="226"/>
      <c r="BI28" s="226"/>
      <c r="BJ28" s="226"/>
      <c r="BK28" s="226"/>
      <c r="BL28" s="226"/>
      <c r="BM28" s="226"/>
      <c r="BN28" s="226"/>
      <c r="BO28" s="226"/>
      <c r="BP28" s="226"/>
      <c r="BQ28" s="226"/>
      <c r="BR28" s="226"/>
      <c r="BS28" s="226"/>
      <c r="BT28" s="226"/>
      <c r="BU28" s="226"/>
      <c r="BV28" s="226"/>
      <c r="BW28" s="226"/>
      <c r="BX28" s="226"/>
      <c r="BY28" s="226"/>
      <c r="BZ28" s="226"/>
      <c r="CA28" s="226"/>
      <c r="CB28" s="226"/>
      <c r="CC28" s="226"/>
      <c r="CD28" s="226"/>
      <c r="CE28" s="226"/>
      <c r="CF28" s="226"/>
      <c r="CG28" s="226"/>
    </row>
    <row r="29" spans="1:85">
      <c r="A29" s="166" t="s">
        <v>4</v>
      </c>
      <c r="B29" s="166"/>
      <c r="C29" s="433">
        <v>78.753714885836956</v>
      </c>
      <c r="D29" s="230">
        <f>+C29/C$36</f>
        <v>1.3892927150647237E-2</v>
      </c>
      <c r="E29" s="432">
        <v>71.838857461681414</v>
      </c>
      <c r="F29" s="230">
        <f>+E29/E$36</f>
        <v>1.4276224121714479E-2</v>
      </c>
      <c r="G29" s="432">
        <v>78.62434182983975</v>
      </c>
      <c r="H29" s="230">
        <f t="shared" si="29"/>
        <v>1.4054002213671275E-2</v>
      </c>
      <c r="I29" s="91">
        <v>104.93</v>
      </c>
      <c r="J29" s="230">
        <f t="shared" si="49"/>
        <v>1.8058717939450891E-2</v>
      </c>
      <c r="K29" s="91">
        <v>95.44</v>
      </c>
      <c r="L29" s="230">
        <f t="shared" si="49"/>
        <v>1.945210449187899E-2</v>
      </c>
      <c r="M29" s="91">
        <v>102.19</v>
      </c>
      <c r="N29" s="230">
        <f t="shared" si="30"/>
        <v>2.1007600068250538E-2</v>
      </c>
      <c r="O29" s="91">
        <v>119.01</v>
      </c>
      <c r="P29" s="230">
        <f t="shared" si="31"/>
        <v>2.5213342033677113E-2</v>
      </c>
      <c r="Q29" s="91">
        <v>100.54</v>
      </c>
      <c r="R29" s="230">
        <f t="shared" si="32"/>
        <v>2.1186610332002236E-2</v>
      </c>
      <c r="S29" s="91">
        <v>96.3</v>
      </c>
      <c r="T29" s="230">
        <f t="shared" si="33"/>
        <v>1.883976030660096E-2</v>
      </c>
      <c r="U29" s="91">
        <v>93.11</v>
      </c>
      <c r="V29" s="230">
        <f t="shared" si="34"/>
        <v>1.7221575891643345E-2</v>
      </c>
      <c r="W29" s="91">
        <v>84</v>
      </c>
      <c r="X29" s="230">
        <f t="shared" si="35"/>
        <v>1.7147301443435341E-2</v>
      </c>
      <c r="Y29" s="91">
        <v>80.959999999999994</v>
      </c>
      <c r="Z29" s="230">
        <f t="shared" si="36"/>
        <v>1.5281382421502654E-2</v>
      </c>
      <c r="AA29" s="91"/>
      <c r="AB29" s="230" t="e">
        <f t="shared" si="37"/>
        <v>#DIV/0!</v>
      </c>
      <c r="AC29" s="91"/>
      <c r="AD29" s="230" t="e">
        <f t="shared" si="38"/>
        <v>#DIV/0!</v>
      </c>
      <c r="AE29" s="91"/>
      <c r="AF29" s="230" t="e">
        <f t="shared" si="39"/>
        <v>#DIV/0!</v>
      </c>
      <c r="AG29" s="91"/>
      <c r="AH29" s="230" t="e">
        <f t="shared" si="40"/>
        <v>#DIV/0!</v>
      </c>
      <c r="AI29" s="91"/>
      <c r="AJ29" s="230" t="e">
        <f t="shared" si="41"/>
        <v>#DIV/0!</v>
      </c>
      <c r="AK29" s="91"/>
      <c r="AL29" s="230" t="e">
        <f t="shared" si="42"/>
        <v>#DIV/0!</v>
      </c>
      <c r="AM29" s="91"/>
      <c r="AN29" s="230" t="e">
        <f t="shared" si="43"/>
        <v>#DIV/0!</v>
      </c>
      <c r="AO29" s="91"/>
      <c r="AP29" s="230" t="e">
        <f t="shared" si="43"/>
        <v>#DIV/0!</v>
      </c>
      <c r="AQ29" s="91"/>
      <c r="AR29" s="230" t="e">
        <f t="shared" si="44"/>
        <v>#DIV/0!</v>
      </c>
      <c r="AS29" s="91"/>
      <c r="AT29" s="230" t="e">
        <f t="shared" si="45"/>
        <v>#DIV/0!</v>
      </c>
      <c r="AU29" s="91"/>
      <c r="AV29" s="230" t="e">
        <f t="shared" si="46"/>
        <v>#DIV/0!</v>
      </c>
      <c r="AW29" s="91"/>
      <c r="AX29" s="230" t="e">
        <f t="shared" si="47"/>
        <v>#DIV/0!</v>
      </c>
      <c r="AY29" s="16">
        <f t="shared" si="50"/>
        <v>1105.6969141773584</v>
      </c>
      <c r="AZ29" s="230">
        <f t="shared" si="48"/>
        <v>1.7817490279371431E-2</v>
      </c>
      <c r="BB29" s="226"/>
      <c r="BC29" s="134"/>
      <c r="BD29" s="134"/>
      <c r="BE29" s="226"/>
      <c r="BF29" s="226"/>
      <c r="BG29" s="226"/>
      <c r="BH29" s="226"/>
      <c r="BI29" s="226"/>
      <c r="BJ29" s="226"/>
      <c r="BK29" s="226"/>
      <c r="BL29" s="226"/>
      <c r="BM29" s="226"/>
      <c r="BN29" s="226"/>
      <c r="BO29" s="226"/>
      <c r="BP29" s="226"/>
      <c r="BQ29" s="226"/>
      <c r="BR29" s="226"/>
      <c r="BS29" s="226"/>
      <c r="BT29" s="226"/>
      <c r="BU29" s="226"/>
      <c r="BV29" s="226"/>
      <c r="BW29" s="226"/>
      <c r="BX29" s="226"/>
      <c r="BY29" s="226"/>
      <c r="BZ29" s="226"/>
      <c r="CA29" s="226"/>
      <c r="CB29" s="226"/>
      <c r="CC29" s="226"/>
      <c r="CD29" s="226"/>
      <c r="CE29" s="226"/>
      <c r="CF29" s="226"/>
      <c r="CG29" s="226"/>
    </row>
    <row r="30" spans="1:85">
      <c r="A30" s="166" t="s">
        <v>2</v>
      </c>
      <c r="B30" s="166"/>
      <c r="C30" s="433">
        <v>549.36188759809772</v>
      </c>
      <c r="D30" s="230">
        <f t="shared" si="27"/>
        <v>9.6912821126041993E-2</v>
      </c>
      <c r="E30" s="432">
        <v>446.85985560375406</v>
      </c>
      <c r="F30" s="230">
        <f t="shared" si="28"/>
        <v>8.8802518233240965E-2</v>
      </c>
      <c r="G30" s="432">
        <v>570.20025120300033</v>
      </c>
      <c r="H30" s="230">
        <f t="shared" si="29"/>
        <v>0.10192257774298517</v>
      </c>
      <c r="I30" s="91">
        <v>833.04</v>
      </c>
      <c r="J30" s="230">
        <f t="shared" si="49"/>
        <v>0.14336828735614379</v>
      </c>
      <c r="K30" s="91">
        <v>688.4</v>
      </c>
      <c r="L30" s="230">
        <f t="shared" si="49"/>
        <v>0.14030625243304168</v>
      </c>
      <c r="M30" s="91">
        <v>681.25</v>
      </c>
      <c r="N30" s="230">
        <f t="shared" si="30"/>
        <v>0.14004724088947726</v>
      </c>
      <c r="O30" s="91">
        <v>730.31</v>
      </c>
      <c r="P30" s="230">
        <f t="shared" si="31"/>
        <v>0.15472276128573001</v>
      </c>
      <c r="Q30" s="91">
        <v>616.22</v>
      </c>
      <c r="R30" s="230">
        <f t="shared" si="32"/>
        <v>0.12985491365413188</v>
      </c>
      <c r="S30" s="91">
        <v>1022.54</v>
      </c>
      <c r="T30" s="230">
        <f t="shared" si="33"/>
        <v>0.20004577885681979</v>
      </c>
      <c r="U30" s="91">
        <v>1011.57</v>
      </c>
      <c r="V30" s="230">
        <f t="shared" si="34"/>
        <v>0.18709944715615573</v>
      </c>
      <c r="W30" s="91">
        <v>698.55</v>
      </c>
      <c r="X30" s="230">
        <f t="shared" si="35"/>
        <v>0.14259818361085425</v>
      </c>
      <c r="Y30" s="91">
        <v>717.42</v>
      </c>
      <c r="Z30" s="230">
        <f t="shared" si="36"/>
        <v>0.13541464151228302</v>
      </c>
      <c r="AA30" s="91"/>
      <c r="AB30" s="230" t="e">
        <f t="shared" si="37"/>
        <v>#DIV/0!</v>
      </c>
      <c r="AC30" s="91"/>
      <c r="AD30" s="230" t="e">
        <f t="shared" si="38"/>
        <v>#DIV/0!</v>
      </c>
      <c r="AE30" s="91"/>
      <c r="AF30" s="230" t="e">
        <f t="shared" si="39"/>
        <v>#DIV/0!</v>
      </c>
      <c r="AG30" s="91"/>
      <c r="AH30" s="230" t="e">
        <f t="shared" si="40"/>
        <v>#DIV/0!</v>
      </c>
      <c r="AI30" s="91"/>
      <c r="AJ30" s="230" t="e">
        <f t="shared" si="41"/>
        <v>#DIV/0!</v>
      </c>
      <c r="AK30" s="91"/>
      <c r="AL30" s="230" t="e">
        <f t="shared" si="42"/>
        <v>#DIV/0!</v>
      </c>
      <c r="AM30" s="91"/>
      <c r="AN30" s="230" t="e">
        <f t="shared" si="43"/>
        <v>#DIV/0!</v>
      </c>
      <c r="AO30" s="91"/>
      <c r="AP30" s="230" t="e">
        <f t="shared" si="43"/>
        <v>#DIV/0!</v>
      </c>
      <c r="AQ30" s="91"/>
      <c r="AR30" s="230" t="e">
        <f t="shared" si="44"/>
        <v>#DIV/0!</v>
      </c>
      <c r="AS30" s="91"/>
      <c r="AT30" s="230" t="e">
        <f t="shared" si="45"/>
        <v>#DIV/0!</v>
      </c>
      <c r="AU30" s="91"/>
      <c r="AV30" s="230" t="e">
        <f t="shared" si="46"/>
        <v>#DIV/0!</v>
      </c>
      <c r="AW30" s="91"/>
      <c r="AX30" s="230" t="e">
        <f t="shared" si="47"/>
        <v>#DIV/0!</v>
      </c>
      <c r="AY30" s="16">
        <f t="shared" si="50"/>
        <v>8565.721994404852</v>
      </c>
      <c r="AZ30" s="230">
        <f t="shared" si="48"/>
        <v>0.13803029240129153</v>
      </c>
      <c r="BB30" s="226"/>
      <c r="BC30" s="134"/>
      <c r="BD30" s="134"/>
      <c r="BE30" s="226"/>
      <c r="BF30" s="226"/>
      <c r="BG30" s="226"/>
      <c r="BH30" s="226"/>
      <c r="BI30" s="226"/>
      <c r="BJ30" s="226"/>
      <c r="BK30" s="226"/>
      <c r="BL30" s="226"/>
      <c r="BM30" s="226"/>
      <c r="BN30" s="226"/>
      <c r="BO30" s="226"/>
      <c r="BP30" s="226"/>
      <c r="BQ30" s="226"/>
      <c r="BR30" s="226"/>
      <c r="BS30" s="226"/>
      <c r="BT30" s="226"/>
      <c r="BU30" s="226"/>
      <c r="BV30" s="226"/>
      <c r="BW30" s="226"/>
      <c r="BX30" s="226"/>
      <c r="BY30" s="226"/>
      <c r="BZ30" s="226"/>
      <c r="CA30" s="226"/>
      <c r="CB30" s="226"/>
      <c r="CC30" s="226"/>
      <c r="CD30" s="226"/>
      <c r="CE30" s="226"/>
      <c r="CF30" s="226"/>
      <c r="CG30" s="226"/>
    </row>
    <row r="31" spans="1:85">
      <c r="A31" s="166" t="s">
        <v>8</v>
      </c>
      <c r="B31" s="166"/>
      <c r="C31" s="433">
        <v>154.26591646820307</v>
      </c>
      <c r="D31" s="230">
        <f t="shared" si="27"/>
        <v>2.7214019585328927E-2</v>
      </c>
      <c r="E31" s="432">
        <v>131.46460296377745</v>
      </c>
      <c r="F31" s="230">
        <f t="shared" si="28"/>
        <v>2.6125389549578854E-2</v>
      </c>
      <c r="G31" s="432">
        <v>120.42970182110156</v>
      </c>
      <c r="H31" s="230">
        <f t="shared" si="29"/>
        <v>2.1526657732137387E-2</v>
      </c>
      <c r="I31" s="91">
        <v>161.91999999999999</v>
      </c>
      <c r="J31" s="230">
        <f t="shared" si="49"/>
        <v>2.7866840834421879E-2</v>
      </c>
      <c r="K31" s="91">
        <v>158.16999999999999</v>
      </c>
      <c r="L31" s="230">
        <f t="shared" si="49"/>
        <v>3.223742002808571E-2</v>
      </c>
      <c r="M31" s="91">
        <v>195.75</v>
      </c>
      <c r="N31" s="230">
        <f t="shared" si="30"/>
        <v>4.024109710695805E-2</v>
      </c>
      <c r="O31" s="91">
        <v>210.91</v>
      </c>
      <c r="P31" s="230">
        <f t="shared" si="31"/>
        <v>4.468318602069439E-2</v>
      </c>
      <c r="Q31" s="91">
        <v>200.59</v>
      </c>
      <c r="R31" s="230">
        <f t="shared" si="32"/>
        <v>4.2269963860118644E-2</v>
      </c>
      <c r="S31" s="91">
        <v>183.77</v>
      </c>
      <c r="T31" s="230">
        <f t="shared" si="33"/>
        <v>3.5952053494746193E-2</v>
      </c>
      <c r="U31" s="91">
        <v>215.04</v>
      </c>
      <c r="V31" s="230">
        <f t="shared" si="34"/>
        <v>3.9773683597239665E-2</v>
      </c>
      <c r="W31" s="91">
        <v>195.95</v>
      </c>
      <c r="X31" s="230">
        <f t="shared" si="35"/>
        <v>4.0000163307632793E-2</v>
      </c>
      <c r="Y31" s="91">
        <v>207.95</v>
      </c>
      <c r="Z31" s="230">
        <f t="shared" si="36"/>
        <v>3.9251031059183261E-2</v>
      </c>
      <c r="AA31" s="91"/>
      <c r="AB31" s="230" t="e">
        <f t="shared" si="37"/>
        <v>#DIV/0!</v>
      </c>
      <c r="AC31" s="91"/>
      <c r="AD31" s="230" t="e">
        <f t="shared" si="38"/>
        <v>#DIV/0!</v>
      </c>
      <c r="AE31" s="91"/>
      <c r="AF31" s="230" t="e">
        <f t="shared" si="39"/>
        <v>#DIV/0!</v>
      </c>
      <c r="AG31" s="91"/>
      <c r="AH31" s="230" t="e">
        <f t="shared" si="40"/>
        <v>#DIV/0!</v>
      </c>
      <c r="AI31" s="91"/>
      <c r="AJ31" s="230" t="e">
        <f t="shared" si="41"/>
        <v>#DIV/0!</v>
      </c>
      <c r="AK31" s="91"/>
      <c r="AL31" s="230" t="e">
        <f t="shared" si="42"/>
        <v>#DIV/0!</v>
      </c>
      <c r="AM31" s="91"/>
      <c r="AN31" s="230" t="e">
        <f t="shared" si="43"/>
        <v>#DIV/0!</v>
      </c>
      <c r="AO31" s="91"/>
      <c r="AP31" s="230" t="e">
        <f t="shared" si="43"/>
        <v>#DIV/0!</v>
      </c>
      <c r="AQ31" s="91"/>
      <c r="AR31" s="230" t="e">
        <f t="shared" si="44"/>
        <v>#DIV/0!</v>
      </c>
      <c r="AS31" s="91"/>
      <c r="AT31" s="230" t="e">
        <f t="shared" si="45"/>
        <v>#DIV/0!</v>
      </c>
      <c r="AU31" s="91"/>
      <c r="AV31" s="230" t="e">
        <f t="shared" si="46"/>
        <v>#DIV/0!</v>
      </c>
      <c r="AW31" s="91"/>
      <c r="AX31" s="230" t="e">
        <f t="shared" si="47"/>
        <v>#DIV/0!</v>
      </c>
      <c r="AY31" s="16">
        <f t="shared" si="50"/>
        <v>2136.2102212530822</v>
      </c>
      <c r="AZ31" s="230">
        <f t="shared" si="48"/>
        <v>3.4423452181006446E-2</v>
      </c>
      <c r="BB31" s="226"/>
      <c r="BC31" s="134"/>
      <c r="BD31" s="134"/>
      <c r="BE31" s="226"/>
      <c r="BF31" s="226"/>
      <c r="BG31" s="226"/>
      <c r="BH31" s="226"/>
      <c r="BI31" s="226"/>
      <c r="BJ31" s="226"/>
      <c r="BK31" s="226"/>
      <c r="BL31" s="226"/>
      <c r="BM31" s="226"/>
      <c r="BN31" s="226"/>
      <c r="BO31" s="226"/>
      <c r="BP31" s="226"/>
      <c r="BQ31" s="226"/>
      <c r="BR31" s="226"/>
      <c r="BS31" s="226"/>
      <c r="BT31" s="226"/>
      <c r="BU31" s="226"/>
      <c r="BV31" s="226"/>
      <c r="BW31" s="226"/>
      <c r="BX31" s="226"/>
      <c r="BY31" s="226"/>
      <c r="BZ31" s="226"/>
      <c r="CA31" s="226"/>
      <c r="CB31" s="226"/>
      <c r="CC31" s="226"/>
      <c r="CD31" s="226"/>
      <c r="CE31" s="226"/>
      <c r="CF31" s="226"/>
      <c r="CG31" s="226"/>
    </row>
    <row r="32" spans="1:85">
      <c r="A32" s="166" t="s">
        <v>10</v>
      </c>
      <c r="B32" s="166"/>
      <c r="C32" s="433">
        <v>24.66302206990369</v>
      </c>
      <c r="D32" s="230">
        <f t="shared" si="27"/>
        <v>4.3507988090298651E-3</v>
      </c>
      <c r="E32" s="432">
        <v>21.444032196168745</v>
      </c>
      <c r="F32" s="230">
        <f t="shared" si="28"/>
        <v>4.2614793793047173E-3</v>
      </c>
      <c r="G32" s="432">
        <v>18.358638830575714</v>
      </c>
      <c r="H32" s="230">
        <f t="shared" si="29"/>
        <v>3.2815836007034256E-3</v>
      </c>
      <c r="I32" s="91">
        <v>16.52</v>
      </c>
      <c r="J32" s="230">
        <f t="shared" si="49"/>
        <v>2.8431337116146833E-3</v>
      </c>
      <c r="K32" s="91">
        <v>27.4</v>
      </c>
      <c r="L32" s="230">
        <f t="shared" si="49"/>
        <v>5.5845312560507581E-3</v>
      </c>
      <c r="M32" s="91">
        <v>32.18</v>
      </c>
      <c r="N32" s="230">
        <f t="shared" si="30"/>
        <v>6.6153691182728484E-3</v>
      </c>
      <c r="O32" s="91">
        <v>30.18</v>
      </c>
      <c r="P32" s="230">
        <f t="shared" si="31"/>
        <v>6.3939052396972959E-3</v>
      </c>
      <c r="Q32" s="91">
        <v>32.68</v>
      </c>
      <c r="R32" s="230">
        <f t="shared" si="32"/>
        <v>6.8865966346711065E-3</v>
      </c>
      <c r="S32" s="91">
        <v>25.91</v>
      </c>
      <c r="T32" s="230">
        <f t="shared" si="33"/>
        <v>5.0689323940190118E-3</v>
      </c>
      <c r="U32" s="91">
        <v>10.73</v>
      </c>
      <c r="V32" s="230">
        <f t="shared" si="34"/>
        <v>1.9846150716070574E-3</v>
      </c>
      <c r="W32" s="91">
        <v>29.29</v>
      </c>
      <c r="X32" s="230">
        <f t="shared" si="35"/>
        <v>5.9791007056931083E-3</v>
      </c>
      <c r="Y32" s="91">
        <v>28.26</v>
      </c>
      <c r="Z32" s="230">
        <f t="shared" si="36"/>
        <v>5.3341386762804479E-3</v>
      </c>
      <c r="AA32" s="91"/>
      <c r="AB32" s="230" t="e">
        <f t="shared" si="37"/>
        <v>#DIV/0!</v>
      </c>
      <c r="AC32" s="91"/>
      <c r="AD32" s="230" t="e">
        <f t="shared" si="38"/>
        <v>#DIV/0!</v>
      </c>
      <c r="AE32" s="91"/>
      <c r="AF32" s="230" t="e">
        <f t="shared" si="39"/>
        <v>#DIV/0!</v>
      </c>
      <c r="AG32" s="91"/>
      <c r="AH32" s="230" t="e">
        <f t="shared" si="40"/>
        <v>#DIV/0!</v>
      </c>
      <c r="AI32" s="91"/>
      <c r="AJ32" s="230" t="e">
        <f t="shared" si="41"/>
        <v>#DIV/0!</v>
      </c>
      <c r="AK32" s="91"/>
      <c r="AL32" s="230" t="e">
        <f t="shared" si="42"/>
        <v>#DIV/0!</v>
      </c>
      <c r="AM32" s="91"/>
      <c r="AN32" s="230" t="e">
        <f t="shared" si="43"/>
        <v>#DIV/0!</v>
      </c>
      <c r="AO32" s="91"/>
      <c r="AP32" s="230" t="e">
        <f t="shared" si="43"/>
        <v>#DIV/0!</v>
      </c>
      <c r="AQ32" s="91"/>
      <c r="AR32" s="230" t="e">
        <f t="shared" si="44"/>
        <v>#DIV/0!</v>
      </c>
      <c r="AS32" s="91"/>
      <c r="AT32" s="230" t="e">
        <f t="shared" si="45"/>
        <v>#DIV/0!</v>
      </c>
      <c r="AU32" s="91"/>
      <c r="AV32" s="230" t="e">
        <f t="shared" si="46"/>
        <v>#DIV/0!</v>
      </c>
      <c r="AW32" s="91"/>
      <c r="AX32" s="230" t="e">
        <f t="shared" si="47"/>
        <v>#DIV/0!</v>
      </c>
      <c r="AY32" s="16">
        <f t="shared" si="50"/>
        <v>297.61569309664822</v>
      </c>
      <c r="AZ32" s="230">
        <f t="shared" si="48"/>
        <v>4.7958573916100627E-3</v>
      </c>
      <c r="BB32" s="226"/>
      <c r="BC32" s="134"/>
      <c r="BD32" s="134"/>
      <c r="BE32" s="226"/>
      <c r="BF32" s="226"/>
      <c r="BG32" s="226"/>
      <c r="BH32" s="226"/>
      <c r="BI32" s="226"/>
      <c r="BJ32" s="226"/>
      <c r="BK32" s="226"/>
      <c r="BL32" s="226"/>
      <c r="BM32" s="226"/>
      <c r="BN32" s="226"/>
      <c r="BO32" s="226"/>
      <c r="BP32" s="226"/>
      <c r="BQ32" s="226"/>
      <c r="BR32" s="226"/>
      <c r="BS32" s="226"/>
      <c r="BT32" s="226"/>
      <c r="BU32" s="226"/>
      <c r="BV32" s="226"/>
      <c r="BW32" s="226"/>
      <c r="BX32" s="226"/>
      <c r="BY32" s="226"/>
      <c r="BZ32" s="226"/>
      <c r="CA32" s="226"/>
      <c r="CB32" s="226"/>
      <c r="CC32" s="226"/>
      <c r="CD32" s="226"/>
      <c r="CE32" s="226"/>
      <c r="CF32" s="226"/>
      <c r="CG32" s="226"/>
    </row>
    <row r="33" spans="1:85">
      <c r="A33" s="166" t="s">
        <v>11</v>
      </c>
      <c r="B33" s="166"/>
      <c r="C33" s="433">
        <v>33.727581672500591</v>
      </c>
      <c r="D33" s="230">
        <f t="shared" si="27"/>
        <v>5.9498759623315741E-3</v>
      </c>
      <c r="E33" s="432">
        <v>29.799100824585189</v>
      </c>
      <c r="F33" s="230">
        <f t="shared" si="28"/>
        <v>5.9218458788025917E-3</v>
      </c>
      <c r="G33" s="432">
        <v>27.763216818577451</v>
      </c>
      <c r="H33" s="230">
        <f t="shared" si="29"/>
        <v>4.9626400876126523E-3</v>
      </c>
      <c r="I33" s="91">
        <v>39.11</v>
      </c>
      <c r="J33" s="230">
        <f t="shared" si="49"/>
        <v>6.7309297494703548E-3</v>
      </c>
      <c r="K33" s="91">
        <v>35.32</v>
      </c>
      <c r="L33" s="230">
        <f t="shared" si="49"/>
        <v>7.19874613006251E-3</v>
      </c>
      <c r="M33" s="91">
        <v>35.04</v>
      </c>
      <c r="N33" s="230">
        <f t="shared" si="30"/>
        <v>7.2033105625941762E-3</v>
      </c>
      <c r="O33" s="91">
        <v>49.22</v>
      </c>
      <c r="P33" s="230">
        <f t="shared" si="31"/>
        <v>1.042770099065278E-2</v>
      </c>
      <c r="Q33" s="91">
        <v>43.54</v>
      </c>
      <c r="R33" s="230">
        <f t="shared" si="32"/>
        <v>9.1751045738549565E-3</v>
      </c>
      <c r="S33" s="91">
        <v>43.24</v>
      </c>
      <c r="T33" s="230">
        <f t="shared" si="33"/>
        <v>8.4593067046461641E-3</v>
      </c>
      <c r="U33" s="91">
        <v>41.68</v>
      </c>
      <c r="V33" s="230">
        <f t="shared" si="34"/>
        <v>7.7091105484233128E-3</v>
      </c>
      <c r="W33" s="91">
        <v>33.200000000000003</v>
      </c>
      <c r="X33" s="230">
        <f t="shared" si="35"/>
        <v>6.7772667609768255E-3</v>
      </c>
      <c r="Y33" s="91">
        <v>36.58</v>
      </c>
      <c r="Z33" s="230">
        <f t="shared" si="36"/>
        <v>6.9045574231542377E-3</v>
      </c>
      <c r="AA33" s="91"/>
      <c r="AB33" s="230" t="e">
        <f t="shared" si="37"/>
        <v>#DIV/0!</v>
      </c>
      <c r="AC33" s="91"/>
      <c r="AD33" s="230" t="e">
        <f t="shared" si="38"/>
        <v>#DIV/0!</v>
      </c>
      <c r="AE33" s="91"/>
      <c r="AF33" s="230" t="e">
        <f t="shared" si="39"/>
        <v>#DIV/0!</v>
      </c>
      <c r="AG33" s="91"/>
      <c r="AH33" s="230" t="e">
        <f t="shared" si="40"/>
        <v>#DIV/0!</v>
      </c>
      <c r="AI33" s="91"/>
      <c r="AJ33" s="230" t="e">
        <f t="shared" si="41"/>
        <v>#DIV/0!</v>
      </c>
      <c r="AK33" s="91"/>
      <c r="AL33" s="230" t="e">
        <f t="shared" si="42"/>
        <v>#DIV/0!</v>
      </c>
      <c r="AM33" s="91"/>
      <c r="AN33" s="230" t="e">
        <f t="shared" si="43"/>
        <v>#DIV/0!</v>
      </c>
      <c r="AO33" s="91"/>
      <c r="AP33" s="230" t="e">
        <f t="shared" si="43"/>
        <v>#DIV/0!</v>
      </c>
      <c r="AQ33" s="91"/>
      <c r="AR33" s="230" t="e">
        <f t="shared" si="44"/>
        <v>#DIV/0!</v>
      </c>
      <c r="AS33" s="91"/>
      <c r="AT33" s="230" t="e">
        <f t="shared" si="45"/>
        <v>#DIV/0!</v>
      </c>
      <c r="AU33" s="91"/>
      <c r="AV33" s="230" t="e">
        <f t="shared" si="46"/>
        <v>#DIV/0!</v>
      </c>
      <c r="AW33" s="91"/>
      <c r="AX33" s="230" t="e">
        <f t="shared" si="47"/>
        <v>#DIV/0!</v>
      </c>
      <c r="AY33" s="16">
        <f t="shared" si="50"/>
        <v>448.21989931566327</v>
      </c>
      <c r="AZ33" s="230">
        <f t="shared" si="48"/>
        <v>7.2227330986262116E-3</v>
      </c>
      <c r="BB33" s="226"/>
      <c r="BC33" s="134"/>
      <c r="BD33" s="134"/>
      <c r="BE33" s="226"/>
      <c r="BF33" s="226"/>
      <c r="BG33" s="226"/>
      <c r="BH33" s="226"/>
      <c r="BI33" s="226"/>
      <c r="BJ33" s="226"/>
      <c r="BK33" s="226"/>
      <c r="BL33" s="226"/>
      <c r="BM33" s="226"/>
      <c r="BN33" s="226"/>
      <c r="BO33" s="226"/>
      <c r="BP33" s="226"/>
      <c r="BQ33" s="226"/>
      <c r="BR33" s="226"/>
      <c r="BS33" s="226"/>
      <c r="BT33" s="226"/>
      <c r="BU33" s="226"/>
      <c r="BV33" s="226"/>
      <c r="BW33" s="226"/>
      <c r="BX33" s="226"/>
      <c r="BY33" s="226"/>
      <c r="BZ33" s="226"/>
      <c r="CA33" s="226"/>
      <c r="CB33" s="226"/>
      <c r="CC33" s="226"/>
      <c r="CD33" s="226"/>
      <c r="CE33" s="226"/>
      <c r="CF33" s="226"/>
      <c r="CG33" s="226"/>
    </row>
    <row r="34" spans="1:85">
      <c r="A34" s="166" t="s">
        <v>9</v>
      </c>
      <c r="B34" s="166"/>
      <c r="C34" s="433">
        <v>27.238316399585617</v>
      </c>
      <c r="D34" s="230">
        <f t="shared" si="27"/>
        <v>4.8051059685792399E-3</v>
      </c>
      <c r="E34" s="432">
        <v>17.843375901675028</v>
      </c>
      <c r="F34" s="230">
        <f t="shared" si="28"/>
        <v>3.5459365928277348E-3</v>
      </c>
      <c r="G34" s="432">
        <v>23.095212700378841</v>
      </c>
      <c r="H34" s="230">
        <f t="shared" si="29"/>
        <v>4.1282402225864805E-3</v>
      </c>
      <c r="I34" s="91">
        <v>42.22</v>
      </c>
      <c r="J34" s="230">
        <f t="shared" si="49"/>
        <v>7.2661686019595594E-3</v>
      </c>
      <c r="K34" s="91">
        <v>25.22</v>
      </c>
      <c r="L34" s="230">
        <f t="shared" si="49"/>
        <v>5.1402145356788361E-3</v>
      </c>
      <c r="M34" s="91">
        <v>28.18</v>
      </c>
      <c r="N34" s="230">
        <f t="shared" si="30"/>
        <v>5.7930733919493126E-3</v>
      </c>
      <c r="O34" s="91">
        <v>26.4</v>
      </c>
      <c r="P34" s="230">
        <f t="shared" si="31"/>
        <v>5.5930781420811338E-3</v>
      </c>
      <c r="Q34" s="91">
        <v>29.47</v>
      </c>
      <c r="R34" s="230">
        <f t="shared" si="32"/>
        <v>6.2101592051333381E-3</v>
      </c>
      <c r="S34" s="91">
        <v>36.659999999999997</v>
      </c>
      <c r="T34" s="230">
        <f t="shared" si="33"/>
        <v>7.1720209017652244E-3</v>
      </c>
      <c r="U34" s="91">
        <v>28.85</v>
      </c>
      <c r="V34" s="230">
        <f t="shared" si="34"/>
        <v>5.3360805979369621E-3</v>
      </c>
      <c r="W34" s="91">
        <v>20.77</v>
      </c>
      <c r="X34" s="230">
        <f t="shared" si="35"/>
        <v>4.2398744164303809E-3</v>
      </c>
      <c r="Y34" s="91">
        <v>29.35</v>
      </c>
      <c r="Z34" s="230">
        <f t="shared" si="36"/>
        <v>5.5398786323011722E-3</v>
      </c>
      <c r="AA34" s="91"/>
      <c r="AB34" s="230" t="e">
        <f t="shared" si="37"/>
        <v>#DIV/0!</v>
      </c>
      <c r="AC34" s="91"/>
      <c r="AD34" s="230" t="e">
        <f t="shared" si="38"/>
        <v>#DIV/0!</v>
      </c>
      <c r="AE34" s="91"/>
      <c r="AF34" s="230" t="e">
        <f t="shared" si="39"/>
        <v>#DIV/0!</v>
      </c>
      <c r="AG34" s="91"/>
      <c r="AH34" s="230" t="e">
        <f t="shared" si="40"/>
        <v>#DIV/0!</v>
      </c>
      <c r="AI34" s="91"/>
      <c r="AJ34" s="230" t="e">
        <f t="shared" si="41"/>
        <v>#DIV/0!</v>
      </c>
      <c r="AK34" s="91"/>
      <c r="AL34" s="230" t="e">
        <f t="shared" si="42"/>
        <v>#DIV/0!</v>
      </c>
      <c r="AM34" s="91"/>
      <c r="AN34" s="230" t="e">
        <f t="shared" si="43"/>
        <v>#DIV/0!</v>
      </c>
      <c r="AO34" s="91"/>
      <c r="AP34" s="230" t="e">
        <f t="shared" si="43"/>
        <v>#DIV/0!</v>
      </c>
      <c r="AQ34" s="91"/>
      <c r="AR34" s="230" t="e">
        <f t="shared" si="44"/>
        <v>#DIV/0!</v>
      </c>
      <c r="AS34" s="91"/>
      <c r="AT34" s="230" t="e">
        <f t="shared" si="45"/>
        <v>#DIV/0!</v>
      </c>
      <c r="AU34" s="91"/>
      <c r="AV34" s="230" t="e">
        <f t="shared" si="46"/>
        <v>#DIV/0!</v>
      </c>
      <c r="AW34" s="91"/>
      <c r="AX34" s="230" t="e">
        <f t="shared" si="47"/>
        <v>#DIV/0!</v>
      </c>
      <c r="AY34" s="16">
        <f t="shared" si="50"/>
        <v>335.29690500163952</v>
      </c>
      <c r="AZ34" s="230">
        <f t="shared" si="48"/>
        <v>5.4030623301637975E-3</v>
      </c>
      <c r="BB34" s="226"/>
      <c r="BC34" s="134"/>
      <c r="BD34" s="134"/>
      <c r="BE34" s="226"/>
      <c r="BF34" s="226"/>
      <c r="BG34" s="226"/>
      <c r="BH34" s="226"/>
      <c r="BI34" s="226"/>
      <c r="BJ34" s="226"/>
      <c r="BK34" s="226"/>
      <c r="BL34" s="226"/>
      <c r="BM34" s="226"/>
      <c r="BN34" s="226"/>
      <c r="BO34" s="226"/>
      <c r="BP34" s="226"/>
      <c r="BQ34" s="226"/>
      <c r="BR34" s="226"/>
      <c r="BS34" s="226"/>
      <c r="BT34" s="226"/>
      <c r="BU34" s="226"/>
      <c r="BV34" s="226"/>
      <c r="BW34" s="226"/>
      <c r="BX34" s="226"/>
      <c r="BY34" s="226"/>
      <c r="BZ34" s="226"/>
      <c r="CA34" s="226"/>
      <c r="CB34" s="226"/>
      <c r="CC34" s="226"/>
      <c r="CD34" s="226"/>
      <c r="CE34" s="226"/>
      <c r="CF34" s="226"/>
      <c r="CG34" s="226"/>
    </row>
    <row r="35" spans="1:85" ht="15">
      <c r="A35" s="166" t="s">
        <v>5</v>
      </c>
      <c r="B35" s="166"/>
      <c r="C35" s="436">
        <v>540.80618754726561</v>
      </c>
      <c r="D35" s="441">
        <f t="shared" si="27"/>
        <v>9.5403511784872413E-2</v>
      </c>
      <c r="E35" s="437">
        <v>455.6128608712732</v>
      </c>
      <c r="F35" s="230">
        <f t="shared" si="28"/>
        <v>9.0541964952647713E-2</v>
      </c>
      <c r="G35" s="437">
        <v>470.51137952849609</v>
      </c>
      <c r="H35" s="441">
        <f t="shared" si="29"/>
        <v>8.4103317313129963E-2</v>
      </c>
      <c r="I35" s="91">
        <f>776.65+8.68+11.02</f>
        <v>796.34999999999991</v>
      </c>
      <c r="J35" s="230">
        <f t="shared" si="49"/>
        <v>0.13705384571697049</v>
      </c>
      <c r="K35" s="91">
        <f>5.52+4.61+558.39</f>
        <v>568.52</v>
      </c>
      <c r="L35" s="230">
        <f t="shared" si="49"/>
        <v>0.11587290911277288</v>
      </c>
      <c r="M35" s="91">
        <f>6.71+8.7+598.68</f>
        <v>614.08999999999992</v>
      </c>
      <c r="N35" s="230">
        <f t="shared" si="30"/>
        <v>0.12624089564450505</v>
      </c>
      <c r="O35" s="91">
        <f>6.49+8.88+618.43</f>
        <v>633.79999999999995</v>
      </c>
      <c r="P35" s="230">
        <f t="shared" si="31"/>
        <v>0.13427624721405387</v>
      </c>
      <c r="Q35" s="91">
        <f>6.21+8.87+668.85</f>
        <v>683.93000000000006</v>
      </c>
      <c r="R35" s="230">
        <f t="shared" si="32"/>
        <v>0.14412331812578366</v>
      </c>
      <c r="S35" s="91">
        <f>7.06+9.9+733.68</f>
        <v>750.64</v>
      </c>
      <c r="T35" s="230">
        <f t="shared" si="33"/>
        <v>0.14685231232135976</v>
      </c>
      <c r="U35" s="98">
        <f>730.47+8.03+5.83</f>
        <v>744.33</v>
      </c>
      <c r="V35" s="230">
        <f t="shared" si="34"/>
        <v>0.13767087942677364</v>
      </c>
      <c r="W35" s="91">
        <f>4.64+6.39+694.98</f>
        <v>706.01</v>
      </c>
      <c r="X35" s="230">
        <f t="shared" si="35"/>
        <v>0.14412102728666409</v>
      </c>
      <c r="Y35" s="91">
        <f>6.03+8.4+734.57</f>
        <v>749</v>
      </c>
      <c r="Z35" s="230">
        <f t="shared" si="36"/>
        <v>0.14137543766928715</v>
      </c>
      <c r="AA35" s="91"/>
      <c r="AB35" s="230" t="e">
        <f t="shared" si="37"/>
        <v>#DIV/0!</v>
      </c>
      <c r="AC35" s="91"/>
      <c r="AD35" s="230" t="e">
        <f t="shared" si="38"/>
        <v>#DIV/0!</v>
      </c>
      <c r="AE35" s="91"/>
      <c r="AF35" s="230" t="e">
        <f t="shared" si="39"/>
        <v>#DIV/0!</v>
      </c>
      <c r="AG35" s="91"/>
      <c r="AH35" s="230" t="e">
        <f t="shared" si="40"/>
        <v>#DIV/0!</v>
      </c>
      <c r="AI35" s="91"/>
      <c r="AJ35" s="230" t="e">
        <f t="shared" si="41"/>
        <v>#DIV/0!</v>
      </c>
      <c r="AK35" s="91"/>
      <c r="AL35" s="230" t="e">
        <f t="shared" si="42"/>
        <v>#DIV/0!</v>
      </c>
      <c r="AM35" s="91"/>
      <c r="AN35" s="230" t="e">
        <f t="shared" si="43"/>
        <v>#DIV/0!</v>
      </c>
      <c r="AO35" s="91"/>
      <c r="AP35" s="230" t="e">
        <f t="shared" si="43"/>
        <v>#DIV/0!</v>
      </c>
      <c r="AQ35" s="91"/>
      <c r="AR35" s="230" t="e">
        <f t="shared" si="44"/>
        <v>#DIV/0!</v>
      </c>
      <c r="AS35" s="91"/>
      <c r="AT35" s="230" t="e">
        <f t="shared" si="45"/>
        <v>#DIV/0!</v>
      </c>
      <c r="AU35" s="91"/>
      <c r="AV35" s="230" t="e">
        <f t="shared" si="46"/>
        <v>#DIV/0!</v>
      </c>
      <c r="AW35" s="91"/>
      <c r="AX35" s="230" t="e">
        <f t="shared" si="47"/>
        <v>#DIV/0!</v>
      </c>
      <c r="AY35" s="17">
        <f t="shared" si="50"/>
        <v>7713.6004279470353</v>
      </c>
      <c r="AZ35" s="230">
        <f t="shared" si="48"/>
        <v>0.12429898182917073</v>
      </c>
      <c r="BB35" s="226"/>
      <c r="BC35" s="134"/>
      <c r="BD35" s="134"/>
      <c r="BE35" s="226"/>
      <c r="BF35" s="226"/>
      <c r="BG35" s="226"/>
      <c r="BH35" s="226"/>
      <c r="BI35" s="226"/>
      <c r="BJ35" s="226"/>
      <c r="BK35" s="226"/>
      <c r="BL35" s="226"/>
      <c r="BM35" s="226"/>
      <c r="BN35" s="226"/>
      <c r="BO35" s="226"/>
      <c r="BP35" s="226"/>
      <c r="BQ35" s="226"/>
      <c r="BR35" s="226"/>
      <c r="BS35" s="226"/>
      <c r="BT35" s="226"/>
      <c r="BU35" s="226"/>
      <c r="BV35" s="226"/>
      <c r="BW35" s="226"/>
      <c r="BX35" s="226"/>
      <c r="BY35" s="226"/>
      <c r="BZ35" s="226"/>
      <c r="CA35" s="226"/>
      <c r="CB35" s="226"/>
      <c r="CC35" s="226"/>
      <c r="CD35" s="226"/>
      <c r="CE35" s="226"/>
      <c r="CF35" s="226"/>
      <c r="CG35" s="226"/>
    </row>
    <row r="36" spans="1:85" s="1" customFormat="1" ht="13.5" thickBot="1">
      <c r="A36" s="232"/>
      <c r="B36" s="232"/>
      <c r="C36" s="233">
        <f>SUM(C25:C35)</f>
        <v>5668.6192932472131</v>
      </c>
      <c r="D36" s="234">
        <f t="shared" si="27"/>
        <v>1</v>
      </c>
      <c r="E36" s="233">
        <f>SUM(E25:E35)</f>
        <v>5032.0628794565355</v>
      </c>
      <c r="F36" s="234">
        <f t="shared" si="28"/>
        <v>1</v>
      </c>
      <c r="G36" s="233">
        <f>SUM(G25:G35)</f>
        <v>5594.444958415942</v>
      </c>
      <c r="H36" s="234">
        <f t="shared" si="29"/>
        <v>1</v>
      </c>
      <c r="I36" s="233">
        <f>SUM(I25:I35)</f>
        <v>5810.49</v>
      </c>
      <c r="J36" s="234">
        <f t="shared" si="49"/>
        <v>1</v>
      </c>
      <c r="K36" s="233">
        <f>SUM(K25:K35)</f>
        <v>4906.41</v>
      </c>
      <c r="L36" s="234">
        <f t="shared" si="49"/>
        <v>1</v>
      </c>
      <c r="M36" s="233">
        <f>SUM(M25:M35)</f>
        <v>4864.4300000000012</v>
      </c>
      <c r="N36" s="234">
        <f t="shared" si="30"/>
        <v>1</v>
      </c>
      <c r="O36" s="233">
        <f>SUM(O25:O35)</f>
        <v>4720.12</v>
      </c>
      <c r="P36" s="234">
        <f t="shared" si="31"/>
        <v>1</v>
      </c>
      <c r="Q36" s="233">
        <f>SUM(Q25:Q35)</f>
        <v>4745.45</v>
      </c>
      <c r="R36" s="234">
        <f t="shared" si="32"/>
        <v>1</v>
      </c>
      <c r="S36" s="233">
        <f>SUM(S25:S35)</f>
        <v>5111.53</v>
      </c>
      <c r="T36" s="234">
        <f t="shared" si="33"/>
        <v>1</v>
      </c>
      <c r="U36" s="233">
        <f>SUM(U25:U35)</f>
        <v>5406.59</v>
      </c>
      <c r="V36" s="234">
        <f t="shared" si="34"/>
        <v>1</v>
      </c>
      <c r="W36" s="233">
        <f>SUM(W25:W35)</f>
        <v>4898.7299999999996</v>
      </c>
      <c r="X36" s="234">
        <f t="shared" si="35"/>
        <v>1</v>
      </c>
      <c r="Y36" s="233">
        <f>SUM(Y25:Y35)</f>
        <v>5297.9500000000007</v>
      </c>
      <c r="Z36" s="234">
        <f t="shared" si="36"/>
        <v>1</v>
      </c>
      <c r="AA36" s="233">
        <f>SUM(AA25:AA35)</f>
        <v>0</v>
      </c>
      <c r="AB36" s="234" t="e">
        <f t="shared" si="37"/>
        <v>#DIV/0!</v>
      </c>
      <c r="AC36" s="233">
        <f>SUM(AC25:AC35)</f>
        <v>0</v>
      </c>
      <c r="AD36" s="234" t="e">
        <f t="shared" si="38"/>
        <v>#DIV/0!</v>
      </c>
      <c r="AE36" s="233">
        <f>SUM(AE25:AE35)</f>
        <v>0</v>
      </c>
      <c r="AF36" s="234" t="e">
        <f t="shared" si="39"/>
        <v>#DIV/0!</v>
      </c>
      <c r="AG36" s="233">
        <f>SUM(AG25:AG35)</f>
        <v>0</v>
      </c>
      <c r="AH36" s="234" t="e">
        <f t="shared" si="40"/>
        <v>#DIV/0!</v>
      </c>
      <c r="AI36" s="233">
        <f>SUM(AI25:AI35)</f>
        <v>0</v>
      </c>
      <c r="AJ36" s="234" t="e">
        <f t="shared" si="41"/>
        <v>#DIV/0!</v>
      </c>
      <c r="AK36" s="233">
        <f>SUM(AK25:AK35)</f>
        <v>0</v>
      </c>
      <c r="AL36" s="234" t="e">
        <f t="shared" si="42"/>
        <v>#DIV/0!</v>
      </c>
      <c r="AM36" s="233">
        <f>SUM(AM25:AM35)</f>
        <v>0</v>
      </c>
      <c r="AN36" s="234" t="e">
        <f t="shared" si="43"/>
        <v>#DIV/0!</v>
      </c>
      <c r="AO36" s="233">
        <f>SUM(AO25:AO35)</f>
        <v>0</v>
      </c>
      <c r="AP36" s="234" t="e">
        <f t="shared" si="43"/>
        <v>#DIV/0!</v>
      </c>
      <c r="AQ36" s="233">
        <f>SUM(AQ25:AQ35)</f>
        <v>0</v>
      </c>
      <c r="AR36" s="234" t="e">
        <f t="shared" si="44"/>
        <v>#DIV/0!</v>
      </c>
      <c r="AS36" s="233">
        <f>SUM(AS25:AS35)</f>
        <v>0</v>
      </c>
      <c r="AT36" s="234" t="e">
        <f t="shared" si="45"/>
        <v>#DIV/0!</v>
      </c>
      <c r="AU36" s="233">
        <f>SUM(AU25:AU35)</f>
        <v>0</v>
      </c>
      <c r="AV36" s="234" t="e">
        <f t="shared" si="46"/>
        <v>#DIV/0!</v>
      </c>
      <c r="AW36" s="233">
        <f>SUM(AW25:AW35)</f>
        <v>0</v>
      </c>
      <c r="AX36" s="234" t="e">
        <f t="shared" si="47"/>
        <v>#DIV/0!</v>
      </c>
      <c r="AY36" s="19">
        <f>SUM(AY25:AY35)</f>
        <v>62056.827131119688</v>
      </c>
      <c r="AZ36" s="234">
        <f t="shared" si="48"/>
        <v>1</v>
      </c>
      <c r="BB36" s="243"/>
      <c r="BC36" s="134"/>
      <c r="BD36" s="134"/>
    </row>
    <row r="37" spans="1:85" ht="13.5" thickTop="1">
      <c r="C37" s="131"/>
      <c r="E37" s="91"/>
      <c r="G37" s="91"/>
    </row>
    <row r="38" spans="1:85">
      <c r="C38" s="131"/>
      <c r="D38" s="230"/>
      <c r="E38" s="91"/>
      <c r="F38" s="230"/>
      <c r="G38" s="91"/>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O38" s="226"/>
      <c r="AQ38" s="226"/>
      <c r="AS38" s="226"/>
      <c r="AU38" s="226"/>
      <c r="AW38" s="226"/>
      <c r="BB38" s="226"/>
    </row>
    <row r="40" spans="1:85">
      <c r="A40" s="424" t="s">
        <v>202</v>
      </c>
      <c r="B40" s="424"/>
      <c r="C40" s="424"/>
    </row>
    <row r="41" spans="1:85">
      <c r="C41" s="513">
        <v>43739</v>
      </c>
      <c r="D41" s="513"/>
      <c r="E41" s="513">
        <v>43770</v>
      </c>
      <c r="F41" s="513"/>
      <c r="G41" s="513">
        <v>43800</v>
      </c>
      <c r="H41" s="513"/>
      <c r="I41" s="444">
        <v>43831</v>
      </c>
      <c r="J41" s="444"/>
      <c r="K41" s="444">
        <v>43862</v>
      </c>
      <c r="L41" s="444"/>
      <c r="M41" s="444">
        <v>43891</v>
      </c>
      <c r="N41" s="444"/>
      <c r="O41" s="444">
        <v>43922</v>
      </c>
      <c r="P41" s="444"/>
      <c r="Q41" s="444">
        <v>43952</v>
      </c>
      <c r="R41" s="444"/>
      <c r="S41" s="444">
        <v>43983</v>
      </c>
      <c r="T41" s="444"/>
      <c r="U41" s="444">
        <v>44013</v>
      </c>
      <c r="V41" s="444"/>
      <c r="W41" s="444">
        <v>44044</v>
      </c>
      <c r="X41" s="444"/>
      <c r="Y41" s="444">
        <v>44075</v>
      </c>
      <c r="Z41" s="444"/>
      <c r="AA41" s="444">
        <v>44105</v>
      </c>
      <c r="AB41" s="444"/>
      <c r="AC41" s="444">
        <v>44136</v>
      </c>
      <c r="AD41" s="444"/>
      <c r="AE41" s="444">
        <v>44166</v>
      </c>
      <c r="AF41" s="444"/>
      <c r="AG41" s="513">
        <v>44197</v>
      </c>
      <c r="AH41" s="513"/>
      <c r="AI41" s="513">
        <v>44228</v>
      </c>
      <c r="AJ41" s="513"/>
      <c r="AK41" s="513">
        <v>44256</v>
      </c>
      <c r="AL41" s="513"/>
      <c r="AM41" s="513">
        <v>44287</v>
      </c>
      <c r="AN41" s="513"/>
      <c r="AO41" s="513">
        <v>44317</v>
      </c>
      <c r="AP41" s="513"/>
      <c r="AQ41" s="513">
        <v>44348</v>
      </c>
      <c r="AR41" s="513"/>
      <c r="AS41" s="513">
        <v>44378</v>
      </c>
      <c r="AT41" s="513"/>
      <c r="AU41" s="513">
        <v>44409</v>
      </c>
      <c r="AV41" s="513"/>
      <c r="AW41" s="513">
        <v>44440</v>
      </c>
      <c r="AX41" s="513"/>
      <c r="AY41" s="513" t="s">
        <v>80</v>
      </c>
      <c r="AZ41" s="513"/>
    </row>
    <row r="42" spans="1:85">
      <c r="C42" s="229" t="s">
        <v>7</v>
      </c>
      <c r="D42" s="229" t="s">
        <v>117</v>
      </c>
      <c r="E42" s="229" t="s">
        <v>7</v>
      </c>
      <c r="F42" s="229" t="s">
        <v>117</v>
      </c>
      <c r="G42" s="229" t="s">
        <v>7</v>
      </c>
      <c r="H42" s="229" t="s">
        <v>117</v>
      </c>
      <c r="I42" s="229" t="s">
        <v>7</v>
      </c>
      <c r="J42" s="229" t="s">
        <v>117</v>
      </c>
      <c r="K42" s="229" t="s">
        <v>7</v>
      </c>
      <c r="L42" s="229" t="s">
        <v>117</v>
      </c>
      <c r="M42" s="229" t="s">
        <v>7</v>
      </c>
      <c r="N42" s="229" t="s">
        <v>117</v>
      </c>
      <c r="O42" s="229" t="s">
        <v>7</v>
      </c>
      <c r="P42" s="229" t="s">
        <v>117</v>
      </c>
      <c r="Q42" s="229" t="s">
        <v>7</v>
      </c>
      <c r="R42" s="229" t="s">
        <v>117</v>
      </c>
      <c r="S42" s="229" t="s">
        <v>7</v>
      </c>
      <c r="T42" s="229" t="s">
        <v>117</v>
      </c>
      <c r="U42" s="229" t="s">
        <v>7</v>
      </c>
      <c r="V42" s="229" t="s">
        <v>117</v>
      </c>
      <c r="W42" s="229" t="s">
        <v>7</v>
      </c>
      <c r="X42" s="229" t="s">
        <v>117</v>
      </c>
      <c r="Y42" s="229" t="s">
        <v>7</v>
      </c>
      <c r="Z42" s="229" t="s">
        <v>117</v>
      </c>
      <c r="AA42" s="229" t="s">
        <v>7</v>
      </c>
      <c r="AB42" s="229" t="s">
        <v>117</v>
      </c>
      <c r="AC42" s="229" t="s">
        <v>7</v>
      </c>
      <c r="AD42" s="229" t="s">
        <v>117</v>
      </c>
      <c r="AE42" s="229" t="s">
        <v>7</v>
      </c>
      <c r="AF42" s="229" t="s">
        <v>117</v>
      </c>
      <c r="AG42" s="229" t="s">
        <v>7</v>
      </c>
      <c r="AH42" s="229" t="s">
        <v>117</v>
      </c>
      <c r="AI42" s="229" t="s">
        <v>7</v>
      </c>
      <c r="AJ42" s="229" t="s">
        <v>117</v>
      </c>
      <c r="AK42" s="229" t="s">
        <v>7</v>
      </c>
      <c r="AL42" s="229" t="s">
        <v>117</v>
      </c>
      <c r="AM42" s="229" t="s">
        <v>7</v>
      </c>
      <c r="AN42" s="229" t="s">
        <v>117</v>
      </c>
      <c r="AO42" s="229" t="s">
        <v>7</v>
      </c>
      <c r="AP42" s="229" t="s">
        <v>117</v>
      </c>
      <c r="AQ42" s="229" t="s">
        <v>7</v>
      </c>
      <c r="AR42" s="229" t="s">
        <v>117</v>
      </c>
      <c r="AS42" s="229" t="s">
        <v>7</v>
      </c>
      <c r="AT42" s="229" t="s">
        <v>117</v>
      </c>
      <c r="AU42" s="229" t="s">
        <v>7</v>
      </c>
      <c r="AV42" s="229" t="s">
        <v>117</v>
      </c>
      <c r="AW42" s="229" t="s">
        <v>7</v>
      </c>
      <c r="AX42" s="229" t="s">
        <v>117</v>
      </c>
      <c r="AY42" s="229" t="s">
        <v>7</v>
      </c>
      <c r="AZ42" s="229" t="s">
        <v>117</v>
      </c>
    </row>
    <row r="43" spans="1:85">
      <c r="A43" s="166" t="s">
        <v>3</v>
      </c>
      <c r="B43" s="166"/>
      <c r="C43" s="91">
        <f>+C6*$B$57+C25*$B$59</f>
        <v>0</v>
      </c>
      <c r="D43" s="230">
        <f>+C43/C$54</f>
        <v>0</v>
      </c>
      <c r="E43" s="91">
        <f>+E6*$B$57+E25*$B$59</f>
        <v>0</v>
      </c>
      <c r="F43" s="230">
        <f>+E43/E$54</f>
        <v>0</v>
      </c>
      <c r="G43" s="91">
        <f t="shared" ref="G43:G53" si="51">+G6*$B$57+G25*$B$59</f>
        <v>0</v>
      </c>
      <c r="H43" s="230">
        <f t="shared" ref="H43:H54" si="52">+G43/G$54</f>
        <v>0</v>
      </c>
      <c r="I43" s="91">
        <f t="shared" ref="I43:I53" si="53">+I6*$B$57+I25*$B$59</f>
        <v>0</v>
      </c>
      <c r="J43" s="230">
        <f t="shared" ref="J43:J54" si="54">+I43/I$54</f>
        <v>0</v>
      </c>
      <c r="K43" s="91">
        <f t="shared" ref="K43:K53" si="55">+K6*$B$57+K25*$B$59</f>
        <v>0</v>
      </c>
      <c r="L43" s="230">
        <f t="shared" ref="L43:L54" si="56">+K43/K$54</f>
        <v>0</v>
      </c>
      <c r="M43" s="91">
        <f t="shared" ref="M43:M53" si="57">+M6*$B$57+M25*$B$59</f>
        <v>0</v>
      </c>
      <c r="N43" s="230">
        <f t="shared" ref="N43:N54" si="58">+M43/M$54</f>
        <v>0</v>
      </c>
      <c r="O43" s="91">
        <f t="shared" ref="O43:O53" si="59">+O6*$B$57+O25*$B$59</f>
        <v>0</v>
      </c>
      <c r="P43" s="230">
        <f t="shared" ref="P43:P54" si="60">+O43/O$54</f>
        <v>0</v>
      </c>
      <c r="Q43" s="91">
        <f t="shared" ref="Q43:Q53" si="61">+Q6*$B$57+Q25*$B$59</f>
        <v>0</v>
      </c>
      <c r="R43" s="230">
        <f t="shared" ref="R43:R54" si="62">+Q43/Q$54</f>
        <v>0</v>
      </c>
      <c r="S43" s="91">
        <f t="shared" ref="S43:S53" si="63">+S6*$B$57+S25*$B$59</f>
        <v>0</v>
      </c>
      <c r="T43" s="230">
        <f t="shared" ref="T43:T54" si="64">+S43/S$54</f>
        <v>0</v>
      </c>
      <c r="U43" s="91">
        <f t="shared" ref="U43:U53" si="65">+U6*$B$57+U25*$B$59</f>
        <v>0</v>
      </c>
      <c r="V43" s="230">
        <f t="shared" ref="V43:V54" si="66">+U43/U$54</f>
        <v>0</v>
      </c>
      <c r="W43" s="91">
        <f t="shared" ref="W43:W53" si="67">+W6*$B$57+W25*$B$59</f>
        <v>0</v>
      </c>
      <c r="X43" s="230">
        <f t="shared" ref="X43:X54" si="68">+W43/W$54</f>
        <v>0</v>
      </c>
      <c r="Y43" s="91">
        <f t="shared" ref="Y43:Y53" si="69">+Y6*$B$57+Y25*$B$59</f>
        <v>0</v>
      </c>
      <c r="Z43" s="230">
        <f t="shared" ref="Z43:Z54" si="70">+Y43/Y$54</f>
        <v>0</v>
      </c>
      <c r="AA43" s="91">
        <f t="shared" ref="AA43:AA53" si="71">+AA6*$B$57+AA25*$B$59</f>
        <v>0</v>
      </c>
      <c r="AB43" s="230" t="e">
        <f t="shared" ref="AB43:AB54" si="72">+AA43/AA$54</f>
        <v>#DIV/0!</v>
      </c>
      <c r="AC43" s="91">
        <f t="shared" ref="AC43:AC53" si="73">+AC6*$B$57+AC25*$B$59</f>
        <v>0</v>
      </c>
      <c r="AD43" s="230" t="e">
        <f t="shared" ref="AD43:AD54" si="74">+AC43/AC$54</f>
        <v>#DIV/0!</v>
      </c>
      <c r="AE43" s="91">
        <f t="shared" ref="AE43:AE53" si="75">+AE6*$B$57+AE25*$B$59</f>
        <v>0</v>
      </c>
      <c r="AF43" s="230" t="e">
        <f t="shared" ref="AF43:AF54" si="76">+AE43/AE$54</f>
        <v>#DIV/0!</v>
      </c>
      <c r="AG43" s="91">
        <f t="shared" ref="AG43:AG53" si="77">+AG6*$B$57+AG25*$B$59</f>
        <v>0</v>
      </c>
      <c r="AH43" s="230" t="e">
        <f t="shared" ref="AH43:AH54" si="78">+AG43/AG$54</f>
        <v>#DIV/0!</v>
      </c>
      <c r="AI43" s="91">
        <f t="shared" ref="AI43:AI53" si="79">+AI6*$B$57+AI25*$B$59</f>
        <v>0</v>
      </c>
      <c r="AJ43" s="230" t="e">
        <f t="shared" ref="AJ43:AJ54" si="80">+AI43/AI$54</f>
        <v>#DIV/0!</v>
      </c>
      <c r="AK43" s="91">
        <f t="shared" ref="AK43:AK53" si="81">+AK6*$B$57+AK25*$B$59</f>
        <v>0</v>
      </c>
      <c r="AL43" s="230" t="e">
        <f t="shared" ref="AL43:AL54" si="82">+AK43/AK$54</f>
        <v>#DIV/0!</v>
      </c>
      <c r="AM43" s="91">
        <f t="shared" ref="AM43:AM53" si="83">+AM6*$B$57+AM25*$B$59</f>
        <v>0</v>
      </c>
      <c r="AN43" s="230" t="e">
        <f t="shared" ref="AN43:AP54" si="84">+AM43/AM$54</f>
        <v>#DIV/0!</v>
      </c>
      <c r="AO43" s="91">
        <f t="shared" ref="AO43:AO53" si="85">+AO6*$B$57+AO25*$B$59</f>
        <v>0</v>
      </c>
      <c r="AP43" s="230" t="e">
        <f t="shared" si="84"/>
        <v>#DIV/0!</v>
      </c>
      <c r="AQ43" s="91">
        <f t="shared" ref="AQ43:AQ53" si="86">+AQ6*$B$57+AQ25*$B$59</f>
        <v>0</v>
      </c>
      <c r="AR43" s="230" t="e">
        <f t="shared" ref="AR43:AR54" si="87">+AQ43/AQ$54</f>
        <v>#DIV/0!</v>
      </c>
      <c r="AS43" s="91">
        <f t="shared" ref="AS43:AS53" si="88">+AS6*$B$57+AS25*$B$59</f>
        <v>0</v>
      </c>
      <c r="AT43" s="230" t="e">
        <f t="shared" ref="AT43:AT54" si="89">+AS43/AS$54</f>
        <v>#DIV/0!</v>
      </c>
      <c r="AU43" s="91">
        <f t="shared" ref="AU43:AU53" si="90">+AU6*$B$57+AU25*$B$59</f>
        <v>0</v>
      </c>
      <c r="AV43" s="230" t="e">
        <f t="shared" ref="AV43:AV54" si="91">+AU43/AU$54</f>
        <v>#DIV/0!</v>
      </c>
      <c r="AW43" s="91">
        <f t="shared" ref="AW43:AW53" si="92">+AW6*$B$57+AW25*$B$59</f>
        <v>0</v>
      </c>
      <c r="AX43" s="230" t="e">
        <f t="shared" ref="AX43:AX54" si="93">+AW43/AW$54</f>
        <v>#DIV/0!</v>
      </c>
      <c r="AY43" s="16">
        <f>+Y43+W43+U43+S43+Q43+O43+M43+K43+I43+G43+E43+C43+AA43+AC43+AE43+AG43+AI43+AK43+AM43+AO43+AQ43+AS43+AU43+AW43</f>
        <v>0</v>
      </c>
      <c r="AZ43" s="230">
        <f>+AY43/AY$54</f>
        <v>0</v>
      </c>
    </row>
    <row r="44" spans="1:85">
      <c r="A44" s="166" t="s">
        <v>6</v>
      </c>
      <c r="B44" s="166"/>
      <c r="C44" s="91">
        <f t="shared" ref="C44:E53" si="94">+C7*$B$57+C26*$B$59</f>
        <v>2379.1927858110125</v>
      </c>
      <c r="D44" s="230">
        <f t="shared" ref="D44:F54" si="95">+C44/C$54</f>
        <v>0.30872960409494554</v>
      </c>
      <c r="E44" s="91">
        <f t="shared" si="94"/>
        <v>2565.5818694978334</v>
      </c>
      <c r="F44" s="230">
        <f t="shared" si="95"/>
        <v>0.35549842167274731</v>
      </c>
      <c r="G44" s="91">
        <f t="shared" si="51"/>
        <v>3250.0548423570476</v>
      </c>
      <c r="H44" s="230">
        <f t="shared" si="52"/>
        <v>0.38563459339255646</v>
      </c>
      <c r="I44" s="91">
        <f t="shared" si="53"/>
        <v>3279.3</v>
      </c>
      <c r="J44" s="230">
        <f t="shared" si="54"/>
        <v>0.36724834199014944</v>
      </c>
      <c r="K44" s="91">
        <f t="shared" si="55"/>
        <v>2739.03</v>
      </c>
      <c r="L44" s="230">
        <f t="shared" si="56"/>
        <v>0.38310898135249</v>
      </c>
      <c r="M44" s="91">
        <f t="shared" si="57"/>
        <v>3412.03</v>
      </c>
      <c r="N44" s="230">
        <f t="shared" si="58"/>
        <v>0.43619881388715953</v>
      </c>
      <c r="O44" s="91">
        <f t="shared" si="59"/>
        <v>3429.94</v>
      </c>
      <c r="P44" s="230">
        <f t="shared" si="60"/>
        <v>0.41806970306780766</v>
      </c>
      <c r="Q44" s="91">
        <f t="shared" si="61"/>
        <v>3126.42</v>
      </c>
      <c r="R44" s="230">
        <f t="shared" si="62"/>
        <v>0.39529452819477334</v>
      </c>
      <c r="S44" s="91">
        <f t="shared" si="63"/>
        <v>3008.11</v>
      </c>
      <c r="T44" s="230">
        <f t="shared" si="64"/>
        <v>0.35663297667387889</v>
      </c>
      <c r="U44" s="91">
        <f t="shared" si="65"/>
        <v>3313.54</v>
      </c>
      <c r="V44" s="230">
        <f t="shared" si="66"/>
        <v>0.3916852843481447</v>
      </c>
      <c r="W44" s="91">
        <f t="shared" si="67"/>
        <v>2784.57</v>
      </c>
      <c r="X44" s="230">
        <f t="shared" si="68"/>
        <v>0.36236331197857496</v>
      </c>
      <c r="Y44" s="91">
        <f t="shared" si="69"/>
        <v>3142.74</v>
      </c>
      <c r="Z44" s="230">
        <f t="shared" si="70"/>
        <v>0.3901543366206835</v>
      </c>
      <c r="AA44" s="91">
        <f t="shared" si="71"/>
        <v>0</v>
      </c>
      <c r="AB44" s="230" t="e">
        <f t="shared" si="72"/>
        <v>#DIV/0!</v>
      </c>
      <c r="AC44" s="91">
        <f t="shared" si="73"/>
        <v>0</v>
      </c>
      <c r="AD44" s="230" t="e">
        <f t="shared" si="74"/>
        <v>#DIV/0!</v>
      </c>
      <c r="AE44" s="91">
        <f t="shared" si="75"/>
        <v>0</v>
      </c>
      <c r="AF44" s="230" t="e">
        <f t="shared" si="76"/>
        <v>#DIV/0!</v>
      </c>
      <c r="AG44" s="91">
        <f t="shared" si="77"/>
        <v>0</v>
      </c>
      <c r="AH44" s="230" t="e">
        <f t="shared" si="78"/>
        <v>#DIV/0!</v>
      </c>
      <c r="AI44" s="91">
        <f t="shared" si="79"/>
        <v>0</v>
      </c>
      <c r="AJ44" s="230" t="e">
        <f t="shared" si="80"/>
        <v>#DIV/0!</v>
      </c>
      <c r="AK44" s="91">
        <f t="shared" si="81"/>
        <v>0</v>
      </c>
      <c r="AL44" s="230" t="e">
        <f t="shared" si="82"/>
        <v>#DIV/0!</v>
      </c>
      <c r="AM44" s="91">
        <f t="shared" si="83"/>
        <v>0</v>
      </c>
      <c r="AN44" s="230" t="e">
        <f t="shared" si="84"/>
        <v>#DIV/0!</v>
      </c>
      <c r="AO44" s="91">
        <f t="shared" si="85"/>
        <v>0</v>
      </c>
      <c r="AP44" s="230" t="e">
        <f t="shared" si="84"/>
        <v>#DIV/0!</v>
      </c>
      <c r="AQ44" s="91">
        <f t="shared" si="86"/>
        <v>0</v>
      </c>
      <c r="AR44" s="230" t="e">
        <f t="shared" si="87"/>
        <v>#DIV/0!</v>
      </c>
      <c r="AS44" s="91">
        <f t="shared" si="88"/>
        <v>0</v>
      </c>
      <c r="AT44" s="230" t="e">
        <f t="shared" si="89"/>
        <v>#DIV/0!</v>
      </c>
      <c r="AU44" s="91">
        <f t="shared" si="90"/>
        <v>0</v>
      </c>
      <c r="AV44" s="230" t="e">
        <f t="shared" si="91"/>
        <v>#DIV/0!</v>
      </c>
      <c r="AW44" s="91">
        <f t="shared" si="92"/>
        <v>0</v>
      </c>
      <c r="AX44" s="230" t="e">
        <f t="shared" si="93"/>
        <v>#DIV/0!</v>
      </c>
      <c r="AY44" s="16">
        <f t="shared" ref="AY44:AY53" si="96">+Y44+W44+U44+S44+Q44+O44+M44+K44+I44+G44+E44+C44+AA44+AC44+AE44+AG44+AI44+AK44+AM44+AO44+AQ44+AS44+AU44+AW44</f>
        <v>36430.509497665887</v>
      </c>
      <c r="AZ44" s="230">
        <f t="shared" ref="AZ44:AZ53" si="97">+AY44/AY$54</f>
        <v>0.37948655042821872</v>
      </c>
    </row>
    <row r="45" spans="1:85">
      <c r="A45" s="166" t="s">
        <v>1</v>
      </c>
      <c r="B45" s="166"/>
      <c r="C45" s="91">
        <f t="shared" si="94"/>
        <v>2057.2166006991879</v>
      </c>
      <c r="D45" s="230">
        <f t="shared" si="95"/>
        <v>0.2669492234757726</v>
      </c>
      <c r="E45" s="91">
        <f t="shared" si="94"/>
        <v>1852.5743955589733</v>
      </c>
      <c r="F45" s="230">
        <f t="shared" si="95"/>
        <v>0.25670093848202374</v>
      </c>
      <c r="G45" s="91">
        <f t="shared" si="51"/>
        <v>1969.9456958750391</v>
      </c>
      <c r="H45" s="230">
        <f t="shared" si="52"/>
        <v>0.23374350411983905</v>
      </c>
      <c r="I45" s="91">
        <f t="shared" si="53"/>
        <v>1864.32</v>
      </c>
      <c r="J45" s="230">
        <f t="shared" si="54"/>
        <v>0.20878493243651855</v>
      </c>
      <c r="K45" s="91">
        <f t="shared" si="55"/>
        <v>1539.44</v>
      </c>
      <c r="L45" s="230">
        <f t="shared" si="56"/>
        <v>0.21532195348472899</v>
      </c>
      <c r="M45" s="91">
        <f t="shared" si="57"/>
        <v>1359.46</v>
      </c>
      <c r="N45" s="230">
        <f t="shared" si="58"/>
        <v>0.17379531819094143</v>
      </c>
      <c r="O45" s="91">
        <f t="shared" si="59"/>
        <v>1190.74</v>
      </c>
      <c r="P45" s="230">
        <f t="shared" si="60"/>
        <v>0.14513732550160097</v>
      </c>
      <c r="Q45" s="91">
        <f t="shared" si="61"/>
        <v>1195.6099999999999</v>
      </c>
      <c r="R45" s="230">
        <f t="shared" si="62"/>
        <v>0.15116909783552848</v>
      </c>
      <c r="S45" s="91">
        <f t="shared" si="63"/>
        <v>1487.14</v>
      </c>
      <c r="T45" s="230">
        <f t="shared" si="64"/>
        <v>0.17631109398618811</v>
      </c>
      <c r="U45" s="91">
        <f t="shared" si="65"/>
        <v>1480.76</v>
      </c>
      <c r="V45" s="230">
        <f t="shared" si="66"/>
        <v>0.17503693984420249</v>
      </c>
      <c r="W45" s="91">
        <f t="shared" si="67"/>
        <v>1620.11</v>
      </c>
      <c r="X45" s="230">
        <f t="shared" si="68"/>
        <v>0.21082911378403454</v>
      </c>
      <c r="Y45" s="91">
        <f t="shared" si="69"/>
        <v>1756.62</v>
      </c>
      <c r="Z45" s="230">
        <f t="shared" si="70"/>
        <v>0.21807496350147484</v>
      </c>
      <c r="AA45" s="91">
        <f t="shared" si="71"/>
        <v>0</v>
      </c>
      <c r="AB45" s="230" t="e">
        <f t="shared" si="72"/>
        <v>#DIV/0!</v>
      </c>
      <c r="AC45" s="91">
        <f t="shared" si="73"/>
        <v>0</v>
      </c>
      <c r="AD45" s="230" t="e">
        <f t="shared" si="74"/>
        <v>#DIV/0!</v>
      </c>
      <c r="AE45" s="91">
        <f t="shared" si="75"/>
        <v>0</v>
      </c>
      <c r="AF45" s="230" t="e">
        <f t="shared" si="76"/>
        <v>#DIV/0!</v>
      </c>
      <c r="AG45" s="91">
        <f t="shared" si="77"/>
        <v>0</v>
      </c>
      <c r="AH45" s="230" t="e">
        <f t="shared" si="78"/>
        <v>#DIV/0!</v>
      </c>
      <c r="AI45" s="91">
        <f t="shared" si="79"/>
        <v>0</v>
      </c>
      <c r="AJ45" s="230" t="e">
        <f t="shared" si="80"/>
        <v>#DIV/0!</v>
      </c>
      <c r="AK45" s="91">
        <f t="shared" si="81"/>
        <v>0</v>
      </c>
      <c r="AL45" s="230" t="e">
        <f t="shared" si="82"/>
        <v>#DIV/0!</v>
      </c>
      <c r="AM45" s="91">
        <f t="shared" si="83"/>
        <v>0</v>
      </c>
      <c r="AN45" s="230" t="e">
        <f t="shared" si="84"/>
        <v>#DIV/0!</v>
      </c>
      <c r="AO45" s="91">
        <f t="shared" si="85"/>
        <v>0</v>
      </c>
      <c r="AP45" s="230" t="e">
        <f t="shared" si="84"/>
        <v>#DIV/0!</v>
      </c>
      <c r="AQ45" s="91">
        <f t="shared" si="86"/>
        <v>0</v>
      </c>
      <c r="AR45" s="230" t="e">
        <f t="shared" si="87"/>
        <v>#DIV/0!</v>
      </c>
      <c r="AS45" s="91">
        <f t="shared" si="88"/>
        <v>0</v>
      </c>
      <c r="AT45" s="230" t="e">
        <f t="shared" si="89"/>
        <v>#DIV/0!</v>
      </c>
      <c r="AU45" s="91">
        <f t="shared" si="90"/>
        <v>0</v>
      </c>
      <c r="AV45" s="230" t="e">
        <f t="shared" si="91"/>
        <v>#DIV/0!</v>
      </c>
      <c r="AW45" s="91">
        <f t="shared" si="92"/>
        <v>0</v>
      </c>
      <c r="AX45" s="230" t="e">
        <f t="shared" si="93"/>
        <v>#DIV/0!</v>
      </c>
      <c r="AY45" s="16">
        <f t="shared" si="96"/>
        <v>19373.9366921332</v>
      </c>
      <c r="AZ45" s="230">
        <f t="shared" si="97"/>
        <v>0.20181294483359824</v>
      </c>
    </row>
    <row r="46" spans="1:85">
      <c r="A46" s="166" t="s">
        <v>0</v>
      </c>
      <c r="B46" s="166"/>
      <c r="C46" s="91">
        <f t="shared" si="94"/>
        <v>60.144038380576617</v>
      </c>
      <c r="D46" s="230">
        <f t="shared" si="95"/>
        <v>7.804430674405032E-3</v>
      </c>
      <c r="E46" s="91">
        <f t="shared" si="94"/>
        <v>85.632200536100783</v>
      </c>
      <c r="F46" s="230">
        <f t="shared" si="95"/>
        <v>1.1865578135265864E-2</v>
      </c>
      <c r="G46" s="91">
        <f t="shared" si="51"/>
        <v>52.985604687451819</v>
      </c>
      <c r="H46" s="230">
        <f t="shared" si="52"/>
        <v>6.2869961001905637E-3</v>
      </c>
      <c r="I46" s="91">
        <f t="shared" si="53"/>
        <v>60.98</v>
      </c>
      <c r="J46" s="230">
        <f t="shared" si="54"/>
        <v>6.829141552940966E-3</v>
      </c>
      <c r="K46" s="91">
        <f t="shared" si="55"/>
        <v>55.48</v>
      </c>
      <c r="L46" s="230">
        <f t="shared" si="56"/>
        <v>7.7600049234349908E-3</v>
      </c>
      <c r="M46" s="91">
        <f t="shared" si="57"/>
        <v>74.78</v>
      </c>
      <c r="N46" s="230">
        <f t="shared" si="58"/>
        <v>9.5599825624281699E-3</v>
      </c>
      <c r="O46" s="91">
        <f t="shared" si="59"/>
        <v>104.47</v>
      </c>
      <c r="P46" s="230">
        <f t="shared" si="60"/>
        <v>1.2733675189505899E-2</v>
      </c>
      <c r="Q46" s="91">
        <f t="shared" si="61"/>
        <v>100.71</v>
      </c>
      <c r="R46" s="230">
        <f t="shared" si="62"/>
        <v>1.2733449739476981E-2</v>
      </c>
      <c r="S46" s="91">
        <f t="shared" si="63"/>
        <v>88.58</v>
      </c>
      <c r="T46" s="230">
        <f t="shared" si="64"/>
        <v>1.0501793177035479E-2</v>
      </c>
      <c r="U46" s="91">
        <f t="shared" si="65"/>
        <v>76.92</v>
      </c>
      <c r="V46" s="230">
        <f t="shared" si="66"/>
        <v>9.0925210113833813E-3</v>
      </c>
      <c r="W46" s="91">
        <f t="shared" si="67"/>
        <v>64.290000000000006</v>
      </c>
      <c r="X46" s="230">
        <f t="shared" si="68"/>
        <v>8.3662243459861254E-3</v>
      </c>
      <c r="Y46" s="91">
        <f t="shared" si="69"/>
        <v>66.47</v>
      </c>
      <c r="Z46" s="230">
        <f t="shared" si="70"/>
        <v>8.251894447258391E-3</v>
      </c>
      <c r="AA46" s="91">
        <f t="shared" si="71"/>
        <v>0</v>
      </c>
      <c r="AB46" s="230" t="e">
        <f t="shared" si="72"/>
        <v>#DIV/0!</v>
      </c>
      <c r="AC46" s="91">
        <f t="shared" si="73"/>
        <v>0</v>
      </c>
      <c r="AD46" s="230" t="e">
        <f t="shared" si="74"/>
        <v>#DIV/0!</v>
      </c>
      <c r="AE46" s="91">
        <f t="shared" si="75"/>
        <v>0</v>
      </c>
      <c r="AF46" s="230" t="e">
        <f t="shared" si="76"/>
        <v>#DIV/0!</v>
      </c>
      <c r="AG46" s="91">
        <f t="shared" si="77"/>
        <v>0</v>
      </c>
      <c r="AH46" s="230" t="e">
        <f t="shared" si="78"/>
        <v>#DIV/0!</v>
      </c>
      <c r="AI46" s="91">
        <f t="shared" si="79"/>
        <v>0</v>
      </c>
      <c r="AJ46" s="230" t="e">
        <f t="shared" si="80"/>
        <v>#DIV/0!</v>
      </c>
      <c r="AK46" s="91">
        <f t="shared" si="81"/>
        <v>0</v>
      </c>
      <c r="AL46" s="230" t="e">
        <f t="shared" si="82"/>
        <v>#DIV/0!</v>
      </c>
      <c r="AM46" s="91">
        <f t="shared" si="83"/>
        <v>0</v>
      </c>
      <c r="AN46" s="230" t="e">
        <f t="shared" si="84"/>
        <v>#DIV/0!</v>
      </c>
      <c r="AO46" s="91">
        <f t="shared" si="85"/>
        <v>0</v>
      </c>
      <c r="AP46" s="230" t="e">
        <f t="shared" si="84"/>
        <v>#DIV/0!</v>
      </c>
      <c r="AQ46" s="91">
        <f t="shared" si="86"/>
        <v>0</v>
      </c>
      <c r="AR46" s="230" t="e">
        <f t="shared" si="87"/>
        <v>#DIV/0!</v>
      </c>
      <c r="AS46" s="91">
        <f t="shared" si="88"/>
        <v>0</v>
      </c>
      <c r="AT46" s="230" t="e">
        <f t="shared" si="89"/>
        <v>#DIV/0!</v>
      </c>
      <c r="AU46" s="91">
        <f t="shared" si="90"/>
        <v>0</v>
      </c>
      <c r="AV46" s="230" t="e">
        <f t="shared" si="91"/>
        <v>#DIV/0!</v>
      </c>
      <c r="AW46" s="91">
        <f t="shared" si="92"/>
        <v>0</v>
      </c>
      <c r="AX46" s="230" t="e">
        <f t="shared" si="93"/>
        <v>#DIV/0!</v>
      </c>
      <c r="AY46" s="16">
        <f t="shared" si="96"/>
        <v>891.44184360412908</v>
      </c>
      <c r="AZ46" s="230">
        <f t="shared" si="97"/>
        <v>9.2859033486308203E-3</v>
      </c>
    </row>
    <row r="47" spans="1:85">
      <c r="A47" s="166" t="s">
        <v>4</v>
      </c>
      <c r="B47" s="166"/>
      <c r="C47" s="91">
        <f t="shared" si="94"/>
        <v>82.358416335135558</v>
      </c>
      <c r="D47" s="230">
        <f t="shared" si="95"/>
        <v>1.0687020161069373E-2</v>
      </c>
      <c r="E47" s="91">
        <f t="shared" si="94"/>
        <v>51.40035881617122</v>
      </c>
      <c r="F47" s="230">
        <f t="shared" si="95"/>
        <v>7.1222620684243893E-3</v>
      </c>
      <c r="G47" s="91">
        <f t="shared" si="51"/>
        <v>86.222950097151127</v>
      </c>
      <c r="H47" s="230">
        <f t="shared" si="52"/>
        <v>1.023076652999097E-2</v>
      </c>
      <c r="I47" s="91">
        <f t="shared" si="53"/>
        <v>94.07</v>
      </c>
      <c r="J47" s="230">
        <f t="shared" si="54"/>
        <v>1.0534885960727396E-2</v>
      </c>
      <c r="K47" s="91">
        <f t="shared" si="55"/>
        <v>74.180000000000007</v>
      </c>
      <c r="L47" s="230">
        <f t="shared" si="56"/>
        <v>1.0375579762444263E-2</v>
      </c>
      <c r="M47" s="91">
        <f t="shared" si="57"/>
        <v>79.44</v>
      </c>
      <c r="N47" s="230">
        <f t="shared" si="58"/>
        <v>1.0155723652838912E-2</v>
      </c>
      <c r="O47" s="91">
        <f t="shared" si="59"/>
        <v>107.26</v>
      </c>
      <c r="P47" s="230">
        <f t="shared" si="60"/>
        <v>1.3073743666376977E-2</v>
      </c>
      <c r="Q47" s="91">
        <f t="shared" si="61"/>
        <v>95.1</v>
      </c>
      <c r="R47" s="230">
        <f t="shared" si="62"/>
        <v>1.2024139313119461E-2</v>
      </c>
      <c r="S47" s="91">
        <f t="shared" si="63"/>
        <v>84.86</v>
      </c>
      <c r="T47" s="230">
        <f t="shared" si="64"/>
        <v>1.0060760544177361E-2</v>
      </c>
      <c r="U47" s="91">
        <f t="shared" si="65"/>
        <v>60.26</v>
      </c>
      <c r="V47" s="230">
        <f t="shared" si="66"/>
        <v>7.1231840372590035E-3</v>
      </c>
      <c r="W47" s="91">
        <f t="shared" si="67"/>
        <v>67.12</v>
      </c>
      <c r="X47" s="230">
        <f t="shared" si="68"/>
        <v>8.7344995816237159E-3</v>
      </c>
      <c r="Y47" s="91">
        <f t="shared" si="69"/>
        <v>67.430000000000007</v>
      </c>
      <c r="Z47" s="230">
        <f t="shared" si="70"/>
        <v>8.3710733049290401E-3</v>
      </c>
      <c r="AA47" s="91">
        <f t="shared" si="71"/>
        <v>0</v>
      </c>
      <c r="AB47" s="230" t="e">
        <f t="shared" si="72"/>
        <v>#DIV/0!</v>
      </c>
      <c r="AC47" s="91">
        <f t="shared" si="73"/>
        <v>0</v>
      </c>
      <c r="AD47" s="230" t="e">
        <f t="shared" si="74"/>
        <v>#DIV/0!</v>
      </c>
      <c r="AE47" s="91">
        <f t="shared" si="75"/>
        <v>0</v>
      </c>
      <c r="AF47" s="230" t="e">
        <f t="shared" si="76"/>
        <v>#DIV/0!</v>
      </c>
      <c r="AG47" s="91">
        <f t="shared" si="77"/>
        <v>0</v>
      </c>
      <c r="AH47" s="230" t="e">
        <f t="shared" si="78"/>
        <v>#DIV/0!</v>
      </c>
      <c r="AI47" s="91">
        <f t="shared" si="79"/>
        <v>0</v>
      </c>
      <c r="AJ47" s="230" t="e">
        <f t="shared" si="80"/>
        <v>#DIV/0!</v>
      </c>
      <c r="AK47" s="91">
        <f t="shared" si="81"/>
        <v>0</v>
      </c>
      <c r="AL47" s="230" t="e">
        <f t="shared" si="82"/>
        <v>#DIV/0!</v>
      </c>
      <c r="AM47" s="91">
        <f t="shared" si="83"/>
        <v>0</v>
      </c>
      <c r="AN47" s="230" t="e">
        <f t="shared" si="84"/>
        <v>#DIV/0!</v>
      </c>
      <c r="AO47" s="91">
        <f t="shared" si="85"/>
        <v>0</v>
      </c>
      <c r="AP47" s="230" t="e">
        <f t="shared" si="84"/>
        <v>#DIV/0!</v>
      </c>
      <c r="AQ47" s="91">
        <f t="shared" si="86"/>
        <v>0</v>
      </c>
      <c r="AR47" s="230" t="e">
        <f t="shared" si="87"/>
        <v>#DIV/0!</v>
      </c>
      <c r="AS47" s="91">
        <f t="shared" si="88"/>
        <v>0</v>
      </c>
      <c r="AT47" s="230" t="e">
        <f t="shared" si="89"/>
        <v>#DIV/0!</v>
      </c>
      <c r="AU47" s="91">
        <f t="shared" si="90"/>
        <v>0</v>
      </c>
      <c r="AV47" s="230" t="e">
        <f t="shared" si="91"/>
        <v>#DIV/0!</v>
      </c>
      <c r="AW47" s="91">
        <f t="shared" si="92"/>
        <v>0</v>
      </c>
      <c r="AX47" s="230" t="e">
        <f t="shared" si="93"/>
        <v>#DIV/0!</v>
      </c>
      <c r="AY47" s="16">
        <f t="shared" si="96"/>
        <v>949.70172524845793</v>
      </c>
      <c r="AZ47" s="230">
        <f t="shared" si="97"/>
        <v>9.8927804365007872E-3</v>
      </c>
    </row>
    <row r="48" spans="1:85">
      <c r="A48" s="166" t="s">
        <v>2</v>
      </c>
      <c r="B48" s="166"/>
      <c r="C48" s="91">
        <f t="shared" si="94"/>
        <v>1750.5816545149539</v>
      </c>
      <c r="D48" s="230">
        <f t="shared" si="95"/>
        <v>0.22715955779516506</v>
      </c>
      <c r="E48" s="91">
        <f t="shared" si="94"/>
        <v>1230.2020306775223</v>
      </c>
      <c r="F48" s="230">
        <f t="shared" si="95"/>
        <v>0.17046225865716313</v>
      </c>
      <c r="G48" s="91">
        <f t="shared" si="51"/>
        <v>1632.9760951158146</v>
      </c>
      <c r="H48" s="230">
        <f t="shared" si="52"/>
        <v>0.19376044497853739</v>
      </c>
      <c r="I48" s="91">
        <f t="shared" si="53"/>
        <v>1876.73</v>
      </c>
      <c r="J48" s="230">
        <f t="shared" si="54"/>
        <v>0.21017472657676123</v>
      </c>
      <c r="K48" s="91">
        <f t="shared" si="55"/>
        <v>1298.8499999999999</v>
      </c>
      <c r="L48" s="230">
        <f t="shared" si="56"/>
        <v>0.18167055506134711</v>
      </c>
      <c r="M48" s="91">
        <f t="shared" si="57"/>
        <v>1332.25</v>
      </c>
      <c r="N48" s="230">
        <f t="shared" si="58"/>
        <v>0.17031675272525981</v>
      </c>
      <c r="O48" s="91">
        <f t="shared" si="59"/>
        <v>1629.98</v>
      </c>
      <c r="P48" s="230">
        <f t="shared" si="60"/>
        <v>0.19867556126534724</v>
      </c>
      <c r="Q48" s="91">
        <f t="shared" si="61"/>
        <v>1769.67</v>
      </c>
      <c r="R48" s="230">
        <f t="shared" si="62"/>
        <v>0.22375140502889712</v>
      </c>
      <c r="S48" s="91">
        <f t="shared" si="63"/>
        <v>2001.38</v>
      </c>
      <c r="T48" s="230">
        <f t="shared" si="64"/>
        <v>0.23727792762085423</v>
      </c>
      <c r="U48" s="91">
        <f t="shared" si="65"/>
        <v>2012.56</v>
      </c>
      <c r="V48" s="230">
        <f t="shared" si="66"/>
        <v>0.23789968911427117</v>
      </c>
      <c r="W48" s="91">
        <f t="shared" si="67"/>
        <v>1537.3</v>
      </c>
      <c r="X48" s="230">
        <f t="shared" si="68"/>
        <v>0.20005283383239181</v>
      </c>
      <c r="Y48" s="91">
        <f t="shared" si="69"/>
        <v>1566.76</v>
      </c>
      <c r="Z48" s="230">
        <f t="shared" si="70"/>
        <v>0.19450486150423585</v>
      </c>
      <c r="AA48" s="91">
        <f t="shared" si="71"/>
        <v>0</v>
      </c>
      <c r="AB48" s="230" t="e">
        <f t="shared" si="72"/>
        <v>#DIV/0!</v>
      </c>
      <c r="AC48" s="91">
        <f t="shared" si="73"/>
        <v>0</v>
      </c>
      <c r="AD48" s="230" t="e">
        <f t="shared" si="74"/>
        <v>#DIV/0!</v>
      </c>
      <c r="AE48" s="91">
        <f t="shared" si="75"/>
        <v>0</v>
      </c>
      <c r="AF48" s="230" t="e">
        <f t="shared" si="76"/>
        <v>#DIV/0!</v>
      </c>
      <c r="AG48" s="91">
        <f t="shared" si="77"/>
        <v>0</v>
      </c>
      <c r="AH48" s="230" t="e">
        <f t="shared" si="78"/>
        <v>#DIV/0!</v>
      </c>
      <c r="AI48" s="91">
        <f t="shared" si="79"/>
        <v>0</v>
      </c>
      <c r="AJ48" s="230" t="e">
        <f t="shared" si="80"/>
        <v>#DIV/0!</v>
      </c>
      <c r="AK48" s="91">
        <f t="shared" si="81"/>
        <v>0</v>
      </c>
      <c r="AL48" s="230" t="e">
        <f t="shared" si="82"/>
        <v>#DIV/0!</v>
      </c>
      <c r="AM48" s="91">
        <f t="shared" si="83"/>
        <v>0</v>
      </c>
      <c r="AN48" s="230" t="e">
        <f t="shared" si="84"/>
        <v>#DIV/0!</v>
      </c>
      <c r="AO48" s="91">
        <f t="shared" si="85"/>
        <v>0</v>
      </c>
      <c r="AP48" s="230" t="e">
        <f t="shared" si="84"/>
        <v>#DIV/0!</v>
      </c>
      <c r="AQ48" s="91">
        <f t="shared" si="86"/>
        <v>0</v>
      </c>
      <c r="AR48" s="230" t="e">
        <f t="shared" si="87"/>
        <v>#DIV/0!</v>
      </c>
      <c r="AS48" s="91">
        <f t="shared" si="88"/>
        <v>0</v>
      </c>
      <c r="AT48" s="230" t="e">
        <f t="shared" si="89"/>
        <v>#DIV/0!</v>
      </c>
      <c r="AU48" s="91">
        <f t="shared" si="90"/>
        <v>0</v>
      </c>
      <c r="AV48" s="230" t="e">
        <f t="shared" si="91"/>
        <v>#DIV/0!</v>
      </c>
      <c r="AW48" s="91">
        <f t="shared" si="92"/>
        <v>0</v>
      </c>
      <c r="AX48" s="230" t="e">
        <f t="shared" si="93"/>
        <v>#DIV/0!</v>
      </c>
      <c r="AY48" s="16">
        <f t="shared" si="96"/>
        <v>19639.239780308289</v>
      </c>
      <c r="AZ48" s="230">
        <f t="shared" si="97"/>
        <v>0.2045765337907049</v>
      </c>
    </row>
    <row r="49" spans="1:52">
      <c r="A49" s="166" t="s">
        <v>8</v>
      </c>
      <c r="B49" s="166"/>
      <c r="C49" s="91">
        <f t="shared" si="94"/>
        <v>40.456774692149274</v>
      </c>
      <c r="D49" s="230">
        <f t="shared" si="95"/>
        <v>5.2497654280706102E-3</v>
      </c>
      <c r="E49" s="91">
        <f t="shared" si="94"/>
        <v>57.999378186939623</v>
      </c>
      <c r="F49" s="230">
        <f t="shared" si="95"/>
        <v>8.0366515091929384E-3</v>
      </c>
      <c r="G49" s="91">
        <f t="shared" si="51"/>
        <v>22.41529870124214</v>
      </c>
      <c r="H49" s="230">
        <f t="shared" si="52"/>
        <v>2.6596826883564873E-3</v>
      </c>
      <c r="I49" s="91">
        <f t="shared" si="53"/>
        <v>33.090000000000003</v>
      </c>
      <c r="J49" s="230">
        <f t="shared" si="54"/>
        <v>3.7057444077864318E-3</v>
      </c>
      <c r="K49" s="91">
        <f t="shared" si="55"/>
        <v>56.03</v>
      </c>
      <c r="L49" s="230">
        <f t="shared" si="56"/>
        <v>7.8369335951705577E-3</v>
      </c>
      <c r="M49" s="91">
        <f t="shared" si="57"/>
        <v>54.79</v>
      </c>
      <c r="N49" s="230">
        <f t="shared" si="58"/>
        <v>7.0044322625760821E-3</v>
      </c>
      <c r="O49" s="91">
        <f t="shared" si="59"/>
        <v>73</v>
      </c>
      <c r="P49" s="230">
        <f t="shared" si="60"/>
        <v>8.8978490364117029E-3</v>
      </c>
      <c r="Q49" s="91">
        <f t="shared" si="61"/>
        <v>25.93</v>
      </c>
      <c r="R49" s="230">
        <f t="shared" si="62"/>
        <v>3.278506123966221E-3</v>
      </c>
      <c r="S49" s="91">
        <f t="shared" si="63"/>
        <v>18.649999999999999</v>
      </c>
      <c r="T49" s="230">
        <f t="shared" si="64"/>
        <v>2.2110910222591065E-3</v>
      </c>
      <c r="U49" s="91">
        <f t="shared" si="65"/>
        <v>8.2899999999999991</v>
      </c>
      <c r="V49" s="230">
        <f t="shared" si="66"/>
        <v>9.7994018700426721E-4</v>
      </c>
      <c r="W49" s="91">
        <f t="shared" si="67"/>
        <v>41.33</v>
      </c>
      <c r="X49" s="230">
        <f t="shared" si="68"/>
        <v>5.3783800314140071E-3</v>
      </c>
      <c r="Y49" s="91">
        <f t="shared" si="69"/>
        <v>41.5</v>
      </c>
      <c r="Z49" s="230">
        <f t="shared" si="70"/>
        <v>5.1520027013874413E-3</v>
      </c>
      <c r="AA49" s="91">
        <f t="shared" si="71"/>
        <v>0</v>
      </c>
      <c r="AB49" s="230" t="e">
        <f t="shared" si="72"/>
        <v>#DIV/0!</v>
      </c>
      <c r="AC49" s="91">
        <f t="shared" si="73"/>
        <v>0</v>
      </c>
      <c r="AD49" s="230" t="e">
        <f t="shared" si="74"/>
        <v>#DIV/0!</v>
      </c>
      <c r="AE49" s="91">
        <f t="shared" si="75"/>
        <v>0</v>
      </c>
      <c r="AF49" s="230" t="e">
        <f t="shared" si="76"/>
        <v>#DIV/0!</v>
      </c>
      <c r="AG49" s="91">
        <f t="shared" si="77"/>
        <v>0</v>
      </c>
      <c r="AH49" s="230" t="e">
        <f t="shared" si="78"/>
        <v>#DIV/0!</v>
      </c>
      <c r="AI49" s="91">
        <f t="shared" si="79"/>
        <v>0</v>
      </c>
      <c r="AJ49" s="230" t="e">
        <f t="shared" si="80"/>
        <v>#DIV/0!</v>
      </c>
      <c r="AK49" s="91">
        <f t="shared" si="81"/>
        <v>0</v>
      </c>
      <c r="AL49" s="230" t="e">
        <f t="shared" si="82"/>
        <v>#DIV/0!</v>
      </c>
      <c r="AM49" s="91">
        <f t="shared" si="83"/>
        <v>0</v>
      </c>
      <c r="AN49" s="230" t="e">
        <f t="shared" si="84"/>
        <v>#DIV/0!</v>
      </c>
      <c r="AO49" s="91">
        <f t="shared" si="85"/>
        <v>0</v>
      </c>
      <c r="AP49" s="230" t="e">
        <f t="shared" si="84"/>
        <v>#DIV/0!</v>
      </c>
      <c r="AQ49" s="91">
        <f t="shared" si="86"/>
        <v>0</v>
      </c>
      <c r="AR49" s="230" t="e">
        <f t="shared" si="87"/>
        <v>#DIV/0!</v>
      </c>
      <c r="AS49" s="91">
        <f t="shared" si="88"/>
        <v>0</v>
      </c>
      <c r="AT49" s="230" t="e">
        <f t="shared" si="89"/>
        <v>#DIV/0!</v>
      </c>
      <c r="AU49" s="91">
        <f t="shared" si="90"/>
        <v>0</v>
      </c>
      <c r="AV49" s="230" t="e">
        <f t="shared" si="91"/>
        <v>#DIV/0!</v>
      </c>
      <c r="AW49" s="91">
        <f t="shared" si="92"/>
        <v>0</v>
      </c>
      <c r="AX49" s="230" t="e">
        <f t="shared" si="93"/>
        <v>#DIV/0!</v>
      </c>
      <c r="AY49" s="16">
        <f t="shared" si="96"/>
        <v>473.48145158033105</v>
      </c>
      <c r="AZ49" s="230">
        <f t="shared" si="97"/>
        <v>4.9321254418217136E-3</v>
      </c>
    </row>
    <row r="50" spans="1:52">
      <c r="A50" s="166" t="s">
        <v>10</v>
      </c>
      <c r="B50" s="166"/>
      <c r="C50" s="91">
        <f t="shared" si="94"/>
        <v>28.462232981060076</v>
      </c>
      <c r="D50" s="230">
        <f t="shared" si="95"/>
        <v>3.6933257247186236E-3</v>
      </c>
      <c r="E50" s="91">
        <f t="shared" si="94"/>
        <v>19.01889541741016</v>
      </c>
      <c r="F50" s="230">
        <f t="shared" si="95"/>
        <v>2.6353426422411302E-3</v>
      </c>
      <c r="G50" s="91">
        <f t="shared" si="51"/>
        <v>22.512891724820783</v>
      </c>
      <c r="H50" s="230">
        <f t="shared" si="52"/>
        <v>2.6712625686327244E-3</v>
      </c>
      <c r="I50" s="91">
        <f t="shared" si="53"/>
        <v>43.25</v>
      </c>
      <c r="J50" s="230">
        <f t="shared" si="54"/>
        <v>4.8435613670825975E-3</v>
      </c>
      <c r="K50" s="91">
        <f t="shared" si="55"/>
        <v>23.68</v>
      </c>
      <c r="L50" s="230">
        <f t="shared" si="56"/>
        <v>3.3121289939967665E-3</v>
      </c>
      <c r="M50" s="91">
        <f t="shared" si="57"/>
        <v>27.46</v>
      </c>
      <c r="N50" s="230">
        <f t="shared" si="58"/>
        <v>3.5105258246092208E-3</v>
      </c>
      <c r="O50" s="91">
        <f t="shared" si="59"/>
        <v>23.2</v>
      </c>
      <c r="P50" s="230">
        <f t="shared" si="60"/>
        <v>2.8278095567774177E-3</v>
      </c>
      <c r="Q50" s="91">
        <f t="shared" si="61"/>
        <v>23.15</v>
      </c>
      <c r="R50" s="230">
        <f t="shared" si="62"/>
        <v>2.9270118306910149E-3</v>
      </c>
      <c r="S50" s="91">
        <f t="shared" si="63"/>
        <v>24.84</v>
      </c>
      <c r="T50" s="230">
        <f t="shared" si="64"/>
        <v>2.9449598387622632E-3</v>
      </c>
      <c r="U50" s="91">
        <f t="shared" si="65"/>
        <v>29.42</v>
      </c>
      <c r="V50" s="230">
        <f t="shared" si="66"/>
        <v>3.4776646926013926E-3</v>
      </c>
      <c r="W50" s="91">
        <f t="shared" si="67"/>
        <v>6.7</v>
      </c>
      <c r="X50" s="230">
        <f t="shared" si="68"/>
        <v>8.7188836705719456E-4</v>
      </c>
      <c r="Y50" s="91">
        <f t="shared" si="69"/>
        <v>9.32</v>
      </c>
      <c r="Z50" s="230">
        <f t="shared" si="70"/>
        <v>1.1570280765525532E-3</v>
      </c>
      <c r="AA50" s="91">
        <f t="shared" si="71"/>
        <v>0</v>
      </c>
      <c r="AB50" s="230" t="e">
        <f t="shared" si="72"/>
        <v>#DIV/0!</v>
      </c>
      <c r="AC50" s="91">
        <f t="shared" si="73"/>
        <v>0</v>
      </c>
      <c r="AD50" s="230" t="e">
        <f t="shared" si="74"/>
        <v>#DIV/0!</v>
      </c>
      <c r="AE50" s="91">
        <f t="shared" si="75"/>
        <v>0</v>
      </c>
      <c r="AF50" s="230" t="e">
        <f t="shared" si="76"/>
        <v>#DIV/0!</v>
      </c>
      <c r="AG50" s="91">
        <f t="shared" si="77"/>
        <v>0</v>
      </c>
      <c r="AH50" s="230" t="e">
        <f t="shared" si="78"/>
        <v>#DIV/0!</v>
      </c>
      <c r="AI50" s="91">
        <f t="shared" si="79"/>
        <v>0</v>
      </c>
      <c r="AJ50" s="230" t="e">
        <f t="shared" si="80"/>
        <v>#DIV/0!</v>
      </c>
      <c r="AK50" s="91">
        <f t="shared" si="81"/>
        <v>0</v>
      </c>
      <c r="AL50" s="230" t="e">
        <f t="shared" si="82"/>
        <v>#DIV/0!</v>
      </c>
      <c r="AM50" s="91">
        <f t="shared" si="83"/>
        <v>0</v>
      </c>
      <c r="AN50" s="230" t="e">
        <f t="shared" si="84"/>
        <v>#DIV/0!</v>
      </c>
      <c r="AO50" s="91">
        <f t="shared" si="85"/>
        <v>0</v>
      </c>
      <c r="AP50" s="230" t="e">
        <f t="shared" si="84"/>
        <v>#DIV/0!</v>
      </c>
      <c r="AQ50" s="91">
        <f t="shared" si="86"/>
        <v>0</v>
      </c>
      <c r="AR50" s="230" t="e">
        <f t="shared" si="87"/>
        <v>#DIV/0!</v>
      </c>
      <c r="AS50" s="91">
        <f t="shared" si="88"/>
        <v>0</v>
      </c>
      <c r="AT50" s="230" t="e">
        <f t="shared" si="89"/>
        <v>#DIV/0!</v>
      </c>
      <c r="AU50" s="91">
        <f t="shared" si="90"/>
        <v>0</v>
      </c>
      <c r="AV50" s="230" t="e">
        <f t="shared" si="91"/>
        <v>#DIV/0!</v>
      </c>
      <c r="AW50" s="91">
        <f t="shared" si="92"/>
        <v>0</v>
      </c>
      <c r="AX50" s="230" t="e">
        <f t="shared" si="93"/>
        <v>#DIV/0!</v>
      </c>
      <c r="AY50" s="16">
        <f t="shared" si="96"/>
        <v>281.014020123291</v>
      </c>
      <c r="AZ50" s="230">
        <f t="shared" si="97"/>
        <v>2.927245393737528E-3</v>
      </c>
    </row>
    <row r="51" spans="1:52">
      <c r="A51" s="166" t="s">
        <v>11</v>
      </c>
      <c r="B51" s="166"/>
      <c r="C51" s="91">
        <f t="shared" si="94"/>
        <v>28.857152866493593</v>
      </c>
      <c r="D51" s="230">
        <f t="shared" si="95"/>
        <v>3.7445714499941187E-3</v>
      </c>
      <c r="E51" s="91">
        <f t="shared" si="94"/>
        <v>34.092225140277634</v>
      </c>
      <c r="F51" s="230">
        <f t="shared" si="95"/>
        <v>4.7239701733053155E-3</v>
      </c>
      <c r="G51" s="91">
        <f t="shared" si="51"/>
        <v>8.3880081604308874</v>
      </c>
      <c r="H51" s="230">
        <f t="shared" si="52"/>
        <v>9.9527739475783572E-4</v>
      </c>
      <c r="I51" s="91">
        <f t="shared" si="53"/>
        <v>22.53</v>
      </c>
      <c r="J51" s="230">
        <f t="shared" si="54"/>
        <v>2.5231315052108884E-3</v>
      </c>
      <c r="K51" s="91">
        <f t="shared" si="55"/>
        <v>27.54</v>
      </c>
      <c r="L51" s="230">
        <f t="shared" si="56"/>
        <v>3.8520283992681988E-3</v>
      </c>
      <c r="M51" s="91">
        <f t="shared" si="57"/>
        <v>28.5</v>
      </c>
      <c r="N51" s="230">
        <f t="shared" si="58"/>
        <v>3.643480917748099E-3</v>
      </c>
      <c r="O51" s="91">
        <f t="shared" si="59"/>
        <v>31.13</v>
      </c>
      <c r="P51" s="230">
        <f t="shared" si="60"/>
        <v>3.7943841164862508E-3</v>
      </c>
      <c r="Q51" s="91">
        <f t="shared" si="61"/>
        <v>33.26</v>
      </c>
      <c r="R51" s="230">
        <f t="shared" si="62"/>
        <v>4.2052878396882567E-3</v>
      </c>
      <c r="S51" s="91">
        <f t="shared" si="63"/>
        <v>29.38</v>
      </c>
      <c r="T51" s="230">
        <f t="shared" si="64"/>
        <v>3.4832093423041582E-3</v>
      </c>
      <c r="U51" s="91">
        <f t="shared" si="65"/>
        <v>33.08</v>
      </c>
      <c r="V51" s="230">
        <f t="shared" si="66"/>
        <v>3.910304147901225E-3</v>
      </c>
      <c r="W51" s="91">
        <f t="shared" si="67"/>
        <v>35.93</v>
      </c>
      <c r="X51" s="230">
        <f t="shared" si="68"/>
        <v>4.6756640340843286E-3</v>
      </c>
      <c r="Y51" s="91">
        <f t="shared" si="69"/>
        <v>34.979999999999997</v>
      </c>
      <c r="Z51" s="230">
        <f t="shared" si="70"/>
        <v>4.3425796263742815E-3</v>
      </c>
      <c r="AA51" s="91">
        <f t="shared" si="71"/>
        <v>0</v>
      </c>
      <c r="AB51" s="230" t="e">
        <f t="shared" si="72"/>
        <v>#DIV/0!</v>
      </c>
      <c r="AC51" s="91">
        <f t="shared" si="73"/>
        <v>0</v>
      </c>
      <c r="AD51" s="230" t="e">
        <f t="shared" si="74"/>
        <v>#DIV/0!</v>
      </c>
      <c r="AE51" s="91">
        <f t="shared" si="75"/>
        <v>0</v>
      </c>
      <c r="AF51" s="230" t="e">
        <f t="shared" si="76"/>
        <v>#DIV/0!</v>
      </c>
      <c r="AG51" s="91">
        <f t="shared" si="77"/>
        <v>0</v>
      </c>
      <c r="AH51" s="230" t="e">
        <f t="shared" si="78"/>
        <v>#DIV/0!</v>
      </c>
      <c r="AI51" s="91">
        <f t="shared" si="79"/>
        <v>0</v>
      </c>
      <c r="AJ51" s="230" t="e">
        <f t="shared" si="80"/>
        <v>#DIV/0!</v>
      </c>
      <c r="AK51" s="91">
        <f t="shared" si="81"/>
        <v>0</v>
      </c>
      <c r="AL51" s="230" t="e">
        <f t="shared" si="82"/>
        <v>#DIV/0!</v>
      </c>
      <c r="AM51" s="91">
        <f t="shared" si="83"/>
        <v>0</v>
      </c>
      <c r="AN51" s="230" t="e">
        <f t="shared" si="84"/>
        <v>#DIV/0!</v>
      </c>
      <c r="AO51" s="91">
        <f t="shared" si="85"/>
        <v>0</v>
      </c>
      <c r="AP51" s="230" t="e">
        <f t="shared" si="84"/>
        <v>#DIV/0!</v>
      </c>
      <c r="AQ51" s="91">
        <f t="shared" si="86"/>
        <v>0</v>
      </c>
      <c r="AR51" s="230" t="e">
        <f t="shared" si="87"/>
        <v>#DIV/0!</v>
      </c>
      <c r="AS51" s="91">
        <f t="shared" si="88"/>
        <v>0</v>
      </c>
      <c r="AT51" s="230" t="e">
        <f t="shared" si="89"/>
        <v>#DIV/0!</v>
      </c>
      <c r="AU51" s="91">
        <f t="shared" si="90"/>
        <v>0</v>
      </c>
      <c r="AV51" s="230" t="e">
        <f t="shared" si="91"/>
        <v>#DIV/0!</v>
      </c>
      <c r="AW51" s="91">
        <f t="shared" si="92"/>
        <v>0</v>
      </c>
      <c r="AX51" s="230" t="e">
        <f t="shared" si="93"/>
        <v>#DIV/0!</v>
      </c>
      <c r="AY51" s="16">
        <f t="shared" si="96"/>
        <v>347.66738616720215</v>
      </c>
      <c r="AZ51" s="230">
        <f t="shared" si="97"/>
        <v>3.6215550891880899E-3</v>
      </c>
    </row>
    <row r="52" spans="1:52">
      <c r="A52" s="166" t="s">
        <v>9</v>
      </c>
      <c r="B52" s="166"/>
      <c r="C52" s="91">
        <f t="shared" si="94"/>
        <v>21.196721539123793</v>
      </c>
      <c r="D52" s="230">
        <f t="shared" si="95"/>
        <v>2.7505360170524281E-3</v>
      </c>
      <c r="E52" s="91">
        <f t="shared" si="94"/>
        <v>20.450273290076346</v>
      </c>
      <c r="F52" s="230">
        <f t="shared" si="95"/>
        <v>2.8336807193065573E-3</v>
      </c>
      <c r="G52" s="91">
        <f t="shared" si="51"/>
        <v>19.294114007988167</v>
      </c>
      <c r="H52" s="230">
        <f t="shared" si="52"/>
        <v>2.2893391561799197E-3</v>
      </c>
      <c r="I52" s="91">
        <f t="shared" si="53"/>
        <v>18.29</v>
      </c>
      <c r="J52" s="230">
        <f t="shared" si="54"/>
        <v>2.048294506449496E-3</v>
      </c>
      <c r="K52" s="91">
        <f t="shared" si="55"/>
        <v>17.170000000000002</v>
      </c>
      <c r="L52" s="230">
        <f t="shared" si="56"/>
        <v>2.401573261272149E-3</v>
      </c>
      <c r="M52" s="91">
        <f t="shared" si="57"/>
        <v>25.85</v>
      </c>
      <c r="N52" s="230">
        <f t="shared" si="58"/>
        <v>3.3047011131153809E-3</v>
      </c>
      <c r="O52" s="91">
        <f t="shared" si="59"/>
        <v>24.1</v>
      </c>
      <c r="P52" s="230">
        <f t="shared" si="60"/>
        <v>2.9375090654455076E-3</v>
      </c>
      <c r="Q52" s="91">
        <f t="shared" si="61"/>
        <v>28.62</v>
      </c>
      <c r="R52" s="230">
        <f t="shared" si="62"/>
        <v>3.6186211055886327E-3</v>
      </c>
      <c r="S52" s="91">
        <f t="shared" si="63"/>
        <v>35.42</v>
      </c>
      <c r="T52" s="230">
        <f t="shared" si="64"/>
        <v>4.1992945849017461E-3</v>
      </c>
      <c r="U52" s="91">
        <f t="shared" si="65"/>
        <v>35.020000000000003</v>
      </c>
      <c r="V52" s="230">
        <f t="shared" si="66"/>
        <v>4.1396267007104267E-3</v>
      </c>
      <c r="W52" s="91">
        <f t="shared" si="67"/>
        <v>44.4</v>
      </c>
      <c r="X52" s="230">
        <f t="shared" si="68"/>
        <v>5.7778870891551396E-3</v>
      </c>
      <c r="Y52" s="91">
        <f t="shared" si="69"/>
        <v>41.19</v>
      </c>
      <c r="Z52" s="230">
        <f t="shared" si="70"/>
        <v>5.1135178619312934E-3</v>
      </c>
      <c r="AA52" s="91">
        <f t="shared" si="71"/>
        <v>0</v>
      </c>
      <c r="AB52" s="230" t="e">
        <f t="shared" si="72"/>
        <v>#DIV/0!</v>
      </c>
      <c r="AC52" s="91">
        <f t="shared" si="73"/>
        <v>0</v>
      </c>
      <c r="AD52" s="230" t="e">
        <f t="shared" si="74"/>
        <v>#DIV/0!</v>
      </c>
      <c r="AE52" s="91">
        <f t="shared" si="75"/>
        <v>0</v>
      </c>
      <c r="AF52" s="230" t="e">
        <f t="shared" si="76"/>
        <v>#DIV/0!</v>
      </c>
      <c r="AG52" s="91">
        <f t="shared" si="77"/>
        <v>0</v>
      </c>
      <c r="AH52" s="230" t="e">
        <f t="shared" si="78"/>
        <v>#DIV/0!</v>
      </c>
      <c r="AI52" s="91">
        <f t="shared" si="79"/>
        <v>0</v>
      </c>
      <c r="AJ52" s="230" t="e">
        <f t="shared" si="80"/>
        <v>#DIV/0!</v>
      </c>
      <c r="AK52" s="91">
        <f t="shared" si="81"/>
        <v>0</v>
      </c>
      <c r="AL52" s="230" t="e">
        <f t="shared" si="82"/>
        <v>#DIV/0!</v>
      </c>
      <c r="AM52" s="91">
        <f t="shared" si="83"/>
        <v>0</v>
      </c>
      <c r="AN52" s="230" t="e">
        <f t="shared" si="84"/>
        <v>#DIV/0!</v>
      </c>
      <c r="AO52" s="91">
        <f t="shared" si="85"/>
        <v>0</v>
      </c>
      <c r="AP52" s="230" t="e">
        <f t="shared" si="84"/>
        <v>#DIV/0!</v>
      </c>
      <c r="AQ52" s="91">
        <f t="shared" si="86"/>
        <v>0</v>
      </c>
      <c r="AR52" s="230" t="e">
        <f t="shared" si="87"/>
        <v>#DIV/0!</v>
      </c>
      <c r="AS52" s="91">
        <f t="shared" si="88"/>
        <v>0</v>
      </c>
      <c r="AT52" s="230" t="e">
        <f t="shared" si="89"/>
        <v>#DIV/0!</v>
      </c>
      <c r="AU52" s="91">
        <f t="shared" si="90"/>
        <v>0</v>
      </c>
      <c r="AV52" s="230" t="e">
        <f t="shared" si="91"/>
        <v>#DIV/0!</v>
      </c>
      <c r="AW52" s="91">
        <f t="shared" si="92"/>
        <v>0</v>
      </c>
      <c r="AX52" s="230" t="e">
        <f t="shared" si="93"/>
        <v>#DIV/0!</v>
      </c>
      <c r="AY52" s="16">
        <f t="shared" si="96"/>
        <v>331.00110883718838</v>
      </c>
      <c r="AZ52" s="230">
        <f t="shared" si="97"/>
        <v>3.4479470837098201E-3</v>
      </c>
    </row>
    <row r="53" spans="1:52" ht="15">
      <c r="A53" s="166" t="s">
        <v>5</v>
      </c>
      <c r="B53" s="166"/>
      <c r="C53" s="91">
        <f t="shared" si="94"/>
        <v>1257.9302691287633</v>
      </c>
      <c r="D53" s="230">
        <f t="shared" si="95"/>
        <v>0.16323196517880673</v>
      </c>
      <c r="E53" s="91">
        <f t="shared" si="94"/>
        <v>1299.9070509731087</v>
      </c>
      <c r="F53" s="230">
        <f t="shared" si="95"/>
        <v>0.18012089594032962</v>
      </c>
      <c r="G53" s="91">
        <f t="shared" si="51"/>
        <v>1363.01387644851</v>
      </c>
      <c r="H53" s="230">
        <f t="shared" si="52"/>
        <v>0.1617281330709584</v>
      </c>
      <c r="I53" s="91">
        <f t="shared" si="53"/>
        <v>1636.82</v>
      </c>
      <c r="J53" s="230">
        <f t="shared" si="54"/>
        <v>0.18330723969637311</v>
      </c>
      <c r="K53" s="91">
        <f t="shared" si="55"/>
        <v>1318.0800000000002</v>
      </c>
      <c r="L53" s="230">
        <f t="shared" si="56"/>
        <v>0.18436026116584706</v>
      </c>
      <c r="M53" s="91">
        <f t="shared" si="57"/>
        <v>1427.63</v>
      </c>
      <c r="N53" s="230">
        <f t="shared" si="58"/>
        <v>0.18251026886332347</v>
      </c>
      <c r="O53" s="91">
        <f t="shared" si="59"/>
        <v>1590.41</v>
      </c>
      <c r="P53" s="230">
        <f t="shared" si="60"/>
        <v>0.19385243953424025</v>
      </c>
      <c r="Q53" s="91">
        <f t="shared" si="61"/>
        <v>1510.6200000000001</v>
      </c>
      <c r="R53" s="230">
        <f t="shared" si="62"/>
        <v>0.19099795298827046</v>
      </c>
      <c r="S53" s="91">
        <f t="shared" si="63"/>
        <v>1656.39</v>
      </c>
      <c r="T53" s="230">
        <f t="shared" si="64"/>
        <v>0.19637689320963872</v>
      </c>
      <c r="U53" s="91">
        <f t="shared" si="65"/>
        <v>1409.85</v>
      </c>
      <c r="V53" s="230">
        <f t="shared" si="66"/>
        <v>0.16665484591652183</v>
      </c>
      <c r="W53" s="91">
        <f t="shared" si="67"/>
        <v>1482.72</v>
      </c>
      <c r="X53" s="230">
        <f t="shared" si="68"/>
        <v>0.19295019695567814</v>
      </c>
      <c r="Y53" s="91">
        <f t="shared" si="69"/>
        <v>1328.1100000000001</v>
      </c>
      <c r="Z53" s="230">
        <f t="shared" si="70"/>
        <v>0.16487774235517288</v>
      </c>
      <c r="AA53" s="91">
        <f t="shared" si="71"/>
        <v>0</v>
      </c>
      <c r="AB53" s="230" t="e">
        <f t="shared" si="72"/>
        <v>#DIV/0!</v>
      </c>
      <c r="AC53" s="91">
        <f t="shared" si="73"/>
        <v>0</v>
      </c>
      <c r="AD53" s="230" t="e">
        <f t="shared" si="74"/>
        <v>#DIV/0!</v>
      </c>
      <c r="AE53" s="91">
        <f t="shared" si="75"/>
        <v>0</v>
      </c>
      <c r="AF53" s="230" t="e">
        <f t="shared" si="76"/>
        <v>#DIV/0!</v>
      </c>
      <c r="AG53" s="91">
        <f t="shared" si="77"/>
        <v>0</v>
      </c>
      <c r="AH53" s="230" t="e">
        <f t="shared" si="78"/>
        <v>#DIV/0!</v>
      </c>
      <c r="AI53" s="91">
        <f t="shared" si="79"/>
        <v>0</v>
      </c>
      <c r="AJ53" s="230" t="e">
        <f t="shared" si="80"/>
        <v>#DIV/0!</v>
      </c>
      <c r="AK53" s="91">
        <f t="shared" si="81"/>
        <v>0</v>
      </c>
      <c r="AL53" s="230" t="e">
        <f t="shared" si="82"/>
        <v>#DIV/0!</v>
      </c>
      <c r="AM53" s="91">
        <f t="shared" si="83"/>
        <v>0</v>
      </c>
      <c r="AN53" s="230" t="e">
        <f t="shared" si="84"/>
        <v>#DIV/0!</v>
      </c>
      <c r="AO53" s="91">
        <f t="shared" si="85"/>
        <v>0</v>
      </c>
      <c r="AP53" s="230" t="e">
        <f t="shared" si="84"/>
        <v>#DIV/0!</v>
      </c>
      <c r="AQ53" s="91">
        <f t="shared" si="86"/>
        <v>0</v>
      </c>
      <c r="AR53" s="230" t="e">
        <f t="shared" si="87"/>
        <v>#DIV/0!</v>
      </c>
      <c r="AS53" s="91">
        <f t="shared" si="88"/>
        <v>0</v>
      </c>
      <c r="AT53" s="230" t="e">
        <f t="shared" si="89"/>
        <v>#DIV/0!</v>
      </c>
      <c r="AU53" s="91">
        <f t="shared" si="90"/>
        <v>0</v>
      </c>
      <c r="AV53" s="230" t="e">
        <f t="shared" si="91"/>
        <v>#DIV/0!</v>
      </c>
      <c r="AW53" s="91">
        <f t="shared" si="92"/>
        <v>0</v>
      </c>
      <c r="AX53" s="230" t="e">
        <f t="shared" si="93"/>
        <v>#DIV/0!</v>
      </c>
      <c r="AY53" s="17">
        <f t="shared" si="96"/>
        <v>17281.481196550383</v>
      </c>
      <c r="AZ53" s="230">
        <f t="shared" si="97"/>
        <v>0.18001641415388958</v>
      </c>
    </row>
    <row r="54" spans="1:52" ht="13.5" thickBot="1">
      <c r="C54" s="233">
        <f>SUM(C43:C53)</f>
        <v>7706.3966469484558</v>
      </c>
      <c r="D54" s="234">
        <f t="shared" si="95"/>
        <v>1</v>
      </c>
      <c r="E54" s="233">
        <f>SUM(E43:E53)</f>
        <v>7216.8586780944133</v>
      </c>
      <c r="F54" s="234">
        <f t="shared" si="95"/>
        <v>1</v>
      </c>
      <c r="G54" s="233">
        <f>SUM(G43:G53)</f>
        <v>8427.8093771754975</v>
      </c>
      <c r="H54" s="234">
        <f t="shared" si="52"/>
        <v>1</v>
      </c>
      <c r="I54" s="233">
        <f>SUM(I43:I53)</f>
        <v>8929.3799999999992</v>
      </c>
      <c r="J54" s="234">
        <f t="shared" si="54"/>
        <v>1</v>
      </c>
      <c r="K54" s="233">
        <f>SUM(K43:K53)</f>
        <v>7149.48</v>
      </c>
      <c r="L54" s="234">
        <f t="shared" si="56"/>
        <v>1</v>
      </c>
      <c r="M54" s="233">
        <f>SUM(M43:M53)</f>
        <v>7822.19</v>
      </c>
      <c r="N54" s="234">
        <f t="shared" si="58"/>
        <v>1</v>
      </c>
      <c r="O54" s="233">
        <f>SUM(O43:O53)</f>
        <v>8204.2300000000014</v>
      </c>
      <c r="P54" s="234">
        <f t="shared" si="60"/>
        <v>1</v>
      </c>
      <c r="Q54" s="233">
        <f>SUM(Q43:Q53)</f>
        <v>7909.09</v>
      </c>
      <c r="R54" s="234">
        <f t="shared" si="62"/>
        <v>1</v>
      </c>
      <c r="S54" s="233">
        <f>SUM(S43:S53)</f>
        <v>8434.75</v>
      </c>
      <c r="T54" s="234">
        <f t="shared" si="64"/>
        <v>1</v>
      </c>
      <c r="U54" s="233">
        <f>SUM(U43:U53)</f>
        <v>8459.7000000000007</v>
      </c>
      <c r="V54" s="234">
        <f t="shared" si="66"/>
        <v>1</v>
      </c>
      <c r="W54" s="233">
        <f>SUM(W43:W53)</f>
        <v>7684.47</v>
      </c>
      <c r="X54" s="234">
        <f t="shared" si="68"/>
        <v>1</v>
      </c>
      <c r="Y54" s="233">
        <f>SUM(Y43:Y53)</f>
        <v>8055.119999999999</v>
      </c>
      <c r="Z54" s="234">
        <f t="shared" si="70"/>
        <v>1</v>
      </c>
      <c r="AA54" s="233">
        <f>SUM(AA43:AA53)</f>
        <v>0</v>
      </c>
      <c r="AB54" s="234" t="e">
        <f t="shared" si="72"/>
        <v>#DIV/0!</v>
      </c>
      <c r="AC54" s="233">
        <f>SUM(AC43:AC53)</f>
        <v>0</v>
      </c>
      <c r="AD54" s="234" t="e">
        <f t="shared" si="74"/>
        <v>#DIV/0!</v>
      </c>
      <c r="AE54" s="233">
        <f>SUM(AE43:AE53)</f>
        <v>0</v>
      </c>
      <c r="AF54" s="234" t="e">
        <f t="shared" si="76"/>
        <v>#DIV/0!</v>
      </c>
      <c r="AG54" s="233">
        <f>SUM(AG43:AG53)</f>
        <v>0</v>
      </c>
      <c r="AH54" s="234" t="e">
        <f t="shared" si="78"/>
        <v>#DIV/0!</v>
      </c>
      <c r="AI54" s="233">
        <f>SUM(AI43:AI53)</f>
        <v>0</v>
      </c>
      <c r="AJ54" s="234" t="e">
        <f t="shared" si="80"/>
        <v>#DIV/0!</v>
      </c>
      <c r="AK54" s="233">
        <f>SUM(AK43:AK53)</f>
        <v>0</v>
      </c>
      <c r="AL54" s="234" t="e">
        <f t="shared" si="82"/>
        <v>#DIV/0!</v>
      </c>
      <c r="AM54" s="233">
        <f>SUM(AM43:AM53)</f>
        <v>0</v>
      </c>
      <c r="AN54" s="234" t="e">
        <f t="shared" si="84"/>
        <v>#DIV/0!</v>
      </c>
      <c r="AO54" s="233">
        <f>SUM(AO43:AO53)</f>
        <v>0</v>
      </c>
      <c r="AP54" s="234" t="e">
        <f t="shared" si="84"/>
        <v>#DIV/0!</v>
      </c>
      <c r="AQ54" s="233">
        <f>SUM(AQ43:AQ53)</f>
        <v>0</v>
      </c>
      <c r="AR54" s="234" t="e">
        <f t="shared" si="87"/>
        <v>#DIV/0!</v>
      </c>
      <c r="AS54" s="233">
        <f>SUM(AS43:AS53)</f>
        <v>0</v>
      </c>
      <c r="AT54" s="234" t="e">
        <f t="shared" si="89"/>
        <v>#DIV/0!</v>
      </c>
      <c r="AU54" s="233">
        <f>SUM(AU43:AU53)</f>
        <v>0</v>
      </c>
      <c r="AV54" s="234" t="e">
        <f t="shared" si="91"/>
        <v>#DIV/0!</v>
      </c>
      <c r="AW54" s="233">
        <f>SUM(AW43:AW53)</f>
        <v>0</v>
      </c>
      <c r="AX54" s="234" t="e">
        <f t="shared" si="93"/>
        <v>#DIV/0!</v>
      </c>
      <c r="AY54" s="19">
        <f>SUM(AY43:AY53)</f>
        <v>95999.474702218344</v>
      </c>
      <c r="AZ54" s="234">
        <f>+AY54/AY$54</f>
        <v>1</v>
      </c>
    </row>
    <row r="55" spans="1:52" ht="13.5" thickTop="1"/>
    <row r="57" spans="1:52">
      <c r="A57" s="1" t="s">
        <v>200</v>
      </c>
      <c r="B57" s="414">
        <f>+'2020-2021 Recy. Tons &amp; Revenue'!G101</f>
        <v>1</v>
      </c>
    </row>
    <row r="58" spans="1:52">
      <c r="A58" s="1"/>
      <c r="B58" s="1"/>
    </row>
    <row r="59" spans="1:52">
      <c r="A59" s="1" t="s">
        <v>201</v>
      </c>
      <c r="B59" s="415">
        <f>1-B57</f>
        <v>0</v>
      </c>
    </row>
    <row r="62" spans="1:52">
      <c r="A62" s="424" t="s">
        <v>195</v>
      </c>
      <c r="B62" s="424"/>
      <c r="C62" s="424"/>
    </row>
    <row r="63" spans="1:52">
      <c r="C63" s="513">
        <v>43739</v>
      </c>
      <c r="D63" s="513"/>
      <c r="E63" s="513">
        <v>43770</v>
      </c>
      <c r="F63" s="513"/>
      <c r="G63" s="513">
        <v>43800</v>
      </c>
      <c r="H63" s="513"/>
      <c r="I63" s="409">
        <v>43831</v>
      </c>
      <c r="J63" s="409"/>
      <c r="K63" s="409">
        <v>43862</v>
      </c>
      <c r="L63" s="409"/>
      <c r="M63" s="409">
        <v>43891</v>
      </c>
      <c r="N63" s="409"/>
      <c r="O63" s="409">
        <v>43922</v>
      </c>
      <c r="P63" s="409"/>
      <c r="Q63" s="409">
        <v>43952</v>
      </c>
      <c r="R63" s="409"/>
      <c r="S63" s="409">
        <v>43983</v>
      </c>
      <c r="T63" s="409"/>
      <c r="U63" s="409">
        <v>44013</v>
      </c>
      <c r="V63" s="409"/>
      <c r="W63" s="409">
        <v>44044</v>
      </c>
      <c r="X63" s="409"/>
      <c r="Y63" s="409">
        <v>44075</v>
      </c>
      <c r="Z63" s="409"/>
      <c r="AA63" s="409">
        <v>44105</v>
      </c>
      <c r="AB63" s="409"/>
      <c r="AC63" s="409">
        <v>44136</v>
      </c>
      <c r="AD63" s="409"/>
      <c r="AE63" s="409">
        <v>44166</v>
      </c>
      <c r="AF63" s="409"/>
      <c r="AG63" s="513">
        <v>44197</v>
      </c>
      <c r="AH63" s="513"/>
      <c r="AI63" s="513">
        <v>44228</v>
      </c>
      <c r="AJ63" s="513"/>
      <c r="AK63" s="513">
        <v>44256</v>
      </c>
      <c r="AL63" s="513"/>
      <c r="AM63" s="513">
        <v>44287</v>
      </c>
      <c r="AN63" s="513"/>
      <c r="AO63" s="513">
        <v>44317</v>
      </c>
      <c r="AP63" s="513"/>
      <c r="AQ63" s="513">
        <v>44348</v>
      </c>
      <c r="AR63" s="513"/>
      <c r="AS63" s="513">
        <v>44378</v>
      </c>
      <c r="AT63" s="513"/>
      <c r="AU63" s="513">
        <v>44409</v>
      </c>
      <c r="AV63" s="513"/>
      <c r="AW63" s="513">
        <v>44440</v>
      </c>
      <c r="AX63" s="513"/>
      <c r="AY63" s="513" t="s">
        <v>80</v>
      </c>
      <c r="AZ63" s="513"/>
    </row>
    <row r="64" spans="1:52">
      <c r="C64" s="229" t="s">
        <v>7</v>
      </c>
      <c r="D64" s="229" t="s">
        <v>117</v>
      </c>
      <c r="E64" s="229" t="s">
        <v>7</v>
      </c>
      <c r="F64" s="229" t="s">
        <v>117</v>
      </c>
      <c r="G64" s="229" t="s">
        <v>7</v>
      </c>
      <c r="H64" s="229" t="s">
        <v>117</v>
      </c>
      <c r="I64" s="229" t="s">
        <v>7</v>
      </c>
      <c r="J64" s="229" t="s">
        <v>117</v>
      </c>
      <c r="K64" s="229" t="s">
        <v>7</v>
      </c>
      <c r="L64" s="229" t="s">
        <v>117</v>
      </c>
      <c r="M64" s="229" t="s">
        <v>7</v>
      </c>
      <c r="N64" s="229" t="s">
        <v>117</v>
      </c>
      <c r="O64" s="229" t="s">
        <v>7</v>
      </c>
      <c r="P64" s="229" t="s">
        <v>117</v>
      </c>
      <c r="Q64" s="229" t="s">
        <v>7</v>
      </c>
      <c r="R64" s="229" t="s">
        <v>117</v>
      </c>
      <c r="S64" s="229" t="s">
        <v>7</v>
      </c>
      <c r="T64" s="229" t="s">
        <v>117</v>
      </c>
      <c r="U64" s="229" t="s">
        <v>7</v>
      </c>
      <c r="V64" s="229" t="s">
        <v>117</v>
      </c>
      <c r="W64" s="229" t="s">
        <v>7</v>
      </c>
      <c r="X64" s="229" t="s">
        <v>117</v>
      </c>
      <c r="Y64" s="229" t="s">
        <v>7</v>
      </c>
      <c r="Z64" s="229" t="s">
        <v>117</v>
      </c>
      <c r="AA64" s="229" t="s">
        <v>7</v>
      </c>
      <c r="AB64" s="229" t="s">
        <v>117</v>
      </c>
      <c r="AC64" s="229" t="s">
        <v>7</v>
      </c>
      <c r="AD64" s="229" t="s">
        <v>117</v>
      </c>
      <c r="AE64" s="229" t="s">
        <v>7</v>
      </c>
      <c r="AF64" s="229" t="s">
        <v>117</v>
      </c>
      <c r="AG64" s="229" t="s">
        <v>7</v>
      </c>
      <c r="AH64" s="229" t="s">
        <v>117</v>
      </c>
      <c r="AI64" s="229" t="s">
        <v>7</v>
      </c>
      <c r="AJ64" s="229" t="s">
        <v>117</v>
      </c>
      <c r="AK64" s="229" t="s">
        <v>7</v>
      </c>
      <c r="AL64" s="229" t="s">
        <v>117</v>
      </c>
      <c r="AM64" s="229" t="s">
        <v>7</v>
      </c>
      <c r="AN64" s="229" t="s">
        <v>117</v>
      </c>
      <c r="AO64" s="229" t="s">
        <v>7</v>
      </c>
      <c r="AP64" s="229" t="s">
        <v>117</v>
      </c>
      <c r="AQ64" s="229" t="s">
        <v>7</v>
      </c>
      <c r="AR64" s="229" t="s">
        <v>117</v>
      </c>
      <c r="AS64" s="229" t="s">
        <v>7</v>
      </c>
      <c r="AT64" s="229" t="s">
        <v>117</v>
      </c>
      <c r="AU64" s="229" t="s">
        <v>7</v>
      </c>
      <c r="AV64" s="229" t="s">
        <v>117</v>
      </c>
      <c r="AW64" s="229" t="s">
        <v>7</v>
      </c>
      <c r="AX64" s="229" t="s">
        <v>117</v>
      </c>
      <c r="AY64" s="229" t="s">
        <v>7</v>
      </c>
      <c r="AZ64" s="229" t="s">
        <v>117</v>
      </c>
    </row>
    <row r="65" spans="1:52">
      <c r="A65" s="166" t="s">
        <v>3</v>
      </c>
      <c r="B65" s="166"/>
      <c r="C65" s="91">
        <f>+C6*$B$79+C25*$B$81</f>
        <v>0</v>
      </c>
      <c r="D65" s="230">
        <f>+C65/C$76</f>
        <v>0</v>
      </c>
      <c r="E65" s="91">
        <f>+E6*$B$79+E25*$B$81</f>
        <v>0</v>
      </c>
      <c r="F65" s="230">
        <f>+E65/E$76</f>
        <v>0</v>
      </c>
      <c r="G65" s="91">
        <f t="shared" ref="G65:G75" si="98">+G6*$B$79+G25*$B$81</f>
        <v>0</v>
      </c>
      <c r="H65" s="230">
        <f t="shared" ref="H65:H76" si="99">+G65/G$76</f>
        <v>0</v>
      </c>
      <c r="I65" s="91">
        <f t="shared" ref="I65:I75" si="100">+I6*$B$79+I25*$B$81</f>
        <v>0</v>
      </c>
      <c r="J65" s="230">
        <f t="shared" ref="J65:J76" si="101">+I65/I$76</f>
        <v>0</v>
      </c>
      <c r="K65" s="91">
        <f t="shared" ref="K65:K75" si="102">+K6*$B$79+K25*$B$81</f>
        <v>0</v>
      </c>
      <c r="L65" s="230">
        <f t="shared" ref="L65:L76" si="103">+K65/K$76</f>
        <v>0</v>
      </c>
      <c r="M65" s="91">
        <f t="shared" ref="M65:M75" si="104">+M6*$B$79+M25*$B$81</f>
        <v>0</v>
      </c>
      <c r="N65" s="230">
        <f t="shared" ref="N65:N76" si="105">+M65/M$76</f>
        <v>0</v>
      </c>
      <c r="O65" s="91">
        <f t="shared" ref="O65:O75" si="106">+O6*$B$79+O25*$B$81</f>
        <v>0</v>
      </c>
      <c r="P65" s="230">
        <f t="shared" ref="P65:P76" si="107">+O65/O$76</f>
        <v>0</v>
      </c>
      <c r="Q65" s="91">
        <f t="shared" ref="Q65:Q75" si="108">+Q6*$B$79+Q25*$B$81</f>
        <v>0</v>
      </c>
      <c r="R65" s="230">
        <f t="shared" ref="R65:R76" si="109">+Q65/Q$76</f>
        <v>0</v>
      </c>
      <c r="S65" s="91">
        <f t="shared" ref="S65:S75" si="110">+S6*$B$79+S25*$B$81</f>
        <v>0</v>
      </c>
      <c r="T65" s="230">
        <f t="shared" ref="T65:T76" si="111">+S65/S$76</f>
        <v>0</v>
      </c>
      <c r="U65" s="91">
        <f t="shared" ref="U65:U75" si="112">+U6*$B$79+U25*$B$81</f>
        <v>0</v>
      </c>
      <c r="V65" s="230">
        <f t="shared" ref="V65:V76" si="113">+U65/U$76</f>
        <v>0</v>
      </c>
      <c r="W65" s="91">
        <f t="shared" ref="W65:W75" si="114">+W6*$B$79+W25*$B$81</f>
        <v>0</v>
      </c>
      <c r="X65" s="230">
        <f t="shared" ref="X65:X76" si="115">+W65/W$76</f>
        <v>0</v>
      </c>
      <c r="Y65" s="91">
        <f t="shared" ref="Y65:Y75" si="116">+Y6*$B$79+Y25*$B$81</f>
        <v>0</v>
      </c>
      <c r="Z65" s="230">
        <f t="shared" ref="Z65:Z76" si="117">+Y65/Y$76</f>
        <v>0</v>
      </c>
      <c r="AA65" s="91">
        <f t="shared" ref="AA65:AA75" si="118">+AA6*$B$79+AA25*$B$81</f>
        <v>0</v>
      </c>
      <c r="AB65" s="230" t="e">
        <f t="shared" ref="AB65:AB76" si="119">+AA65/AA$76</f>
        <v>#DIV/0!</v>
      </c>
      <c r="AC65" s="91">
        <f t="shared" ref="AC65:AC75" si="120">+AC6*$B$79+AC25*$B$81</f>
        <v>0</v>
      </c>
      <c r="AD65" s="230" t="e">
        <f t="shared" ref="AD65:AD76" si="121">+AC65/AC$76</f>
        <v>#DIV/0!</v>
      </c>
      <c r="AE65" s="91">
        <f t="shared" ref="AE65:AE75" si="122">+AE6*$B$79+AE25*$B$81</f>
        <v>0</v>
      </c>
      <c r="AF65" s="230" t="e">
        <f t="shared" ref="AF65:AF76" si="123">+AE65/AE$76</f>
        <v>#DIV/0!</v>
      </c>
      <c r="AG65" s="91">
        <f t="shared" ref="AG65:AG75" si="124">+AG6*$B$79+AG25*$B$81</f>
        <v>0</v>
      </c>
      <c r="AH65" s="230" t="e">
        <f t="shared" ref="AH65:AH76" si="125">+AG65/AG$76</f>
        <v>#DIV/0!</v>
      </c>
      <c r="AI65" s="91">
        <f t="shared" ref="AI65:AI75" si="126">+AI6*$B$79+AI25*$B$81</f>
        <v>0</v>
      </c>
      <c r="AJ65" s="230" t="e">
        <f t="shared" ref="AJ65:AJ76" si="127">+AI65/AI$76</f>
        <v>#DIV/0!</v>
      </c>
      <c r="AK65" s="91">
        <f t="shared" ref="AK65:AK75" si="128">+AK6*$B$79+AK25*$B$81</f>
        <v>0</v>
      </c>
      <c r="AL65" s="230" t="e">
        <f t="shared" ref="AL65:AL76" si="129">+AK65/AK$76</f>
        <v>#DIV/0!</v>
      </c>
      <c r="AM65" s="91">
        <f t="shared" ref="AM65:AM75" si="130">+AM6*$B$79+AM25*$B$81</f>
        <v>0</v>
      </c>
      <c r="AN65" s="230" t="e">
        <f t="shared" ref="AN65:AN76" si="131">+AM65/AM$76</f>
        <v>#DIV/0!</v>
      </c>
      <c r="AO65" s="91">
        <f t="shared" ref="AO65:AO75" si="132">+AO6*$B$79+AO25*$B$81</f>
        <v>0</v>
      </c>
      <c r="AP65" s="230" t="e">
        <f t="shared" ref="AP65:AP76" si="133">+AO65/AO$76</f>
        <v>#DIV/0!</v>
      </c>
      <c r="AQ65" s="91">
        <f t="shared" ref="AQ65:AQ75" si="134">+AQ6*$B$79+AQ25*$B$81</f>
        <v>0</v>
      </c>
      <c r="AR65" s="230" t="e">
        <f t="shared" ref="AR65:AR76" si="135">+AQ65/AQ$76</f>
        <v>#DIV/0!</v>
      </c>
      <c r="AS65" s="91">
        <f t="shared" ref="AS65:AS75" si="136">+AS6*$B$79+AS25*$B$81</f>
        <v>0</v>
      </c>
      <c r="AT65" s="230" t="e">
        <f t="shared" ref="AT65:AT76" si="137">+AS65/AS$76</f>
        <v>#DIV/0!</v>
      </c>
      <c r="AU65" s="91">
        <f t="shared" ref="AU65:AU75" si="138">+AU6*$B$79+AU25*$B$81</f>
        <v>0</v>
      </c>
      <c r="AV65" s="230" t="e">
        <f t="shared" ref="AV65:AV76" si="139">+AU65/AU$76</f>
        <v>#DIV/0!</v>
      </c>
      <c r="AW65" s="91">
        <f t="shared" ref="AW65:AW75" si="140">+AW6*$B$79+AW25*$B$81</f>
        <v>0</v>
      </c>
      <c r="AX65" s="230" t="e">
        <f t="shared" ref="AX65:AX76" si="141">+AW65/AW$76</f>
        <v>#DIV/0!</v>
      </c>
      <c r="AY65" s="16">
        <f>+Y65+W65+U65+S65+Q65+O65+M65+K65+I65+G65+E65+C65+AA65+AC65+AE65+AG65+AI65+AK65+AM65+AO65+AQ65+AS65+AU65+AW65</f>
        <v>0</v>
      </c>
      <c r="AZ65" s="230">
        <f t="shared" ref="AZ65:AZ76" si="142">+AY65/AY$76</f>
        <v>0</v>
      </c>
    </row>
    <row r="66" spans="1:52">
      <c r="A66" s="166" t="s">
        <v>6</v>
      </c>
      <c r="B66" s="166"/>
      <c r="C66" s="91">
        <f t="shared" ref="C66:E75" si="143">+C7*$B$79+C26*$B$81</f>
        <v>2324.0657110520733</v>
      </c>
      <c r="D66" s="230">
        <f t="shared" ref="D66:F75" si="144">+C66/C$76</f>
        <v>0.34717666853378132</v>
      </c>
      <c r="E66" s="91">
        <f t="shared" si="143"/>
        <v>2336.818465278368</v>
      </c>
      <c r="F66" s="230">
        <f t="shared" si="144"/>
        <v>0.38110933590330037</v>
      </c>
      <c r="G66" s="91">
        <f t="shared" si="98"/>
        <v>2844.6381454113807</v>
      </c>
      <c r="H66" s="230">
        <f t="shared" si="99"/>
        <v>0.40519518414276984</v>
      </c>
      <c r="I66" s="91">
        <f t="shared" si="100"/>
        <v>2376.5223856872367</v>
      </c>
      <c r="J66" s="230">
        <f t="shared" si="101"/>
        <v>0.3220150989509975</v>
      </c>
      <c r="K66" s="91">
        <f t="shared" si="102"/>
        <v>2127.4458143757824</v>
      </c>
      <c r="L66" s="230">
        <f t="shared" si="103"/>
        <v>0.35250057460996909</v>
      </c>
      <c r="M66" s="91">
        <f t="shared" si="104"/>
        <v>2315.4314009640552</v>
      </c>
      <c r="N66" s="230">
        <f t="shared" si="105"/>
        <v>0.36446238776744322</v>
      </c>
      <c r="O66" s="91">
        <f t="shared" si="106"/>
        <v>2228.8360268586989</v>
      </c>
      <c r="P66" s="230">
        <f t="shared" si="107"/>
        <v>0.34429646867131858</v>
      </c>
      <c r="Q66" s="91">
        <f t="shared" si="108"/>
        <v>2025.9817387090318</v>
      </c>
      <c r="R66" s="230">
        <f t="shared" si="109"/>
        <v>0.31967447872971638</v>
      </c>
      <c r="S66" s="91">
        <f t="shared" si="110"/>
        <v>1856.1715857205659</v>
      </c>
      <c r="T66" s="230">
        <f t="shared" si="111"/>
        <v>0.27360886737080237</v>
      </c>
      <c r="U66" s="91">
        <f t="shared" si="112"/>
        <v>2112.659551828267</v>
      </c>
      <c r="V66" s="230">
        <f t="shared" si="113"/>
        <v>0.30427957826489116</v>
      </c>
      <c r="W66" s="91">
        <f t="shared" si="114"/>
        <v>1870.7701210767616</v>
      </c>
      <c r="X66" s="230">
        <f t="shared" si="115"/>
        <v>0.29691317630515734</v>
      </c>
      <c r="Y66" s="91">
        <f t="shared" si="116"/>
        <v>2079.8787697041844</v>
      </c>
      <c r="Z66" s="230">
        <f t="shared" si="117"/>
        <v>0.31109957236201136</v>
      </c>
      <c r="AA66" s="91">
        <f t="shared" si="118"/>
        <v>0</v>
      </c>
      <c r="AB66" s="230" t="e">
        <f t="shared" si="119"/>
        <v>#DIV/0!</v>
      </c>
      <c r="AC66" s="91">
        <f t="shared" si="120"/>
        <v>0</v>
      </c>
      <c r="AD66" s="230" t="e">
        <f t="shared" si="121"/>
        <v>#DIV/0!</v>
      </c>
      <c r="AE66" s="91">
        <f t="shared" si="122"/>
        <v>0</v>
      </c>
      <c r="AF66" s="230" t="e">
        <f t="shared" si="123"/>
        <v>#DIV/0!</v>
      </c>
      <c r="AG66" s="91">
        <f t="shared" si="124"/>
        <v>0</v>
      </c>
      <c r="AH66" s="230" t="e">
        <f t="shared" si="125"/>
        <v>#DIV/0!</v>
      </c>
      <c r="AI66" s="91">
        <f t="shared" si="126"/>
        <v>0</v>
      </c>
      <c r="AJ66" s="230" t="e">
        <f t="shared" si="127"/>
        <v>#DIV/0!</v>
      </c>
      <c r="AK66" s="91">
        <f t="shared" si="128"/>
        <v>0</v>
      </c>
      <c r="AL66" s="230" t="e">
        <f t="shared" si="129"/>
        <v>#DIV/0!</v>
      </c>
      <c r="AM66" s="91">
        <f t="shared" si="130"/>
        <v>0</v>
      </c>
      <c r="AN66" s="230" t="e">
        <f t="shared" si="131"/>
        <v>#DIV/0!</v>
      </c>
      <c r="AO66" s="91">
        <f t="shared" si="132"/>
        <v>0</v>
      </c>
      <c r="AP66" s="230" t="e">
        <f t="shared" si="133"/>
        <v>#DIV/0!</v>
      </c>
      <c r="AQ66" s="91">
        <f t="shared" si="134"/>
        <v>0</v>
      </c>
      <c r="AR66" s="230" t="e">
        <f t="shared" si="135"/>
        <v>#DIV/0!</v>
      </c>
      <c r="AS66" s="91">
        <f t="shared" si="136"/>
        <v>0</v>
      </c>
      <c r="AT66" s="230" t="e">
        <f t="shared" si="137"/>
        <v>#DIV/0!</v>
      </c>
      <c r="AU66" s="91">
        <f t="shared" si="138"/>
        <v>0</v>
      </c>
      <c r="AV66" s="230" t="e">
        <f t="shared" si="139"/>
        <v>#DIV/0!</v>
      </c>
      <c r="AW66" s="91">
        <f t="shared" si="140"/>
        <v>0</v>
      </c>
      <c r="AX66" s="230" t="e">
        <f t="shared" si="141"/>
        <v>#DIV/0!</v>
      </c>
      <c r="AY66" s="16">
        <f t="shared" ref="AY66:AY75" si="145">+Y66+W66+U66+S66+Q66+O66+M66+K66+I66+G66+E66+C66+AA66+AC66+AE66+AG66+AI66+AK66+AM66+AO66+AQ66+AS66+AU66+AW66</f>
        <v>26499.219716666405</v>
      </c>
      <c r="AZ66" s="230">
        <f t="shared" si="142"/>
        <v>0.3348422717306796</v>
      </c>
    </row>
    <row r="67" spans="1:52">
      <c r="A67" s="166" t="s">
        <v>1</v>
      </c>
      <c r="B67" s="166"/>
      <c r="C67" s="91">
        <f t="shared" si="143"/>
        <v>1989.1395100144523</v>
      </c>
      <c r="D67" s="230">
        <f t="shared" si="144"/>
        <v>0.29714427825843109</v>
      </c>
      <c r="E67" s="91">
        <f t="shared" si="143"/>
        <v>1770.7205775283542</v>
      </c>
      <c r="F67" s="230">
        <f t="shared" si="144"/>
        <v>0.28878500978968902</v>
      </c>
      <c r="G67" s="91">
        <f t="shared" si="98"/>
        <v>1879.028845039458</v>
      </c>
      <c r="H67" s="230">
        <f t="shared" si="99"/>
        <v>0.26765212303135744</v>
      </c>
      <c r="I67" s="91">
        <f t="shared" si="100"/>
        <v>2061.717384236269</v>
      </c>
      <c r="J67" s="230">
        <f t="shared" si="101"/>
        <v>0.27935950929485892</v>
      </c>
      <c r="K67" s="91">
        <f t="shared" si="102"/>
        <v>1629.7242188192863</v>
      </c>
      <c r="L67" s="230">
        <f t="shared" si="103"/>
        <v>0.27003212947077582</v>
      </c>
      <c r="M67" s="91">
        <f t="shared" si="104"/>
        <v>1617.0005027146976</v>
      </c>
      <c r="N67" s="230">
        <f t="shared" si="105"/>
        <v>0.25452529666617557</v>
      </c>
      <c r="O67" s="91">
        <f t="shared" si="106"/>
        <v>1486.617518606382</v>
      </c>
      <c r="P67" s="230">
        <f t="shared" si="107"/>
        <v>0.2296432558309254</v>
      </c>
      <c r="Q67" s="91">
        <f t="shared" si="108"/>
        <v>1600.4882282108279</v>
      </c>
      <c r="R67" s="230">
        <f t="shared" si="109"/>
        <v>0.25253694556613376</v>
      </c>
      <c r="S67" s="91">
        <f t="shared" si="110"/>
        <v>1810.1087449180227</v>
      </c>
      <c r="T67" s="230">
        <f t="shared" si="111"/>
        <v>0.26681897693350592</v>
      </c>
      <c r="U67" s="91">
        <f t="shared" si="112"/>
        <v>1854.3695685790385</v>
      </c>
      <c r="V67" s="230">
        <f t="shared" si="113"/>
        <v>0.267078900519578</v>
      </c>
      <c r="W67" s="91">
        <f t="shared" si="114"/>
        <v>1848.5972238924041</v>
      </c>
      <c r="X67" s="230">
        <f t="shared" si="115"/>
        <v>0.29339407726849642</v>
      </c>
      <c r="Y67" s="91">
        <f t="shared" si="116"/>
        <v>2043.5515526021159</v>
      </c>
      <c r="Z67" s="230">
        <f t="shared" si="117"/>
        <v>0.30566589907769642</v>
      </c>
      <c r="AA67" s="91">
        <f t="shared" si="118"/>
        <v>0</v>
      </c>
      <c r="AB67" s="230" t="e">
        <f t="shared" si="119"/>
        <v>#DIV/0!</v>
      </c>
      <c r="AC67" s="91">
        <f t="shared" si="120"/>
        <v>0</v>
      </c>
      <c r="AD67" s="230" t="e">
        <f t="shared" si="121"/>
        <v>#DIV/0!</v>
      </c>
      <c r="AE67" s="91">
        <f t="shared" si="122"/>
        <v>0</v>
      </c>
      <c r="AF67" s="230" t="e">
        <f t="shared" si="123"/>
        <v>#DIV/0!</v>
      </c>
      <c r="AG67" s="91">
        <f t="shared" si="124"/>
        <v>0</v>
      </c>
      <c r="AH67" s="230" t="e">
        <f t="shared" si="125"/>
        <v>#DIV/0!</v>
      </c>
      <c r="AI67" s="91">
        <f t="shared" si="126"/>
        <v>0</v>
      </c>
      <c r="AJ67" s="230" t="e">
        <f t="shared" si="127"/>
        <v>#DIV/0!</v>
      </c>
      <c r="AK67" s="91">
        <f t="shared" si="128"/>
        <v>0</v>
      </c>
      <c r="AL67" s="230" t="e">
        <f t="shared" si="129"/>
        <v>#DIV/0!</v>
      </c>
      <c r="AM67" s="91">
        <f t="shared" si="130"/>
        <v>0</v>
      </c>
      <c r="AN67" s="230" t="e">
        <f t="shared" si="131"/>
        <v>#DIV/0!</v>
      </c>
      <c r="AO67" s="91">
        <f t="shared" si="132"/>
        <v>0</v>
      </c>
      <c r="AP67" s="230" t="e">
        <f t="shared" si="133"/>
        <v>#DIV/0!</v>
      </c>
      <c r="AQ67" s="91">
        <f t="shared" si="134"/>
        <v>0</v>
      </c>
      <c r="AR67" s="230" t="e">
        <f t="shared" si="135"/>
        <v>#DIV/0!</v>
      </c>
      <c r="AS67" s="91">
        <f t="shared" si="136"/>
        <v>0</v>
      </c>
      <c r="AT67" s="230" t="e">
        <f t="shared" si="137"/>
        <v>#DIV/0!</v>
      </c>
      <c r="AU67" s="91">
        <f t="shared" si="138"/>
        <v>0</v>
      </c>
      <c r="AV67" s="230" t="e">
        <f t="shared" si="139"/>
        <v>#DIV/0!</v>
      </c>
      <c r="AW67" s="91">
        <f t="shared" si="140"/>
        <v>0</v>
      </c>
      <c r="AX67" s="230" t="e">
        <f t="shared" si="141"/>
        <v>#DIV/0!</v>
      </c>
      <c r="AY67" s="16">
        <f t="shared" si="145"/>
        <v>21591.063875161308</v>
      </c>
      <c r="AZ67" s="230">
        <f t="shared" si="142"/>
        <v>0.27282316061911216</v>
      </c>
    </row>
    <row r="68" spans="1:52">
      <c r="A68" s="166" t="s">
        <v>0</v>
      </c>
      <c r="B68" s="166"/>
      <c r="C68" s="91">
        <f t="shared" si="143"/>
        <v>65.748857066818715</v>
      </c>
      <c r="D68" s="230">
        <f t="shared" si="144"/>
        <v>9.8217830278252548E-3</v>
      </c>
      <c r="E68" s="91">
        <f t="shared" si="143"/>
        <v>75.074703202358421</v>
      </c>
      <c r="F68" s="230">
        <f t="shared" si="144"/>
        <v>1.2243856639150572E-2</v>
      </c>
      <c r="G68" s="91">
        <f t="shared" si="98"/>
        <v>58.794139617596429</v>
      </c>
      <c r="H68" s="230">
        <f t="shared" si="99"/>
        <v>8.3747390743867337E-3</v>
      </c>
      <c r="I68" s="91">
        <f t="shared" si="100"/>
        <v>76.810535066959986</v>
      </c>
      <c r="J68" s="230">
        <f t="shared" si="101"/>
        <v>1.0407708422621748E-2</v>
      </c>
      <c r="K68" s="91">
        <f t="shared" si="102"/>
        <v>67.138068968357416</v>
      </c>
      <c r="L68" s="230">
        <f t="shared" si="103"/>
        <v>1.1124235329346645E-2</v>
      </c>
      <c r="M68" s="91">
        <f t="shared" si="104"/>
        <v>84.053802626298804</v>
      </c>
      <c r="N68" s="230">
        <f t="shared" si="105"/>
        <v>1.3230558069377164E-2</v>
      </c>
      <c r="O68" s="91">
        <f t="shared" si="106"/>
        <v>113.18250659160584</v>
      </c>
      <c r="P68" s="230">
        <f t="shared" si="107"/>
        <v>1.7483716552168148E-2</v>
      </c>
      <c r="Q68" s="91">
        <f t="shared" si="108"/>
        <v>108.67742335971252</v>
      </c>
      <c r="R68" s="230">
        <f t="shared" si="109"/>
        <v>1.7147932776700268E-2</v>
      </c>
      <c r="S68" s="91">
        <f t="shared" si="110"/>
        <v>107.21701524042481</v>
      </c>
      <c r="T68" s="230">
        <f t="shared" si="111"/>
        <v>1.5804318053614982E-2</v>
      </c>
      <c r="U68" s="91">
        <f t="shared" si="112"/>
        <v>104.49801402314461</v>
      </c>
      <c r="V68" s="230">
        <f t="shared" si="113"/>
        <v>1.5050513751240592E-2</v>
      </c>
      <c r="W68" s="91">
        <f t="shared" si="114"/>
        <v>84.98344496045037</v>
      </c>
      <c r="X68" s="230">
        <f t="shared" si="115"/>
        <v>1.3487870205046153E-2</v>
      </c>
      <c r="Y68" s="91">
        <f t="shared" si="116"/>
        <v>88.673480310420814</v>
      </c>
      <c r="Z68" s="230">
        <f t="shared" si="117"/>
        <v>1.3263408524693328E-2</v>
      </c>
      <c r="AA68" s="91">
        <f t="shared" si="118"/>
        <v>0</v>
      </c>
      <c r="AB68" s="230" t="e">
        <f t="shared" si="119"/>
        <v>#DIV/0!</v>
      </c>
      <c r="AC68" s="91">
        <f t="shared" si="120"/>
        <v>0</v>
      </c>
      <c r="AD68" s="230" t="e">
        <f t="shared" si="121"/>
        <v>#DIV/0!</v>
      </c>
      <c r="AE68" s="91">
        <f t="shared" si="122"/>
        <v>0</v>
      </c>
      <c r="AF68" s="230" t="e">
        <f t="shared" si="123"/>
        <v>#DIV/0!</v>
      </c>
      <c r="AG68" s="91">
        <f t="shared" si="124"/>
        <v>0</v>
      </c>
      <c r="AH68" s="230" t="e">
        <f t="shared" si="125"/>
        <v>#DIV/0!</v>
      </c>
      <c r="AI68" s="91">
        <f t="shared" si="126"/>
        <v>0</v>
      </c>
      <c r="AJ68" s="230" t="e">
        <f t="shared" si="127"/>
        <v>#DIV/0!</v>
      </c>
      <c r="AK68" s="91">
        <f t="shared" si="128"/>
        <v>0</v>
      </c>
      <c r="AL68" s="230" t="e">
        <f t="shared" si="129"/>
        <v>#DIV/0!</v>
      </c>
      <c r="AM68" s="91">
        <f t="shared" si="130"/>
        <v>0</v>
      </c>
      <c r="AN68" s="230" t="e">
        <f t="shared" si="131"/>
        <v>#DIV/0!</v>
      </c>
      <c r="AO68" s="91">
        <f t="shared" si="132"/>
        <v>0</v>
      </c>
      <c r="AP68" s="230" t="e">
        <f t="shared" si="133"/>
        <v>#DIV/0!</v>
      </c>
      <c r="AQ68" s="91">
        <f t="shared" si="134"/>
        <v>0</v>
      </c>
      <c r="AR68" s="230" t="e">
        <f t="shared" si="135"/>
        <v>#DIV/0!</v>
      </c>
      <c r="AS68" s="91">
        <f t="shared" si="136"/>
        <v>0</v>
      </c>
      <c r="AT68" s="230" t="e">
        <f t="shared" si="137"/>
        <v>#DIV/0!</v>
      </c>
      <c r="AU68" s="91">
        <f t="shared" si="138"/>
        <v>0</v>
      </c>
      <c r="AV68" s="230" t="e">
        <f t="shared" si="139"/>
        <v>#DIV/0!</v>
      </c>
      <c r="AW68" s="91">
        <f t="shared" si="140"/>
        <v>0</v>
      </c>
      <c r="AX68" s="230" t="e">
        <f t="shared" si="141"/>
        <v>#DIV/0!</v>
      </c>
      <c r="AY68" s="16">
        <f t="shared" si="145"/>
        <v>1034.8519910341488</v>
      </c>
      <c r="AZ68" s="230">
        <f t="shared" si="142"/>
        <v>1.3076316785469576E-2</v>
      </c>
    </row>
    <row r="69" spans="1:52">
      <c r="A69" s="166" t="s">
        <v>4</v>
      </c>
      <c r="B69" s="166"/>
      <c r="C69" s="91">
        <f t="shared" si="143"/>
        <v>80.567881264566282</v>
      </c>
      <c r="D69" s="230">
        <f t="shared" si="144"/>
        <v>1.2035498168248933E-2</v>
      </c>
      <c r="E69" s="91">
        <f t="shared" si="143"/>
        <v>61.552613900067158</v>
      </c>
      <c r="F69" s="230">
        <f t="shared" si="144"/>
        <v>1.0038552910772398E-2</v>
      </c>
      <c r="G69" s="91">
        <f t="shared" si="98"/>
        <v>82.448553026684706</v>
      </c>
      <c r="H69" s="230">
        <f t="shared" si="99"/>
        <v>1.1744114688134131E-2</v>
      </c>
      <c r="I69" s="91">
        <f t="shared" si="100"/>
        <v>99.464402598907611</v>
      </c>
      <c r="J69" s="230">
        <f t="shared" si="101"/>
        <v>1.3477272353034038E-2</v>
      </c>
      <c r="K69" s="91">
        <f t="shared" si="102"/>
        <v>84.740313006701271</v>
      </c>
      <c r="L69" s="230">
        <f t="shared" si="103"/>
        <v>1.4040784881872697E-2</v>
      </c>
      <c r="M69" s="91">
        <f t="shared" si="104"/>
        <v>90.740429017048626</v>
      </c>
      <c r="N69" s="230">
        <f t="shared" si="105"/>
        <v>1.4283072006722403E-2</v>
      </c>
      <c r="O69" s="91">
        <f t="shared" si="106"/>
        <v>113.09648531649765</v>
      </c>
      <c r="P69" s="230">
        <f t="shared" si="107"/>
        <v>1.7470428530575958E-2</v>
      </c>
      <c r="Q69" s="91">
        <f t="shared" si="108"/>
        <v>97.802168520999771</v>
      </c>
      <c r="R69" s="230">
        <f t="shared" si="109"/>
        <v>1.5431954120429853E-2</v>
      </c>
      <c r="S69" s="91">
        <f t="shared" si="110"/>
        <v>90.54250144857302</v>
      </c>
      <c r="T69" s="230">
        <f t="shared" si="111"/>
        <v>1.3346412293369057E-2</v>
      </c>
      <c r="U69" s="91">
        <f t="shared" si="112"/>
        <v>76.577322778463611</v>
      </c>
      <c r="V69" s="230">
        <f t="shared" si="113"/>
        <v>1.1029186155204729E-2</v>
      </c>
      <c r="W69" s="91">
        <f t="shared" si="114"/>
        <v>75.504669969572774</v>
      </c>
      <c r="X69" s="230">
        <f t="shared" si="115"/>
        <v>1.1983477357247471E-2</v>
      </c>
      <c r="Y69" s="91">
        <f t="shared" si="116"/>
        <v>74.150650751677716</v>
      </c>
      <c r="Z69" s="230">
        <f t="shared" si="117"/>
        <v>1.1091144385541627E-2</v>
      </c>
      <c r="AA69" s="91">
        <f t="shared" si="118"/>
        <v>0</v>
      </c>
      <c r="AB69" s="230" t="e">
        <f t="shared" si="119"/>
        <v>#DIV/0!</v>
      </c>
      <c r="AC69" s="91">
        <f t="shared" si="120"/>
        <v>0</v>
      </c>
      <c r="AD69" s="230" t="e">
        <f t="shared" si="121"/>
        <v>#DIV/0!</v>
      </c>
      <c r="AE69" s="91">
        <f t="shared" si="122"/>
        <v>0</v>
      </c>
      <c r="AF69" s="230" t="e">
        <f t="shared" si="123"/>
        <v>#DIV/0!</v>
      </c>
      <c r="AG69" s="91">
        <f t="shared" si="124"/>
        <v>0</v>
      </c>
      <c r="AH69" s="230" t="e">
        <f t="shared" si="125"/>
        <v>#DIV/0!</v>
      </c>
      <c r="AI69" s="91">
        <f t="shared" si="126"/>
        <v>0</v>
      </c>
      <c r="AJ69" s="230" t="e">
        <f t="shared" si="127"/>
        <v>#DIV/0!</v>
      </c>
      <c r="AK69" s="91">
        <f t="shared" si="128"/>
        <v>0</v>
      </c>
      <c r="AL69" s="230" t="e">
        <f t="shared" si="129"/>
        <v>#DIV/0!</v>
      </c>
      <c r="AM69" s="91">
        <f t="shared" si="130"/>
        <v>0</v>
      </c>
      <c r="AN69" s="230" t="e">
        <f t="shared" si="131"/>
        <v>#DIV/0!</v>
      </c>
      <c r="AO69" s="91">
        <f t="shared" si="132"/>
        <v>0</v>
      </c>
      <c r="AP69" s="230" t="e">
        <f t="shared" si="133"/>
        <v>#DIV/0!</v>
      </c>
      <c r="AQ69" s="91">
        <f t="shared" si="134"/>
        <v>0</v>
      </c>
      <c r="AR69" s="230" t="e">
        <f t="shared" si="135"/>
        <v>#DIV/0!</v>
      </c>
      <c r="AS69" s="91">
        <f t="shared" si="136"/>
        <v>0</v>
      </c>
      <c r="AT69" s="230" t="e">
        <f t="shared" si="137"/>
        <v>#DIV/0!</v>
      </c>
      <c r="AU69" s="91">
        <f t="shared" si="138"/>
        <v>0</v>
      </c>
      <c r="AV69" s="230" t="e">
        <f t="shared" si="139"/>
        <v>#DIV/0!</v>
      </c>
      <c r="AW69" s="91">
        <f t="shared" si="140"/>
        <v>0</v>
      </c>
      <c r="AX69" s="230" t="e">
        <f t="shared" si="141"/>
        <v>#DIV/0!</v>
      </c>
      <c r="AY69" s="16">
        <f t="shared" si="145"/>
        <v>1027.1879915997604</v>
      </c>
      <c r="AZ69" s="230">
        <f t="shared" si="142"/>
        <v>1.2979475029048376E-2</v>
      </c>
    </row>
    <row r="70" spans="1:52">
      <c r="A70" s="166" t="s">
        <v>2</v>
      </c>
      <c r="B70" s="166"/>
      <c r="C70" s="91">
        <f t="shared" si="143"/>
        <v>1153.909183749256</v>
      </c>
      <c r="D70" s="230">
        <f t="shared" si="144"/>
        <v>0.17237479314784551</v>
      </c>
      <c r="E70" s="91">
        <f t="shared" si="143"/>
        <v>841.09861768932024</v>
      </c>
      <c r="F70" s="230">
        <f t="shared" si="144"/>
        <v>0.13717391418275016</v>
      </c>
      <c r="G70" s="91">
        <f t="shared" si="98"/>
        <v>1105.0717880753439</v>
      </c>
      <c r="H70" s="230">
        <f t="shared" si="99"/>
        <v>0.15740833939896917</v>
      </c>
      <c r="I70" s="91">
        <f t="shared" si="100"/>
        <v>1358.3060544701766</v>
      </c>
      <c r="J70" s="230">
        <f t="shared" si="101"/>
        <v>0.18404836460628085</v>
      </c>
      <c r="K70" s="91">
        <f t="shared" si="102"/>
        <v>995.62596072715019</v>
      </c>
      <c r="L70" s="230">
        <f t="shared" si="103"/>
        <v>0.16496717372606659</v>
      </c>
      <c r="M70" s="91">
        <f t="shared" si="104"/>
        <v>1008.8838773583009</v>
      </c>
      <c r="N70" s="230">
        <f t="shared" si="105"/>
        <v>0.15880419811573199</v>
      </c>
      <c r="O70" s="91">
        <f t="shared" si="106"/>
        <v>1183.0939791750268</v>
      </c>
      <c r="P70" s="230">
        <f t="shared" si="107"/>
        <v>0.18275686242848227</v>
      </c>
      <c r="Q70" s="91">
        <f t="shared" si="108"/>
        <v>1196.7258307817697</v>
      </c>
      <c r="R70" s="230">
        <f t="shared" si="109"/>
        <v>0.18882830917386273</v>
      </c>
      <c r="S70" s="91">
        <f t="shared" si="110"/>
        <v>1515.1684861956978</v>
      </c>
      <c r="T70" s="230">
        <f t="shared" si="111"/>
        <v>0.22334332481606461</v>
      </c>
      <c r="U70" s="91">
        <f t="shared" si="112"/>
        <v>1515.3460904714063</v>
      </c>
      <c r="V70" s="230">
        <f t="shared" si="113"/>
        <v>0.21825043648654655</v>
      </c>
      <c r="W70" s="91">
        <f t="shared" si="114"/>
        <v>1120.6742928329875</v>
      </c>
      <c r="X70" s="230">
        <f t="shared" si="115"/>
        <v>0.17786416414276546</v>
      </c>
      <c r="Y70" s="91">
        <f t="shared" si="116"/>
        <v>1144.8740052158207</v>
      </c>
      <c r="Z70" s="230">
        <f t="shared" si="117"/>
        <v>0.17124546806239196</v>
      </c>
      <c r="AA70" s="91">
        <f t="shared" si="118"/>
        <v>0</v>
      </c>
      <c r="AB70" s="230" t="e">
        <f t="shared" si="119"/>
        <v>#DIV/0!</v>
      </c>
      <c r="AC70" s="91">
        <f t="shared" si="120"/>
        <v>0</v>
      </c>
      <c r="AD70" s="230" t="e">
        <f t="shared" si="121"/>
        <v>#DIV/0!</v>
      </c>
      <c r="AE70" s="91">
        <f t="shared" si="122"/>
        <v>0</v>
      </c>
      <c r="AF70" s="230" t="e">
        <f t="shared" si="123"/>
        <v>#DIV/0!</v>
      </c>
      <c r="AG70" s="91">
        <f t="shared" si="124"/>
        <v>0</v>
      </c>
      <c r="AH70" s="230" t="e">
        <f t="shared" si="125"/>
        <v>#DIV/0!</v>
      </c>
      <c r="AI70" s="91">
        <f t="shared" si="126"/>
        <v>0</v>
      </c>
      <c r="AJ70" s="230" t="e">
        <f t="shared" si="127"/>
        <v>#DIV/0!</v>
      </c>
      <c r="AK70" s="91">
        <f t="shared" si="128"/>
        <v>0</v>
      </c>
      <c r="AL70" s="230" t="e">
        <f t="shared" si="129"/>
        <v>#DIV/0!</v>
      </c>
      <c r="AM70" s="91">
        <f t="shared" si="130"/>
        <v>0</v>
      </c>
      <c r="AN70" s="230" t="e">
        <f t="shared" si="131"/>
        <v>#DIV/0!</v>
      </c>
      <c r="AO70" s="91">
        <f t="shared" si="132"/>
        <v>0</v>
      </c>
      <c r="AP70" s="230" t="e">
        <f t="shared" si="133"/>
        <v>#DIV/0!</v>
      </c>
      <c r="AQ70" s="91">
        <f t="shared" si="134"/>
        <v>0</v>
      </c>
      <c r="AR70" s="230" t="e">
        <f t="shared" si="135"/>
        <v>#DIV/0!</v>
      </c>
      <c r="AS70" s="91">
        <f t="shared" si="136"/>
        <v>0</v>
      </c>
      <c r="AT70" s="230" t="e">
        <f t="shared" si="137"/>
        <v>#DIV/0!</v>
      </c>
      <c r="AU70" s="91">
        <f t="shared" si="138"/>
        <v>0</v>
      </c>
      <c r="AV70" s="230" t="e">
        <f t="shared" si="139"/>
        <v>#DIV/0!</v>
      </c>
      <c r="AW70" s="91">
        <f t="shared" si="140"/>
        <v>0</v>
      </c>
      <c r="AX70" s="230" t="e">
        <f t="shared" si="141"/>
        <v>#DIV/0!</v>
      </c>
      <c r="AY70" s="16">
        <f t="shared" si="145"/>
        <v>14138.778166742255</v>
      </c>
      <c r="AZ70" s="230">
        <f t="shared" si="142"/>
        <v>0.17865660391013499</v>
      </c>
    </row>
    <row r="71" spans="1:52">
      <c r="A71" s="166" t="s">
        <v>8</v>
      </c>
      <c r="B71" s="166"/>
      <c r="C71" s="91">
        <f t="shared" si="143"/>
        <v>96.988296807820461</v>
      </c>
      <c r="D71" s="230">
        <f t="shared" si="144"/>
        <v>1.4488434476003603E-2</v>
      </c>
      <c r="E71" s="91">
        <f t="shared" si="143"/>
        <v>94.491182925936457</v>
      </c>
      <c r="F71" s="230">
        <f t="shared" si="144"/>
        <v>1.5410470478857302E-2</v>
      </c>
      <c r="G71" s="91">
        <f t="shared" si="98"/>
        <v>71.101224200334926</v>
      </c>
      <c r="H71" s="230">
        <f t="shared" si="99"/>
        <v>1.0127781517344695E-2</v>
      </c>
      <c r="I71" s="91">
        <f t="shared" si="100"/>
        <v>97.082715176543928</v>
      </c>
      <c r="J71" s="230">
        <f t="shared" si="101"/>
        <v>1.3154557399620711E-2</v>
      </c>
      <c r="K71" s="91">
        <f t="shared" si="102"/>
        <v>106.76520087038887</v>
      </c>
      <c r="L71" s="230">
        <f t="shared" si="103"/>
        <v>1.769013076659879E-2</v>
      </c>
      <c r="M71" s="91">
        <f t="shared" si="104"/>
        <v>124.80795491178789</v>
      </c>
      <c r="N71" s="230">
        <f t="shared" si="105"/>
        <v>1.9645498994520959E-2</v>
      </c>
      <c r="O71" s="91">
        <f t="shared" si="106"/>
        <v>141.50295234027146</v>
      </c>
      <c r="P71" s="230">
        <f t="shared" si="107"/>
        <v>2.1858479587655189E-2</v>
      </c>
      <c r="Q71" s="91">
        <f t="shared" si="108"/>
        <v>112.68749152165772</v>
      </c>
      <c r="R71" s="230">
        <f t="shared" si="109"/>
        <v>1.778067117944486E-2</v>
      </c>
      <c r="S71" s="91">
        <f t="shared" si="110"/>
        <v>100.66876216681624</v>
      </c>
      <c r="T71" s="230">
        <f t="shared" si="111"/>
        <v>1.4839073180505962E-2</v>
      </c>
      <c r="U71" s="91">
        <f t="shared" si="112"/>
        <v>110.98730546262873</v>
      </c>
      <c r="V71" s="230">
        <f t="shared" si="113"/>
        <v>1.5985145580933852E-2</v>
      </c>
      <c r="W71" s="91">
        <f t="shared" si="114"/>
        <v>118.13317954356302</v>
      </c>
      <c r="X71" s="230">
        <f t="shared" si="115"/>
        <v>1.8749122177084163E-2</v>
      </c>
      <c r="Y71" s="91">
        <f t="shared" si="116"/>
        <v>124.17940263242831</v>
      </c>
      <c r="Z71" s="230">
        <f t="shared" si="117"/>
        <v>1.8574235968865156E-2</v>
      </c>
      <c r="AA71" s="91">
        <f t="shared" si="118"/>
        <v>0</v>
      </c>
      <c r="AB71" s="230" t="e">
        <f t="shared" si="119"/>
        <v>#DIV/0!</v>
      </c>
      <c r="AC71" s="91">
        <f t="shared" si="120"/>
        <v>0</v>
      </c>
      <c r="AD71" s="230" t="e">
        <f t="shared" si="121"/>
        <v>#DIV/0!</v>
      </c>
      <c r="AE71" s="91">
        <f t="shared" si="122"/>
        <v>0</v>
      </c>
      <c r="AF71" s="230" t="e">
        <f t="shared" si="123"/>
        <v>#DIV/0!</v>
      </c>
      <c r="AG71" s="91">
        <f t="shared" si="124"/>
        <v>0</v>
      </c>
      <c r="AH71" s="230" t="e">
        <f t="shared" si="125"/>
        <v>#DIV/0!</v>
      </c>
      <c r="AI71" s="91">
        <f t="shared" si="126"/>
        <v>0</v>
      </c>
      <c r="AJ71" s="230" t="e">
        <f t="shared" si="127"/>
        <v>#DIV/0!</v>
      </c>
      <c r="AK71" s="91">
        <f t="shared" si="128"/>
        <v>0</v>
      </c>
      <c r="AL71" s="230" t="e">
        <f t="shared" si="129"/>
        <v>#DIV/0!</v>
      </c>
      <c r="AM71" s="91">
        <f t="shared" si="130"/>
        <v>0</v>
      </c>
      <c r="AN71" s="230" t="e">
        <f t="shared" si="131"/>
        <v>#DIV/0!</v>
      </c>
      <c r="AO71" s="91">
        <f t="shared" si="132"/>
        <v>0</v>
      </c>
      <c r="AP71" s="230" t="e">
        <f t="shared" si="133"/>
        <v>#DIV/0!</v>
      </c>
      <c r="AQ71" s="91">
        <f t="shared" si="134"/>
        <v>0</v>
      </c>
      <c r="AR71" s="230" t="e">
        <f t="shared" si="135"/>
        <v>#DIV/0!</v>
      </c>
      <c r="AS71" s="91">
        <f t="shared" si="136"/>
        <v>0</v>
      </c>
      <c r="AT71" s="230" t="e">
        <f t="shared" si="137"/>
        <v>#DIV/0!</v>
      </c>
      <c r="AU71" s="91">
        <f t="shared" si="138"/>
        <v>0</v>
      </c>
      <c r="AV71" s="230" t="e">
        <f t="shared" si="139"/>
        <v>#DIV/0!</v>
      </c>
      <c r="AW71" s="91">
        <f t="shared" si="140"/>
        <v>0</v>
      </c>
      <c r="AX71" s="230" t="e">
        <f t="shared" si="141"/>
        <v>#DIV/0!</v>
      </c>
      <c r="AY71" s="16">
        <f t="shared" si="145"/>
        <v>1299.3956685601779</v>
      </c>
      <c r="AZ71" s="230">
        <f t="shared" si="142"/>
        <v>1.6419072040224952E-2</v>
      </c>
    </row>
    <row r="72" spans="1:52">
      <c r="A72" s="166" t="s">
        <v>10</v>
      </c>
      <c r="B72" s="166"/>
      <c r="C72" s="91">
        <f t="shared" si="143"/>
        <v>26.575080751507578</v>
      </c>
      <c r="D72" s="230">
        <f t="shared" si="144"/>
        <v>3.9698739831018036E-3</v>
      </c>
      <c r="E72" s="91">
        <f t="shared" si="143"/>
        <v>20.22351458334402</v>
      </c>
      <c r="F72" s="230">
        <f t="shared" si="144"/>
        <v>3.2982323304137479E-3</v>
      </c>
      <c r="G72" s="91">
        <f t="shared" si="98"/>
        <v>20.449382276456596</v>
      </c>
      <c r="H72" s="230">
        <f t="shared" si="99"/>
        <v>2.9128454283300189E-3</v>
      </c>
      <c r="I72" s="91">
        <f t="shared" si="100"/>
        <v>29.972616807661105</v>
      </c>
      <c r="J72" s="230">
        <f t="shared" si="101"/>
        <v>4.0612431110545952E-3</v>
      </c>
      <c r="K72" s="91">
        <f t="shared" si="102"/>
        <v>25.527806415095423</v>
      </c>
      <c r="L72" s="230">
        <f t="shared" si="103"/>
        <v>4.2297511734715916E-3</v>
      </c>
      <c r="M72" s="91">
        <f t="shared" si="104"/>
        <v>29.804528569690966</v>
      </c>
      <c r="N72" s="230">
        <f t="shared" si="105"/>
        <v>4.6914063808022009E-3</v>
      </c>
      <c r="O72" s="91">
        <f t="shared" si="106"/>
        <v>26.667120639076899</v>
      </c>
      <c r="P72" s="230">
        <f t="shared" si="107"/>
        <v>4.1193678471746469E-3</v>
      </c>
      <c r="Q72" s="91">
        <f t="shared" si="108"/>
        <v>27.883762133295534</v>
      </c>
      <c r="R72" s="230">
        <f t="shared" si="109"/>
        <v>4.3997075366851712E-3</v>
      </c>
      <c r="S72" s="91">
        <f t="shared" si="110"/>
        <v>25.371492705417232</v>
      </c>
      <c r="T72" s="230">
        <f t="shared" si="111"/>
        <v>3.7398834439871845E-3</v>
      </c>
      <c r="U72" s="91">
        <f t="shared" si="112"/>
        <v>20.136262930609284</v>
      </c>
      <c r="V72" s="230">
        <f t="shared" si="113"/>
        <v>2.9001613568331369E-3</v>
      </c>
      <c r="W72" s="91">
        <f t="shared" si="114"/>
        <v>17.920953472313339</v>
      </c>
      <c r="X72" s="230">
        <f t="shared" si="115"/>
        <v>2.844265662538429E-3</v>
      </c>
      <c r="Y72" s="91">
        <f t="shared" si="116"/>
        <v>18.727917608039604</v>
      </c>
      <c r="Z72" s="230">
        <f t="shared" si="117"/>
        <v>2.8012436320607064E-3</v>
      </c>
      <c r="AA72" s="91">
        <f t="shared" si="118"/>
        <v>0</v>
      </c>
      <c r="AB72" s="230" t="e">
        <f t="shared" si="119"/>
        <v>#DIV/0!</v>
      </c>
      <c r="AC72" s="91">
        <f t="shared" si="120"/>
        <v>0</v>
      </c>
      <c r="AD72" s="230" t="e">
        <f t="shared" si="121"/>
        <v>#DIV/0!</v>
      </c>
      <c r="AE72" s="91">
        <f t="shared" si="122"/>
        <v>0</v>
      </c>
      <c r="AF72" s="230" t="e">
        <f t="shared" si="123"/>
        <v>#DIV/0!</v>
      </c>
      <c r="AG72" s="91">
        <f t="shared" si="124"/>
        <v>0</v>
      </c>
      <c r="AH72" s="230" t="e">
        <f t="shared" si="125"/>
        <v>#DIV/0!</v>
      </c>
      <c r="AI72" s="91">
        <f t="shared" si="126"/>
        <v>0</v>
      </c>
      <c r="AJ72" s="230" t="e">
        <f t="shared" si="127"/>
        <v>#DIV/0!</v>
      </c>
      <c r="AK72" s="91">
        <f t="shared" si="128"/>
        <v>0</v>
      </c>
      <c r="AL72" s="230" t="e">
        <f t="shared" si="129"/>
        <v>#DIV/0!</v>
      </c>
      <c r="AM72" s="91">
        <f t="shared" si="130"/>
        <v>0</v>
      </c>
      <c r="AN72" s="230" t="e">
        <f t="shared" si="131"/>
        <v>#DIV/0!</v>
      </c>
      <c r="AO72" s="91">
        <f t="shared" si="132"/>
        <v>0</v>
      </c>
      <c r="AP72" s="230" t="e">
        <f t="shared" si="133"/>
        <v>#DIV/0!</v>
      </c>
      <c r="AQ72" s="91">
        <f t="shared" si="134"/>
        <v>0</v>
      </c>
      <c r="AR72" s="230" t="e">
        <f t="shared" si="135"/>
        <v>#DIV/0!</v>
      </c>
      <c r="AS72" s="91">
        <f t="shared" si="136"/>
        <v>0</v>
      </c>
      <c r="AT72" s="230" t="e">
        <f t="shared" si="137"/>
        <v>#DIV/0!</v>
      </c>
      <c r="AU72" s="91">
        <f t="shared" si="138"/>
        <v>0</v>
      </c>
      <c r="AV72" s="230" t="e">
        <f t="shared" si="139"/>
        <v>#DIV/0!</v>
      </c>
      <c r="AW72" s="91">
        <f t="shared" si="140"/>
        <v>0</v>
      </c>
      <c r="AX72" s="230" t="e">
        <f t="shared" si="141"/>
        <v>#DIV/0!</v>
      </c>
      <c r="AY72" s="16">
        <f t="shared" si="145"/>
        <v>289.26043889250758</v>
      </c>
      <c r="AZ72" s="230">
        <f t="shared" si="142"/>
        <v>3.6550745084642515E-3</v>
      </c>
    </row>
    <row r="73" spans="1:52">
      <c r="A73" s="166" t="s">
        <v>11</v>
      </c>
      <c r="B73" s="166"/>
      <c r="C73" s="91">
        <f t="shared" si="143"/>
        <v>31.276402756817593</v>
      </c>
      <c r="D73" s="230">
        <f t="shared" si="144"/>
        <v>4.6721731064640329E-3</v>
      </c>
      <c r="E73" s="91">
        <f t="shared" si="143"/>
        <v>31.959735180240365</v>
      </c>
      <c r="F73" s="230">
        <f t="shared" si="144"/>
        <v>5.2122805563057798E-3</v>
      </c>
      <c r="G73" s="91">
        <f t="shared" si="98"/>
        <v>18.012103550843687</v>
      </c>
      <c r="H73" s="230">
        <f t="shared" si="99"/>
        <v>2.5656752254608036E-3</v>
      </c>
      <c r="I73" s="91">
        <f t="shared" si="100"/>
        <v>30.765653323194122</v>
      </c>
      <c r="J73" s="230">
        <f t="shared" si="101"/>
        <v>4.1686983294691579E-3</v>
      </c>
      <c r="K73" s="91">
        <f t="shared" si="102"/>
        <v>31.40449836275333</v>
      </c>
      <c r="L73" s="230">
        <f t="shared" si="103"/>
        <v>5.2034715259981741E-3</v>
      </c>
      <c r="M73" s="91">
        <f t="shared" si="104"/>
        <v>31.74856289105486</v>
      </c>
      <c r="N73" s="230">
        <f t="shared" si="105"/>
        <v>4.9974087051945981E-3</v>
      </c>
      <c r="O73" s="91">
        <f t="shared" si="106"/>
        <v>40.115703776633389</v>
      </c>
      <c r="P73" s="230">
        <f t="shared" si="107"/>
        <v>6.196819766964028E-3</v>
      </c>
      <c r="Q73" s="91">
        <f t="shared" si="108"/>
        <v>38.366303749242192</v>
      </c>
      <c r="R73" s="230">
        <f t="shared" si="109"/>
        <v>6.0537209775839949E-3</v>
      </c>
      <c r="S73" s="91">
        <f t="shared" si="110"/>
        <v>36.264569062694243</v>
      </c>
      <c r="T73" s="230">
        <f t="shared" si="111"/>
        <v>5.3455767469267508E-3</v>
      </c>
      <c r="U73" s="91">
        <f t="shared" si="112"/>
        <v>37.351810529521678</v>
      </c>
      <c r="V73" s="230">
        <f t="shared" si="113"/>
        <v>5.3796614535065622E-3</v>
      </c>
      <c r="W73" s="91">
        <f t="shared" si="114"/>
        <v>34.573948517954165</v>
      </c>
      <c r="X73" s="230">
        <f t="shared" si="115"/>
        <v>5.4872914401520659E-3</v>
      </c>
      <c r="Y73" s="91">
        <f t="shared" si="116"/>
        <v>35.774755447352874</v>
      </c>
      <c r="Z73" s="230">
        <f t="shared" si="117"/>
        <v>5.3510383793233945E-3</v>
      </c>
      <c r="AA73" s="91">
        <f t="shared" si="118"/>
        <v>0</v>
      </c>
      <c r="AB73" s="230" t="e">
        <f t="shared" si="119"/>
        <v>#DIV/0!</v>
      </c>
      <c r="AC73" s="91">
        <f t="shared" si="120"/>
        <v>0</v>
      </c>
      <c r="AD73" s="230" t="e">
        <f t="shared" si="121"/>
        <v>#DIV/0!</v>
      </c>
      <c r="AE73" s="91">
        <f t="shared" si="122"/>
        <v>0</v>
      </c>
      <c r="AF73" s="230" t="e">
        <f t="shared" si="123"/>
        <v>#DIV/0!</v>
      </c>
      <c r="AG73" s="91">
        <f t="shared" si="124"/>
        <v>0</v>
      </c>
      <c r="AH73" s="230" t="e">
        <f t="shared" si="125"/>
        <v>#DIV/0!</v>
      </c>
      <c r="AI73" s="91">
        <f t="shared" si="126"/>
        <v>0</v>
      </c>
      <c r="AJ73" s="230" t="e">
        <f t="shared" si="127"/>
        <v>#DIV/0!</v>
      </c>
      <c r="AK73" s="91">
        <f t="shared" si="128"/>
        <v>0</v>
      </c>
      <c r="AL73" s="230" t="e">
        <f t="shared" si="129"/>
        <v>#DIV/0!</v>
      </c>
      <c r="AM73" s="91">
        <f t="shared" si="130"/>
        <v>0</v>
      </c>
      <c r="AN73" s="230" t="e">
        <f t="shared" si="131"/>
        <v>#DIV/0!</v>
      </c>
      <c r="AO73" s="91">
        <f t="shared" si="132"/>
        <v>0</v>
      </c>
      <c r="AP73" s="230" t="e">
        <f t="shared" si="133"/>
        <v>#DIV/0!</v>
      </c>
      <c r="AQ73" s="91">
        <f t="shared" si="134"/>
        <v>0</v>
      </c>
      <c r="AR73" s="230" t="e">
        <f t="shared" si="135"/>
        <v>#DIV/0!</v>
      </c>
      <c r="AS73" s="91">
        <f t="shared" si="136"/>
        <v>0</v>
      </c>
      <c r="AT73" s="230" t="e">
        <f t="shared" si="137"/>
        <v>#DIV/0!</v>
      </c>
      <c r="AU73" s="91">
        <f t="shared" si="138"/>
        <v>0</v>
      </c>
      <c r="AV73" s="230" t="e">
        <f t="shared" si="139"/>
        <v>#DIV/0!</v>
      </c>
      <c r="AW73" s="91">
        <f t="shared" si="140"/>
        <v>0</v>
      </c>
      <c r="AX73" s="230" t="e">
        <f t="shared" si="141"/>
        <v>#DIV/0!</v>
      </c>
      <c r="AY73" s="16">
        <f t="shared" si="145"/>
        <v>397.61404714830252</v>
      </c>
      <c r="AZ73" s="230">
        <f t="shared" si="142"/>
        <v>5.024223061761755E-3</v>
      </c>
    </row>
    <row r="74" spans="1:52">
      <c r="A74" s="166" t="s">
        <v>9</v>
      </c>
      <c r="B74" s="166"/>
      <c r="C74" s="91">
        <f t="shared" si="143"/>
        <v>24.197715555405757</v>
      </c>
      <c r="D74" s="230">
        <f t="shared" si="144"/>
        <v>3.6147352601535792E-3</v>
      </c>
      <c r="E74" s="91">
        <f t="shared" si="143"/>
        <v>19.155369602500144</v>
      </c>
      <c r="F74" s="230">
        <f t="shared" si="144"/>
        <v>3.1240296568443397E-3</v>
      </c>
      <c r="G74" s="91">
        <f t="shared" si="98"/>
        <v>21.18220394030277</v>
      </c>
      <c r="H74" s="230">
        <f t="shared" si="99"/>
        <v>3.0172298153231208E-3</v>
      </c>
      <c r="I74" s="91">
        <f t="shared" si="100"/>
        <v>30.176561159471369</v>
      </c>
      <c r="J74" s="230">
        <f t="shared" si="101"/>
        <v>4.0888772545510758E-3</v>
      </c>
      <c r="K74" s="91">
        <f t="shared" si="102"/>
        <v>21.16861334449413</v>
      </c>
      <c r="L74" s="230">
        <f t="shared" si="103"/>
        <v>3.5074681184394173E-3</v>
      </c>
      <c r="M74" s="91">
        <f t="shared" si="104"/>
        <v>27.007362620207616</v>
      </c>
      <c r="N74" s="230">
        <f t="shared" si="105"/>
        <v>4.2511161694376905E-3</v>
      </c>
      <c r="O74" s="91">
        <f t="shared" si="106"/>
        <v>25.242460955569751</v>
      </c>
      <c r="P74" s="230">
        <f t="shared" si="107"/>
        <v>3.8992954451768998E-3</v>
      </c>
      <c r="Q74" s="91">
        <f t="shared" si="108"/>
        <v>29.042213831406215</v>
      </c>
      <c r="R74" s="230">
        <f t="shared" si="109"/>
        <v>4.5824966683202187E-3</v>
      </c>
      <c r="S74" s="91">
        <f t="shared" si="110"/>
        <v>36.035935471698473</v>
      </c>
      <c r="T74" s="230">
        <f t="shared" si="111"/>
        <v>5.3118750254067615E-3</v>
      </c>
      <c r="U74" s="91">
        <f t="shared" si="112"/>
        <v>31.955224306145496</v>
      </c>
      <c r="V74" s="230">
        <f t="shared" si="113"/>
        <v>4.6024084509117989E-3</v>
      </c>
      <c r="W74" s="91">
        <f t="shared" si="114"/>
        <v>32.662455486907291</v>
      </c>
      <c r="X74" s="230">
        <f t="shared" si="115"/>
        <v>5.1839150600511072E-3</v>
      </c>
      <c r="Y74" s="91">
        <f t="shared" si="116"/>
        <v>35.308809689588756</v>
      </c>
      <c r="Z74" s="230">
        <f t="shared" si="117"/>
        <v>5.2813441605565354E-3</v>
      </c>
      <c r="AA74" s="91">
        <f t="shared" si="118"/>
        <v>0</v>
      </c>
      <c r="AB74" s="230" t="e">
        <f t="shared" si="119"/>
        <v>#DIV/0!</v>
      </c>
      <c r="AC74" s="91">
        <f t="shared" si="120"/>
        <v>0</v>
      </c>
      <c r="AD74" s="230" t="e">
        <f t="shared" si="121"/>
        <v>#DIV/0!</v>
      </c>
      <c r="AE74" s="91">
        <f t="shared" si="122"/>
        <v>0</v>
      </c>
      <c r="AF74" s="230" t="e">
        <f t="shared" si="123"/>
        <v>#DIV/0!</v>
      </c>
      <c r="AG74" s="91">
        <f t="shared" si="124"/>
        <v>0</v>
      </c>
      <c r="AH74" s="230" t="e">
        <f t="shared" si="125"/>
        <v>#DIV/0!</v>
      </c>
      <c r="AI74" s="91">
        <f t="shared" si="126"/>
        <v>0</v>
      </c>
      <c r="AJ74" s="230" t="e">
        <f t="shared" si="127"/>
        <v>#DIV/0!</v>
      </c>
      <c r="AK74" s="91">
        <f t="shared" si="128"/>
        <v>0</v>
      </c>
      <c r="AL74" s="230" t="e">
        <f t="shared" si="129"/>
        <v>#DIV/0!</v>
      </c>
      <c r="AM74" s="91">
        <f t="shared" si="130"/>
        <v>0</v>
      </c>
      <c r="AN74" s="230" t="e">
        <f t="shared" si="131"/>
        <v>#DIV/0!</v>
      </c>
      <c r="AO74" s="91">
        <f t="shared" si="132"/>
        <v>0</v>
      </c>
      <c r="AP74" s="230" t="e">
        <f t="shared" si="133"/>
        <v>#DIV/0!</v>
      </c>
      <c r="AQ74" s="91">
        <f t="shared" si="134"/>
        <v>0</v>
      </c>
      <c r="AR74" s="230" t="e">
        <f t="shared" si="135"/>
        <v>#DIV/0!</v>
      </c>
      <c r="AS74" s="91">
        <f t="shared" si="136"/>
        <v>0</v>
      </c>
      <c r="AT74" s="230" t="e">
        <f t="shared" si="137"/>
        <v>#DIV/0!</v>
      </c>
      <c r="AU74" s="91">
        <f t="shared" si="138"/>
        <v>0</v>
      </c>
      <c r="AV74" s="230" t="e">
        <f t="shared" si="139"/>
        <v>#DIV/0!</v>
      </c>
      <c r="AW74" s="91">
        <f t="shared" si="140"/>
        <v>0</v>
      </c>
      <c r="AX74" s="230" t="e">
        <f t="shared" si="141"/>
        <v>#DIV/0!</v>
      </c>
      <c r="AY74" s="16">
        <f t="shared" si="145"/>
        <v>333.13492596369775</v>
      </c>
      <c r="AZ74" s="230">
        <f t="shared" si="142"/>
        <v>4.209469433258806E-3</v>
      </c>
    </row>
    <row r="75" spans="1:52" ht="15">
      <c r="A75" s="166" t="s">
        <v>5</v>
      </c>
      <c r="B75" s="166"/>
      <c r="C75" s="98">
        <f t="shared" si="143"/>
        <v>901.71885021325102</v>
      </c>
      <c r="D75" s="230">
        <f t="shared" si="144"/>
        <v>0.13470176203814485</v>
      </c>
      <c r="E75" s="98">
        <f t="shared" si="143"/>
        <v>880.5274217532251</v>
      </c>
      <c r="F75" s="230">
        <f t="shared" si="144"/>
        <v>0.14360431755191649</v>
      </c>
      <c r="G75" s="98">
        <f t="shared" si="98"/>
        <v>919.68811319649785</v>
      </c>
      <c r="H75" s="230">
        <f t="shared" si="99"/>
        <v>0.13100196767792405</v>
      </c>
      <c r="I75" s="98">
        <f t="shared" si="100"/>
        <v>1219.3399307270829</v>
      </c>
      <c r="J75" s="230">
        <f t="shared" si="101"/>
        <v>0.16521867027751128</v>
      </c>
      <c r="K75" s="98">
        <f t="shared" si="102"/>
        <v>945.75694180136406</v>
      </c>
      <c r="L75" s="230">
        <f t="shared" si="103"/>
        <v>0.15670428039746126</v>
      </c>
      <c r="M75" s="98">
        <f t="shared" si="104"/>
        <v>1023.526658350341</v>
      </c>
      <c r="N75" s="230">
        <f t="shared" si="105"/>
        <v>0.16110905712459428</v>
      </c>
      <c r="O75" s="98">
        <f t="shared" si="106"/>
        <v>1115.2406196923566</v>
      </c>
      <c r="P75" s="230">
        <f t="shared" si="107"/>
        <v>0.17227530533955876</v>
      </c>
      <c r="Q75" s="98">
        <f t="shared" si="108"/>
        <v>1099.9847620174098</v>
      </c>
      <c r="R75" s="230">
        <f t="shared" si="109"/>
        <v>0.17356378327112265</v>
      </c>
      <c r="S75" s="98">
        <f t="shared" si="110"/>
        <v>1206.4839084750861</v>
      </c>
      <c r="T75" s="230">
        <f t="shared" si="111"/>
        <v>0.17784169213581644</v>
      </c>
      <c r="U75" s="98">
        <f t="shared" si="112"/>
        <v>1079.2714716735736</v>
      </c>
      <c r="V75" s="230">
        <f t="shared" si="113"/>
        <v>0.1554440079803536</v>
      </c>
      <c r="W75" s="98">
        <f t="shared" si="114"/>
        <v>1096.9109353040949</v>
      </c>
      <c r="X75" s="230">
        <f t="shared" si="115"/>
        <v>0.17409264038146147</v>
      </c>
      <c r="Y75" s="98">
        <f t="shared" si="116"/>
        <v>1040.4532330521745</v>
      </c>
      <c r="Z75" s="230">
        <f t="shared" si="117"/>
        <v>0.15562664544685959</v>
      </c>
      <c r="AA75" s="98">
        <f t="shared" si="118"/>
        <v>0</v>
      </c>
      <c r="AB75" s="230" t="e">
        <f t="shared" si="119"/>
        <v>#DIV/0!</v>
      </c>
      <c r="AC75" s="98">
        <f t="shared" si="120"/>
        <v>0</v>
      </c>
      <c r="AD75" s="230" t="e">
        <f t="shared" si="121"/>
        <v>#DIV/0!</v>
      </c>
      <c r="AE75" s="98">
        <f t="shared" si="122"/>
        <v>0</v>
      </c>
      <c r="AF75" s="230" t="e">
        <f t="shared" si="123"/>
        <v>#DIV/0!</v>
      </c>
      <c r="AG75" s="98">
        <f t="shared" si="124"/>
        <v>0</v>
      </c>
      <c r="AH75" s="230" t="e">
        <f t="shared" si="125"/>
        <v>#DIV/0!</v>
      </c>
      <c r="AI75" s="98">
        <f t="shared" si="126"/>
        <v>0</v>
      </c>
      <c r="AJ75" s="230" t="e">
        <f t="shared" si="127"/>
        <v>#DIV/0!</v>
      </c>
      <c r="AK75" s="98">
        <f t="shared" si="128"/>
        <v>0</v>
      </c>
      <c r="AL75" s="230" t="e">
        <f t="shared" si="129"/>
        <v>#DIV/0!</v>
      </c>
      <c r="AM75" s="98">
        <f t="shared" si="130"/>
        <v>0</v>
      </c>
      <c r="AN75" s="230" t="e">
        <f t="shared" si="131"/>
        <v>#DIV/0!</v>
      </c>
      <c r="AO75" s="98">
        <f t="shared" si="132"/>
        <v>0</v>
      </c>
      <c r="AP75" s="230" t="e">
        <f t="shared" si="133"/>
        <v>#DIV/0!</v>
      </c>
      <c r="AQ75" s="98">
        <f t="shared" si="134"/>
        <v>0</v>
      </c>
      <c r="AR75" s="230" t="e">
        <f t="shared" si="135"/>
        <v>#DIV/0!</v>
      </c>
      <c r="AS75" s="98">
        <f t="shared" si="136"/>
        <v>0</v>
      </c>
      <c r="AT75" s="230" t="e">
        <f t="shared" si="137"/>
        <v>#DIV/0!</v>
      </c>
      <c r="AU75" s="98">
        <f t="shared" si="138"/>
        <v>0</v>
      </c>
      <c r="AV75" s="230" t="e">
        <f t="shared" si="139"/>
        <v>#DIV/0!</v>
      </c>
      <c r="AW75" s="98">
        <f t="shared" si="140"/>
        <v>0</v>
      </c>
      <c r="AX75" s="230" t="e">
        <f t="shared" si="141"/>
        <v>#DIV/0!</v>
      </c>
      <c r="AY75" s="17">
        <f t="shared" si="145"/>
        <v>12528.902846256455</v>
      </c>
      <c r="AZ75" s="230">
        <f t="shared" si="142"/>
        <v>0.15831433288184549</v>
      </c>
    </row>
    <row r="76" spans="1:52" ht="13.5" thickBot="1">
      <c r="C76" s="233">
        <f>SUM(C65:C75)</f>
        <v>6694.1874892319693</v>
      </c>
      <c r="D76" s="234">
        <f>+C76/C$76</f>
        <v>1</v>
      </c>
      <c r="E76" s="233">
        <f>SUM(E65:E75)</f>
        <v>6131.6222016437132</v>
      </c>
      <c r="F76" s="234">
        <f>+E76/E$76</f>
        <v>1</v>
      </c>
      <c r="G76" s="233">
        <f>SUM(G65:G75)</f>
        <v>7020.4144983348997</v>
      </c>
      <c r="H76" s="234">
        <f t="shared" si="99"/>
        <v>1</v>
      </c>
      <c r="I76" s="233">
        <f>SUM(I65:I75)</f>
        <v>7380.1582392535038</v>
      </c>
      <c r="J76" s="234">
        <f t="shared" si="101"/>
        <v>1</v>
      </c>
      <c r="K76" s="233">
        <f>SUM(K65:K75)</f>
        <v>6035.2974366913732</v>
      </c>
      <c r="L76" s="234">
        <f t="shared" si="103"/>
        <v>1</v>
      </c>
      <c r="M76" s="233">
        <f>SUM(M65:M75)</f>
        <v>6353.0050800234831</v>
      </c>
      <c r="N76" s="234">
        <f t="shared" si="105"/>
        <v>1</v>
      </c>
      <c r="O76" s="233">
        <f>SUM(O65:O75)</f>
        <v>6473.5953739521201</v>
      </c>
      <c r="P76" s="234">
        <f t="shared" si="107"/>
        <v>1</v>
      </c>
      <c r="Q76" s="233">
        <f>SUM(Q65:Q75)</f>
        <v>6337.6399228353539</v>
      </c>
      <c r="R76" s="234">
        <f t="shared" si="109"/>
        <v>1</v>
      </c>
      <c r="S76" s="233">
        <f>SUM(S65:S75)</f>
        <v>6784.033001404996</v>
      </c>
      <c r="T76" s="234">
        <f t="shared" si="111"/>
        <v>1</v>
      </c>
      <c r="U76" s="233">
        <f>SUM(U65:U75)</f>
        <v>6943.1526225827993</v>
      </c>
      <c r="V76" s="234">
        <f t="shared" si="113"/>
        <v>1</v>
      </c>
      <c r="W76" s="233">
        <f>SUM(W65:W75)</f>
        <v>6300.7312250570085</v>
      </c>
      <c r="X76" s="234">
        <f t="shared" si="115"/>
        <v>1</v>
      </c>
      <c r="Y76" s="233">
        <f>SUM(Y65:Y75)</f>
        <v>6685.5725770138033</v>
      </c>
      <c r="Z76" s="234">
        <f t="shared" si="117"/>
        <v>1</v>
      </c>
      <c r="AA76" s="233">
        <f>SUM(AA65:AA75)</f>
        <v>0</v>
      </c>
      <c r="AB76" s="234" t="e">
        <f t="shared" si="119"/>
        <v>#DIV/0!</v>
      </c>
      <c r="AC76" s="233">
        <f>SUM(AC65:AC75)</f>
        <v>0</v>
      </c>
      <c r="AD76" s="234" t="e">
        <f t="shared" si="121"/>
        <v>#DIV/0!</v>
      </c>
      <c r="AE76" s="233">
        <f>SUM(AE65:AE75)</f>
        <v>0</v>
      </c>
      <c r="AF76" s="234" t="e">
        <f t="shared" si="123"/>
        <v>#DIV/0!</v>
      </c>
      <c r="AG76" s="233">
        <f>SUM(AG65:AG75)</f>
        <v>0</v>
      </c>
      <c r="AH76" s="234" t="e">
        <f t="shared" si="125"/>
        <v>#DIV/0!</v>
      </c>
      <c r="AI76" s="233">
        <f>SUM(AI65:AI75)</f>
        <v>0</v>
      </c>
      <c r="AJ76" s="234" t="e">
        <f t="shared" si="127"/>
        <v>#DIV/0!</v>
      </c>
      <c r="AK76" s="233">
        <f>SUM(AK65:AK75)</f>
        <v>0</v>
      </c>
      <c r="AL76" s="234" t="e">
        <f t="shared" si="129"/>
        <v>#DIV/0!</v>
      </c>
      <c r="AM76" s="233">
        <f>SUM(AM65:AM75)</f>
        <v>0</v>
      </c>
      <c r="AN76" s="234" t="e">
        <f t="shared" si="131"/>
        <v>#DIV/0!</v>
      </c>
      <c r="AO76" s="233">
        <f>SUM(AO65:AO75)</f>
        <v>0</v>
      </c>
      <c r="AP76" s="234" t="e">
        <f t="shared" si="133"/>
        <v>#DIV/0!</v>
      </c>
      <c r="AQ76" s="233">
        <f>SUM(AQ65:AQ75)</f>
        <v>0</v>
      </c>
      <c r="AR76" s="234" t="e">
        <f t="shared" si="135"/>
        <v>#DIV/0!</v>
      </c>
      <c r="AS76" s="233">
        <f>SUM(AS65:AS75)</f>
        <v>0</v>
      </c>
      <c r="AT76" s="234" t="e">
        <f t="shared" si="137"/>
        <v>#DIV/0!</v>
      </c>
      <c r="AU76" s="233">
        <f>SUM(AU65:AU75)</f>
        <v>0</v>
      </c>
      <c r="AV76" s="234" t="e">
        <f t="shared" si="139"/>
        <v>#DIV/0!</v>
      </c>
      <c r="AW76" s="233">
        <f>SUM(AW65:AW75)</f>
        <v>0</v>
      </c>
      <c r="AX76" s="234" t="e">
        <f t="shared" si="141"/>
        <v>#DIV/0!</v>
      </c>
      <c r="AY76" s="19">
        <f>SUM(AY65:AY75)</f>
        <v>79139.409668025022</v>
      </c>
      <c r="AZ76" s="234">
        <f t="shared" si="142"/>
        <v>1</v>
      </c>
    </row>
    <row r="77" spans="1:52" ht="13.5" thickTop="1"/>
    <row r="79" spans="1:52">
      <c r="A79" s="1" t="s">
        <v>203</v>
      </c>
      <c r="B79" s="414">
        <f>+'2020-2021 Recy. Tons &amp; Revenue'!C101</f>
        <v>0.50327784540445597</v>
      </c>
    </row>
    <row r="80" spans="1:52">
      <c r="A80" s="1"/>
      <c r="B80" s="1"/>
    </row>
    <row r="81" spans="1:2">
      <c r="A81" s="1" t="s">
        <v>204</v>
      </c>
      <c r="B81" s="415">
        <f>1-B79</f>
        <v>0.49672215459554403</v>
      </c>
    </row>
  </sheetData>
  <mergeCells count="27">
    <mergeCell ref="C41:D41"/>
    <mergeCell ref="E41:F41"/>
    <mergeCell ref="G41:H41"/>
    <mergeCell ref="AY23:AZ23"/>
    <mergeCell ref="AY41:AZ41"/>
    <mergeCell ref="AQ41:AR41"/>
    <mergeCell ref="AS41:AT41"/>
    <mergeCell ref="AU41:AV41"/>
    <mergeCell ref="AW41:AX41"/>
    <mergeCell ref="AK63:AL63"/>
    <mergeCell ref="AG41:AH41"/>
    <mergeCell ref="AI41:AJ41"/>
    <mergeCell ref="AK41:AL41"/>
    <mergeCell ref="AO41:AP41"/>
    <mergeCell ref="AM41:AN41"/>
    <mergeCell ref="C63:D63"/>
    <mergeCell ref="E63:F63"/>
    <mergeCell ref="G63:H63"/>
    <mergeCell ref="AG63:AH63"/>
    <mergeCell ref="AI63:AJ63"/>
    <mergeCell ref="AY63:AZ63"/>
    <mergeCell ref="AM63:AN63"/>
    <mergeCell ref="AO63:AP63"/>
    <mergeCell ref="AQ63:AR63"/>
    <mergeCell ref="AS63:AT63"/>
    <mergeCell ref="AU63:AV63"/>
    <mergeCell ref="AW63:AX63"/>
  </mergeCells>
  <phoneticPr fontId="0" type="noConversion"/>
  <pageMargins left="0.75" right="0.75" top="1" bottom="1" header="0.5" footer="0.5"/>
  <pageSetup scale="5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0B9262266037945A73E3370E89DC9B9" ma:contentTypeVersion="52" ma:contentTypeDescription="" ma:contentTypeScope="" ma:versionID="456287137c45849b1737c774d80e569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2020-10-28T07:00:00+00:00</OpenedDate>
    <SignificantOrder xmlns="dc463f71-b30c-4ab2-9473-d307f9d35888">false</SignificantOrder>
    <Date1 xmlns="dc463f71-b30c-4ab2-9473-d307f9d35888">2020-10-28T07:00:00+00:00</Date1>
    <IsDocumentOrder xmlns="dc463f71-b30c-4ab2-9473-d307f9d35888">false</IsDocumentOrder>
    <IsHighlyConfidential xmlns="dc463f71-b30c-4ab2-9473-d307f9d35888">false</IsHighlyConfidential>
    <CaseCompanyNames xmlns="dc463f71-b30c-4ab2-9473-d307f9d35888">Waste Management of Washington, Inc.</CaseCompanyNames>
    <Nickname xmlns="http://schemas.microsoft.com/sharepoint/v3" xsi:nil="true"/>
    <DocketNumber xmlns="dc463f71-b30c-4ab2-9473-d307f9d35888">200890</DocketNumber>
    <DelegatedOrder xmlns="dc463f71-b30c-4ab2-9473-d307f9d35888">false</DelegatedOrder>
  </documentManagement>
</p:properties>
</file>

<file path=customXml/itemProps1.xml><?xml version="1.0" encoding="utf-8"?>
<ds:datastoreItem xmlns:ds="http://schemas.openxmlformats.org/officeDocument/2006/customXml" ds:itemID="{B54D1B26-F605-4558-AE1E-EA3AE923C021}"/>
</file>

<file path=customXml/itemProps2.xml><?xml version="1.0" encoding="utf-8"?>
<ds:datastoreItem xmlns:ds="http://schemas.openxmlformats.org/officeDocument/2006/customXml" ds:itemID="{EAFD99F7-EE5C-4B76-B160-BE8A8864929D}">
  <ds:schemaRefs>
    <ds:schemaRef ds:uri="http://schemas.microsoft.com/sharepoint/v3/contenttype/forms"/>
  </ds:schemaRefs>
</ds:datastoreItem>
</file>

<file path=customXml/itemProps3.xml><?xml version="1.0" encoding="utf-8"?>
<ds:datastoreItem xmlns:ds="http://schemas.openxmlformats.org/officeDocument/2006/customXml" ds:itemID="{CA27DDE1-9B3F-4D5D-AD32-42C53CCFD643}"/>
</file>

<file path=customXml/itemProps4.xml><?xml version="1.0" encoding="utf-8"?>
<ds:datastoreItem xmlns:ds="http://schemas.openxmlformats.org/officeDocument/2006/customXml" ds:itemID="{C50088DE-79D3-495C-AC91-4F0C9E163973}">
  <ds:schemaRefs>
    <ds:schemaRef ds:uri="http://schemas.microsoft.com/office/2006/metadata/longProperties"/>
  </ds:schemaRefs>
</ds:datastoreItem>
</file>

<file path=customXml/itemProps5.xml><?xml version="1.0" encoding="utf-8"?>
<ds:datastoreItem xmlns:ds="http://schemas.openxmlformats.org/officeDocument/2006/customXml" ds:itemID="{CE8B1CB4-3DDD-4191-9FBF-56683E8E90F2}">
  <ds:schemaRefs>
    <ds:schemaRef ds:uri="http://schemas.microsoft.com/office/2006/metadata/properties"/>
    <ds:schemaRef ds:uri="http://schemas.openxmlformats.org/package/2006/metadata/core-properties"/>
    <ds:schemaRef ds:uri="http://schemas.microsoft.com/sharepoint/v3"/>
    <ds:schemaRef ds:uri="http://schemas.microsoft.com/office/infopath/2007/PartnerControls"/>
    <ds:schemaRef ds:uri="http://purl.org/dc/terms/"/>
    <ds:schemaRef ds:uri="http://schemas.microsoft.com/office/2006/documentManagement/types"/>
    <ds:schemaRef ds:uri="dc463f71-b30c-4ab2-9473-d307f9d35888"/>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Rate Sheet Summary</vt:lpstr>
      <vt:lpstr>Rebate (Charge) Analysis</vt:lpstr>
      <vt:lpstr>Rebate (charge) Calculation</vt:lpstr>
      <vt:lpstr>Customer Counts</vt:lpstr>
      <vt:lpstr>2020-2021 Recy. Tons &amp; Revenue</vt:lpstr>
      <vt:lpstr>King County Tonnage</vt:lpstr>
      <vt:lpstr>Snohomish County Tonnage</vt:lpstr>
      <vt:lpstr>CRC Prices &amp; Revenue</vt:lpstr>
      <vt:lpstr>Composition</vt:lpstr>
      <vt:lpstr>KC 2020-2021 Preliminary Budget</vt:lpstr>
      <vt:lpstr>SC 2020-2021 Preliminary Budget</vt:lpstr>
    </vt:vector>
  </TitlesOfParts>
  <Company>WMI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Cly Lewis</dc:creator>
  <cp:lastModifiedBy>Weinstein, Mike</cp:lastModifiedBy>
  <cp:lastPrinted>2019-12-13T16:30:59Z</cp:lastPrinted>
  <dcterms:created xsi:type="dcterms:W3CDTF">2003-10-21T02:01:02Z</dcterms:created>
  <dcterms:modified xsi:type="dcterms:W3CDTF">2020-10-28T22:13:42Z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fidentiality">
    <vt:lpwstr>None</vt:lpwstr>
  </property>
  <property fmtid="{D5CDD505-2E9C-101B-9397-08002B2CF9AE}" pid="5" name="DocumentDescription">
    <vt:lpwstr>Accounting workpapers</vt:lpwstr>
  </property>
  <property fmtid="{D5CDD505-2E9C-101B-9397-08002B2CF9AE}" pid="6" name="EFilingId">
    <vt:lpwstr>15981.0000000000</vt:lpwstr>
  </property>
  <property fmtid="{D5CDD505-2E9C-101B-9397-08002B2CF9AE}" pid="7" name="ContentTypeId">
    <vt:lpwstr>0x0101006E56B4D1795A2E4DB2F0B01679ED314A0080B9262266037945A73E3370E89DC9B9</vt:lpwstr>
  </property>
  <property fmtid="{D5CDD505-2E9C-101B-9397-08002B2CF9AE}" pid="8" name="_docset_NoMedatataSyncRequired">
    <vt:lpwstr>False</vt:lpwstr>
  </property>
  <property fmtid="{D5CDD505-2E9C-101B-9397-08002B2CF9AE}" pid="9" name="IsEFSEC">
    <vt:bool>false</vt:bool>
  </property>
</Properties>
</file>