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SOD0810 - Sound Disposal, Inc.-0618\Commodity Debit\2020.09.01\"/>
    </mc:Choice>
  </mc:AlternateContent>
  <bookViews>
    <workbookView xWindow="-28905" yWindow="-4095" windowWidth="29025" windowHeight="15825"/>
  </bookViews>
  <sheets>
    <sheet name="Analysis" sheetId="4" r:id="rId1"/>
    <sheet name="Data" sheetId="1" r:id="rId2"/>
    <sheet name="Customers" sheetId="5" r:id="rId3"/>
    <sheet name="Calcs revised method" sheetId="6" r:id="rId4"/>
  </sheets>
  <definedNames>
    <definedName name="BREMAIR_COST_of_SERVICE_STUDY">#REF!</definedName>
    <definedName name="color" localSheetId="0">#REF!</definedName>
    <definedName name="color">#REF!</definedName>
    <definedName name="_xlnm.Print_Area" localSheetId="0">Analysis!$A$1:$F$82</definedName>
    <definedName name="Print1">#REF!</definedName>
    <definedName name="Prin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4" l="1"/>
  <c r="F52" i="4"/>
  <c r="F48" i="4"/>
  <c r="F21" i="4"/>
  <c r="H18" i="5"/>
  <c r="F20" i="1"/>
  <c r="E5" i="1" l="1"/>
  <c r="D14" i="6" s="1"/>
  <c r="I11" i="4" l="1"/>
  <c r="C11" i="4" s="1"/>
  <c r="D11" i="5"/>
  <c r="H11" i="5" s="1"/>
  <c r="D15" i="5" l="1"/>
  <c r="H15" i="5" s="1"/>
  <c r="D13" i="5"/>
  <c r="H13" i="5" s="1"/>
  <c r="D14" i="5"/>
  <c r="C16" i="5"/>
  <c r="D12" i="5"/>
  <c r="C64" i="4" l="1"/>
  <c r="C63" i="4"/>
  <c r="H14" i="5"/>
  <c r="E14" i="5"/>
  <c r="E13" i="5"/>
  <c r="C39" i="4"/>
  <c r="C38" i="4"/>
  <c r="H12" i="5"/>
  <c r="H10" i="6"/>
  <c r="L10" i="6"/>
  <c r="D10" i="6"/>
  <c r="G10" i="6"/>
  <c r="E10" i="6"/>
  <c r="I10" i="6"/>
  <c r="M10" i="6"/>
  <c r="O10" i="6"/>
  <c r="F10" i="6"/>
  <c r="J10" i="6"/>
  <c r="N10" i="6"/>
  <c r="K10" i="6"/>
  <c r="E15" i="5"/>
  <c r="E11" i="5"/>
  <c r="E12" i="5"/>
  <c r="H16" i="5" l="1"/>
  <c r="H20" i="5"/>
  <c r="C65" i="4"/>
  <c r="E76" i="4" l="1"/>
  <c r="E71" i="4"/>
  <c r="H19" i="5"/>
  <c r="H21" i="5" s="1"/>
  <c r="C18" i="1"/>
  <c r="D18" i="1"/>
  <c r="E18" i="1" s="1"/>
  <c r="V20" i="1"/>
  <c r="S19" i="1"/>
  <c r="S18" i="1"/>
  <c r="U24" i="1" l="1"/>
  <c r="U25" i="1" s="1"/>
  <c r="N19" i="1"/>
  <c r="C19" i="1" s="1"/>
  <c r="P6" i="1"/>
  <c r="B18" i="1"/>
  <c r="E15" i="1"/>
  <c r="N14" i="6" s="1"/>
  <c r="E14" i="1"/>
  <c r="M14" i="6" s="1"/>
  <c r="E13" i="1"/>
  <c r="L14" i="6" s="1"/>
  <c r="E12" i="1"/>
  <c r="K14" i="6" s="1"/>
  <c r="E11" i="1"/>
  <c r="J14" i="6" s="1"/>
  <c r="E10" i="1"/>
  <c r="I14" i="6" s="1"/>
  <c r="E9" i="1"/>
  <c r="H14" i="6" s="1"/>
  <c r="E8" i="1"/>
  <c r="G14" i="6" s="1"/>
  <c r="E7" i="1"/>
  <c r="F14" i="6" s="1"/>
  <c r="E6" i="1"/>
  <c r="E14" i="6" s="1"/>
  <c r="A50" i="4"/>
  <c r="A75" i="4" s="1"/>
  <c r="C40" i="4"/>
  <c r="A39" i="4"/>
  <c r="A64" i="4" s="1"/>
  <c r="A38" i="4"/>
  <c r="A63" i="4" s="1"/>
  <c r="A37" i="4"/>
  <c r="A62" i="4" s="1"/>
  <c r="F7" i="1" l="1"/>
  <c r="F11" i="1"/>
  <c r="F15" i="1"/>
  <c r="H7" i="1"/>
  <c r="H11" i="1"/>
  <c r="H15" i="1"/>
  <c r="G8" i="1"/>
  <c r="G12" i="1"/>
  <c r="G16" i="1"/>
  <c r="G13" i="1"/>
  <c r="F14" i="1"/>
  <c r="H14" i="1"/>
  <c r="G15" i="1"/>
  <c r="F8" i="1"/>
  <c r="F12" i="1"/>
  <c r="F16" i="1"/>
  <c r="H8" i="1"/>
  <c r="H12" i="1"/>
  <c r="H16" i="1"/>
  <c r="G9" i="1"/>
  <c r="G6" i="1"/>
  <c r="F6" i="1"/>
  <c r="H6" i="1"/>
  <c r="G7" i="1"/>
  <c r="F9" i="1"/>
  <c r="F13" i="1"/>
  <c r="F5" i="1"/>
  <c r="H9" i="1"/>
  <c r="H13" i="1"/>
  <c r="H5" i="1"/>
  <c r="G10" i="1"/>
  <c r="G14" i="1"/>
  <c r="G5" i="1"/>
  <c r="F10" i="1"/>
  <c r="H10" i="1"/>
  <c r="G11" i="1"/>
  <c r="E51" i="4"/>
  <c r="E46" i="4"/>
  <c r="C20" i="1"/>
  <c r="E20" i="1"/>
  <c r="E16" i="1"/>
  <c r="O14" i="6" s="1"/>
  <c r="O20" i="6" l="1"/>
  <c r="O8" i="6"/>
  <c r="O12" i="6" s="1"/>
  <c r="O16" i="6" s="1"/>
  <c r="D20" i="1"/>
  <c r="D8" i="6"/>
  <c r="D12" i="6" s="1"/>
  <c r="D16" i="6" s="1"/>
  <c r="D20" i="6"/>
  <c r="K20" i="6"/>
  <c r="K8" i="6"/>
  <c r="K12" i="6" s="1"/>
  <c r="K16" i="6" s="1"/>
  <c r="M20" i="6"/>
  <c r="M8" i="6"/>
  <c r="M12" i="6" s="1"/>
  <c r="M16" i="6" s="1"/>
  <c r="N20" i="6"/>
  <c r="N8" i="6"/>
  <c r="N12" i="6" s="1"/>
  <c r="N16" i="6" s="1"/>
  <c r="I20" i="6"/>
  <c r="I8" i="6"/>
  <c r="I12" i="6" s="1"/>
  <c r="I16" i="6" s="1"/>
  <c r="L20" i="6"/>
  <c r="L8" i="6"/>
  <c r="L12" i="6" s="1"/>
  <c r="L16" i="6" s="1"/>
  <c r="E20" i="6"/>
  <c r="E8" i="6"/>
  <c r="E12" i="6" s="1"/>
  <c r="E16" i="6" s="1"/>
  <c r="G20" i="6"/>
  <c r="G8" i="6"/>
  <c r="G12" i="6" s="1"/>
  <c r="G16" i="6" s="1"/>
  <c r="J20" i="6"/>
  <c r="J8" i="6"/>
  <c r="J12" i="6" s="1"/>
  <c r="J16" i="6" s="1"/>
  <c r="H20" i="6"/>
  <c r="H8" i="6"/>
  <c r="H12" i="6" s="1"/>
  <c r="H16" i="6" s="1"/>
  <c r="F20" i="6"/>
  <c r="F8" i="6"/>
  <c r="F12" i="6" s="1"/>
  <c r="F16" i="6" s="1"/>
  <c r="G20" i="1" l="1"/>
  <c r="E42" i="4" s="1"/>
  <c r="E50" i="4" s="1"/>
  <c r="H20" i="1"/>
  <c r="E67" i="4" s="1"/>
  <c r="E75" i="4" s="1"/>
  <c r="P13" i="1"/>
  <c r="E15" i="4" l="1"/>
  <c r="E23" i="4" s="1"/>
  <c r="H22" i="1"/>
  <c r="O5" i="1"/>
  <c r="P7" i="1" l="1"/>
  <c r="P8" i="1"/>
  <c r="P9" i="1"/>
  <c r="P10" i="1"/>
  <c r="P11" i="1"/>
  <c r="P12" i="1"/>
  <c r="P14" i="1"/>
  <c r="P15" i="1"/>
  <c r="O16" i="1" s="1"/>
  <c r="P16" i="1" s="1"/>
  <c r="U6" i="1"/>
  <c r="U7" i="1"/>
  <c r="U8" i="1"/>
  <c r="U9" i="1"/>
  <c r="U10" i="1"/>
  <c r="U12" i="1"/>
  <c r="U13" i="1"/>
  <c r="U14" i="1"/>
  <c r="U15" i="1"/>
  <c r="U16" i="1"/>
  <c r="U17" i="1"/>
  <c r="U5" i="1"/>
  <c r="I12" i="4" l="1"/>
  <c r="C12" i="4" s="1"/>
  <c r="C13" i="4" s="1"/>
  <c r="E19" i="4" s="1"/>
  <c r="E24" i="4" s="1"/>
  <c r="F25" i="4" s="1"/>
  <c r="N18" i="1"/>
  <c r="O18" i="1"/>
  <c r="P18" i="1" s="1"/>
  <c r="P20" i="1" s="1"/>
  <c r="M18" i="1"/>
  <c r="J11" i="4"/>
  <c r="O12" i="4"/>
  <c r="O13" i="4" s="1"/>
  <c r="Q19" i="4" s="1"/>
  <c r="Q24" i="4" s="1"/>
  <c r="G1" i="4"/>
  <c r="A1" i="4" s="1"/>
  <c r="M50" i="4"/>
  <c r="G50" i="4"/>
  <c r="Q50" i="4"/>
  <c r="M39" i="4"/>
  <c r="G39" i="4"/>
  <c r="M38" i="4"/>
  <c r="J38" i="4"/>
  <c r="G38" i="4"/>
  <c r="M37" i="4"/>
  <c r="G37" i="4"/>
  <c r="K11" i="4" l="1"/>
  <c r="Q12" i="4"/>
  <c r="Q39" i="4"/>
  <c r="Q11" i="4"/>
  <c r="I13" i="4"/>
  <c r="K19" i="4" s="1"/>
  <c r="K24" i="4" s="1"/>
  <c r="Q38" i="4"/>
  <c r="K38" i="4"/>
  <c r="I40" i="4"/>
  <c r="K50" i="4"/>
  <c r="O40" i="4"/>
  <c r="Q46" i="4" s="1"/>
  <c r="Q51" i="4" s="1"/>
  <c r="R52" i="4" s="1"/>
  <c r="T18" i="1"/>
  <c r="V18" i="1" s="1"/>
  <c r="V21" i="1" s="1"/>
  <c r="V26" i="1" s="1"/>
  <c r="V27" i="1" s="1"/>
  <c r="V29" i="1" s="1"/>
  <c r="T19" i="1"/>
  <c r="Q13" i="4" l="1"/>
  <c r="Q17" i="4" s="1"/>
  <c r="R21" i="4" s="1"/>
  <c r="N20" i="1"/>
  <c r="Q40" i="4"/>
  <c r="Q44" i="4" s="1"/>
  <c r="R48" i="4" s="1"/>
  <c r="R54" i="4" s="1"/>
  <c r="R57" i="4" s="1"/>
  <c r="J39" i="4"/>
  <c r="K51" i="4"/>
  <c r="L52" i="4" s="1"/>
  <c r="K46" i="4"/>
  <c r="O20" i="1" l="1"/>
  <c r="K15" i="4" s="1"/>
  <c r="K23" i="4" s="1"/>
  <c r="L25" i="4" s="1"/>
  <c r="D12" i="4" s="1"/>
  <c r="Q23" i="4"/>
  <c r="R25" i="4" s="1"/>
  <c r="K39" i="4"/>
  <c r="K40" i="4" s="1"/>
  <c r="K44" i="4" s="1"/>
  <c r="L48" i="4" s="1"/>
  <c r="L54" i="4" s="1"/>
  <c r="L57" i="4" s="1"/>
  <c r="G17" i="6" l="1"/>
  <c r="D11" i="4"/>
  <c r="E12" i="4"/>
  <c r="R27" i="4"/>
  <c r="R30" i="4" s="1"/>
  <c r="J12" i="4"/>
  <c r="E39" i="4" l="1"/>
  <c r="D64" i="4"/>
  <c r="E64" i="4" s="1"/>
  <c r="D17" i="6"/>
  <c r="L17" i="6"/>
  <c r="G19" i="6"/>
  <c r="G21" i="6" s="1"/>
  <c r="K12" i="4"/>
  <c r="K13" i="4" s="1"/>
  <c r="K17" i="4" s="1"/>
  <c r="L21" i="4" s="1"/>
  <c r="L27" i="4" s="1"/>
  <c r="L30" i="4" s="1"/>
  <c r="E11" i="4"/>
  <c r="E13" i="4" s="1"/>
  <c r="E17" i="4" s="1"/>
  <c r="F27" i="4" s="1"/>
  <c r="D63" i="4" l="1"/>
  <c r="E63" i="4" s="1"/>
  <c r="E38" i="4"/>
  <c r="D19" i="6"/>
  <c r="D21" i="6" s="1"/>
  <c r="F17" i="6"/>
  <c r="E17" i="6"/>
  <c r="E19" i="6" s="1"/>
  <c r="E21" i="6" s="1"/>
  <c r="E65" i="4"/>
  <c r="E69" i="4" s="1"/>
  <c r="F73" i="4" s="1"/>
  <c r="F79" i="4" s="1"/>
  <c r="M17" i="6"/>
  <c r="L19" i="6"/>
  <c r="L21" i="6" s="1"/>
  <c r="E40" i="4"/>
  <c r="E44" i="4" s="1"/>
  <c r="F54" i="4" s="1"/>
  <c r="H17" i="6" l="1"/>
  <c r="F19" i="6"/>
  <c r="F21" i="6" s="1"/>
  <c r="M19" i="6"/>
  <c r="M21" i="6" s="1"/>
  <c r="N17" i="6"/>
  <c r="O17" i="6" l="1"/>
  <c r="O19" i="6" s="1"/>
  <c r="O21" i="6" s="1"/>
  <c r="N19" i="6"/>
  <c r="N21" i="6" s="1"/>
  <c r="H19" i="6"/>
  <c r="H21" i="6" s="1"/>
  <c r="I17" i="6"/>
  <c r="I19" i="6" l="1"/>
  <c r="I21" i="6" s="1"/>
  <c r="J17" i="6"/>
  <c r="K17" i="6" l="1"/>
  <c r="J19" i="6"/>
  <c r="J21" i="6" s="1"/>
  <c r="K19" i="6" l="1"/>
  <c r="K21" i="6" s="1"/>
</calcChain>
</file>

<file path=xl/sharedStrings.xml><?xml version="1.0" encoding="utf-8"?>
<sst xmlns="http://schemas.openxmlformats.org/spreadsheetml/2006/main" count="209" uniqueCount="99">
  <si>
    <t>Sound Disposal Inc.</t>
  </si>
  <si>
    <t>Based on previous UTC Staff analyses</t>
  </si>
  <si>
    <t>Do not use cumulative method</t>
  </si>
  <si>
    <t>per docket TG-</t>
  </si>
  <si>
    <t>per docket TG-180703</t>
  </si>
  <si>
    <t>2019-2020</t>
  </si>
  <si>
    <t>2018-2019</t>
  </si>
  <si>
    <t>Residential</t>
  </si>
  <si>
    <t>Commodity</t>
  </si>
  <si>
    <t>Total</t>
  </si>
  <si>
    <t>Customers</t>
  </si>
  <si>
    <t>Credit</t>
  </si>
  <si>
    <t>Credits</t>
  </si>
  <si>
    <t>Projected Revenue October 2018-September 2019</t>
  </si>
  <si>
    <t>Projected Revenue October 2017-September 2018</t>
  </si>
  <si>
    <t>Jul-Sep projected value without adjustment factor</t>
  </si>
  <si>
    <t>Aug-Sep projected value without adjustment factor</t>
  </si>
  <si>
    <t>Oct-Jun projected value without adjustment factor</t>
  </si>
  <si>
    <t>Oct-Sep projected value without adjustment factor</t>
  </si>
  <si>
    <t>Actual Commodity Revenue (adj. to reflect current customers)</t>
  </si>
  <si>
    <t>Owe Customer (company)</t>
  </si>
  <si>
    <t>Total Customers</t>
  </si>
  <si>
    <t>Commodity Adjustment</t>
  </si>
  <si>
    <t>Projected Revenue October 2019-September 2020</t>
  </si>
  <si>
    <t>Projected Value</t>
  </si>
  <si>
    <t>Residential Commodity Adjustment</t>
  </si>
  <si>
    <t>Additional credit</t>
  </si>
  <si>
    <t>Adjusted Credit</t>
  </si>
  <si>
    <t>Multi-family</t>
  </si>
  <si>
    <t>Yards</t>
  </si>
  <si>
    <t>Actual Commodity Revenue</t>
  </si>
  <si>
    <t>Multi-family Commodity Adjustment</t>
  </si>
  <si>
    <t>Sound  Disposal, Inc. Commodity Charges</t>
  </si>
  <si>
    <t>Twelve months ended 06/30/2019</t>
  </si>
  <si>
    <t>Twelve months ended 06/30/2018</t>
  </si>
  <si>
    <t>Monthly customers</t>
  </si>
  <si>
    <t>Tons</t>
  </si>
  <si>
    <t>Cost</t>
  </si>
  <si>
    <t>tons</t>
  </si>
  <si>
    <t>$</t>
  </si>
  <si>
    <t>per ton</t>
  </si>
  <si>
    <t>six month avg</t>
  </si>
  <si>
    <t>per ton 2017</t>
  </si>
  <si>
    <t>increase</t>
  </si>
  <si>
    <t>prior 12 mos tonnage</t>
  </si>
  <si>
    <t>less commercial</t>
  </si>
  <si>
    <t>resicential tons</t>
  </si>
  <si>
    <t xml:space="preserve"> Increase $</t>
  </si>
  <si>
    <t>Monthly</t>
  </si>
  <si>
    <t xml:space="preserve"> # customers</t>
  </si>
  <si>
    <t>per customer</t>
  </si>
  <si>
    <t>Twelve months ended 06/30/2020</t>
  </si>
  <si>
    <t>Type</t>
  </si>
  <si>
    <t xml:space="preserve">Monthly </t>
  </si>
  <si>
    <t xml:space="preserve">Annual </t>
  </si>
  <si>
    <t>How billed</t>
  </si>
  <si>
    <t>Pickups</t>
  </si>
  <si>
    <t>monthly</t>
  </si>
  <si>
    <t>per pick-up</t>
  </si>
  <si>
    <t>Totals</t>
  </si>
  <si>
    <t xml:space="preserve"> </t>
  </si>
  <si>
    <t>Sound Disposal</t>
  </si>
  <si>
    <t>Sound Disposal Multi-Family</t>
  </si>
  <si>
    <t>July 2019 - June 2020</t>
  </si>
  <si>
    <t>Multi family - 96gal WR</t>
  </si>
  <si>
    <t>Multi family - 96gal EOWR</t>
  </si>
  <si>
    <t>Multi family - 1.25yd WR</t>
  </si>
  <si>
    <t>Multi family 1 1.25yd EOWR</t>
  </si>
  <si>
    <t>$ / Ton</t>
  </si>
  <si>
    <t>MF 96 gal</t>
  </si>
  <si>
    <t>Meeks</t>
  </si>
  <si>
    <t>Weights</t>
  </si>
  <si>
    <t>Residential allocation of recyclable material</t>
  </si>
  <si>
    <t>MF 96 gal allocation of recyclable material</t>
  </si>
  <si>
    <t>MF 1.25 yd allocation of recyclable material</t>
  </si>
  <si>
    <t>Less commercial tons</t>
  </si>
  <si>
    <t xml:space="preserve">Total regulated </t>
  </si>
  <si>
    <t>Pickups 96gal</t>
  </si>
  <si>
    <t>Total Pickups</t>
  </si>
  <si>
    <t>Pickups 1.25 yd</t>
  </si>
  <si>
    <t>Residential and Multi-Family</t>
  </si>
  <si>
    <t>Tonnage</t>
  </si>
  <si>
    <t>Containers/Customers</t>
  </si>
  <si>
    <t>Tons/Container-Customer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</si>
  <si>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</si>
  <si>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</si>
  <si>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</si>
  <si>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</si>
  <si>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</si>
  <si>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</si>
  <si>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</si>
  <si>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</si>
  <si>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</si>
  <si>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</si>
  <si>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</si>
  <si>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 xml:space="preserve">MF 1.25 yd </t>
  </si>
  <si>
    <t>Projected Revenue July 2019-June 2020</t>
  </si>
  <si>
    <t>Projected Revenue October 2020-September 2021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</si>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</sst>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"/>
    <numFmt numFmtId="168" formatCode="_(* #,##0.000_);_(* \(#,##0.000\);_(* &quot;-&quot;??_);_(@_)"/>
    <numFmt numFmtId="169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sz val="11"/>
      <color rgb="FFFF0000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3" fontId="1" fillId="0" borderId="0" xfId="1" applyFont="1"/>
    <xf numFmtId="44" fontId="1" fillId="0" borderId="0" xfId="2" applyFont="1"/>
    <xf numFmtId="43" fontId="1" fillId="0" borderId="1" xfId="1" applyFont="1" applyBorder="1"/>
    <xf numFmtId="43" fontId="0" fillId="0" borderId="0" xfId="0" applyNumberFormat="1"/>
    <xf numFmtId="164" fontId="0" fillId="0" borderId="2" xfId="0" applyNumberFormat="1" applyBorder="1"/>
    <xf numFmtId="0" fontId="4" fillId="2" borderId="4" xfId="3" applyFont="1" applyFill="1" applyBorder="1"/>
    <xf numFmtId="0" fontId="4" fillId="2" borderId="5" xfId="3" applyFont="1" applyFill="1" applyBorder="1"/>
    <xf numFmtId="0" fontId="3" fillId="2" borderId="5" xfId="3" applyFill="1" applyBorder="1"/>
    <xf numFmtId="0" fontId="3" fillId="2" borderId="6" xfId="3" applyFill="1" applyBorder="1"/>
    <xf numFmtId="0" fontId="3" fillId="0" borderId="0" xfId="3"/>
    <xf numFmtId="0" fontId="5" fillId="2" borderId="7" xfId="3" applyFont="1" applyFill="1" applyBorder="1"/>
    <xf numFmtId="0" fontId="5" fillId="2" borderId="0" xfId="3" applyFont="1" applyFill="1" applyBorder="1"/>
    <xf numFmtId="0" fontId="6" fillId="2" borderId="0" xfId="3" applyFont="1" applyFill="1" applyBorder="1"/>
    <xf numFmtId="0" fontId="3" fillId="2" borderId="0" xfId="3" applyFill="1" applyBorder="1"/>
    <xf numFmtId="0" fontId="3" fillId="2" borderId="8" xfId="3" applyFill="1" applyBorder="1"/>
    <xf numFmtId="15" fontId="5" fillId="2" borderId="7" xfId="3" applyNumberFormat="1" applyFont="1" applyFill="1" applyBorder="1"/>
    <xf numFmtId="15" fontId="5" fillId="2" borderId="0" xfId="3" applyNumberFormat="1" applyFont="1" applyFill="1" applyBorder="1"/>
    <xf numFmtId="0" fontId="3" fillId="2" borderId="7" xfId="3" applyFill="1" applyBorder="1"/>
    <xf numFmtId="0" fontId="5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0" fillId="2" borderId="9" xfId="3" applyFont="1" applyFill="1" applyBorder="1"/>
    <xf numFmtId="0" fontId="10" fillId="2" borderId="0" xfId="3" applyFont="1" applyFill="1" applyBorder="1"/>
    <xf numFmtId="0" fontId="3" fillId="2" borderId="0" xfId="3" applyFill="1" applyBorder="1" applyAlignment="1">
      <alignment horizontal="center"/>
    </xf>
    <xf numFmtId="0" fontId="0" fillId="2" borderId="7" xfId="3" applyFont="1" applyFill="1" applyBorder="1"/>
    <xf numFmtId="41" fontId="3" fillId="2" borderId="0" xfId="3" applyNumberFormat="1" applyFill="1" applyBorder="1"/>
    <xf numFmtId="44" fontId="11" fillId="2" borderId="0" xfId="4" applyFont="1" applyFill="1" applyBorder="1"/>
    <xf numFmtId="0" fontId="3" fillId="2" borderId="7" xfId="3" applyFont="1" applyFill="1" applyBorder="1"/>
    <xf numFmtId="0" fontId="12" fillId="2" borderId="0" xfId="3" applyFont="1" applyFill="1" applyBorder="1"/>
    <xf numFmtId="41" fontId="13" fillId="2" borderId="0" xfId="3" applyNumberFormat="1" applyFont="1" applyFill="1" applyBorder="1"/>
    <xf numFmtId="44" fontId="3" fillId="2" borderId="8" xfId="4" applyFont="1" applyFill="1" applyBorder="1"/>
    <xf numFmtId="165" fontId="3" fillId="2" borderId="0" xfId="4" applyNumberFormat="1" applyFont="1" applyFill="1" applyBorder="1"/>
    <xf numFmtId="164" fontId="3" fillId="2" borderId="0" xfId="5" applyNumberFormat="1" applyFont="1" applyFill="1" applyBorder="1"/>
    <xf numFmtId="164" fontId="3" fillId="2" borderId="0" xfId="3" applyNumberFormat="1" applyFill="1" applyBorder="1"/>
    <xf numFmtId="44" fontId="13" fillId="2" borderId="8" xfId="4" applyFont="1" applyFill="1" applyBorder="1"/>
    <xf numFmtId="44" fontId="14" fillId="2" borderId="10" xfId="4" applyFont="1" applyFill="1" applyBorder="1"/>
    <xf numFmtId="44" fontId="5" fillId="2" borderId="8" xfId="4" applyFont="1" applyFill="1" applyBorder="1"/>
    <xf numFmtId="0" fontId="3" fillId="2" borderId="0" xfId="3" applyFont="1" applyFill="1" applyBorder="1" applyAlignment="1">
      <alignment horizontal="right"/>
    </xf>
    <xf numFmtId="0" fontId="5" fillId="2" borderId="8" xfId="3" applyFont="1" applyFill="1" applyBorder="1"/>
    <xf numFmtId="44" fontId="5" fillId="2" borderId="11" xfId="3" applyNumberFormat="1" applyFont="1" applyFill="1" applyBorder="1"/>
    <xf numFmtId="0" fontId="3" fillId="2" borderId="0" xfId="3" applyFont="1" applyFill="1" applyBorder="1"/>
    <xf numFmtId="44" fontId="3" fillId="2" borderId="8" xfId="3" applyNumberFormat="1" applyFill="1" applyBorder="1"/>
    <xf numFmtId="0" fontId="5" fillId="2" borderId="1" xfId="3" applyFont="1" applyFill="1" applyBorder="1" applyAlignment="1">
      <alignment horizontal="center"/>
    </xf>
    <xf numFmtId="43" fontId="3" fillId="2" borderId="0" xfId="3" applyNumberFormat="1" applyFill="1" applyBorder="1"/>
    <xf numFmtId="44" fontId="3" fillId="2" borderId="8" xfId="4" applyNumberFormat="1" applyFont="1" applyFill="1" applyBorder="1"/>
    <xf numFmtId="44" fontId="14" fillId="2" borderId="8" xfId="4" applyFont="1" applyFill="1" applyBorder="1"/>
    <xf numFmtId="0" fontId="0" fillId="2" borderId="9" xfId="3" applyFont="1" applyFill="1" applyBorder="1"/>
    <xf numFmtId="0" fontId="3" fillId="2" borderId="1" xfId="3" applyFill="1" applyBorder="1"/>
    <xf numFmtId="0" fontId="3" fillId="2" borderId="12" xfId="3" applyFill="1" applyBorder="1"/>
    <xf numFmtId="44" fontId="14" fillId="2" borderId="11" xfId="4" applyFont="1" applyFill="1" applyBorder="1"/>
    <xf numFmtId="0" fontId="3" fillId="2" borderId="1" xfId="3" applyFont="1" applyFill="1" applyBorder="1" applyAlignment="1">
      <alignment horizontal="right"/>
    </xf>
    <xf numFmtId="0" fontId="10" fillId="2" borderId="1" xfId="3" applyFont="1" applyFill="1" applyBorder="1"/>
    <xf numFmtId="165" fontId="3" fillId="3" borderId="0" xfId="4" applyNumberFormat="1" applyFont="1" applyFill="1" applyBorder="1"/>
    <xf numFmtId="41" fontId="3" fillId="3" borderId="0" xfId="3" applyNumberFormat="1" applyFill="1" applyBorder="1"/>
    <xf numFmtId="0" fontId="0" fillId="3" borderId="0" xfId="0" applyFill="1"/>
    <xf numFmtId="165" fontId="0" fillId="0" borderId="0" xfId="2" applyNumberFormat="1" applyFont="1"/>
    <xf numFmtId="166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Fill="1"/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2" xfId="2" applyNumberFormat="1" applyFont="1" applyBorder="1"/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0" fontId="0" fillId="4" borderId="0" xfId="0" applyFill="1"/>
    <xf numFmtId="44" fontId="0" fillId="4" borderId="0" xfId="2" applyFont="1" applyFill="1"/>
    <xf numFmtId="44" fontId="0" fillId="3" borderId="0" xfId="0" applyNumberFormat="1" applyFill="1"/>
    <xf numFmtId="0" fontId="0" fillId="3" borderId="1" xfId="0" applyFill="1" applyBorder="1"/>
    <xf numFmtId="0" fontId="0" fillId="5" borderId="0" xfId="0" applyFill="1"/>
    <xf numFmtId="44" fontId="0" fillId="5" borderId="0" xfId="2" applyFont="1" applyFill="1"/>
    <xf numFmtId="166" fontId="0" fillId="0" borderId="0" xfId="0" applyNumberFormat="1" applyFill="1"/>
    <xf numFmtId="164" fontId="0" fillId="0" borderId="0" xfId="1" applyNumberFormat="1" applyFont="1" applyFill="1"/>
    <xf numFmtId="44" fontId="0" fillId="0" borderId="0" xfId="0" applyNumberFormat="1" applyFill="1"/>
    <xf numFmtId="43" fontId="1" fillId="0" borderId="3" xfId="1" applyNumberFormat="1" applyFont="1" applyBorder="1"/>
    <xf numFmtId="0" fontId="0" fillId="0" borderId="0" xfId="0" applyAlignment="1"/>
    <xf numFmtId="164" fontId="3" fillId="0" borderId="0" xfId="1" applyNumberFormat="1" applyFont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20" fillId="0" borderId="2" xfId="0" applyFont="1" applyBorder="1" applyAlignment="1">
      <alignment horizontal="center"/>
    </xf>
    <xf numFmtId="43" fontId="19" fillId="0" borderId="2" xfId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0" fillId="0" borderId="0" xfId="0" quotePrefix="1" applyFont="1" applyAlignment="1">
      <alignment horizontal="center"/>
    </xf>
    <xf numFmtId="4" fontId="19" fillId="0" borderId="0" xfId="1" applyNumberFormat="1" applyFont="1" applyFill="1" applyAlignment="1">
      <alignment horizontal="right"/>
    </xf>
    <xf numFmtId="167" fontId="20" fillId="0" borderId="0" xfId="2" applyNumberFormat="1" applyFont="1" applyFill="1" applyAlignment="1">
      <alignment horizontal="right"/>
    </xf>
    <xf numFmtId="167" fontId="19" fillId="0" borderId="0" xfId="2" applyNumberFormat="1" applyFont="1" applyFill="1" applyAlignment="1">
      <alignment horizontal="right"/>
    </xf>
    <xf numFmtId="167" fontId="19" fillId="0" borderId="1" xfId="2" applyNumberFormat="1" applyFont="1" applyFill="1" applyBorder="1" applyAlignment="1">
      <alignment horizontal="right"/>
    </xf>
    <xf numFmtId="164" fontId="19" fillId="0" borderId="0" xfId="1" applyNumberFormat="1" applyFont="1" applyAlignment="1">
      <alignment horizontal="center"/>
    </xf>
    <xf numFmtId="3" fontId="20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0" fontId="19" fillId="0" borderId="0" xfId="0" applyFont="1" applyFill="1"/>
    <xf numFmtId="3" fontId="19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165" fontId="21" fillId="0" borderId="0" xfId="2" applyNumberFormat="1" applyFont="1" applyFill="1" applyBorder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Fill="1" applyBorder="1"/>
    <xf numFmtId="165" fontId="21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0" fillId="0" borderId="0" xfId="1" applyFont="1" applyFill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9" fontId="23" fillId="0" borderId="0" xfId="7" applyNumberFormat="1" applyFont="1" applyAlignment="1">
      <alignment horizontal="center"/>
    </xf>
    <xf numFmtId="166" fontId="23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8" applyFont="1"/>
    <xf numFmtId="0" fontId="1" fillId="0" borderId="0" xfId="7"/>
    <xf numFmtId="0" fontId="1" fillId="0" borderId="0" xfId="7" applyFill="1"/>
    <xf numFmtId="0" fontId="1" fillId="0" borderId="0" xfId="8" applyFill="1"/>
    <xf numFmtId="0" fontId="2" fillId="0" borderId="0" xfId="7" applyFont="1"/>
    <xf numFmtId="43" fontId="0" fillId="0" borderId="0" xfId="9" applyFont="1"/>
    <xf numFmtId="43" fontId="0" fillId="0" borderId="0" xfId="9" applyFont="1" applyFill="1"/>
    <xf numFmtId="0" fontId="2" fillId="0" borderId="0" xfId="7" applyFont="1" applyFill="1"/>
    <xf numFmtId="3" fontId="1" fillId="0" borderId="0" xfId="7" applyNumberFormat="1"/>
    <xf numFmtId="3" fontId="1" fillId="0" borderId="0" xfId="7" applyNumberFormat="1" applyFill="1"/>
    <xf numFmtId="3" fontId="1" fillId="0" borderId="0" xfId="8" applyNumberFormat="1" applyFill="1"/>
    <xf numFmtId="3" fontId="2" fillId="0" borderId="0" xfId="7" applyNumberFormat="1" applyFont="1"/>
    <xf numFmtId="168" fontId="0" fillId="0" borderId="0" xfId="9" applyNumberFormat="1" applyFont="1"/>
    <xf numFmtId="168" fontId="0" fillId="0" borderId="0" xfId="9" applyNumberFormat="1" applyFont="1" applyFill="1"/>
    <xf numFmtId="168" fontId="1" fillId="0" borderId="0" xfId="7" applyNumberFormat="1" applyFill="1"/>
    <xf numFmtId="164" fontId="0" fillId="0" borderId="0" xfId="9" applyNumberFormat="1" applyFont="1"/>
    <xf numFmtId="164" fontId="0" fillId="0" borderId="0" xfId="9" applyNumberFormat="1" applyFont="1" applyFill="1"/>
    <xf numFmtId="164" fontId="1" fillId="0" borderId="0" xfId="7" applyNumberFormat="1" applyFill="1"/>
    <xf numFmtId="164" fontId="1" fillId="0" borderId="0" xfId="8" applyNumberFormat="1" applyFill="1"/>
    <xf numFmtId="164" fontId="0" fillId="0" borderId="0" xfId="0" applyNumberFormat="1" applyFill="1"/>
    <xf numFmtId="164" fontId="0" fillId="0" borderId="0" xfId="0" applyNumberFormat="1"/>
    <xf numFmtId="164" fontId="1" fillId="0" borderId="0" xfId="7" applyNumberFormat="1"/>
    <xf numFmtId="164" fontId="1" fillId="0" borderId="0" xfId="8" applyNumberFormat="1"/>
    <xf numFmtId="0" fontId="1" fillId="0" borderId="0" xfId="8"/>
    <xf numFmtId="0" fontId="0" fillId="0" borderId="0" xfId="8" applyFont="1"/>
    <xf numFmtId="43" fontId="1" fillId="0" borderId="0" xfId="7" applyNumberFormat="1" applyFill="1"/>
    <xf numFmtId="0" fontId="0" fillId="0" borderId="0" xfId="7" applyFont="1"/>
    <xf numFmtId="164" fontId="1" fillId="0" borderId="0" xfId="10" applyNumberFormat="1" applyFont="1" applyFill="1"/>
    <xf numFmtId="2" fontId="19" fillId="0" borderId="0" xfId="1" applyNumberFormat="1" applyFont="1" applyAlignment="1">
      <alignment horizontal="right"/>
    </xf>
    <xf numFmtId="3" fontId="1" fillId="0" borderId="0" xfId="8" applyNumberFormat="1"/>
    <xf numFmtId="168" fontId="1" fillId="0" borderId="0" xfId="7" applyNumberFormat="1"/>
    <xf numFmtId="43" fontId="1" fillId="0" borderId="0" xfId="7" applyNumberFormat="1"/>
    <xf numFmtId="164" fontId="1" fillId="0" borderId="0" xfId="10" applyNumberFormat="1" applyFont="1"/>
    <xf numFmtId="0" fontId="0" fillId="2" borderId="0" xfId="3" applyFont="1" applyFill="1" applyBorder="1"/>
    <xf numFmtId="44" fontId="14" fillId="2" borderId="0" xfId="4" applyFont="1" applyFill="1" applyBorder="1"/>
    <xf numFmtId="0" fontId="0" fillId="6" borderId="0" xfId="0" applyFill="1"/>
    <xf numFmtId="165" fontId="0" fillId="6" borderId="2" xfId="2" applyNumberFormat="1" applyFont="1" applyFill="1" applyBorder="1"/>
    <xf numFmtId="44" fontId="0" fillId="6" borderId="0" xfId="2" applyFont="1" applyFill="1"/>
    <xf numFmtId="41" fontId="3" fillId="6" borderId="0" xfId="3" applyNumberFormat="1" applyFill="1" applyBorder="1"/>
    <xf numFmtId="165" fontId="3" fillId="6" borderId="0" xfId="4" applyNumberFormat="1" applyFont="1" applyFill="1" applyBorder="1"/>
    <xf numFmtId="3" fontId="20" fillId="6" borderId="0" xfId="0" applyNumberFormat="1" applyFont="1" applyFill="1" applyAlignment="1"/>
    <xf numFmtId="3" fontId="20" fillId="6" borderId="1" xfId="0" applyNumberFormat="1" applyFont="1" applyFill="1" applyBorder="1" applyAlignment="1"/>
    <xf numFmtId="4" fontId="19" fillId="6" borderId="0" xfId="1" applyNumberFormat="1" applyFont="1" applyFill="1" applyAlignment="1">
      <alignment horizontal="right"/>
    </xf>
    <xf numFmtId="3" fontId="19" fillId="6" borderId="0" xfId="1" applyNumberFormat="1" applyFont="1" applyFill="1" applyAlignment="1">
      <alignment horizontal="right"/>
    </xf>
    <xf numFmtId="41" fontId="13" fillId="6" borderId="0" xfId="3" applyNumberFormat="1" applyFont="1" applyFill="1" applyBorder="1"/>
    <xf numFmtId="44" fontId="3" fillId="6" borderId="8" xfId="4" applyFont="1" applyFill="1" applyBorder="1"/>
    <xf numFmtId="44" fontId="13" fillId="6" borderId="8" xfId="4" applyFont="1" applyFill="1" applyBorder="1"/>
    <xf numFmtId="44" fontId="0" fillId="6" borderId="0" xfId="0" applyNumberFormat="1" applyFill="1"/>
    <xf numFmtId="44" fontId="3" fillId="6" borderId="8" xfId="4" applyNumberFormat="1" applyFont="1" applyFill="1" applyBorder="1"/>
    <xf numFmtId="44" fontId="14" fillId="6" borderId="10" xfId="4" applyFont="1" applyFill="1" applyBorder="1"/>
    <xf numFmtId="0" fontId="8" fillId="2" borderId="7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43" fontId="16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8" fillId="0" borderId="0" xfId="6" applyFont="1" applyAlignment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1" builtinId="3"/>
    <cellStyle name="Comma 2" xfId="10"/>
    <cellStyle name="Comma 3 2" xfId="5"/>
    <cellStyle name="Comma 9 3" xfId="9"/>
    <cellStyle name="Comma_Sheet1 (2)" xfId="6"/>
    <cellStyle name="Currency" xfId="2" builtinId="4"/>
    <cellStyle name="Currency 3 2" xfId="4"/>
    <cellStyle name="Normal" xfId="0" builtinId="0"/>
    <cellStyle name="Normal 13 3" xfId="7"/>
    <cellStyle name="Normal 2 3" xfId="3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zoomScaleNormal="100" workbookViewId="0">
      <selection activeCell="A6" sqref="A6:F6"/>
    </sheetView>
  </sheetViews>
  <sheetFormatPr defaultColWidth="8.85546875" defaultRowHeight="12.75" x14ac:dyDescent="0.2"/>
  <cols>
    <col min="1" max="1" width="11" style="13" customWidth="1"/>
    <col min="2" max="2" width="46" style="13" customWidth="1"/>
    <col min="3" max="3" width="14.5703125" style="13" customWidth="1"/>
    <col min="4" max="4" width="13.42578125" style="13" customWidth="1"/>
    <col min="5" max="5" width="11" style="13" customWidth="1"/>
    <col min="6" max="6" width="11.85546875" style="13" customWidth="1"/>
    <col min="7" max="7" width="11" style="13" customWidth="1"/>
    <col min="8" max="8" width="46" style="13" customWidth="1"/>
    <col min="9" max="9" width="10.42578125" style="13" bestFit="1" customWidth="1"/>
    <col min="10" max="10" width="13.42578125" style="13" customWidth="1"/>
    <col min="11" max="11" width="11" style="13" customWidth="1"/>
    <col min="12" max="12" width="11.85546875" style="13" customWidth="1"/>
    <col min="13" max="13" width="35.85546875" style="13" customWidth="1"/>
    <col min="14" max="14" width="21.5703125" style="13" customWidth="1"/>
    <col min="15" max="15" width="24.140625" style="13" customWidth="1"/>
    <col min="16" max="16" width="11" style="13" bestFit="1" customWidth="1"/>
    <col min="17" max="17" width="10.5703125" style="13" bestFit="1" customWidth="1"/>
    <col min="18" max="18" width="10.42578125" style="13" customWidth="1"/>
    <col min="19" max="16384" width="8.85546875" style="13"/>
  </cols>
  <sheetData>
    <row r="1" spans="1:18" ht="19.5" customHeight="1" x14ac:dyDescent="0.4">
      <c r="A1" s="9" t="str">
        <f>G1</f>
        <v>Sound Disposal Inc.</v>
      </c>
      <c r="B1" s="10"/>
      <c r="C1" s="11"/>
      <c r="D1" s="11"/>
      <c r="E1" s="11"/>
      <c r="F1" s="12"/>
      <c r="G1" s="9" t="str">
        <f>M1</f>
        <v>Sound Disposal Inc.</v>
      </c>
      <c r="H1" s="10"/>
      <c r="I1" s="11"/>
      <c r="J1" s="11"/>
      <c r="K1" s="11"/>
      <c r="L1" s="12"/>
      <c r="M1" s="9" t="s">
        <v>0</v>
      </c>
      <c r="N1" s="10"/>
      <c r="O1" s="11"/>
      <c r="P1" s="11"/>
      <c r="Q1" s="11"/>
      <c r="R1" s="12"/>
    </row>
    <row r="2" spans="1:18" ht="18" x14ac:dyDescent="0.35">
      <c r="A2" s="14" t="s">
        <v>1</v>
      </c>
      <c r="B2" s="15"/>
      <c r="C2" s="16" t="s">
        <v>2</v>
      </c>
      <c r="D2" s="17"/>
      <c r="E2" s="17"/>
      <c r="F2" s="18"/>
      <c r="G2" s="14" t="s">
        <v>1</v>
      </c>
      <c r="H2" s="15"/>
      <c r="I2" s="16" t="s">
        <v>2</v>
      </c>
      <c r="J2" s="17"/>
      <c r="K2" s="17"/>
      <c r="L2" s="18"/>
      <c r="M2" s="14" t="s">
        <v>1</v>
      </c>
      <c r="N2" s="15"/>
      <c r="O2" s="16" t="s">
        <v>2</v>
      </c>
      <c r="P2" s="17"/>
      <c r="Q2" s="17"/>
      <c r="R2" s="18"/>
    </row>
    <row r="3" spans="1:18" x14ac:dyDescent="0.2">
      <c r="A3" s="19" t="s">
        <v>3</v>
      </c>
      <c r="B3" s="20"/>
      <c r="C3" s="17"/>
      <c r="D3" s="17"/>
      <c r="E3" s="17"/>
      <c r="F3" s="18"/>
      <c r="G3" s="19" t="s">
        <v>3</v>
      </c>
      <c r="H3" s="20"/>
      <c r="I3" s="17"/>
      <c r="J3" s="17"/>
      <c r="K3" s="17"/>
      <c r="L3" s="18"/>
      <c r="M3" s="19" t="s">
        <v>4</v>
      </c>
      <c r="N3" s="20"/>
      <c r="O3" s="17"/>
      <c r="P3" s="17"/>
      <c r="Q3" s="17"/>
      <c r="R3" s="18"/>
    </row>
    <row r="4" spans="1:18" ht="20.25" x14ac:dyDescent="0.3">
      <c r="A4" s="21"/>
      <c r="B4" s="170" t="s">
        <v>98</v>
      </c>
      <c r="C4" s="170"/>
      <c r="D4" s="170"/>
      <c r="E4" s="170"/>
      <c r="F4" s="18"/>
      <c r="G4" s="21"/>
      <c r="H4" s="170" t="s">
        <v>5</v>
      </c>
      <c r="I4" s="170"/>
      <c r="J4" s="170"/>
      <c r="K4" s="170"/>
      <c r="L4" s="18"/>
      <c r="M4" s="21"/>
      <c r="N4" s="170" t="s">
        <v>6</v>
      </c>
      <c r="O4" s="170"/>
      <c r="P4" s="170"/>
      <c r="Q4" s="170"/>
      <c r="R4" s="18"/>
    </row>
    <row r="5" spans="1:18" x14ac:dyDescent="0.2">
      <c r="A5" s="21"/>
      <c r="B5" s="17"/>
      <c r="C5" s="17"/>
      <c r="D5" s="17"/>
      <c r="E5" s="17"/>
      <c r="F5" s="18"/>
      <c r="G5" s="21"/>
      <c r="H5" s="17"/>
      <c r="I5" s="17"/>
      <c r="J5" s="17"/>
      <c r="K5" s="17"/>
      <c r="L5" s="18"/>
      <c r="M5" s="21"/>
      <c r="N5" s="17"/>
      <c r="O5" s="17"/>
      <c r="P5" s="17"/>
      <c r="Q5" s="17"/>
      <c r="R5" s="18"/>
    </row>
    <row r="6" spans="1:18" ht="19.5" x14ac:dyDescent="0.4">
      <c r="A6" s="167" t="s">
        <v>7</v>
      </c>
      <c r="B6" s="168"/>
      <c r="C6" s="168"/>
      <c r="D6" s="168"/>
      <c r="E6" s="168"/>
      <c r="F6" s="169"/>
      <c r="G6" s="167" t="s">
        <v>7</v>
      </c>
      <c r="H6" s="168"/>
      <c r="I6" s="168"/>
      <c r="J6" s="168"/>
      <c r="K6" s="168"/>
      <c r="L6" s="169"/>
      <c r="M6" s="167" t="s">
        <v>7</v>
      </c>
      <c r="N6" s="168"/>
      <c r="O6" s="168"/>
      <c r="P6" s="168"/>
      <c r="Q6" s="168"/>
      <c r="R6" s="169"/>
    </row>
    <row r="7" spans="1:18" x14ac:dyDescent="0.2">
      <c r="A7" s="21"/>
      <c r="B7" s="17"/>
      <c r="C7" s="17"/>
      <c r="D7" s="17"/>
      <c r="E7" s="17"/>
      <c r="F7" s="18"/>
      <c r="G7" s="21"/>
      <c r="H7" s="17"/>
      <c r="I7" s="17"/>
      <c r="J7" s="17"/>
      <c r="K7" s="17"/>
      <c r="L7" s="18"/>
      <c r="M7" s="21"/>
      <c r="N7" s="17"/>
      <c r="O7" s="17"/>
      <c r="P7" s="17"/>
      <c r="Q7" s="17"/>
      <c r="R7" s="18"/>
    </row>
    <row r="8" spans="1:18" x14ac:dyDescent="0.2">
      <c r="A8" s="21"/>
      <c r="B8" s="17"/>
      <c r="C8" s="22"/>
      <c r="D8" s="22" t="s">
        <v>8</v>
      </c>
      <c r="E8" s="22" t="s">
        <v>9</v>
      </c>
      <c r="F8" s="18"/>
      <c r="G8" s="21"/>
      <c r="H8" s="17"/>
      <c r="I8" s="22"/>
      <c r="J8" s="22" t="s">
        <v>8</v>
      </c>
      <c r="K8" s="22" t="s">
        <v>9</v>
      </c>
      <c r="L8" s="18"/>
      <c r="M8" s="21"/>
      <c r="N8" s="17"/>
      <c r="O8" s="22"/>
      <c r="P8" s="22" t="s">
        <v>8</v>
      </c>
      <c r="Q8" s="22" t="s">
        <v>9</v>
      </c>
      <c r="R8" s="18"/>
    </row>
    <row r="9" spans="1:18" x14ac:dyDescent="0.2">
      <c r="A9" s="21"/>
      <c r="B9" s="17"/>
      <c r="C9" s="23" t="s">
        <v>10</v>
      </c>
      <c r="D9" s="23" t="s">
        <v>11</v>
      </c>
      <c r="E9" s="23" t="s">
        <v>12</v>
      </c>
      <c r="F9" s="18"/>
      <c r="G9" s="21"/>
      <c r="H9" s="17"/>
      <c r="I9" s="23" t="s">
        <v>10</v>
      </c>
      <c r="J9" s="23" t="s">
        <v>11</v>
      </c>
      <c r="K9" s="23" t="s">
        <v>12</v>
      </c>
      <c r="L9" s="18"/>
      <c r="M9" s="21"/>
      <c r="N9" s="17"/>
      <c r="O9" s="23" t="s">
        <v>10</v>
      </c>
      <c r="P9" s="23" t="s">
        <v>11</v>
      </c>
      <c r="Q9" s="23" t="s">
        <v>12</v>
      </c>
      <c r="R9" s="18"/>
    </row>
    <row r="10" spans="1:18" ht="16.5" x14ac:dyDescent="0.35">
      <c r="A10" s="24" t="s">
        <v>96</v>
      </c>
      <c r="B10" s="54"/>
      <c r="C10" s="26"/>
      <c r="D10" s="26"/>
      <c r="E10" s="26"/>
      <c r="F10" s="18"/>
      <c r="G10" s="24" t="s">
        <v>13</v>
      </c>
      <c r="H10" s="54"/>
      <c r="I10" s="26"/>
      <c r="J10" s="26"/>
      <c r="K10" s="26"/>
      <c r="L10" s="18"/>
      <c r="M10" s="24" t="s">
        <v>14</v>
      </c>
      <c r="N10" s="54"/>
      <c r="O10" s="26"/>
      <c r="P10" s="26"/>
      <c r="Q10" s="26"/>
      <c r="R10" s="18"/>
    </row>
    <row r="11" spans="1:18" ht="15" x14ac:dyDescent="0.25">
      <c r="A11" s="27" t="s">
        <v>15</v>
      </c>
      <c r="B11" s="17"/>
      <c r="C11" s="155">
        <f>+I11</f>
        <v>5265</v>
      </c>
      <c r="D11" s="29">
        <f>+R25</f>
        <v>-3.1505548636774381</v>
      </c>
      <c r="E11" s="155">
        <f>C11*D11</f>
        <v>-16587.671357261712</v>
      </c>
      <c r="F11" s="18"/>
      <c r="G11" s="27" t="s">
        <v>15</v>
      </c>
      <c r="H11" s="17"/>
      <c r="I11" s="28">
        <f>SUM(Data!M5:M7)</f>
        <v>5265</v>
      </c>
      <c r="J11" s="29">
        <f>P12</f>
        <v>0</v>
      </c>
      <c r="K11" s="28">
        <f>I11*J11</f>
        <v>0</v>
      </c>
      <c r="L11" s="18"/>
      <c r="M11" s="27" t="s">
        <v>16</v>
      </c>
      <c r="N11" s="17"/>
      <c r="O11" s="28">
        <v>0</v>
      </c>
      <c r="P11" s="29">
        <v>0</v>
      </c>
      <c r="Q11" s="28">
        <f>O11*P11</f>
        <v>0</v>
      </c>
      <c r="R11" s="18"/>
    </row>
    <row r="12" spans="1:18" ht="15" x14ac:dyDescent="0.35">
      <c r="A12" s="30" t="s">
        <v>17</v>
      </c>
      <c r="B12" s="31"/>
      <c r="C12" s="161">
        <f>+I12</f>
        <v>15795</v>
      </c>
      <c r="D12" s="29">
        <f>L25</f>
        <v>-4.2024024995887101</v>
      </c>
      <c r="E12" s="161">
        <f>C12*D12</f>
        <v>-66376.947481003677</v>
      </c>
      <c r="F12" s="18"/>
      <c r="G12" s="30" t="s">
        <v>17</v>
      </c>
      <c r="H12" s="31"/>
      <c r="I12" s="32">
        <f>SUM(Data!M8:M16)</f>
        <v>15795</v>
      </c>
      <c r="J12" s="29">
        <f>R25</f>
        <v>-3.1505548636774381</v>
      </c>
      <c r="K12" s="32">
        <f>I12*J12</f>
        <v>-49763.014071785132</v>
      </c>
      <c r="L12" s="18"/>
      <c r="M12" s="30" t="s">
        <v>18</v>
      </c>
      <c r="N12" s="31"/>
      <c r="O12" s="32">
        <f>Data!V28*12</f>
        <v>21060</v>
      </c>
      <c r="P12" s="29">
        <v>0</v>
      </c>
      <c r="Q12" s="32">
        <f>O12*P12</f>
        <v>0</v>
      </c>
      <c r="R12" s="18"/>
    </row>
    <row r="13" spans="1:18" x14ac:dyDescent="0.2">
      <c r="A13" s="21" t="s">
        <v>9</v>
      </c>
      <c r="B13" s="17"/>
      <c r="C13" s="155">
        <f>SUM(C11:C12)</f>
        <v>21060</v>
      </c>
      <c r="D13" s="17"/>
      <c r="E13" s="155">
        <f>SUM(E11:E12)</f>
        <v>-82964.618838265393</v>
      </c>
      <c r="F13" s="18"/>
      <c r="G13" s="21" t="s">
        <v>9</v>
      </c>
      <c r="H13" s="17"/>
      <c r="I13" s="28">
        <f>SUM(I11:I12)</f>
        <v>21060</v>
      </c>
      <c r="J13" s="17"/>
      <c r="K13" s="28">
        <f>SUM(K11:K12)</f>
        <v>-49763.014071785132</v>
      </c>
      <c r="L13" s="18"/>
      <c r="M13" s="21" t="s">
        <v>9</v>
      </c>
      <c r="N13" s="17"/>
      <c r="O13" s="28">
        <f>SUM(O11:O12)</f>
        <v>21060</v>
      </c>
      <c r="P13" s="17"/>
      <c r="Q13" s="28">
        <f>SUM(Q11:Q12)</f>
        <v>0</v>
      </c>
      <c r="R13" s="18"/>
    </row>
    <row r="14" spans="1:18" x14ac:dyDescent="0.2">
      <c r="A14" s="21"/>
      <c r="B14" s="17"/>
      <c r="C14" s="17"/>
      <c r="D14" s="17"/>
      <c r="E14" s="17"/>
      <c r="F14" s="18"/>
      <c r="G14" s="21"/>
      <c r="H14" s="17"/>
      <c r="I14" s="17"/>
      <c r="J14" s="17"/>
      <c r="K14" s="17"/>
      <c r="L14" s="18"/>
      <c r="M14" s="21"/>
      <c r="N14" s="17"/>
      <c r="O14" s="17"/>
      <c r="P14" s="17"/>
      <c r="Q14" s="17"/>
      <c r="R14" s="18"/>
    </row>
    <row r="15" spans="1:18" x14ac:dyDescent="0.2">
      <c r="A15" s="14" t="s">
        <v>19</v>
      </c>
      <c r="B15" s="17"/>
      <c r="C15" s="17"/>
      <c r="D15" s="17"/>
      <c r="E15" s="155">
        <f>-Data!F20</f>
        <v>-84743.692986410722</v>
      </c>
      <c r="F15" s="18"/>
      <c r="G15" s="14" t="s">
        <v>19</v>
      </c>
      <c r="H15" s="17"/>
      <c r="I15" s="17"/>
      <c r="J15" s="17"/>
      <c r="K15" s="56">
        <f>-Data!O20</f>
        <v>-88502.596641338227</v>
      </c>
      <c r="L15" s="18"/>
      <c r="M15" s="14" t="s">
        <v>19</v>
      </c>
      <c r="N15" s="17"/>
      <c r="O15" s="17"/>
      <c r="P15" s="17"/>
      <c r="Q15" s="28">
        <v>0</v>
      </c>
      <c r="R15" s="18"/>
    </row>
    <row r="16" spans="1:18" x14ac:dyDescent="0.2">
      <c r="A16" s="21"/>
      <c r="B16" s="17"/>
      <c r="C16" s="17"/>
      <c r="D16" s="17"/>
      <c r="E16" s="17"/>
      <c r="F16" s="18"/>
      <c r="G16" s="21"/>
      <c r="H16" s="17"/>
      <c r="I16" s="17"/>
      <c r="J16" s="17"/>
      <c r="K16" s="17"/>
      <c r="L16" s="18"/>
      <c r="M16" s="21"/>
      <c r="N16" s="17"/>
      <c r="O16" s="17"/>
      <c r="P16" s="17"/>
      <c r="Q16" s="17"/>
      <c r="R16" s="18"/>
    </row>
    <row r="17" spans="1:18" x14ac:dyDescent="0.2">
      <c r="A17" s="21" t="s">
        <v>20</v>
      </c>
      <c r="B17" s="17"/>
      <c r="C17" s="17"/>
      <c r="D17" s="17"/>
      <c r="E17" s="155">
        <f>+E15-E13</f>
        <v>-1779.0741481453297</v>
      </c>
      <c r="F17" s="18"/>
      <c r="G17" s="21" t="s">
        <v>20</v>
      </c>
      <c r="H17" s="17"/>
      <c r="I17" s="17"/>
      <c r="J17" s="17"/>
      <c r="K17" s="28">
        <f>+K15-K13</f>
        <v>-38739.582569553095</v>
      </c>
      <c r="L17" s="18"/>
      <c r="M17" s="21" t="s">
        <v>20</v>
      </c>
      <c r="N17" s="17"/>
      <c r="O17" s="17"/>
      <c r="P17" s="17"/>
      <c r="Q17" s="28">
        <f>+Q15-Q13</f>
        <v>0</v>
      </c>
      <c r="R17" s="18"/>
    </row>
    <row r="18" spans="1:18" x14ac:dyDescent="0.2">
      <c r="A18" s="21"/>
      <c r="B18" s="17"/>
      <c r="C18" s="17"/>
      <c r="D18" s="17"/>
      <c r="E18" s="17"/>
      <c r="F18" s="18"/>
      <c r="G18" s="21"/>
      <c r="H18" s="17"/>
      <c r="I18" s="17"/>
      <c r="J18" s="17"/>
      <c r="K18" s="17"/>
      <c r="L18" s="18"/>
      <c r="M18" s="21"/>
      <c r="N18" s="17"/>
      <c r="O18" s="17"/>
      <c r="P18" s="17"/>
      <c r="Q18" s="17"/>
      <c r="R18" s="18"/>
    </row>
    <row r="19" spans="1:18" x14ac:dyDescent="0.2">
      <c r="A19" s="30" t="s">
        <v>21</v>
      </c>
      <c r="B19" s="17"/>
      <c r="C19" s="17"/>
      <c r="D19" s="17"/>
      <c r="E19" s="155">
        <f>C13</f>
        <v>21060</v>
      </c>
      <c r="F19" s="18"/>
      <c r="G19" s="30" t="s">
        <v>21</v>
      </c>
      <c r="H19" s="17"/>
      <c r="I19" s="17"/>
      <c r="J19" s="17"/>
      <c r="K19" s="28">
        <f>I13</f>
        <v>21060</v>
      </c>
      <c r="L19" s="18"/>
      <c r="M19" s="30" t="s">
        <v>21</v>
      </c>
      <c r="N19" s="17"/>
      <c r="O19" s="17"/>
      <c r="P19" s="17"/>
      <c r="Q19" s="28">
        <f>+O13</f>
        <v>21060</v>
      </c>
      <c r="R19" s="18"/>
    </row>
    <row r="20" spans="1:18" x14ac:dyDescent="0.2">
      <c r="A20" s="21"/>
      <c r="B20" s="17"/>
      <c r="C20" s="17"/>
      <c r="D20" s="17"/>
      <c r="E20" s="17"/>
      <c r="F20" s="18"/>
      <c r="G20" s="21"/>
      <c r="H20" s="17"/>
      <c r="I20" s="17"/>
      <c r="J20" s="17"/>
      <c r="K20" s="17"/>
      <c r="L20" s="18"/>
      <c r="M20" s="21"/>
      <c r="N20" s="17"/>
      <c r="O20" s="17"/>
      <c r="P20" s="17"/>
      <c r="Q20" s="17"/>
      <c r="R20" s="18"/>
    </row>
    <row r="21" spans="1:18" x14ac:dyDescent="0.2">
      <c r="A21" s="21" t="s">
        <v>22</v>
      </c>
      <c r="B21" s="17"/>
      <c r="C21" s="17"/>
      <c r="D21" s="17"/>
      <c r="E21" s="17"/>
      <c r="F21" s="162">
        <f>(E17/E19)</f>
        <v>-8.4476455277556012E-2</v>
      </c>
      <c r="G21" s="21" t="s">
        <v>22</v>
      </c>
      <c r="H21" s="17"/>
      <c r="I21" s="17"/>
      <c r="J21" s="17"/>
      <c r="K21" s="17"/>
      <c r="L21" s="33">
        <f>(K17/K19)</f>
        <v>-1.8394863518306312</v>
      </c>
      <c r="M21" s="21" t="s">
        <v>22</v>
      </c>
      <c r="N21" s="17"/>
      <c r="O21" s="17"/>
      <c r="P21" s="17"/>
      <c r="Q21" s="17"/>
      <c r="R21" s="33">
        <f>(Q17/Q19)</f>
        <v>0</v>
      </c>
    </row>
    <row r="22" spans="1:18" x14ac:dyDescent="0.2">
      <c r="A22" s="21"/>
      <c r="B22" s="17"/>
      <c r="C22" s="17"/>
      <c r="D22" s="17"/>
      <c r="E22" s="17"/>
      <c r="F22" s="33"/>
      <c r="G22" s="21"/>
      <c r="H22" s="17"/>
      <c r="I22" s="17"/>
      <c r="J22" s="17"/>
      <c r="K22" s="17"/>
      <c r="L22" s="33"/>
      <c r="M22" s="21"/>
      <c r="N22" s="17"/>
      <c r="O22" s="17"/>
      <c r="P22" s="17"/>
      <c r="Q22" s="17"/>
      <c r="R22" s="33"/>
    </row>
    <row r="23" spans="1:18" ht="16.5" x14ac:dyDescent="0.35">
      <c r="A23" s="24" t="s">
        <v>97</v>
      </c>
      <c r="B23" s="54"/>
      <c r="C23" s="17"/>
      <c r="D23" s="17"/>
      <c r="E23" s="156">
        <f>E15</f>
        <v>-84743.692986410722</v>
      </c>
      <c r="F23" s="33"/>
      <c r="G23" s="24" t="s">
        <v>23</v>
      </c>
      <c r="H23" s="25"/>
      <c r="I23" s="17"/>
      <c r="J23" s="17"/>
      <c r="K23" s="55">
        <f>K15</f>
        <v>-88502.596641338227</v>
      </c>
      <c r="L23" s="33"/>
      <c r="M23" s="24" t="s">
        <v>13</v>
      </c>
      <c r="N23" s="25"/>
      <c r="O23" s="17"/>
      <c r="P23" s="17"/>
      <c r="Q23" s="35">
        <f>-Data!V26</f>
        <v>-66350.685429046847</v>
      </c>
      <c r="R23" s="33"/>
    </row>
    <row r="24" spans="1:18" x14ac:dyDescent="0.2">
      <c r="A24" s="21" t="s">
        <v>21</v>
      </c>
      <c r="B24" s="17"/>
      <c r="C24" s="17"/>
      <c r="D24" s="17"/>
      <c r="E24" s="36">
        <f>E19</f>
        <v>21060</v>
      </c>
      <c r="F24" s="33"/>
      <c r="G24" s="21" t="s">
        <v>21</v>
      </c>
      <c r="H24" s="17"/>
      <c r="I24" s="17"/>
      <c r="J24" s="17"/>
      <c r="K24" s="36">
        <f>K19</f>
        <v>21060</v>
      </c>
      <c r="L24" s="33"/>
      <c r="M24" s="21" t="s">
        <v>21</v>
      </c>
      <c r="N24" s="17"/>
      <c r="O24" s="17"/>
      <c r="P24" s="17"/>
      <c r="Q24" s="28">
        <f>Q19</f>
        <v>21060</v>
      </c>
      <c r="R24" s="33"/>
    </row>
    <row r="25" spans="1:18" ht="15" x14ac:dyDescent="0.35">
      <c r="A25" s="21" t="s">
        <v>24</v>
      </c>
      <c r="B25" s="17"/>
      <c r="C25" s="17"/>
      <c r="D25" s="17"/>
      <c r="E25" s="17"/>
      <c r="F25" s="163">
        <f>(E23/E24)</f>
        <v>-4.0239170458884486</v>
      </c>
      <c r="G25" s="21" t="s">
        <v>24</v>
      </c>
      <c r="H25" s="17"/>
      <c r="I25" s="17"/>
      <c r="J25" s="17"/>
      <c r="K25" s="17"/>
      <c r="L25" s="37">
        <f>(K23/K24)</f>
        <v>-4.2024024995887101</v>
      </c>
      <c r="M25" s="21" t="s">
        <v>24</v>
      </c>
      <c r="N25" s="17"/>
      <c r="O25" s="17"/>
      <c r="P25" s="17"/>
      <c r="Q25" s="17"/>
      <c r="R25" s="37">
        <f>(Q23/Q24)</f>
        <v>-3.1505548636774381</v>
      </c>
    </row>
    <row r="26" spans="1:18" x14ac:dyDescent="0.2">
      <c r="A26" s="21"/>
      <c r="B26" s="17"/>
      <c r="C26" s="17"/>
      <c r="D26" s="17"/>
      <c r="E26" s="17"/>
      <c r="F26" s="33"/>
      <c r="G26" s="21"/>
      <c r="H26" s="17"/>
      <c r="I26" s="17"/>
      <c r="J26" s="17"/>
      <c r="K26" s="17"/>
      <c r="L26" s="33"/>
      <c r="M26" s="21"/>
      <c r="N26" s="17"/>
      <c r="O26" s="17"/>
      <c r="P26" s="17"/>
      <c r="Q26" s="17"/>
      <c r="R26" s="33"/>
    </row>
    <row r="27" spans="1:18" ht="18.75" thickBot="1" x14ac:dyDescent="0.4">
      <c r="A27" s="14" t="s">
        <v>25</v>
      </c>
      <c r="B27" s="15"/>
      <c r="C27" s="17"/>
      <c r="D27" s="17"/>
      <c r="E27" s="17"/>
      <c r="F27" s="166">
        <f>+F25+F21</f>
        <v>-4.1083935011660042</v>
      </c>
      <c r="G27" s="14" t="s">
        <v>25</v>
      </c>
      <c r="H27" s="15"/>
      <c r="I27" s="17"/>
      <c r="J27" s="17"/>
      <c r="K27" s="17"/>
      <c r="L27" s="38">
        <f>+L25+L21</f>
        <v>-6.0418888514193414</v>
      </c>
      <c r="M27" s="14" t="s">
        <v>25</v>
      </c>
      <c r="N27" s="15"/>
      <c r="O27" s="17"/>
      <c r="P27" s="17"/>
      <c r="Q27" s="17"/>
      <c r="R27" s="38">
        <f>+R25+R21</f>
        <v>-3.1505548636774381</v>
      </c>
    </row>
    <row r="28" spans="1:18" ht="19.5" thickTop="1" thickBot="1" x14ac:dyDescent="0.4">
      <c r="A28" s="27"/>
      <c r="B28" s="17"/>
      <c r="C28" s="17"/>
      <c r="D28" s="17"/>
      <c r="E28" s="17"/>
      <c r="F28" s="151"/>
      <c r="G28" s="150" t="s">
        <v>26</v>
      </c>
      <c r="H28" s="17"/>
      <c r="I28" s="17"/>
      <c r="J28" s="17"/>
      <c r="K28" s="17"/>
      <c r="L28" s="38"/>
      <c r="M28" s="27" t="s">
        <v>26</v>
      </c>
      <c r="N28" s="17"/>
      <c r="O28" s="17"/>
      <c r="P28" s="17"/>
      <c r="Q28" s="17"/>
      <c r="R28" s="39">
        <v>0</v>
      </c>
    </row>
    <row r="29" spans="1:18" ht="19.5" thickTop="1" thickBot="1" x14ac:dyDescent="0.4">
      <c r="A29" s="21"/>
      <c r="B29" s="17"/>
      <c r="C29" s="17"/>
      <c r="D29" s="17"/>
      <c r="E29" s="17"/>
      <c r="F29" s="151"/>
      <c r="G29" s="17"/>
      <c r="H29" s="17"/>
      <c r="I29" s="17"/>
      <c r="J29" s="17"/>
      <c r="K29" s="17"/>
      <c r="L29" s="38"/>
      <c r="M29" s="21"/>
      <c r="N29" s="17"/>
      <c r="O29" s="17"/>
      <c r="P29" s="17"/>
      <c r="Q29" s="40"/>
      <c r="R29" s="41"/>
    </row>
    <row r="30" spans="1:18" ht="19.5" thickTop="1" thickBot="1" x14ac:dyDescent="0.4">
      <c r="A30" s="27"/>
      <c r="B30" s="17"/>
      <c r="C30" s="17"/>
      <c r="D30" s="17"/>
      <c r="E30" s="17"/>
      <c r="F30" s="151"/>
      <c r="G30" s="150" t="s">
        <v>27</v>
      </c>
      <c r="H30" s="17"/>
      <c r="I30" s="17"/>
      <c r="J30" s="17"/>
      <c r="K30" s="17"/>
      <c r="L30" s="38">
        <f>SUM(L27:L29)</f>
        <v>-6.0418888514193414</v>
      </c>
      <c r="M30" s="27" t="s">
        <v>27</v>
      </c>
      <c r="N30" s="17"/>
      <c r="O30" s="17"/>
      <c r="P30" s="17"/>
      <c r="Q30" s="17"/>
      <c r="R30" s="42">
        <f>SUM(R27:R29)</f>
        <v>-3.1505548636774381</v>
      </c>
    </row>
    <row r="31" spans="1:18" ht="13.5" thickTop="1" x14ac:dyDescent="0.2">
      <c r="A31" s="21"/>
      <c r="B31" s="17"/>
      <c r="C31" s="17"/>
      <c r="D31" s="17"/>
      <c r="E31" s="43"/>
      <c r="F31" s="17"/>
      <c r="G31" s="17"/>
      <c r="H31" s="17"/>
      <c r="I31" s="17"/>
      <c r="J31" s="17"/>
      <c r="K31" s="43"/>
      <c r="L31" s="18"/>
      <c r="M31" s="21"/>
      <c r="N31" s="17"/>
      <c r="O31" s="17"/>
      <c r="P31" s="17"/>
      <c r="Q31" s="40"/>
      <c r="R31" s="44"/>
    </row>
    <row r="32" spans="1:18" x14ac:dyDescent="0.2">
      <c r="A32" s="21"/>
      <c r="B32" s="17"/>
      <c r="C32" s="17"/>
      <c r="D32" s="17"/>
      <c r="E32" s="17"/>
      <c r="F32" s="18"/>
      <c r="G32" s="21"/>
      <c r="H32" s="17"/>
      <c r="I32" s="17"/>
      <c r="J32" s="17"/>
      <c r="K32" s="17"/>
      <c r="L32" s="18"/>
      <c r="M32" s="21"/>
      <c r="N32" s="17"/>
      <c r="O32" s="17"/>
      <c r="P32" s="17"/>
      <c r="Q32" s="17"/>
      <c r="R32" s="18"/>
    </row>
    <row r="33" spans="1:18" ht="19.5" x14ac:dyDescent="0.4">
      <c r="A33" s="167" t="s">
        <v>28</v>
      </c>
      <c r="B33" s="168"/>
      <c r="C33" s="168"/>
      <c r="D33" s="168"/>
      <c r="E33" s="168"/>
      <c r="F33" s="169"/>
      <c r="G33" s="167" t="s">
        <v>28</v>
      </c>
      <c r="H33" s="168"/>
      <c r="I33" s="168"/>
      <c r="J33" s="168"/>
      <c r="K33" s="168"/>
      <c r="L33" s="169"/>
      <c r="M33" s="167" t="s">
        <v>28</v>
      </c>
      <c r="N33" s="168"/>
      <c r="O33" s="168"/>
      <c r="P33" s="168"/>
      <c r="Q33" s="168"/>
      <c r="R33" s="169"/>
    </row>
    <row r="34" spans="1:18" x14ac:dyDescent="0.2">
      <c r="A34" s="21"/>
      <c r="B34" s="17"/>
      <c r="C34" s="17"/>
      <c r="D34" s="17"/>
      <c r="E34" s="17"/>
      <c r="F34" s="18"/>
      <c r="G34" s="21"/>
      <c r="H34" s="17"/>
      <c r="I34" s="17"/>
      <c r="J34" s="17"/>
      <c r="K34" s="17"/>
      <c r="L34" s="18"/>
      <c r="M34" s="21"/>
      <c r="N34" s="17"/>
      <c r="O34" s="17"/>
      <c r="P34" s="17"/>
      <c r="Q34" s="17"/>
      <c r="R34" s="18"/>
    </row>
    <row r="35" spans="1:18" x14ac:dyDescent="0.2">
      <c r="A35" s="21"/>
      <c r="B35" s="17"/>
      <c r="C35" s="22"/>
      <c r="D35" s="22" t="s">
        <v>8</v>
      </c>
      <c r="E35" s="22" t="s">
        <v>9</v>
      </c>
      <c r="F35" s="18"/>
      <c r="G35" s="21"/>
      <c r="H35" s="17"/>
      <c r="I35" s="22"/>
      <c r="J35" s="22" t="s">
        <v>8</v>
      </c>
      <c r="K35" s="22" t="s">
        <v>9</v>
      </c>
      <c r="L35" s="18"/>
      <c r="M35" s="21"/>
      <c r="N35" s="17"/>
      <c r="O35" s="22"/>
      <c r="P35" s="22" t="s">
        <v>8</v>
      </c>
      <c r="Q35" s="22" t="s">
        <v>9</v>
      </c>
      <c r="R35" s="18"/>
    </row>
    <row r="36" spans="1:18" x14ac:dyDescent="0.2">
      <c r="A36" s="21"/>
      <c r="B36" s="17"/>
      <c r="C36" s="45" t="s">
        <v>77</v>
      </c>
      <c r="D36" s="45" t="s">
        <v>11</v>
      </c>
      <c r="E36" s="45" t="s">
        <v>12</v>
      </c>
      <c r="F36" s="18"/>
      <c r="G36" s="21"/>
      <c r="H36" s="17"/>
      <c r="I36" s="45" t="s">
        <v>29</v>
      </c>
      <c r="J36" s="45" t="s">
        <v>11</v>
      </c>
      <c r="K36" s="45" t="s">
        <v>12</v>
      </c>
      <c r="L36" s="18"/>
      <c r="M36" s="21"/>
      <c r="N36" s="17"/>
      <c r="O36" s="45" t="s">
        <v>29</v>
      </c>
      <c r="P36" s="45" t="s">
        <v>11</v>
      </c>
      <c r="Q36" s="45" t="s">
        <v>12</v>
      </c>
      <c r="R36" s="18"/>
    </row>
    <row r="37" spans="1:18" ht="16.5" x14ac:dyDescent="0.35">
      <c r="A37" s="24" t="str">
        <f>A10</f>
        <v>Projected Revenue July 2019-June 2020</v>
      </c>
      <c r="B37" s="54"/>
      <c r="C37" s="26"/>
      <c r="D37" s="26"/>
      <c r="E37" s="26"/>
      <c r="F37" s="18"/>
      <c r="G37" s="24" t="str">
        <f>G10</f>
        <v>Projected Revenue October 2018-September 2019</v>
      </c>
      <c r="H37" s="25"/>
      <c r="I37" s="26"/>
      <c r="J37" s="26"/>
      <c r="K37" s="26"/>
      <c r="L37" s="18"/>
      <c r="M37" s="24" t="str">
        <f>M10</f>
        <v>Projected Revenue October 2017-September 2018</v>
      </c>
      <c r="N37" s="25"/>
      <c r="O37" s="26"/>
      <c r="P37" s="26"/>
      <c r="Q37" s="26"/>
      <c r="R37" s="18"/>
    </row>
    <row r="38" spans="1:18" x14ac:dyDescent="0.2">
      <c r="A38" s="21" t="str">
        <f>A11</f>
        <v>Jul-Sep projected value without adjustment factor</v>
      </c>
      <c r="B38" s="31"/>
      <c r="C38" s="155">
        <f>+(+Customers!D12+Customers!D13)*3</f>
        <v>1396.9499999999998</v>
      </c>
      <c r="D38" s="29">
        <v>0</v>
      </c>
      <c r="E38" s="28">
        <f>C38*D38</f>
        <v>0</v>
      </c>
      <c r="F38" s="18"/>
      <c r="G38" s="21" t="str">
        <f>G11</f>
        <v>Jul-Sep projected value without adjustment factor</v>
      </c>
      <c r="H38" s="31"/>
      <c r="I38" s="28"/>
      <c r="J38" s="29">
        <f>P39</f>
        <v>0</v>
      </c>
      <c r="K38" s="28">
        <f>I38*J38</f>
        <v>0</v>
      </c>
      <c r="L38" s="18"/>
      <c r="M38" s="21" t="str">
        <f>M11</f>
        <v>Aug-Sep projected value without adjustment factor</v>
      </c>
      <c r="N38" s="31"/>
      <c r="O38" s="28"/>
      <c r="P38" s="29"/>
      <c r="Q38" s="28">
        <f>O38*P38</f>
        <v>0</v>
      </c>
      <c r="R38" s="18"/>
    </row>
    <row r="39" spans="1:18" ht="15" x14ac:dyDescent="0.35">
      <c r="A39" s="30" t="str">
        <f>A12</f>
        <v>Oct-Jun projected value without adjustment factor</v>
      </c>
      <c r="B39" s="31"/>
      <c r="C39" s="161">
        <f>+(+Customers!D12+Customers!D13)*9</f>
        <v>4190.8499999999995</v>
      </c>
      <c r="D39" s="29">
        <v>0</v>
      </c>
      <c r="E39" s="32">
        <f>C39*D39</f>
        <v>0</v>
      </c>
      <c r="F39" s="18"/>
      <c r="G39" s="30" t="str">
        <f>G12</f>
        <v>Oct-Jun projected value without adjustment factor</v>
      </c>
      <c r="H39" s="31"/>
      <c r="I39" s="32"/>
      <c r="J39" s="29" t="e">
        <f>R52</f>
        <v>#DIV/0!</v>
      </c>
      <c r="K39" s="32" t="e">
        <f>I39*J39</f>
        <v>#DIV/0!</v>
      </c>
      <c r="L39" s="18"/>
      <c r="M39" s="30" t="str">
        <f>M12</f>
        <v>Oct-Sep projected value without adjustment factor</v>
      </c>
      <c r="N39" s="31"/>
      <c r="O39" s="32"/>
      <c r="P39" s="29"/>
      <c r="Q39" s="32">
        <f>O39*P39</f>
        <v>0</v>
      </c>
      <c r="R39" s="18"/>
    </row>
    <row r="40" spans="1:18" x14ac:dyDescent="0.2">
      <c r="A40" s="21" t="s">
        <v>9</v>
      </c>
      <c r="B40" s="17"/>
      <c r="C40" s="155">
        <f>SUM(C38:C39)</f>
        <v>5587.7999999999993</v>
      </c>
      <c r="D40" s="17"/>
      <c r="E40" s="28">
        <f>+E39+E38</f>
        <v>0</v>
      </c>
      <c r="F40" s="18"/>
      <c r="G40" s="21" t="s">
        <v>9</v>
      </c>
      <c r="H40" s="17"/>
      <c r="I40" s="28">
        <f>SUM(I38:I39)</f>
        <v>0</v>
      </c>
      <c r="J40" s="17"/>
      <c r="K40" s="28" t="e">
        <f>+K39+K38</f>
        <v>#DIV/0!</v>
      </c>
      <c r="L40" s="18"/>
      <c r="M40" s="21" t="s">
        <v>9</v>
      </c>
      <c r="N40" s="17"/>
      <c r="O40" s="28">
        <f>SUM(O38:O39)</f>
        <v>0</v>
      </c>
      <c r="P40" s="17"/>
      <c r="Q40" s="28">
        <f>+Q39+Q38</f>
        <v>0</v>
      </c>
      <c r="R40" s="18"/>
    </row>
    <row r="41" spans="1:18" x14ac:dyDescent="0.2">
      <c r="A41" s="21"/>
      <c r="B41" s="17"/>
      <c r="C41" s="17"/>
      <c r="D41" s="17"/>
      <c r="E41" s="17"/>
      <c r="F41" s="18"/>
      <c r="G41" s="21"/>
      <c r="H41" s="17"/>
      <c r="I41" s="17"/>
      <c r="J41" s="17"/>
      <c r="K41" s="17"/>
      <c r="L41" s="18"/>
      <c r="M41" s="21"/>
      <c r="N41" s="17"/>
      <c r="O41" s="17"/>
      <c r="P41" s="17"/>
      <c r="Q41" s="17"/>
      <c r="R41" s="18"/>
    </row>
    <row r="42" spans="1:18" x14ac:dyDescent="0.2">
      <c r="A42" s="21" t="s">
        <v>30</v>
      </c>
      <c r="B42" s="17"/>
      <c r="C42" s="17"/>
      <c r="D42" s="17"/>
      <c r="E42" s="28">
        <f>-Data!G20</f>
        <v>-5192.804542497799</v>
      </c>
      <c r="F42" s="18"/>
      <c r="G42" s="21" t="s">
        <v>30</v>
      </c>
      <c r="H42" s="17"/>
      <c r="I42" s="17"/>
      <c r="J42" s="17"/>
      <c r="K42" s="28"/>
      <c r="L42" s="18"/>
      <c r="M42" s="21" t="s">
        <v>30</v>
      </c>
      <c r="N42" s="17"/>
      <c r="O42" s="17"/>
      <c r="P42" s="17"/>
      <c r="Q42" s="28"/>
      <c r="R42" s="18"/>
    </row>
    <row r="43" spans="1:18" x14ac:dyDescent="0.2">
      <c r="A43" s="21"/>
      <c r="B43" s="17"/>
      <c r="C43" s="17"/>
      <c r="D43" s="17"/>
      <c r="E43" s="17"/>
      <c r="F43" s="18"/>
      <c r="G43" s="21"/>
      <c r="H43" s="17"/>
      <c r="I43" s="17"/>
      <c r="J43" s="17"/>
      <c r="K43" s="17"/>
      <c r="L43" s="18"/>
      <c r="M43" s="21"/>
      <c r="N43" s="17"/>
      <c r="O43" s="17"/>
      <c r="P43" s="17"/>
      <c r="Q43" s="17"/>
      <c r="R43" s="18"/>
    </row>
    <row r="44" spans="1:18" x14ac:dyDescent="0.2">
      <c r="A44" s="21" t="s">
        <v>20</v>
      </c>
      <c r="B44" s="17"/>
      <c r="C44" s="17"/>
      <c r="D44" s="17"/>
      <c r="E44" s="28">
        <f>E42-E40</f>
        <v>-5192.804542497799</v>
      </c>
      <c r="F44" s="18"/>
      <c r="G44" s="21" t="s">
        <v>20</v>
      </c>
      <c r="H44" s="17"/>
      <c r="I44" s="17"/>
      <c r="J44" s="17"/>
      <c r="K44" s="28" t="e">
        <f>K42-K40</f>
        <v>#DIV/0!</v>
      </c>
      <c r="L44" s="18"/>
      <c r="M44" s="21" t="s">
        <v>20</v>
      </c>
      <c r="N44" s="17"/>
      <c r="O44" s="17"/>
      <c r="P44" s="17"/>
      <c r="Q44" s="28">
        <f>Q42-Q40</f>
        <v>0</v>
      </c>
      <c r="R44" s="18"/>
    </row>
    <row r="45" spans="1:18" x14ac:dyDescent="0.2">
      <c r="A45" s="21"/>
      <c r="B45" s="17"/>
      <c r="C45" s="17"/>
      <c r="D45" s="17"/>
      <c r="E45" s="17"/>
      <c r="F45" s="18"/>
      <c r="G45" s="21"/>
      <c r="H45" s="17"/>
      <c r="I45" s="17"/>
      <c r="J45" s="17"/>
      <c r="K45" s="17"/>
      <c r="L45" s="18"/>
      <c r="M45" s="21"/>
      <c r="N45" s="17"/>
      <c r="O45" s="17"/>
      <c r="P45" s="17"/>
      <c r="Q45" s="17"/>
      <c r="R45" s="18"/>
    </row>
    <row r="46" spans="1:18" x14ac:dyDescent="0.2">
      <c r="A46" s="21" t="s">
        <v>78</v>
      </c>
      <c r="B46" s="17"/>
      <c r="C46" s="17"/>
      <c r="D46" s="17"/>
      <c r="E46" s="36">
        <f>+C40</f>
        <v>5587.7999999999993</v>
      </c>
      <c r="F46" s="18"/>
      <c r="G46" s="21" t="s">
        <v>21</v>
      </c>
      <c r="H46" s="17"/>
      <c r="I46" s="17"/>
      <c r="J46" s="17"/>
      <c r="K46" s="46">
        <f>I40/10*12</f>
        <v>0</v>
      </c>
      <c r="L46" s="18"/>
      <c r="M46" s="21" t="s">
        <v>21</v>
      </c>
      <c r="N46" s="17"/>
      <c r="O46" s="17"/>
      <c r="P46" s="17"/>
      <c r="Q46" s="28">
        <f>+O40</f>
        <v>0</v>
      </c>
      <c r="R46" s="18"/>
    </row>
    <row r="47" spans="1:18" x14ac:dyDescent="0.2">
      <c r="A47" s="21"/>
      <c r="B47" s="17"/>
      <c r="C47" s="17"/>
      <c r="D47" s="17"/>
      <c r="E47" s="17"/>
      <c r="F47" s="18"/>
      <c r="G47" s="21"/>
      <c r="H47" s="17"/>
      <c r="I47" s="17"/>
      <c r="J47" s="17"/>
      <c r="K47" s="17"/>
      <c r="L47" s="18"/>
      <c r="M47" s="21"/>
      <c r="N47" s="17"/>
      <c r="O47" s="17"/>
      <c r="P47" s="17"/>
      <c r="Q47" s="17"/>
      <c r="R47" s="18"/>
    </row>
    <row r="48" spans="1:18" x14ac:dyDescent="0.2">
      <c r="A48" s="21" t="s">
        <v>22</v>
      </c>
      <c r="B48" s="17"/>
      <c r="C48" s="17"/>
      <c r="D48" s="17"/>
      <c r="E48" s="17"/>
      <c r="F48" s="165">
        <f>(E44/E46)</f>
        <v>-0.92931109604814055</v>
      </c>
      <c r="G48" s="21" t="s">
        <v>22</v>
      </c>
      <c r="H48" s="17"/>
      <c r="I48" s="17"/>
      <c r="J48" s="17"/>
      <c r="K48" s="17"/>
      <c r="L48" s="47" t="e">
        <f>(K44/K46)</f>
        <v>#DIV/0!</v>
      </c>
      <c r="M48" s="21" t="s">
        <v>22</v>
      </c>
      <c r="N48" s="17"/>
      <c r="O48" s="17"/>
      <c r="P48" s="17"/>
      <c r="Q48" s="17"/>
      <c r="R48" s="47" t="e">
        <f>(Q44/Q46)</f>
        <v>#DIV/0!</v>
      </c>
    </row>
    <row r="49" spans="1:18" x14ac:dyDescent="0.2">
      <c r="A49" s="21"/>
      <c r="B49" s="17"/>
      <c r="C49" s="17"/>
      <c r="D49" s="17"/>
      <c r="E49" s="28"/>
      <c r="F49" s="18"/>
      <c r="G49" s="21"/>
      <c r="H49" s="17"/>
      <c r="I49" s="17"/>
      <c r="J49" s="17"/>
      <c r="K49" s="28"/>
      <c r="L49" s="18"/>
      <c r="M49" s="21"/>
      <c r="N49" s="17"/>
      <c r="O49" s="17"/>
      <c r="P49" s="17"/>
      <c r="Q49" s="28"/>
      <c r="R49" s="18"/>
    </row>
    <row r="50" spans="1:18" ht="16.5" x14ac:dyDescent="0.35">
      <c r="A50" s="24" t="str">
        <f>A23</f>
        <v>Projected Revenue October 2020-September 2021</v>
      </c>
      <c r="B50" s="54"/>
      <c r="C50" s="17"/>
      <c r="D50" s="17"/>
      <c r="E50" s="156">
        <f>E42</f>
        <v>-5192.804542497799</v>
      </c>
      <c r="F50" s="18"/>
      <c r="G50" s="24" t="str">
        <f>G23</f>
        <v>Projected Revenue October 2019-September 2020</v>
      </c>
      <c r="H50" s="25"/>
      <c r="I50" s="17"/>
      <c r="J50" s="17"/>
      <c r="K50" s="34">
        <f>K42</f>
        <v>0</v>
      </c>
      <c r="L50" s="18"/>
      <c r="M50" s="24" t="str">
        <f>M23</f>
        <v>Projected Revenue October 2018-September 2019</v>
      </c>
      <c r="N50" s="25"/>
      <c r="O50" s="17"/>
      <c r="P50" s="17"/>
      <c r="Q50" s="34">
        <f>+Q42</f>
        <v>0</v>
      </c>
      <c r="R50" s="18"/>
    </row>
    <row r="51" spans="1:18" x14ac:dyDescent="0.2">
      <c r="A51" s="21" t="s">
        <v>78</v>
      </c>
      <c r="B51" s="17"/>
      <c r="C51" s="17"/>
      <c r="D51" s="17"/>
      <c r="E51" s="28">
        <f>C40</f>
        <v>5587.7999999999993</v>
      </c>
      <c r="F51" s="18"/>
      <c r="G51" s="21" t="s">
        <v>21</v>
      </c>
      <c r="H51" s="17"/>
      <c r="I51" s="17"/>
      <c r="J51" s="17"/>
      <c r="K51" s="28">
        <f>I40</f>
        <v>0</v>
      </c>
      <c r="L51" s="18"/>
      <c r="M51" s="21" t="s">
        <v>21</v>
      </c>
      <c r="N51" s="17"/>
      <c r="O51" s="17"/>
      <c r="P51" s="17"/>
      <c r="Q51" s="28">
        <f>Q46</f>
        <v>0</v>
      </c>
      <c r="R51" s="18"/>
    </row>
    <row r="52" spans="1:18" ht="15" x14ac:dyDescent="0.35">
      <c r="A52" s="21" t="s">
        <v>24</v>
      </c>
      <c r="B52" s="17"/>
      <c r="C52" s="17"/>
      <c r="D52" s="17"/>
      <c r="E52" s="17"/>
      <c r="F52" s="163">
        <f>(E50/E51)</f>
        <v>-0.92931109604814055</v>
      </c>
      <c r="G52" s="21" t="s">
        <v>24</v>
      </c>
      <c r="H52" s="17"/>
      <c r="I52" s="17"/>
      <c r="J52" s="17"/>
      <c r="K52" s="17"/>
      <c r="L52" s="37" t="e">
        <f>(K50/K51)/0.5*0.72395</f>
        <v>#DIV/0!</v>
      </c>
      <c r="M52" s="21" t="s">
        <v>24</v>
      </c>
      <c r="N52" s="17"/>
      <c r="O52" s="17"/>
      <c r="P52" s="17"/>
      <c r="Q52" s="17"/>
      <c r="R52" s="37" t="e">
        <f>(Q50/Q51)</f>
        <v>#DIV/0!</v>
      </c>
    </row>
    <row r="53" spans="1:18" x14ac:dyDescent="0.2">
      <c r="A53" s="21"/>
      <c r="B53" s="17"/>
      <c r="C53" s="17"/>
      <c r="D53" s="17"/>
      <c r="E53" s="17"/>
      <c r="F53" s="18"/>
      <c r="G53" s="21"/>
      <c r="H53" s="17"/>
      <c r="I53" s="17"/>
      <c r="J53" s="17"/>
      <c r="K53" s="17"/>
      <c r="L53" s="18"/>
      <c r="M53" s="21"/>
      <c r="N53" s="17"/>
      <c r="O53" s="17"/>
      <c r="P53" s="17"/>
      <c r="Q53" s="17"/>
      <c r="R53" s="18"/>
    </row>
    <row r="54" spans="1:18" ht="18.75" thickBot="1" x14ac:dyDescent="0.4">
      <c r="A54" s="14" t="s">
        <v>31</v>
      </c>
      <c r="B54" s="15"/>
      <c r="C54" s="17"/>
      <c r="D54" s="17"/>
      <c r="E54" s="17"/>
      <c r="F54" s="166">
        <f>+F52+F48</f>
        <v>-1.8586221920962811</v>
      </c>
      <c r="G54" s="14" t="s">
        <v>31</v>
      </c>
      <c r="H54" s="15"/>
      <c r="I54" s="17"/>
      <c r="J54" s="17"/>
      <c r="K54" s="17"/>
      <c r="L54" s="38" t="e">
        <f>+L52+L48</f>
        <v>#DIV/0!</v>
      </c>
      <c r="M54" s="14" t="s">
        <v>31</v>
      </c>
      <c r="N54" s="15"/>
      <c r="O54" s="17"/>
      <c r="P54" s="17"/>
      <c r="Q54" s="17"/>
      <c r="R54" s="38" t="e">
        <f>+R52+R48</f>
        <v>#DIV/0!</v>
      </c>
    </row>
    <row r="55" spans="1:18" ht="18.75" thickTop="1" x14ac:dyDescent="0.35">
      <c r="A55" s="27"/>
      <c r="B55" s="15"/>
      <c r="C55" s="17"/>
      <c r="D55" s="17"/>
      <c r="E55" s="17"/>
      <c r="F55" s="48"/>
      <c r="G55" s="27" t="s">
        <v>26</v>
      </c>
      <c r="H55" s="15"/>
      <c r="I55" s="17"/>
      <c r="J55" s="17"/>
      <c r="K55" s="17"/>
      <c r="L55" s="48"/>
      <c r="M55" s="27" t="s">
        <v>26</v>
      </c>
      <c r="N55" s="15"/>
      <c r="O55" s="17"/>
      <c r="P55" s="40"/>
      <c r="Q55" s="17"/>
      <c r="R55" s="48">
        <v>0</v>
      </c>
    </row>
    <row r="56" spans="1:18" x14ac:dyDescent="0.2">
      <c r="A56" s="21"/>
      <c r="B56" s="17"/>
      <c r="C56" s="17"/>
      <c r="D56" s="17"/>
      <c r="E56" s="17"/>
      <c r="F56" s="18"/>
      <c r="G56" s="21"/>
      <c r="H56" s="17"/>
      <c r="I56" s="17"/>
      <c r="J56" s="17"/>
      <c r="K56" s="17"/>
      <c r="L56" s="18"/>
      <c r="M56" s="21"/>
      <c r="N56" s="17"/>
      <c r="O56" s="17"/>
      <c r="P56" s="17"/>
      <c r="Q56" s="17"/>
      <c r="R56" s="18"/>
    </row>
    <row r="57" spans="1:18" ht="18.75" thickBot="1" x14ac:dyDescent="0.4">
      <c r="A57" s="49"/>
      <c r="B57" s="51"/>
      <c r="C57" s="51"/>
      <c r="D57" s="51"/>
      <c r="E57" s="51"/>
      <c r="F57" s="52"/>
      <c r="G57" s="49" t="s">
        <v>27</v>
      </c>
      <c r="H57" s="51"/>
      <c r="I57" s="51"/>
      <c r="J57" s="51"/>
      <c r="K57" s="51"/>
      <c r="L57" s="52" t="e">
        <f>SUM(L54:L56)</f>
        <v>#DIV/0!</v>
      </c>
      <c r="M57" s="49" t="s">
        <v>27</v>
      </c>
      <c r="N57" s="50"/>
      <c r="O57" s="50"/>
      <c r="P57" s="53"/>
      <c r="Q57" s="50"/>
      <c r="R57" s="52" t="e">
        <f>SUM(R54:R56)</f>
        <v>#DIV/0!</v>
      </c>
    </row>
    <row r="58" spans="1:18" ht="19.5" x14ac:dyDescent="0.4">
      <c r="A58" s="167" t="s">
        <v>28</v>
      </c>
      <c r="B58" s="168"/>
      <c r="C58" s="168"/>
      <c r="D58" s="168"/>
      <c r="E58" s="168"/>
      <c r="F58" s="169"/>
    </row>
    <row r="59" spans="1:18" x14ac:dyDescent="0.2">
      <c r="A59" s="21"/>
      <c r="B59" s="17"/>
      <c r="C59" s="17"/>
      <c r="D59" s="17"/>
      <c r="E59" s="17"/>
      <c r="F59" s="18"/>
    </row>
    <row r="60" spans="1:18" x14ac:dyDescent="0.2">
      <c r="A60" s="21"/>
      <c r="B60" s="17"/>
      <c r="C60" s="22"/>
      <c r="D60" s="22" t="s">
        <v>8</v>
      </c>
      <c r="E60" s="22" t="s">
        <v>9</v>
      </c>
      <c r="F60" s="18"/>
    </row>
    <row r="61" spans="1:18" x14ac:dyDescent="0.2">
      <c r="A61" s="21"/>
      <c r="B61" s="17"/>
      <c r="C61" s="45" t="s">
        <v>79</v>
      </c>
      <c r="D61" s="45" t="s">
        <v>11</v>
      </c>
      <c r="E61" s="45" t="s">
        <v>12</v>
      </c>
      <c r="F61" s="18"/>
    </row>
    <row r="62" spans="1:18" ht="16.5" x14ac:dyDescent="0.35">
      <c r="A62" s="24" t="str">
        <f>+A37</f>
        <v>Projected Revenue July 2019-June 2020</v>
      </c>
      <c r="B62" s="54"/>
      <c r="C62" s="26"/>
      <c r="D62" s="26"/>
      <c r="E62" s="26"/>
      <c r="F62" s="18"/>
    </row>
    <row r="63" spans="1:18" x14ac:dyDescent="0.2">
      <c r="A63" s="21" t="str">
        <f>+A38</f>
        <v>Jul-Sep projected value without adjustment factor</v>
      </c>
      <c r="B63" s="31"/>
      <c r="C63" s="28">
        <f>+(+Customers!D14+Customers!D15)*3</f>
        <v>155.94</v>
      </c>
      <c r="D63" s="29">
        <f>+D38</f>
        <v>0</v>
      </c>
      <c r="E63" s="28">
        <f>C63*D63</f>
        <v>0</v>
      </c>
      <c r="F63" s="18"/>
    </row>
    <row r="64" spans="1:18" ht="15" x14ac:dyDescent="0.35">
      <c r="A64" s="30" t="str">
        <f>+A39</f>
        <v>Oct-Jun projected value without adjustment factor</v>
      </c>
      <c r="B64" s="31"/>
      <c r="C64" s="32">
        <f>+(+Customers!D14+Customers!D15)*9</f>
        <v>467.82</v>
      </c>
      <c r="D64" s="29">
        <f>+D39</f>
        <v>0</v>
      </c>
      <c r="E64" s="32">
        <f>C64*D64</f>
        <v>0</v>
      </c>
      <c r="F64" s="18"/>
    </row>
    <row r="65" spans="1:6" x14ac:dyDescent="0.2">
      <c r="A65" s="21" t="s">
        <v>9</v>
      </c>
      <c r="B65" s="17"/>
      <c r="C65" s="28">
        <f>SUM(C63:C64)</f>
        <v>623.76</v>
      </c>
      <c r="D65" s="17"/>
      <c r="E65" s="28">
        <f>+E64+E63</f>
        <v>0</v>
      </c>
      <c r="F65" s="18"/>
    </row>
    <row r="66" spans="1:6" x14ac:dyDescent="0.2">
      <c r="A66" s="21"/>
      <c r="B66" s="17"/>
      <c r="C66" s="17"/>
      <c r="D66" s="17"/>
      <c r="E66" s="17"/>
      <c r="F66" s="18"/>
    </row>
    <row r="67" spans="1:6" x14ac:dyDescent="0.2">
      <c r="A67" s="21" t="s">
        <v>30</v>
      </c>
      <c r="B67" s="17"/>
      <c r="C67" s="17"/>
      <c r="D67" s="17"/>
      <c r="E67" s="155">
        <f>-Data!H20</f>
        <v>-2131.1290046727504</v>
      </c>
      <c r="F67" s="18"/>
    </row>
    <row r="68" spans="1:6" x14ac:dyDescent="0.2">
      <c r="A68" s="21"/>
      <c r="B68" s="17"/>
      <c r="C68" s="17"/>
      <c r="D68" s="17"/>
      <c r="E68" s="17"/>
      <c r="F68" s="18"/>
    </row>
    <row r="69" spans="1:6" x14ac:dyDescent="0.2">
      <c r="A69" s="21" t="s">
        <v>20</v>
      </c>
      <c r="B69" s="17"/>
      <c r="C69" s="17"/>
      <c r="D69" s="17"/>
      <c r="E69" s="28">
        <f>E67-E65</f>
        <v>-2131.1290046727504</v>
      </c>
      <c r="F69" s="18"/>
    </row>
    <row r="70" spans="1:6" x14ac:dyDescent="0.2">
      <c r="A70" s="21"/>
      <c r="B70" s="17"/>
      <c r="C70" s="17"/>
      <c r="D70" s="17"/>
      <c r="E70" s="17"/>
      <c r="F70" s="18"/>
    </row>
    <row r="71" spans="1:6" x14ac:dyDescent="0.2">
      <c r="A71" s="21" t="s">
        <v>78</v>
      </c>
      <c r="B71" s="17"/>
      <c r="C71" s="17"/>
      <c r="D71" s="17"/>
      <c r="E71" s="36">
        <f>+C65</f>
        <v>623.76</v>
      </c>
      <c r="F71" s="18"/>
    </row>
    <row r="72" spans="1:6" x14ac:dyDescent="0.2">
      <c r="A72" s="21"/>
      <c r="B72" s="17"/>
      <c r="C72" s="17"/>
      <c r="D72" s="17"/>
      <c r="E72" s="17"/>
      <c r="F72" s="18"/>
    </row>
    <row r="73" spans="1:6" x14ac:dyDescent="0.2">
      <c r="A73" s="21" t="s">
        <v>22</v>
      </c>
      <c r="B73" s="17"/>
      <c r="C73" s="17"/>
      <c r="D73" s="17"/>
      <c r="E73" s="17"/>
      <c r="F73" s="165">
        <f>(E69/E71)</f>
        <v>-3.4165849119416931</v>
      </c>
    </row>
    <row r="74" spans="1:6" x14ac:dyDescent="0.2">
      <c r="A74" s="21"/>
      <c r="B74" s="17"/>
      <c r="C74" s="17"/>
      <c r="D74" s="17"/>
      <c r="E74" s="28"/>
      <c r="F74" s="18"/>
    </row>
    <row r="75" spans="1:6" ht="16.5" x14ac:dyDescent="0.35">
      <c r="A75" s="24" t="str">
        <f>+A50</f>
        <v>Projected Revenue October 2020-September 2021</v>
      </c>
      <c r="B75" s="54"/>
      <c r="C75" s="17"/>
      <c r="D75" s="17"/>
      <c r="E75" s="34">
        <f>E67</f>
        <v>-2131.1290046727504</v>
      </c>
      <c r="F75" s="18"/>
    </row>
    <row r="76" spans="1:6" x14ac:dyDescent="0.2">
      <c r="A76" s="21" t="s">
        <v>78</v>
      </c>
      <c r="B76" s="17"/>
      <c r="C76" s="17"/>
      <c r="D76" s="17"/>
      <c r="E76" s="28">
        <f>C65</f>
        <v>623.76</v>
      </c>
      <c r="F76" s="18"/>
    </row>
    <row r="77" spans="1:6" ht="15" x14ac:dyDescent="0.35">
      <c r="A77" s="21" t="s">
        <v>24</v>
      </c>
      <c r="B77" s="17"/>
      <c r="C77" s="17"/>
      <c r="D77" s="17"/>
      <c r="E77" s="17"/>
      <c r="F77" s="163">
        <f>(E75/E76)</f>
        <v>-3.4165849119416931</v>
      </c>
    </row>
    <row r="78" spans="1:6" x14ac:dyDescent="0.2">
      <c r="A78" s="21"/>
      <c r="B78" s="17"/>
      <c r="C78" s="17"/>
      <c r="D78" s="17"/>
      <c r="E78" s="17"/>
      <c r="F78" s="18"/>
    </row>
    <row r="79" spans="1:6" ht="18.75" thickBot="1" x14ac:dyDescent="0.4">
      <c r="A79" s="14" t="s">
        <v>31</v>
      </c>
      <c r="B79" s="15"/>
      <c r="C79" s="17"/>
      <c r="D79" s="17"/>
      <c r="E79" s="17"/>
      <c r="F79" s="166">
        <f>+F77+F73</f>
        <v>-6.8331698238833862</v>
      </c>
    </row>
    <row r="80" spans="1:6" ht="18.75" thickTop="1" x14ac:dyDescent="0.35">
      <c r="A80" s="27"/>
      <c r="B80" s="15"/>
      <c r="C80" s="17"/>
      <c r="D80" s="17"/>
      <c r="E80" s="17"/>
      <c r="F80" s="48"/>
    </row>
    <row r="81" spans="1:6" x14ac:dyDescent="0.2">
      <c r="A81" s="21"/>
      <c r="B81" s="17"/>
      <c r="C81" s="17"/>
      <c r="D81" s="17"/>
      <c r="E81" s="17"/>
      <c r="F81" s="18"/>
    </row>
    <row r="82" spans="1:6" ht="18.75" thickBot="1" x14ac:dyDescent="0.4">
      <c r="A82" s="49"/>
      <c r="B82" s="51"/>
      <c r="C82" s="51"/>
      <c r="D82" s="51"/>
      <c r="E82" s="51"/>
      <c r="F82" s="52"/>
    </row>
  </sheetData>
  <mergeCells count="10">
    <mergeCell ref="A58:F58"/>
    <mergeCell ref="B4:E4"/>
    <mergeCell ref="A6:F6"/>
    <mergeCell ref="A33:F33"/>
    <mergeCell ref="G33:L33"/>
    <mergeCell ref="M33:R33"/>
    <mergeCell ref="G6:L6"/>
    <mergeCell ref="M6:R6"/>
    <mergeCell ref="H4:K4"/>
    <mergeCell ref="N4:Q4"/>
  </mergeCells>
  <pageMargins left="0.92" right="0.25" top="0.45" bottom="0.37" header="0.3" footer="0.3"/>
  <pageSetup scale="64" fitToWidth="0" orientation="portrait" horizontalDpi="300" verticalDpi="300" r:id="rId1"/>
  <colBreaks count="2" manualBreakCount="2">
    <brk id="6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2" zoomScaleNormal="100" workbookViewId="0">
      <selection activeCell="F20" sqref="F20"/>
    </sheetView>
  </sheetViews>
  <sheetFormatPr defaultRowHeight="15" x14ac:dyDescent="0.25"/>
  <cols>
    <col min="2" max="2" width="11.42578125" customWidth="1"/>
    <col min="4" max="4" width="12.5703125" bestFit="1" customWidth="1"/>
    <col min="6" max="6" width="11.5703125" bestFit="1" customWidth="1"/>
    <col min="7" max="7" width="10.5703125" bestFit="1" customWidth="1"/>
    <col min="8" max="8" width="11.5703125" bestFit="1" customWidth="1"/>
    <col min="13" max="13" width="10.5703125" bestFit="1" customWidth="1"/>
    <col min="15" max="15" width="14.28515625" customWidth="1"/>
    <col min="18" max="18" width="12" customWidth="1"/>
    <col min="19" max="19" width="14.5703125" customWidth="1"/>
    <col min="20" max="20" width="12.7109375" customWidth="1"/>
    <col min="22" max="22" width="10.5703125" bestFit="1" customWidth="1"/>
  </cols>
  <sheetData>
    <row r="1" spans="1:22" x14ac:dyDescent="0.25">
      <c r="A1" s="63" t="s">
        <v>32</v>
      </c>
    </row>
    <row r="2" spans="1:22" x14ac:dyDescent="0.25">
      <c r="A2" t="s">
        <v>51</v>
      </c>
      <c r="L2" t="s">
        <v>33</v>
      </c>
      <c r="R2" t="s">
        <v>34</v>
      </c>
    </row>
    <row r="4" spans="1:22" ht="30" x14ac:dyDescent="0.25">
      <c r="A4" s="1"/>
      <c r="B4" s="64" t="s">
        <v>10</v>
      </c>
      <c r="C4" s="65" t="s">
        <v>36</v>
      </c>
      <c r="D4" s="65" t="s">
        <v>37</v>
      </c>
      <c r="E4" s="3" t="s">
        <v>68</v>
      </c>
      <c r="F4" s="3" t="s">
        <v>7</v>
      </c>
      <c r="G4" s="112" t="s">
        <v>69</v>
      </c>
      <c r="H4" s="112" t="s">
        <v>95</v>
      </c>
      <c r="L4" s="1"/>
      <c r="M4" s="64" t="s">
        <v>35</v>
      </c>
      <c r="N4" s="65" t="s">
        <v>36</v>
      </c>
      <c r="O4" s="65" t="s">
        <v>37</v>
      </c>
      <c r="S4" t="s">
        <v>38</v>
      </c>
      <c r="T4" s="2" t="s">
        <v>39</v>
      </c>
    </row>
    <row r="5" spans="1:22" x14ac:dyDescent="0.25">
      <c r="A5" s="76">
        <v>43647</v>
      </c>
      <c r="B5" s="62"/>
      <c r="C5" s="152">
        <v>87.44</v>
      </c>
      <c r="D5" s="154">
        <v>11597.29</v>
      </c>
      <c r="E5" s="68">
        <f>D5/C5</f>
        <v>132.63140439158281</v>
      </c>
      <c r="F5" s="111">
        <f>(+C5+(+$C$19/12))*Customers!$H$18</f>
        <v>55.533846905262429</v>
      </c>
      <c r="G5" s="111">
        <f>(+C5+(+$C$19/12))*Customers!$H$19</f>
        <v>3.4029247759861887</v>
      </c>
      <c r="H5" s="111">
        <f>(+C5+(+$C$19/12))*Customers!$H$20</f>
        <v>1.3965616520847055</v>
      </c>
      <c r="I5" s="68"/>
      <c r="J5" s="68"/>
      <c r="L5" s="59">
        <v>43282</v>
      </c>
      <c r="M5" s="62">
        <v>1755</v>
      </c>
      <c r="N5" s="70">
        <v>86</v>
      </c>
      <c r="O5" s="71">
        <f>N5*P5</f>
        <v>9271.66</v>
      </c>
      <c r="P5" s="69">
        <v>107.81</v>
      </c>
      <c r="Q5" s="69"/>
      <c r="R5" s="1">
        <v>43298</v>
      </c>
      <c r="S5">
        <v>79.2</v>
      </c>
      <c r="T5">
        <v>325.56</v>
      </c>
      <c r="U5" s="69">
        <f>T5/S5</f>
        <v>4.1106060606060604</v>
      </c>
    </row>
    <row r="6" spans="1:22" x14ac:dyDescent="0.25">
      <c r="A6" s="76">
        <v>43678</v>
      </c>
      <c r="B6" s="62"/>
      <c r="C6" s="152">
        <v>89.18</v>
      </c>
      <c r="D6" s="154">
        <v>11684.51</v>
      </c>
      <c r="E6" s="68">
        <f t="shared" ref="E6:E16" si="0">D6/C6</f>
        <v>131.02164162368243</v>
      </c>
      <c r="F6" s="111">
        <f>(+C6+(+$C$19/12))*Customers!$H$18</f>
        <v>57.135430777336857</v>
      </c>
      <c r="G6" s="111">
        <f>(+C6+(+$C$19/12))*Customers!$H$19</f>
        <v>3.5010643744980565</v>
      </c>
      <c r="H6" s="111">
        <f>(+C6+(+$C$19/12))*Customers!$H$20</f>
        <v>1.4368381814984192</v>
      </c>
      <c r="I6" s="68"/>
      <c r="J6" s="68"/>
      <c r="L6" s="59">
        <v>43313</v>
      </c>
      <c r="M6" s="62">
        <v>1755</v>
      </c>
      <c r="N6" s="62">
        <v>98</v>
      </c>
      <c r="O6" s="68">
        <v>10609</v>
      </c>
      <c r="P6" s="69">
        <f>O6/N6</f>
        <v>108.25510204081633</v>
      </c>
      <c r="Q6" s="69"/>
      <c r="R6" s="1">
        <v>43329</v>
      </c>
      <c r="S6">
        <v>100.09</v>
      </c>
      <c r="T6">
        <v>1762.1</v>
      </c>
      <c r="U6" s="69">
        <f t="shared" ref="U6:U17" si="1">T6/S6</f>
        <v>17.605155360175839</v>
      </c>
    </row>
    <row r="7" spans="1:22" x14ac:dyDescent="0.25">
      <c r="A7" s="76">
        <v>43709</v>
      </c>
      <c r="B7" s="62"/>
      <c r="C7" s="152">
        <v>80.47</v>
      </c>
      <c r="D7" s="154">
        <v>10668</v>
      </c>
      <c r="E7" s="68">
        <f t="shared" si="0"/>
        <v>132.57114452591028</v>
      </c>
      <c r="F7" s="111">
        <f>(+C7+(+$C$19/12))*Customers!$H$18</f>
        <v>49.118306911952835</v>
      </c>
      <c r="G7" s="111">
        <f>(+C7+(+$C$19/12))*Customers!$H$19</f>
        <v>3.0098023612576186</v>
      </c>
      <c r="H7" s="111">
        <f>(+C7+(+$C$19/12))*Customers!$H$20</f>
        <v>1.2352240601228757</v>
      </c>
      <c r="I7" s="68"/>
      <c r="J7" s="68"/>
      <c r="L7" s="59">
        <v>43344</v>
      </c>
      <c r="M7" s="62">
        <v>1755</v>
      </c>
      <c r="N7" s="62">
        <v>82</v>
      </c>
      <c r="O7" s="68">
        <v>8809</v>
      </c>
      <c r="P7" s="69">
        <f t="shared" ref="P7:P16" si="2">O7/N7</f>
        <v>107.42682926829268</v>
      </c>
      <c r="Q7" s="69"/>
      <c r="R7" s="1">
        <v>43360</v>
      </c>
      <c r="S7">
        <v>80.06</v>
      </c>
      <c r="T7">
        <v>3452.21</v>
      </c>
      <c r="U7" s="69">
        <f t="shared" si="1"/>
        <v>43.120284786410188</v>
      </c>
    </row>
    <row r="8" spans="1:22" x14ac:dyDescent="0.25">
      <c r="A8" s="76">
        <v>43739</v>
      </c>
      <c r="B8" s="62"/>
      <c r="C8" s="152">
        <v>92.54</v>
      </c>
      <c r="D8" s="154">
        <v>12269.11</v>
      </c>
      <c r="E8" s="68">
        <f t="shared" si="0"/>
        <v>132.58169440242057</v>
      </c>
      <c r="F8" s="111">
        <f>(+C8+(+$C$19/12))*Customers!$H$18</f>
        <v>60.228144461342637</v>
      </c>
      <c r="G8" s="111">
        <f>(+C8+(+$C$19/12))*Customers!$H$19</f>
        <v>3.6905753233485576</v>
      </c>
      <c r="H8" s="111">
        <f>(+C8+(+$C$19/12))*Customers!$H$20</f>
        <v>1.5146135486421421</v>
      </c>
      <c r="I8" s="68"/>
      <c r="J8" s="68"/>
      <c r="L8" s="59">
        <v>43374</v>
      </c>
      <c r="M8" s="62">
        <v>1755</v>
      </c>
      <c r="N8" s="62">
        <v>94</v>
      </c>
      <c r="O8" s="68">
        <v>10116</v>
      </c>
      <c r="P8" s="69">
        <f t="shared" si="2"/>
        <v>107.61702127659575</v>
      </c>
      <c r="Q8" s="69"/>
      <c r="R8" s="1">
        <v>43390</v>
      </c>
      <c r="S8">
        <v>89.07</v>
      </c>
      <c r="T8">
        <v>7495.26</v>
      </c>
      <c r="U8" s="69">
        <f t="shared" si="1"/>
        <v>84.150218928932304</v>
      </c>
    </row>
    <row r="9" spans="1:22" x14ac:dyDescent="0.25">
      <c r="A9" s="76">
        <v>43770</v>
      </c>
      <c r="B9" s="62"/>
      <c r="C9" s="152">
        <v>87.29</v>
      </c>
      <c r="D9" s="154">
        <v>11733.59</v>
      </c>
      <c r="E9" s="68">
        <f t="shared" si="0"/>
        <v>134.42078130370029</v>
      </c>
      <c r="F9" s="111">
        <f>(+C9+(+$C$19/12))*Customers!$H$18</f>
        <v>55.395779330083613</v>
      </c>
      <c r="G9" s="111">
        <f>(+C9+(+$C$19/12))*Customers!$H$19</f>
        <v>3.3944644657696492</v>
      </c>
      <c r="H9" s="111">
        <f>(+C9+(+$C$19/12))*Customers!$H$20</f>
        <v>1.3930895374800751</v>
      </c>
      <c r="I9" s="68"/>
      <c r="J9" s="68"/>
      <c r="L9" s="59">
        <v>43405</v>
      </c>
      <c r="M9" s="62">
        <v>1755</v>
      </c>
      <c r="N9" s="62">
        <v>100</v>
      </c>
      <c r="O9" s="68">
        <v>10640</v>
      </c>
      <c r="P9" s="69">
        <f t="shared" si="2"/>
        <v>106.4</v>
      </c>
      <c r="Q9" s="69"/>
      <c r="R9" s="1">
        <v>43421</v>
      </c>
      <c r="S9">
        <v>102.65</v>
      </c>
      <c r="T9">
        <v>8104.27</v>
      </c>
      <c r="U9" s="69">
        <f t="shared" si="1"/>
        <v>78.950511446663413</v>
      </c>
    </row>
    <row r="10" spans="1:22" x14ac:dyDescent="0.25">
      <c r="A10" s="76">
        <v>43800</v>
      </c>
      <c r="B10" s="62"/>
      <c r="C10" s="152">
        <v>100.64</v>
      </c>
      <c r="D10" s="154">
        <v>13399.31</v>
      </c>
      <c r="E10" s="68">
        <f t="shared" si="0"/>
        <v>133.14099761526231</v>
      </c>
      <c r="F10" s="111">
        <f>(+C10+(+$C$19/12))*Customers!$H$18</f>
        <v>67.683793520999416</v>
      </c>
      <c r="G10" s="111">
        <f>(+C10+(+$C$19/12))*Customers!$H$19</f>
        <v>4.1474320750417313</v>
      </c>
      <c r="H10" s="111">
        <f>(+C10+(+$C$19/12))*Customers!$H$20</f>
        <v>1.702107737292188</v>
      </c>
      <c r="I10" s="68"/>
      <c r="J10" s="68"/>
      <c r="L10" s="59">
        <v>43435</v>
      </c>
      <c r="M10" s="62">
        <v>1755</v>
      </c>
      <c r="N10" s="62">
        <v>95</v>
      </c>
      <c r="O10" s="68">
        <v>10274</v>
      </c>
      <c r="P10" s="69">
        <f t="shared" si="2"/>
        <v>108.14736842105263</v>
      </c>
      <c r="Q10" s="69"/>
      <c r="R10" s="1">
        <v>43451</v>
      </c>
      <c r="S10">
        <v>97.97</v>
      </c>
      <c r="T10">
        <v>7749.51</v>
      </c>
      <c r="U10" s="69">
        <f t="shared" si="1"/>
        <v>79.100847198121883</v>
      </c>
    </row>
    <row r="11" spans="1:22" x14ac:dyDescent="0.25">
      <c r="A11" s="76">
        <v>43831</v>
      </c>
      <c r="B11" s="62"/>
      <c r="C11" s="152">
        <v>96.96</v>
      </c>
      <c r="D11" s="154">
        <v>12670.88</v>
      </c>
      <c r="E11" s="68">
        <f t="shared" si="0"/>
        <v>130.68151815181517</v>
      </c>
      <c r="F11" s="111">
        <f>(+C11+(+$C$19/12))*Customers!$H$18</f>
        <v>64.296535676612123</v>
      </c>
      <c r="G11" s="111">
        <f>(+C11+(+$C$19/12))*Customers!$H$19</f>
        <v>3.9398724643959433</v>
      </c>
      <c r="H11" s="111">
        <f>(+C11+(+$C$19/12))*Customers!$H$20</f>
        <v>1.6169251923252534</v>
      </c>
      <c r="I11" s="68"/>
      <c r="J11" s="68"/>
      <c r="L11" s="59">
        <v>43466</v>
      </c>
      <c r="M11" s="62">
        <v>1755</v>
      </c>
      <c r="N11" s="62">
        <v>108</v>
      </c>
      <c r="O11" s="68">
        <v>11867</v>
      </c>
      <c r="P11" s="69">
        <f t="shared" si="2"/>
        <v>109.87962962962963</v>
      </c>
      <c r="Q11" s="69"/>
      <c r="U11" s="69"/>
    </row>
    <row r="12" spans="1:22" x14ac:dyDescent="0.25">
      <c r="A12" s="76">
        <v>43862</v>
      </c>
      <c r="B12" s="62"/>
      <c r="C12" s="152">
        <v>77.42</v>
      </c>
      <c r="D12" s="154">
        <v>9892.06</v>
      </c>
      <c r="E12" s="68">
        <f t="shared" si="0"/>
        <v>127.77137690519245</v>
      </c>
      <c r="F12" s="111">
        <f>(+C12+(+$C$19/12))*Customers!$H$18</f>
        <v>46.310932883316639</v>
      </c>
      <c r="G12" s="111">
        <f>(+C12+(+$C$19/12))*Customers!$H$19</f>
        <v>2.8377760535213006</v>
      </c>
      <c r="H12" s="111">
        <f>(+C12+(+$C$19/12))*Customers!$H$20</f>
        <v>1.1646243964953893</v>
      </c>
      <c r="I12" s="68"/>
      <c r="J12" s="68"/>
      <c r="L12" s="59">
        <v>43497</v>
      </c>
      <c r="M12" s="62">
        <v>1755</v>
      </c>
      <c r="N12" s="74">
        <v>77</v>
      </c>
      <c r="O12" s="75">
        <v>9077.4</v>
      </c>
      <c r="P12" s="75">
        <f t="shared" si="2"/>
        <v>117.88831168831169</v>
      </c>
      <c r="Q12" s="68"/>
      <c r="R12" s="1">
        <v>43118</v>
      </c>
      <c r="S12">
        <v>105.18</v>
      </c>
      <c r="T12">
        <v>8835.19</v>
      </c>
      <c r="U12" s="69">
        <f t="shared" si="1"/>
        <v>84.000665525765356</v>
      </c>
    </row>
    <row r="13" spans="1:22" x14ac:dyDescent="0.25">
      <c r="A13" s="76">
        <v>43891</v>
      </c>
      <c r="B13" s="62"/>
      <c r="C13" s="152">
        <v>80.540000000000006</v>
      </c>
      <c r="D13" s="154">
        <v>10276.99</v>
      </c>
      <c r="E13" s="68">
        <f t="shared" si="0"/>
        <v>127.60106779240128</v>
      </c>
      <c r="F13" s="111">
        <f>(+C13+(+$C$19/12))*Customers!$H$18</f>
        <v>49.182738447036293</v>
      </c>
      <c r="G13" s="111">
        <f>(+C13+(+$C$19/12))*Customers!$H$19</f>
        <v>3.013750506025338</v>
      </c>
      <c r="H13" s="111">
        <f>(+C13+(+$C$19/12))*Customers!$H$20</f>
        <v>1.2368443802717035</v>
      </c>
      <c r="I13" s="68"/>
      <c r="J13" s="68"/>
      <c r="L13" s="59">
        <v>43525</v>
      </c>
      <c r="M13" s="62">
        <v>1755</v>
      </c>
      <c r="N13" s="62">
        <v>86</v>
      </c>
      <c r="O13" s="68">
        <v>10507</v>
      </c>
      <c r="P13" s="69">
        <f t="shared" si="2"/>
        <v>122.17441860465117</v>
      </c>
      <c r="Q13" s="69"/>
      <c r="R13" s="1">
        <v>43149</v>
      </c>
      <c r="S13">
        <v>78.42</v>
      </c>
      <c r="T13">
        <v>7264.04</v>
      </c>
      <c r="U13" s="69">
        <f t="shared" si="1"/>
        <v>92.629941341494515</v>
      </c>
    </row>
    <row r="14" spans="1:22" x14ac:dyDescent="0.25">
      <c r="A14" s="76">
        <v>43922</v>
      </c>
      <c r="B14" s="62"/>
      <c r="C14" s="152">
        <v>80.7</v>
      </c>
      <c r="D14" s="154">
        <v>10259.48</v>
      </c>
      <c r="E14" s="68">
        <f t="shared" si="0"/>
        <v>127.13110285006195</v>
      </c>
      <c r="F14" s="111">
        <f>(+C14+(+$C$19/12))*Customers!$H$18</f>
        <v>49.330010527227039</v>
      </c>
      <c r="G14" s="111">
        <f>(+C14+(+$C$19/12))*Customers!$H$19</f>
        <v>3.0227748369229808</v>
      </c>
      <c r="H14" s="111">
        <f>(+C14+(+$C$19/12))*Customers!$H$20</f>
        <v>1.2405479691833092</v>
      </c>
      <c r="I14" s="68"/>
      <c r="J14" s="68"/>
      <c r="L14" s="59">
        <v>43556</v>
      </c>
      <c r="M14" s="62">
        <v>1755</v>
      </c>
      <c r="N14" s="62">
        <v>87</v>
      </c>
      <c r="O14" s="68">
        <v>11237</v>
      </c>
      <c r="P14" s="69">
        <f t="shared" si="2"/>
        <v>129.16091954022988</v>
      </c>
      <c r="Q14" s="69"/>
      <c r="R14" s="1">
        <v>43177</v>
      </c>
      <c r="S14">
        <v>86.18</v>
      </c>
      <c r="T14">
        <v>8852.43</v>
      </c>
      <c r="U14" s="69">
        <f t="shared" si="1"/>
        <v>102.72023671385472</v>
      </c>
    </row>
    <row r="15" spans="1:22" x14ac:dyDescent="0.25">
      <c r="A15" s="76">
        <v>43952</v>
      </c>
      <c r="B15" s="62"/>
      <c r="C15" s="152">
        <v>78.22</v>
      </c>
      <c r="D15" s="154">
        <v>9021.25</v>
      </c>
      <c r="E15" s="68">
        <f t="shared" si="0"/>
        <v>115.33175658399387</v>
      </c>
      <c r="F15" s="111">
        <f>(+C15+(+$C$19/12))*Customers!$H$18</f>
        <v>47.047293284270395</v>
      </c>
      <c r="G15" s="111">
        <f>(+C15+(+$C$19/12))*Customers!$H$19</f>
        <v>2.8828977080095148</v>
      </c>
      <c r="H15" s="111">
        <f>(+C15+(+$C$19/12))*Customers!$H$20</f>
        <v>1.1831423410534185</v>
      </c>
      <c r="I15" s="68"/>
      <c r="J15" s="68"/>
      <c r="L15" s="59">
        <v>43586</v>
      </c>
      <c r="M15" s="62">
        <v>1755</v>
      </c>
      <c r="N15" s="62">
        <v>96</v>
      </c>
      <c r="O15" s="68">
        <v>12777</v>
      </c>
      <c r="P15" s="69">
        <f t="shared" si="2"/>
        <v>133.09375</v>
      </c>
      <c r="Q15" s="69"/>
      <c r="R15" s="1">
        <v>43208</v>
      </c>
      <c r="S15">
        <v>82.1</v>
      </c>
      <c r="T15">
        <v>8710.91</v>
      </c>
      <c r="U15" s="69">
        <f t="shared" si="1"/>
        <v>106.1012180267966</v>
      </c>
    </row>
    <row r="16" spans="1:22" x14ac:dyDescent="0.25">
      <c r="A16" s="76">
        <v>43983</v>
      </c>
      <c r="B16" s="62"/>
      <c r="C16" s="152">
        <v>86.53</v>
      </c>
      <c r="D16" s="154">
        <v>10618.25</v>
      </c>
      <c r="E16" s="68">
        <f t="shared" si="0"/>
        <v>122.71177626256789</v>
      </c>
      <c r="F16" s="111">
        <f>(+C16+(+$C$19/12))*Customers!$H$18</f>
        <v>54.696236949177539</v>
      </c>
      <c r="G16" s="111">
        <f>(+C16+(+$C$19/12))*Customers!$H$19</f>
        <v>3.351598894005845</v>
      </c>
      <c r="H16" s="111">
        <f>(+C16+(+$C$19/12))*Customers!$H$20</f>
        <v>1.3754974901499473</v>
      </c>
      <c r="I16" s="68"/>
      <c r="J16" s="68"/>
      <c r="L16" s="59">
        <v>43617</v>
      </c>
      <c r="M16" s="62">
        <v>1755</v>
      </c>
      <c r="N16" s="62">
        <v>82</v>
      </c>
      <c r="O16" s="71">
        <f>N16*P15</f>
        <v>10913.6875</v>
      </c>
      <c r="P16" s="69">
        <f t="shared" si="2"/>
        <v>133.09375</v>
      </c>
      <c r="Q16" s="69"/>
      <c r="R16" s="1">
        <v>43238</v>
      </c>
      <c r="S16">
        <v>93.15</v>
      </c>
      <c r="T16">
        <v>10594.01</v>
      </c>
      <c r="U16" s="69">
        <f t="shared" si="1"/>
        <v>113.73064949006978</v>
      </c>
      <c r="V16" t="s">
        <v>40</v>
      </c>
    </row>
    <row r="17" spans="1:22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R17" s="1">
        <v>43269</v>
      </c>
      <c r="S17" s="3">
        <v>90.19</v>
      </c>
      <c r="T17" s="3">
        <v>9790.25</v>
      </c>
      <c r="U17" s="69">
        <f t="shared" si="1"/>
        <v>108.55139150681894</v>
      </c>
      <c r="V17" t="s">
        <v>41</v>
      </c>
    </row>
    <row r="18" spans="1:22" ht="15.75" thickBot="1" x14ac:dyDescent="0.3">
      <c r="A18" s="62" t="s">
        <v>9</v>
      </c>
      <c r="B18" s="77">
        <f>SUM(B5:B16)</f>
        <v>0</v>
      </c>
      <c r="C18" s="62">
        <f>SUM(C5:C16)</f>
        <v>1037.93</v>
      </c>
      <c r="D18" s="153">
        <f>SUM(D5:D16)</f>
        <v>134090.72</v>
      </c>
      <c r="E18" s="78">
        <f>D18/C18</f>
        <v>129.19052344570443</v>
      </c>
      <c r="F18" s="78"/>
      <c r="G18" s="78"/>
      <c r="H18" s="78"/>
      <c r="I18" s="78"/>
      <c r="J18" s="78"/>
      <c r="L18" t="s">
        <v>9</v>
      </c>
      <c r="M18" s="60">
        <f>SUM(M5:M16)</f>
        <v>21060</v>
      </c>
      <c r="N18">
        <f>SUM(N5:N16)</f>
        <v>1091</v>
      </c>
      <c r="O18" s="66">
        <f>SUM(O5:O16)</f>
        <v>126098.7475</v>
      </c>
      <c r="P18" s="67">
        <f>O18/N18</f>
        <v>115.58088680109991</v>
      </c>
      <c r="Q18" s="67"/>
      <c r="S18">
        <f>SUM(S12:S17)</f>
        <v>535.22</v>
      </c>
      <c r="T18" s="58">
        <f>SUM(T12:T17)</f>
        <v>54046.83</v>
      </c>
      <c r="V18" s="4">
        <f>T18/S18</f>
        <v>100.9805874219947</v>
      </c>
    </row>
    <row r="19" spans="1:22" ht="15.75" thickTop="1" x14ac:dyDescent="0.25">
      <c r="A19" s="62" t="s">
        <v>75</v>
      </c>
      <c r="B19" s="62"/>
      <c r="C19" s="57">
        <f>+N19</f>
        <v>-325.27999999999997</v>
      </c>
      <c r="D19" s="62"/>
      <c r="E19" s="62"/>
      <c r="F19" s="62"/>
      <c r="G19" s="62"/>
      <c r="H19" s="62"/>
      <c r="I19" s="62"/>
      <c r="J19" s="62"/>
      <c r="N19" s="57">
        <f>U24</f>
        <v>-325.27999999999997</v>
      </c>
      <c r="S19">
        <f>SUM(S5:S17)</f>
        <v>1084.26</v>
      </c>
      <c r="T19" s="61">
        <f>SUM(T5:T17)</f>
        <v>82935.740000000005</v>
      </c>
    </row>
    <row r="20" spans="1:22" x14ac:dyDescent="0.25">
      <c r="A20" s="62" t="s">
        <v>76</v>
      </c>
      <c r="B20" s="62"/>
      <c r="C20" s="62">
        <f>SUM(C18:C19)</f>
        <v>712.65000000000009</v>
      </c>
      <c r="D20" s="78">
        <f>C20*E20</f>
        <v>92067.626533581279</v>
      </c>
      <c r="E20" s="78">
        <f>E18</f>
        <v>129.19052344570443</v>
      </c>
      <c r="F20" s="164">
        <f>+D20*Customers!H18</f>
        <v>84743.692986410722</v>
      </c>
      <c r="G20" s="78">
        <f>+D20*Customers!H19</f>
        <v>5192.804542497799</v>
      </c>
      <c r="H20" s="78">
        <f>+D20*Customers!H20</f>
        <v>2131.1290046727504</v>
      </c>
      <c r="I20" s="78"/>
      <c r="J20" s="78"/>
      <c r="N20">
        <f>SUM(N18:N19)</f>
        <v>765.72</v>
      </c>
      <c r="O20" s="72">
        <f>N20*P20</f>
        <v>88502.596641338227</v>
      </c>
      <c r="P20" s="67">
        <f>P18</f>
        <v>115.58088680109991</v>
      </c>
      <c r="Q20" s="67"/>
      <c r="R20" t="s">
        <v>42</v>
      </c>
      <c r="S20" s="5"/>
      <c r="V20" s="6">
        <f>6491.99/478.77</f>
        <v>13.559725964450571</v>
      </c>
    </row>
    <row r="21" spans="1:22" x14ac:dyDescent="0.25">
      <c r="R21" t="s">
        <v>43</v>
      </c>
      <c r="V21" s="7">
        <f>V18-V20</f>
        <v>87.420861457544135</v>
      </c>
    </row>
    <row r="22" spans="1:22" x14ac:dyDescent="0.25">
      <c r="H22" s="67">
        <f>+F20+G20+H20</f>
        <v>92067.626533581279</v>
      </c>
    </row>
    <row r="23" spans="1:22" x14ac:dyDescent="0.25">
      <c r="R23" t="s">
        <v>44</v>
      </c>
      <c r="U23">
        <v>1084.26</v>
      </c>
    </row>
    <row r="24" spans="1:22" x14ac:dyDescent="0.25">
      <c r="R24" t="s">
        <v>45</v>
      </c>
      <c r="U24" s="73">
        <f>-325.28</f>
        <v>-325.27999999999997</v>
      </c>
    </row>
    <row r="25" spans="1:22" x14ac:dyDescent="0.25">
      <c r="R25" t="s">
        <v>46</v>
      </c>
      <c r="U25">
        <f>SUM(U23:U24)</f>
        <v>758.98</v>
      </c>
    </row>
    <row r="26" spans="1:22" ht="15.75" thickBot="1" x14ac:dyDescent="0.3">
      <c r="L26" s="1"/>
      <c r="R26" t="s">
        <v>47</v>
      </c>
      <c r="V26" s="8">
        <f>V21*U25</f>
        <v>66350.685429046847</v>
      </c>
    </row>
    <row r="27" spans="1:22" ht="16.5" thickTop="1" thickBot="1" x14ac:dyDescent="0.3">
      <c r="L27" s="1"/>
      <c r="R27" t="s">
        <v>48</v>
      </c>
      <c r="V27" s="79">
        <f>V26/12</f>
        <v>5529.2237857539039</v>
      </c>
    </row>
    <row r="28" spans="1:22" ht="15.75" thickTop="1" x14ac:dyDescent="0.25">
      <c r="L28" s="1"/>
      <c r="R28" t="s">
        <v>49</v>
      </c>
      <c r="V28" s="62">
        <v>1755</v>
      </c>
    </row>
    <row r="29" spans="1:22" x14ac:dyDescent="0.25">
      <c r="L29" s="1"/>
      <c r="R29" t="s">
        <v>50</v>
      </c>
      <c r="V29" s="5">
        <f>V27/V28</f>
        <v>3.1505548636774381</v>
      </c>
    </row>
    <row r="30" spans="1:22" x14ac:dyDescent="0.25">
      <c r="L30" s="1"/>
    </row>
    <row r="31" spans="1:22" x14ac:dyDescent="0.25">
      <c r="L31" s="1"/>
    </row>
  </sheetData>
  <pageMargins left="0.7" right="0.7" top="0.75" bottom="0.75" header="0.3" footer="0.3"/>
  <pageSetup scale="94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C19" sqref="C19"/>
    </sheetView>
  </sheetViews>
  <sheetFormatPr defaultRowHeight="15" x14ac:dyDescent="0.25"/>
  <cols>
    <col min="1" max="1" width="3.28515625" customWidth="1"/>
    <col min="2" max="2" width="27.140625" bestFit="1" customWidth="1"/>
    <col min="3" max="3" width="16.42578125" customWidth="1"/>
    <col min="4" max="6" width="12.7109375" customWidth="1"/>
    <col min="7" max="7" width="11.140625" customWidth="1"/>
  </cols>
  <sheetData>
    <row r="1" spans="1:8" ht="23.25" x14ac:dyDescent="0.35">
      <c r="A1" s="171" t="s">
        <v>61</v>
      </c>
      <c r="B1" s="171"/>
      <c r="C1" s="171"/>
      <c r="D1" s="171"/>
      <c r="E1" s="171"/>
      <c r="F1" s="171"/>
      <c r="G1" s="171"/>
    </row>
    <row r="2" spans="1:8" ht="18" x14ac:dyDescent="0.25">
      <c r="A2" s="172" t="s">
        <v>62</v>
      </c>
      <c r="B2" s="172"/>
      <c r="C2" s="172"/>
      <c r="D2" s="172"/>
      <c r="E2" s="172"/>
      <c r="F2" s="172"/>
      <c r="G2" s="172"/>
    </row>
    <row r="3" spans="1:8" ht="15.75" x14ac:dyDescent="0.25">
      <c r="A3" s="173" t="s">
        <v>63</v>
      </c>
      <c r="B3" s="173"/>
      <c r="C3" s="173"/>
      <c r="D3" s="173"/>
      <c r="E3" s="173"/>
      <c r="F3" s="173"/>
      <c r="G3" s="173"/>
    </row>
    <row r="4" spans="1:8" x14ac:dyDescent="0.25">
      <c r="A4" s="2"/>
      <c r="B4" s="2"/>
      <c r="C4" s="80"/>
      <c r="D4" s="2"/>
      <c r="E4" s="2"/>
      <c r="F4" s="81"/>
    </row>
    <row r="5" spans="1:8" x14ac:dyDescent="0.25">
      <c r="A5" s="2"/>
      <c r="B5" s="2"/>
      <c r="C5" s="82"/>
      <c r="D5" s="83"/>
      <c r="E5" s="83"/>
      <c r="F5" s="84"/>
    </row>
    <row r="6" spans="1:8" x14ac:dyDescent="0.25">
      <c r="A6" s="2"/>
      <c r="B6" s="2"/>
      <c r="C6" s="80"/>
      <c r="D6" s="2"/>
      <c r="E6" s="2"/>
      <c r="F6" s="81"/>
    </row>
    <row r="7" spans="1:8" ht="15" customHeight="1" x14ac:dyDescent="0.25">
      <c r="A7" s="2"/>
      <c r="B7" s="2"/>
      <c r="C7" s="80"/>
      <c r="D7" s="2"/>
      <c r="E7" s="2"/>
      <c r="F7" s="81"/>
    </row>
    <row r="8" spans="1:8" ht="15.75" x14ac:dyDescent="0.25">
      <c r="B8" s="85" t="s">
        <v>52</v>
      </c>
      <c r="C8" s="86" t="s">
        <v>10</v>
      </c>
      <c r="D8" s="85" t="s">
        <v>53</v>
      </c>
      <c r="E8" s="85" t="s">
        <v>54</v>
      </c>
      <c r="F8" s="85" t="s">
        <v>55</v>
      </c>
      <c r="G8" s="85" t="s">
        <v>70</v>
      </c>
      <c r="H8" s="85" t="s">
        <v>48</v>
      </c>
    </row>
    <row r="9" spans="1:8" ht="16.5" thickBot="1" x14ac:dyDescent="0.3">
      <c r="B9" s="87"/>
      <c r="C9" s="88"/>
      <c r="D9" s="87" t="s">
        <v>56</v>
      </c>
      <c r="E9" s="87" t="s">
        <v>56</v>
      </c>
      <c r="F9" s="87"/>
      <c r="G9" t="s">
        <v>71</v>
      </c>
      <c r="H9" s="110" t="s">
        <v>71</v>
      </c>
    </row>
    <row r="10" spans="1:8" ht="16.5" thickTop="1" x14ac:dyDescent="0.25">
      <c r="B10" s="89"/>
      <c r="C10" s="90"/>
      <c r="D10" s="90"/>
      <c r="E10" s="90"/>
      <c r="F10" s="91"/>
    </row>
    <row r="11" spans="1:8" ht="15.75" x14ac:dyDescent="0.25">
      <c r="B11" s="92" t="s">
        <v>7</v>
      </c>
      <c r="C11" s="157">
        <v>1755</v>
      </c>
      <c r="D11" s="159">
        <f>+C11*4.33</f>
        <v>7599.1500000000005</v>
      </c>
      <c r="E11" s="159">
        <f>+D11*12</f>
        <v>91189.8</v>
      </c>
      <c r="F11" s="94" t="s">
        <v>57</v>
      </c>
      <c r="G11">
        <v>68</v>
      </c>
      <c r="H11">
        <f>+G11*D11</f>
        <v>516742.2</v>
      </c>
    </row>
    <row r="12" spans="1:8" ht="15.75" x14ac:dyDescent="0.25">
      <c r="B12" s="92" t="s">
        <v>64</v>
      </c>
      <c r="C12" s="157">
        <v>90</v>
      </c>
      <c r="D12" s="159">
        <f>+C12*4.33</f>
        <v>389.7</v>
      </c>
      <c r="E12" s="160">
        <f>+D12*12</f>
        <v>4676.3999999999996</v>
      </c>
      <c r="F12" s="95" t="s">
        <v>58</v>
      </c>
      <c r="G12">
        <v>68</v>
      </c>
      <c r="H12">
        <f t="shared" ref="H12:H14" si="0">+G12*D12</f>
        <v>26499.599999999999</v>
      </c>
    </row>
    <row r="13" spans="1:8" ht="15.75" x14ac:dyDescent="0.25">
      <c r="B13" s="92" t="s">
        <v>65</v>
      </c>
      <c r="C13" s="157">
        <v>35</v>
      </c>
      <c r="D13" s="159">
        <f>+C13*2.17</f>
        <v>75.95</v>
      </c>
      <c r="E13" s="160">
        <f t="shared" ref="E13:E15" si="1">+D13*12</f>
        <v>911.40000000000009</v>
      </c>
      <c r="F13" s="95" t="s">
        <v>58</v>
      </c>
      <c r="G13">
        <v>68</v>
      </c>
      <c r="H13">
        <f t="shared" si="0"/>
        <v>5164.6000000000004</v>
      </c>
    </row>
    <row r="14" spans="1:8" ht="15.75" x14ac:dyDescent="0.25">
      <c r="B14" s="92" t="s">
        <v>66</v>
      </c>
      <c r="C14" s="157">
        <v>10</v>
      </c>
      <c r="D14" s="93">
        <f t="shared" ref="D14" si="2">+C14*4.33</f>
        <v>43.3</v>
      </c>
      <c r="E14" s="160">
        <f t="shared" si="1"/>
        <v>519.59999999999991</v>
      </c>
      <c r="F14" s="95" t="s">
        <v>58</v>
      </c>
      <c r="G14">
        <v>250</v>
      </c>
      <c r="H14">
        <f t="shared" si="0"/>
        <v>10825</v>
      </c>
    </row>
    <row r="15" spans="1:8" ht="15.75" x14ac:dyDescent="0.25">
      <c r="B15" s="89" t="s">
        <v>67</v>
      </c>
      <c r="C15" s="158">
        <v>4</v>
      </c>
      <c r="D15" s="93">
        <f>+C15*2.17</f>
        <v>8.68</v>
      </c>
      <c r="E15" s="160">
        <f t="shared" si="1"/>
        <v>104.16</v>
      </c>
      <c r="F15" s="96" t="s">
        <v>58</v>
      </c>
      <c r="G15">
        <v>250</v>
      </c>
      <c r="H15">
        <f>+G15*D15</f>
        <v>2170</v>
      </c>
    </row>
    <row r="16" spans="1:8" ht="15.75" x14ac:dyDescent="0.25">
      <c r="A16" t="s">
        <v>59</v>
      </c>
      <c r="B16" s="97"/>
      <c r="C16" s="98">
        <f>SUM(C11:C15)</f>
        <v>1894</v>
      </c>
      <c r="D16" s="99"/>
      <c r="E16" s="99"/>
      <c r="F16" s="100"/>
      <c r="H16">
        <f>SUM(H11:H15)</f>
        <v>561401.4</v>
      </c>
    </row>
    <row r="17" spans="2:9" ht="15.75" x14ac:dyDescent="0.25">
      <c r="B17" s="89"/>
      <c r="C17" s="101"/>
      <c r="D17" s="102"/>
      <c r="E17" s="102"/>
      <c r="F17" s="103" t="s">
        <v>60</v>
      </c>
    </row>
    <row r="18" spans="2:9" ht="15.75" x14ac:dyDescent="0.25">
      <c r="B18" s="104">
        <v>2019</v>
      </c>
      <c r="C18" s="101"/>
      <c r="D18" s="102"/>
      <c r="E18" s="102"/>
      <c r="F18" s="103" t="s">
        <v>60</v>
      </c>
      <c r="H18" s="152">
        <f>+H11/H16</f>
        <v>0.92045050119219507</v>
      </c>
      <c r="I18" t="s">
        <v>72</v>
      </c>
    </row>
    <row r="19" spans="2:9" x14ac:dyDescent="0.25">
      <c r="C19" s="105"/>
      <c r="D19" s="105"/>
      <c r="E19" s="105"/>
      <c r="F19" s="106"/>
      <c r="H19" s="152">
        <f>(+H12+H13)/H16</f>
        <v>5.6402068110268329E-2</v>
      </c>
      <c r="I19" t="s">
        <v>73</v>
      </c>
    </row>
    <row r="20" spans="2:9" x14ac:dyDescent="0.25">
      <c r="C20" s="107"/>
      <c r="D20" s="108"/>
      <c r="E20" s="108"/>
      <c r="F20" s="106"/>
      <c r="H20" s="152">
        <f>(+H14+H15)/H16</f>
        <v>2.3147430697536556E-2</v>
      </c>
      <c r="I20" t="s">
        <v>74</v>
      </c>
    </row>
    <row r="21" spans="2:9" x14ac:dyDescent="0.25">
      <c r="C21" s="105"/>
      <c r="D21" s="108"/>
      <c r="E21" s="108"/>
      <c r="F21" s="106"/>
      <c r="H21">
        <f>SUM(H18:H20)</f>
        <v>1</v>
      </c>
    </row>
    <row r="22" spans="2:9" x14ac:dyDescent="0.25">
      <c r="C22" s="105"/>
      <c r="D22" s="108"/>
      <c r="E22" s="108"/>
      <c r="F22" s="109"/>
    </row>
    <row r="23" spans="2:9" ht="15.75" x14ac:dyDescent="0.25">
      <c r="C23" s="101"/>
      <c r="D23" s="102"/>
      <c r="E23" s="102"/>
      <c r="F23" s="103" t="s">
        <v>60</v>
      </c>
    </row>
    <row r="24" spans="2:9" ht="15.75" x14ac:dyDescent="0.25">
      <c r="C24" s="101"/>
      <c r="D24" s="102"/>
      <c r="E24" s="102"/>
      <c r="F24" s="103" t="s">
        <v>60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6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1"/>
  <sheetViews>
    <sheetView zoomScaleNormal="100" workbookViewId="0">
      <selection activeCell="O10" sqref="O10"/>
    </sheetView>
  </sheetViews>
  <sheetFormatPr defaultRowHeight="15" x14ac:dyDescent="0.25"/>
  <cols>
    <col min="11" max="11" width="9.42578125" customWidth="1"/>
    <col min="12" max="12" width="9.5703125" bestFit="1" customWidth="1"/>
    <col min="17" max="17" width="16" customWidth="1"/>
    <col min="18" max="18" width="9.7109375" bestFit="1" customWidth="1"/>
    <col min="20" max="20" width="9.7109375" bestFit="1" customWidth="1"/>
  </cols>
  <sheetData>
    <row r="4" spans="1:19" x14ac:dyDescent="0.25">
      <c r="F4" s="113" t="s">
        <v>80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9" x14ac:dyDescent="0.25">
      <c r="F5" s="2"/>
      <c r="G5" s="2"/>
      <c r="H5" s="2"/>
      <c r="I5" s="2"/>
      <c r="J5" s="83"/>
      <c r="K5" s="83"/>
      <c r="L5" s="83"/>
      <c r="M5" s="2"/>
    </row>
    <row r="6" spans="1:19" x14ac:dyDescent="0.25">
      <c r="A6" s="114"/>
      <c r="B6" s="114"/>
      <c r="C6" s="114"/>
      <c r="D6" s="115">
        <v>43647</v>
      </c>
      <c r="E6" s="115">
        <v>43678</v>
      </c>
      <c r="F6" s="115">
        <v>43709</v>
      </c>
      <c r="G6" s="115">
        <v>43739</v>
      </c>
      <c r="H6" s="115">
        <v>43770</v>
      </c>
      <c r="I6" s="115">
        <v>43800</v>
      </c>
      <c r="J6" s="115">
        <v>43831</v>
      </c>
      <c r="K6" s="115">
        <v>43862</v>
      </c>
      <c r="L6" s="115">
        <v>43891</v>
      </c>
      <c r="M6" s="115">
        <v>43922</v>
      </c>
      <c r="N6" s="115">
        <v>43952</v>
      </c>
      <c r="O6" s="115">
        <v>43983</v>
      </c>
      <c r="P6" s="115"/>
      <c r="Q6" s="116"/>
      <c r="R6" s="117"/>
    </row>
    <row r="7" spans="1:19" x14ac:dyDescent="0.25">
      <c r="A7" s="118"/>
      <c r="B7" s="118"/>
      <c r="C7" s="118"/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9"/>
      <c r="P7" s="119"/>
      <c r="Q7" s="119"/>
      <c r="R7" s="120"/>
      <c r="S7" s="62"/>
    </row>
    <row r="8" spans="1:19" x14ac:dyDescent="0.25">
      <c r="A8" s="121" t="s">
        <v>81</v>
      </c>
      <c r="B8" s="121"/>
      <c r="C8" s="121"/>
      <c r="D8" s="122">
        <f>+Data!F5+Data!G5+Data!H5</f>
        <v>60.333333333333321</v>
      </c>
      <c r="E8" s="122">
        <f>+Data!F6+Data!G6+Data!H6</f>
        <v>62.073333333333331</v>
      </c>
      <c r="F8" s="122">
        <f>+Data!F7+Data!G7+Data!H7</f>
        <v>53.36333333333333</v>
      </c>
      <c r="G8" s="122">
        <f>+Data!F8+Data!G8+Data!H8</f>
        <v>65.433333333333337</v>
      </c>
      <c r="H8" s="122">
        <f>+Data!F9+Data!G9+Data!H9</f>
        <v>60.183333333333337</v>
      </c>
      <c r="I8" s="122">
        <f>+Data!F10+Data!G10+Data!H10</f>
        <v>73.533333333333331</v>
      </c>
      <c r="J8" s="122">
        <f>+Data!F11+Data!G11+Data!H11</f>
        <v>69.853333333333325</v>
      </c>
      <c r="K8" s="122">
        <f>+Data!F12+Data!G12+Data!H12</f>
        <v>50.313333333333333</v>
      </c>
      <c r="L8" s="122">
        <f>+Data!F13+Data!G13+Data!H13</f>
        <v>53.433333333333337</v>
      </c>
      <c r="M8" s="122">
        <f>+Data!F14+Data!G14+Data!H14</f>
        <v>53.593333333333334</v>
      </c>
      <c r="N8" s="122">
        <f>+Data!F15+Data!G15+Data!H15</f>
        <v>51.11333333333333</v>
      </c>
      <c r="O8" s="122">
        <f>+Data!F16+Data!G16+Data!H16</f>
        <v>59.423333333333332</v>
      </c>
      <c r="P8" s="123"/>
      <c r="Q8" s="123"/>
      <c r="R8" s="120"/>
      <c r="S8" s="62"/>
    </row>
    <row r="9" spans="1:19" x14ac:dyDescent="0.25">
      <c r="A9" s="121"/>
      <c r="B9" s="121"/>
      <c r="C9" s="121"/>
      <c r="D9" s="121"/>
      <c r="E9" s="121"/>
      <c r="F9" s="121"/>
      <c r="G9" s="121"/>
      <c r="H9" s="121"/>
      <c r="I9" s="124"/>
      <c r="J9" s="121"/>
      <c r="K9" s="121"/>
      <c r="L9" s="121"/>
      <c r="M9" s="121"/>
      <c r="N9" s="121"/>
      <c r="O9" s="124"/>
      <c r="P9" s="119"/>
      <c r="Q9" s="119"/>
      <c r="R9" s="120"/>
      <c r="S9" s="62"/>
    </row>
    <row r="10" spans="1:19" x14ac:dyDescent="0.25">
      <c r="A10" s="121" t="s">
        <v>82</v>
      </c>
      <c r="B10" s="121"/>
      <c r="C10" s="121"/>
      <c r="D10" s="125">
        <f>+Customers!$C$16</f>
        <v>1894</v>
      </c>
      <c r="E10" s="125">
        <f>+Customers!$C$16</f>
        <v>1894</v>
      </c>
      <c r="F10" s="125">
        <f>+Customers!$C$16</f>
        <v>1894</v>
      </c>
      <c r="G10" s="125">
        <f>+Customers!$C$16</f>
        <v>1894</v>
      </c>
      <c r="H10" s="125">
        <f>+Customers!$C$16</f>
        <v>1894</v>
      </c>
      <c r="I10" s="125">
        <f>+Customers!$C$16</f>
        <v>1894</v>
      </c>
      <c r="J10" s="125">
        <f>+Customers!$C$16</f>
        <v>1894</v>
      </c>
      <c r="K10" s="125">
        <f>+Customers!$C$16</f>
        <v>1894</v>
      </c>
      <c r="L10" s="125">
        <f>+Customers!$C$16</f>
        <v>1894</v>
      </c>
      <c r="M10" s="125">
        <f>+Customers!$C$16</f>
        <v>1894</v>
      </c>
      <c r="N10" s="125">
        <f>+Customers!$C$16</f>
        <v>1894</v>
      </c>
      <c r="O10" s="125">
        <f>+Customers!$C$16</f>
        <v>1894</v>
      </c>
      <c r="P10" s="126"/>
      <c r="Q10" s="123"/>
      <c r="R10" s="127"/>
      <c r="S10" s="62"/>
    </row>
    <row r="11" spans="1:19" x14ac:dyDescent="0.25">
      <c r="A11" s="121"/>
      <c r="B11" s="121"/>
      <c r="C11" s="121"/>
      <c r="D11" s="121"/>
      <c r="E11" s="128"/>
      <c r="F11" s="121"/>
      <c r="G11" s="121"/>
      <c r="H11" s="121"/>
      <c r="I11" s="124"/>
      <c r="J11" s="121"/>
      <c r="K11" s="121"/>
      <c r="L11" s="121"/>
      <c r="M11" s="121"/>
      <c r="N11" s="121"/>
      <c r="O11" s="124"/>
      <c r="P11" s="119"/>
      <c r="Q11" s="119"/>
      <c r="R11" s="120"/>
      <c r="S11" s="62"/>
    </row>
    <row r="12" spans="1:19" x14ac:dyDescent="0.25">
      <c r="A12" s="121" t="s">
        <v>83</v>
      </c>
      <c r="B12" s="121"/>
      <c r="C12" s="121"/>
      <c r="D12" s="129">
        <f>D8/D10</f>
        <v>3.1854980640619493E-2</v>
      </c>
      <c r="E12" s="129">
        <f t="shared" ref="E12:J12" si="0">E8/E10</f>
        <v>3.2773671242520237E-2</v>
      </c>
      <c r="F12" s="129">
        <f t="shared" si="0"/>
        <v>2.8174938401971134E-2</v>
      </c>
      <c r="G12" s="129">
        <f t="shared" si="0"/>
        <v>3.4547694473776841E-2</v>
      </c>
      <c r="H12" s="129">
        <f t="shared" si="0"/>
        <v>3.1775783174938406E-2</v>
      </c>
      <c r="I12" s="130">
        <f t="shared" si="0"/>
        <v>3.8824357620556138E-2</v>
      </c>
      <c r="J12" s="129">
        <f t="shared" si="0"/>
        <v>3.6881379795846526E-2</v>
      </c>
      <c r="K12" s="129">
        <f>K8/K10</f>
        <v>2.6564589933122138E-2</v>
      </c>
      <c r="L12" s="129">
        <f t="shared" ref="L12:O12" si="1">L8/L10</f>
        <v>2.8211897219288986E-2</v>
      </c>
      <c r="M12" s="129">
        <f t="shared" si="1"/>
        <v>2.8296374516015486E-2</v>
      </c>
      <c r="N12" s="129">
        <f t="shared" si="1"/>
        <v>2.6986976416754661E-2</v>
      </c>
      <c r="O12" s="130">
        <f t="shared" si="1"/>
        <v>3.1374516015487505E-2</v>
      </c>
      <c r="P12" s="130"/>
      <c r="Q12" s="131"/>
      <c r="R12" s="120"/>
      <c r="S12" s="62"/>
    </row>
    <row r="13" spans="1:19" x14ac:dyDescent="0.25">
      <c r="A13" s="121"/>
      <c r="B13" s="121"/>
      <c r="C13" s="121"/>
      <c r="D13" s="121"/>
      <c r="E13" s="121"/>
      <c r="F13" s="121"/>
      <c r="G13" s="121"/>
      <c r="H13" s="121"/>
      <c r="I13" s="124"/>
      <c r="J13" s="121"/>
      <c r="K13" s="121"/>
      <c r="L13" s="121"/>
      <c r="M13" s="121"/>
      <c r="N13" s="121"/>
      <c r="O13" s="124"/>
      <c r="P13" s="119"/>
      <c r="Q13" s="119"/>
      <c r="R13" s="120"/>
      <c r="S13" s="62"/>
    </row>
    <row r="14" spans="1:19" x14ac:dyDescent="0.25">
      <c r="A14" s="121" t="s">
        <v>84</v>
      </c>
      <c r="B14" s="121"/>
      <c r="C14" s="121"/>
      <c r="D14" s="122">
        <f>+Data!E5</f>
        <v>132.63140439158281</v>
      </c>
      <c r="E14" s="122">
        <f>+Data!E6</f>
        <v>131.02164162368243</v>
      </c>
      <c r="F14" s="122">
        <f>+Data!E7</f>
        <v>132.57114452591028</v>
      </c>
      <c r="G14" s="122">
        <f>+Data!E8</f>
        <v>132.58169440242057</v>
      </c>
      <c r="H14" s="122">
        <f>+Data!E9</f>
        <v>134.42078130370029</v>
      </c>
      <c r="I14" s="122">
        <f>+Data!E10</f>
        <v>133.14099761526231</v>
      </c>
      <c r="J14" s="122">
        <f>+Data!E11</f>
        <v>130.68151815181517</v>
      </c>
      <c r="K14" s="122">
        <f>+Data!E12</f>
        <v>127.77137690519245</v>
      </c>
      <c r="L14" s="122">
        <f>+Data!E13</f>
        <v>127.60106779240128</v>
      </c>
      <c r="M14" s="122">
        <f>+Data!E14</f>
        <v>127.13110285006195</v>
      </c>
      <c r="N14" s="122">
        <f>+Data!E15</f>
        <v>115.33175658399387</v>
      </c>
      <c r="O14" s="122">
        <f>+Data!E16</f>
        <v>122.71177626256789</v>
      </c>
      <c r="P14" s="123"/>
      <c r="Q14" s="119"/>
      <c r="R14" s="120"/>
      <c r="S14" s="62"/>
    </row>
    <row r="15" spans="1:19" x14ac:dyDescent="0.25">
      <c r="A15" s="121"/>
      <c r="B15" s="121"/>
      <c r="C15" s="121"/>
      <c r="D15" s="121"/>
      <c r="E15" s="121"/>
      <c r="F15" s="121"/>
      <c r="G15" s="121"/>
      <c r="H15" s="121"/>
      <c r="I15" s="124"/>
      <c r="J15" s="121"/>
      <c r="K15" s="121"/>
      <c r="L15" s="121"/>
      <c r="M15" s="121"/>
      <c r="N15" s="121"/>
      <c r="O15" s="124"/>
      <c r="P15" s="123"/>
      <c r="Q15" s="119"/>
      <c r="R15" s="120"/>
      <c r="S15" s="62"/>
    </row>
    <row r="16" spans="1:19" x14ac:dyDescent="0.25">
      <c r="A16" s="121" t="s">
        <v>85</v>
      </c>
      <c r="B16" s="121"/>
      <c r="C16" s="121"/>
      <c r="D16" s="122">
        <f>D12*D14</f>
        <v>4.2249708192320456</v>
      </c>
      <c r="E16" s="122">
        <f t="shared" ref="E16:I16" si="2">E12*E14</f>
        <v>4.2940602082298733</v>
      </c>
      <c r="F16" s="122">
        <f t="shared" si="2"/>
        <v>3.735183830896335</v>
      </c>
      <c r="G16" s="122">
        <f t="shared" si="2"/>
        <v>4.580391871030475</v>
      </c>
      <c r="H16" s="122">
        <f t="shared" si="2"/>
        <v>4.2713256009121947</v>
      </c>
      <c r="I16" s="123">
        <f t="shared" si="2"/>
        <v>5.1691137053725553</v>
      </c>
      <c r="J16" s="122">
        <f>J12*J14</f>
        <v>4.819714703254907</v>
      </c>
      <c r="K16" s="122">
        <f>K12*K14</f>
        <v>3.39419423267683</v>
      </c>
      <c r="L16" s="122">
        <f t="shared" ref="L16:O16" si="3">L12*L14</f>
        <v>3.5998682096307513</v>
      </c>
      <c r="M16" s="122">
        <f t="shared" si="3"/>
        <v>3.5973492988794367</v>
      </c>
      <c r="N16" s="122">
        <f t="shared" si="3"/>
        <v>3.1124553950351315</v>
      </c>
      <c r="O16" s="123">
        <f t="shared" si="3"/>
        <v>3.850022589638856</v>
      </c>
      <c r="P16" s="123"/>
      <c r="Q16" s="119"/>
      <c r="R16" s="120"/>
      <c r="S16" s="62"/>
    </row>
    <row r="17" spans="1:20" x14ac:dyDescent="0.25">
      <c r="A17" s="121" t="s">
        <v>86</v>
      </c>
      <c r="B17" s="121"/>
      <c r="C17" s="121"/>
      <c r="D17" s="122">
        <f>+Analysis!D11</f>
        <v>-3.1505548636774381</v>
      </c>
      <c r="E17" s="122">
        <f>+D17</f>
        <v>-3.1505548636774381</v>
      </c>
      <c r="F17" s="122">
        <f>+D17</f>
        <v>-3.1505548636774381</v>
      </c>
      <c r="G17" s="122">
        <f>+Analysis!D12</f>
        <v>-4.2024024995887101</v>
      </c>
      <c r="H17" s="122">
        <f t="shared" ref="H17:J17" si="4">+G17</f>
        <v>-4.2024024995887101</v>
      </c>
      <c r="I17" s="122">
        <f t="shared" si="4"/>
        <v>-4.2024024995887101</v>
      </c>
      <c r="J17" s="122">
        <f t="shared" si="4"/>
        <v>-4.2024024995887101</v>
      </c>
      <c r="K17" s="122">
        <f>+J17</f>
        <v>-4.2024024995887101</v>
      </c>
      <c r="L17" s="122">
        <f>+G17</f>
        <v>-4.2024024995887101</v>
      </c>
      <c r="M17" s="122">
        <f>+L17</f>
        <v>-4.2024024995887101</v>
      </c>
      <c r="N17" s="122">
        <f t="shared" ref="N17:O17" si="5">+M17</f>
        <v>-4.2024024995887101</v>
      </c>
      <c r="O17" s="122">
        <f t="shared" si="5"/>
        <v>-4.2024024995887101</v>
      </c>
      <c r="P17" s="123"/>
      <c r="Q17" s="119"/>
      <c r="R17" s="120"/>
      <c r="S17" s="62"/>
    </row>
    <row r="18" spans="1:20" x14ac:dyDescent="0.25">
      <c r="A18" s="118"/>
      <c r="B18" s="118"/>
      <c r="C18" s="118"/>
      <c r="D18" s="118"/>
      <c r="E18" s="118"/>
      <c r="F18" s="118"/>
      <c r="G18" s="118"/>
      <c r="H18" s="118"/>
      <c r="I18" s="119"/>
      <c r="J18" s="118"/>
      <c r="K18" s="118"/>
      <c r="L18" s="118"/>
      <c r="M18" s="118"/>
      <c r="N18" s="118"/>
      <c r="O18" s="119"/>
      <c r="P18" s="123"/>
      <c r="Q18" s="119"/>
      <c r="R18" s="120"/>
      <c r="S18" s="62"/>
    </row>
    <row r="19" spans="1:20" x14ac:dyDescent="0.25">
      <c r="A19" s="121" t="s">
        <v>87</v>
      </c>
      <c r="B19" s="121"/>
      <c r="C19" s="121"/>
      <c r="D19" s="132">
        <f>+D17*D10</f>
        <v>-5967.1509118050681</v>
      </c>
      <c r="E19" s="132">
        <f t="shared" ref="E19:O19" si="6">+E17*E10</f>
        <v>-5967.1509118050681</v>
      </c>
      <c r="F19" s="132">
        <f t="shared" si="6"/>
        <v>-5967.1509118050681</v>
      </c>
      <c r="G19" s="132">
        <f t="shared" si="6"/>
        <v>-7959.350334221017</v>
      </c>
      <c r="H19" s="132">
        <f t="shared" si="6"/>
        <v>-7959.350334221017</v>
      </c>
      <c r="I19" s="133">
        <f t="shared" si="6"/>
        <v>-7959.350334221017</v>
      </c>
      <c r="J19" s="132">
        <f t="shared" si="6"/>
        <v>-7959.350334221017</v>
      </c>
      <c r="K19" s="132">
        <f>+K17*K10</f>
        <v>-7959.350334221017</v>
      </c>
      <c r="L19" s="132">
        <f t="shared" si="6"/>
        <v>-7959.350334221017</v>
      </c>
      <c r="M19" s="132">
        <f t="shared" si="6"/>
        <v>-7959.350334221017</v>
      </c>
      <c r="N19" s="132">
        <f t="shared" si="6"/>
        <v>-7959.350334221017</v>
      </c>
      <c r="O19" s="133">
        <f t="shared" si="6"/>
        <v>-7959.350334221017</v>
      </c>
      <c r="P19" s="133"/>
      <c r="Q19" s="134"/>
      <c r="R19" s="135"/>
      <c r="S19" s="136"/>
    </row>
    <row r="20" spans="1:20" x14ac:dyDescent="0.25">
      <c r="A20" s="121" t="s">
        <v>88</v>
      </c>
      <c r="B20" s="121"/>
      <c r="C20" s="121"/>
      <c r="D20" s="132">
        <f>-(+Data!F5+Data!G5+Data!H5)*Data!E5</f>
        <v>-8002.0947316254942</v>
      </c>
      <c r="E20" s="132">
        <f>-(+Data!F6+Data!G6+Data!H6)*Data!E6</f>
        <v>-8132.9500343873806</v>
      </c>
      <c r="F20" s="132">
        <f>-(+Data!F7+Data!G7+Data!H7)*Data!E7</f>
        <v>-7074.4381757176589</v>
      </c>
      <c r="G20" s="132">
        <f>-(+Data!F8+Data!G8+Data!H8)*Data!E8</f>
        <v>-8675.2622037317196</v>
      </c>
      <c r="H20" s="132">
        <f>-(+Data!F9+Data!G9+Data!H9)*Data!E9</f>
        <v>-8089.8906881276962</v>
      </c>
      <c r="I20" s="133">
        <f>-(+Data!F10+Data!G10+Data!H10)*Data!E10</f>
        <v>-9790.3013579756207</v>
      </c>
      <c r="J20" s="132">
        <f>-(+Data!F11+Data!G11+Data!H11)*Data!E11</f>
        <v>-9128.5396479647952</v>
      </c>
      <c r="K20" s="132">
        <f>-(+Data!F12+Data!G12+Data!H12)*Data!E12</f>
        <v>-6428.6038766899164</v>
      </c>
      <c r="L20" s="132">
        <f>-(+Data!F13+Data!F13+Data!F13)*Data!F13</f>
        <v>-7256.8252834487466</v>
      </c>
      <c r="M20" s="133">
        <f>-(+Data!F14+Data!G14+Data!H14)*Data!E14</f>
        <v>-6813.3795720776534</v>
      </c>
      <c r="N20" s="132">
        <f>-(+Data!F15+Data!G15+Data!H15)*Data!E15</f>
        <v>-5894.9905181965396</v>
      </c>
      <c r="O20" s="132">
        <f>-(+Data!F16+Data!G16+Data!H16)*Data!E16</f>
        <v>-7291.9427847759925</v>
      </c>
      <c r="P20" s="133"/>
      <c r="Q20" s="134"/>
      <c r="R20" s="135"/>
      <c r="S20" s="62"/>
      <c r="T20" s="137"/>
    </row>
    <row r="21" spans="1:20" x14ac:dyDescent="0.25">
      <c r="A21" s="121" t="s">
        <v>89</v>
      </c>
      <c r="B21" s="121"/>
      <c r="C21" s="121"/>
      <c r="D21" s="132">
        <f>+D19-D20</f>
        <v>2034.9438198204261</v>
      </c>
      <c r="E21" s="132">
        <f t="shared" ref="E21:O21" si="7">+E19-E20</f>
        <v>2165.7991225823125</v>
      </c>
      <c r="F21" s="132">
        <f t="shared" si="7"/>
        <v>1107.2872639125908</v>
      </c>
      <c r="G21" s="132">
        <f t="shared" si="7"/>
        <v>715.91186951070267</v>
      </c>
      <c r="H21" s="132">
        <f t="shared" si="7"/>
        <v>130.54035390667923</v>
      </c>
      <c r="I21" s="132">
        <f t="shared" si="7"/>
        <v>1830.9510237546037</v>
      </c>
      <c r="J21" s="132">
        <f t="shared" si="7"/>
        <v>1169.1893137437783</v>
      </c>
      <c r="K21" s="132">
        <f t="shared" si="7"/>
        <v>-1530.7464575311005</v>
      </c>
      <c r="L21" s="132">
        <f t="shared" si="7"/>
        <v>-702.52505077227033</v>
      </c>
      <c r="M21" s="132">
        <f t="shared" si="7"/>
        <v>-1145.9707621433636</v>
      </c>
      <c r="N21" s="132">
        <f t="shared" si="7"/>
        <v>-2064.3598160244774</v>
      </c>
      <c r="O21" s="132">
        <f t="shared" si="7"/>
        <v>-667.40754944502442</v>
      </c>
      <c r="P21" s="132"/>
      <c r="Q21" s="138"/>
      <c r="R21" s="135"/>
      <c r="T21" s="138"/>
    </row>
    <row r="22" spans="1:20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32"/>
      <c r="Q22" s="118"/>
      <c r="R22" s="139"/>
      <c r="T22" s="137"/>
    </row>
    <row r="23" spans="1:20" x14ac:dyDescent="0.25">
      <c r="A23" s="121" t="s">
        <v>90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123"/>
      <c r="R23" s="140"/>
    </row>
    <row r="24" spans="1:20" x14ac:dyDescent="0.25">
      <c r="A24" s="121" t="s">
        <v>91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123"/>
      <c r="R24" s="141"/>
    </row>
    <row r="25" spans="1:20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32"/>
      <c r="Q25" s="119"/>
      <c r="R25" s="141"/>
    </row>
    <row r="26" spans="1:20" x14ac:dyDescent="0.25">
      <c r="A26" s="121" t="s">
        <v>92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8"/>
      <c r="Q26" s="142"/>
      <c r="R26" s="141"/>
    </row>
    <row r="27" spans="1:20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140"/>
    </row>
    <row r="28" spans="1:20" x14ac:dyDescent="0.25">
      <c r="A28" s="143" t="s">
        <v>93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18"/>
      <c r="Q28" s="142"/>
      <c r="R28" s="140"/>
    </row>
    <row r="29" spans="1:20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40"/>
    </row>
    <row r="30" spans="1:20" x14ac:dyDescent="0.25">
      <c r="A30" s="143" t="s">
        <v>94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18"/>
      <c r="Q30" s="144"/>
      <c r="R30" s="140"/>
    </row>
    <row r="31" spans="1:20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20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4" spans="1:18" x14ac:dyDescent="0.25">
      <c r="L34" s="174"/>
      <c r="M34" s="174"/>
      <c r="N34" s="174"/>
      <c r="O34" s="174"/>
      <c r="P34" s="174"/>
    </row>
    <row r="35" spans="1:18" x14ac:dyDescent="0.25">
      <c r="L35" s="175"/>
      <c r="M35" s="175"/>
      <c r="N35" s="175"/>
      <c r="O35" s="2"/>
    </row>
    <row r="36" spans="1:18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115"/>
      <c r="N36" s="115"/>
      <c r="O36" s="115"/>
      <c r="P36" s="115"/>
      <c r="Q36" s="116"/>
      <c r="R36" s="117"/>
    </row>
    <row r="37" spans="1:18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40"/>
    </row>
    <row r="38" spans="1:18" ht="15.75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2"/>
      <c r="N38" s="122"/>
      <c r="O38" s="122"/>
      <c r="P38" s="122"/>
      <c r="Q38" s="145"/>
      <c r="R38" s="140"/>
    </row>
    <row r="39" spans="1:18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18"/>
      <c r="R39" s="140"/>
    </row>
    <row r="40" spans="1:18" ht="15.75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5"/>
      <c r="M40" s="125"/>
      <c r="N40" s="125"/>
      <c r="O40" s="125"/>
      <c r="P40" s="125"/>
      <c r="Q40" s="98"/>
      <c r="R40" s="146"/>
    </row>
    <row r="41" spans="1:18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18"/>
      <c r="R41" s="140"/>
    </row>
    <row r="42" spans="1:18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9"/>
      <c r="M42" s="129"/>
      <c r="N42" s="129"/>
      <c r="O42" s="129"/>
      <c r="P42" s="129"/>
      <c r="Q42" s="147"/>
      <c r="R42" s="140"/>
    </row>
    <row r="43" spans="1:18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18"/>
      <c r="Q43" s="118"/>
      <c r="R43" s="140"/>
    </row>
    <row r="44" spans="1:18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22"/>
      <c r="N44" s="122"/>
      <c r="O44" s="122"/>
      <c r="P44" s="122"/>
      <c r="Q44" s="118"/>
      <c r="R44" s="140"/>
    </row>
    <row r="45" spans="1:18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118"/>
      <c r="R45" s="140"/>
    </row>
    <row r="46" spans="1:18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2"/>
      <c r="O46" s="122"/>
      <c r="P46" s="122"/>
      <c r="Q46" s="118"/>
      <c r="R46" s="140"/>
    </row>
    <row r="47" spans="1:18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2"/>
      <c r="N47" s="122"/>
      <c r="O47" s="122"/>
      <c r="P47" s="122"/>
      <c r="Q47" s="118"/>
      <c r="R47" s="140"/>
    </row>
    <row r="48" spans="1:18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22"/>
      <c r="Q48" s="118"/>
      <c r="R48" s="140"/>
    </row>
    <row r="49" spans="1:20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32"/>
      <c r="M49" s="132"/>
      <c r="N49" s="132"/>
      <c r="O49" s="132"/>
      <c r="P49" s="132"/>
      <c r="Q49" s="138"/>
      <c r="R49" s="140"/>
    </row>
    <row r="50" spans="1:20" x14ac:dyDescent="0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32"/>
      <c r="M50" s="132"/>
      <c r="N50" s="132"/>
      <c r="O50" s="132"/>
      <c r="P50" s="132"/>
      <c r="Q50" s="138"/>
      <c r="R50" s="139"/>
      <c r="T50" s="138"/>
    </row>
    <row r="51" spans="1:20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32"/>
      <c r="M51" s="132"/>
      <c r="N51" s="132"/>
      <c r="O51" s="132"/>
      <c r="P51" s="132"/>
      <c r="Q51" s="138"/>
      <c r="R51" s="140"/>
      <c r="T51" s="138"/>
    </row>
    <row r="52" spans="1:20" x14ac:dyDescent="0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32"/>
      <c r="Q52" s="118"/>
      <c r="R52" s="139"/>
      <c r="T52" s="138"/>
    </row>
    <row r="53" spans="1:20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122"/>
      <c r="R53" s="140"/>
    </row>
    <row r="54" spans="1:20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22"/>
      <c r="R54" s="140"/>
    </row>
    <row r="55" spans="1:20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32"/>
      <c r="Q55" s="118"/>
      <c r="R55" s="140"/>
    </row>
    <row r="56" spans="1:20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48"/>
      <c r="R56" s="141"/>
    </row>
    <row r="57" spans="1:20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40"/>
    </row>
    <row r="58" spans="1:20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18"/>
      <c r="Q58" s="148"/>
      <c r="R58" s="140"/>
    </row>
    <row r="59" spans="1:20" x14ac:dyDescent="0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40"/>
    </row>
    <row r="60" spans="1:20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18"/>
      <c r="Q60" s="149"/>
      <c r="R60" s="140"/>
    </row>
    <row r="61" spans="1:20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</row>
  </sheetData>
  <mergeCells count="2">
    <mergeCell ref="L34:P34"/>
    <mergeCell ref="L35:N35"/>
  </mergeCells>
  <pageMargins left="0.7" right="0.7" top="0.75" bottom="0.75" header="0.3" footer="0.3"/>
  <pageSetup scale="6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2020-08-11T07:00:00+00:00</OpenedDate>
    <SignificantOrder xmlns="dc463f71-b30c-4ab2-9473-d307f9d35888">false</SignificantOrder>
    <Date1 xmlns="dc463f71-b30c-4ab2-9473-d307f9d35888">2020-08-11T07:00:00+00:00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DISPOSAL, INC.  </CaseCompanyNames>
    <Nickname xmlns="http://schemas.microsoft.com/sharepoint/v3" xsi:nil="true"/>
    <DocketNumber xmlns="dc463f71-b30c-4ab2-9473-d307f9d35888">200735</DocketNumber>
    <DelegatedOrder xmlns="dc463f71-b30c-4ab2-9473-d307f9d35888">false</DelegatedOrder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B7CFF1DF282B40A6553BBF49FE8430" ma:contentTypeVersion="44" ma:contentTypeDescription="" ma:contentTypeScope="" ma:versionID="08ed8ac3b0664bfdb4efd5543bd6c7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9178A-6550-4D47-B08F-F69722ABA53B}"/>
</file>

<file path=customXml/itemProps2.xml><?xml version="1.0" encoding="utf-8"?>
<ds:datastoreItem xmlns:ds="http://schemas.openxmlformats.org/officeDocument/2006/customXml" ds:itemID="{E7B34D27-3D65-4821-8BC6-10AB9A17E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1E2EC-73DA-4DDD-AD48-8FCB6D42187A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B1A1B1-8A13-4F76-817A-D8E79E89732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962DBC1-A60F-4E5E-91C8-50CDCB960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Analysis</vt:lpstr>
      <vt:lpstr>Data</vt:lpstr>
      <vt:lpstr>Customers</vt:lpstr>
      <vt:lpstr>Calcs revised method</vt:lpstr>
      <vt:lpstr>Analysis!Print_Area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Logan Davis</cp:lastModifiedBy>
  <cp:revision/>
  <cp:lastPrinted>2020-08-06T17:58:02Z</cp:lastPrinted>
  <dcterms:created xsi:type="dcterms:W3CDTF">2018-08-17T22:00:24Z</dcterms:created>
  <dcterms:modified xsi:type="dcterms:W3CDTF">2020-08-06T17:58:21Z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ocset_NoMedatataSyncRequired">
    <vt:lpwstr>False</vt:lpwstr>
  </property>
  <property fmtid="{D5CDD505-2E9C-101B-9397-08002B2CF9AE}" pid="3" name="ContentTypeId">
    <vt:lpwstr>0x0101006E56B4D1795A2E4DB2F0B01679ED314A0049B7CFF1DF282B40A6553BBF49FE8430</vt:lpwstr>
  </property>
  <property fmtid="{D5CDD505-2E9C-101B-9397-08002B2CF9AE}" pid="4" name="IsEFSEC">
    <vt:bool>false</vt:bool>
  </property>
</Properties>
</file>