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SOD0810 - Sound Disposal, Inc.-0618\Rate Case\2020 - YW Tipping Fee Only\"/>
    </mc:Choice>
  </mc:AlternateContent>
  <bookViews>
    <workbookView xWindow="-105" yWindow="-105" windowWidth="21705" windowHeight="9615" activeTab="2"/>
  </bookViews>
  <sheets>
    <sheet name="Notes" sheetId="8" r:id="rId1"/>
    <sheet name="References" sheetId="4" r:id="rId2"/>
    <sheet name="Compost Invoices" sheetId="9" r:id="rId3"/>
    <sheet name="Staff calcs 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1">References!$A$1:$L$32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9" l="1"/>
  <c r="D31" i="9"/>
  <c r="E31" i="9"/>
  <c r="U41" i="9"/>
  <c r="E73" i="7" l="1"/>
  <c r="Q6" i="7" l="1"/>
  <c r="G6" i="7"/>
  <c r="B22" i="4" l="1"/>
  <c r="N35" i="9" l="1"/>
  <c r="N36" i="9"/>
  <c r="N34" i="9"/>
  <c r="N33" i="9"/>
  <c r="N31" i="9"/>
  <c r="C16" i="4"/>
  <c r="C17" i="4" s="1"/>
  <c r="C15" i="4"/>
  <c r="I31" i="9"/>
  <c r="F38" i="9"/>
  <c r="J38" i="9"/>
  <c r="K38" i="9"/>
  <c r="P38" i="9"/>
  <c r="Q38" i="9"/>
  <c r="T38" i="9"/>
  <c r="U38" i="9"/>
  <c r="B38" i="9"/>
  <c r="C36" i="9"/>
  <c r="C38" i="9" s="1"/>
  <c r="D36" i="9"/>
  <c r="E36" i="9"/>
  <c r="E38" i="9" s="1"/>
  <c r="F36" i="9"/>
  <c r="G36" i="9"/>
  <c r="G38" i="9" s="1"/>
  <c r="H36" i="9"/>
  <c r="H38" i="9" s="1"/>
  <c r="I36" i="9"/>
  <c r="J36" i="9"/>
  <c r="K36" i="9"/>
  <c r="L36" i="9"/>
  <c r="L38" i="9" s="1"/>
  <c r="M36" i="9"/>
  <c r="M38" i="9" s="1"/>
  <c r="P36" i="9"/>
  <c r="Q36" i="9"/>
  <c r="R36" i="9"/>
  <c r="R38" i="9" s="1"/>
  <c r="S36" i="9"/>
  <c r="S38" i="9" s="1"/>
  <c r="T36" i="9"/>
  <c r="U36" i="9"/>
  <c r="B36" i="9"/>
  <c r="U31" i="9"/>
  <c r="T31" i="9"/>
  <c r="S31" i="9"/>
  <c r="R31" i="9"/>
  <c r="Q31" i="9"/>
  <c r="P31" i="9"/>
  <c r="M31" i="9"/>
  <c r="L31" i="9"/>
  <c r="K31" i="9"/>
  <c r="J31" i="9"/>
  <c r="H31" i="9"/>
  <c r="G31" i="9"/>
  <c r="C31" i="9"/>
  <c r="B31" i="9"/>
  <c r="D38" i="9" l="1"/>
  <c r="N38" i="9" s="1"/>
  <c r="I38" i="9"/>
  <c r="F18" i="4" l="1"/>
  <c r="F19" i="4" s="1"/>
  <c r="E71" i="7" l="1"/>
  <c r="E20" i="7" l="1"/>
  <c r="D6" i="4" l="1"/>
  <c r="G6" i="4" s="1"/>
  <c r="E6" i="4" l="1"/>
  <c r="F6" i="4"/>
  <c r="E72" i="7" l="1"/>
  <c r="E74" i="7" s="1"/>
  <c r="E39" i="7"/>
  <c r="Q54" i="7"/>
  <c r="G45" i="7" l="1"/>
  <c r="G50" i="7"/>
  <c r="E51" i="7"/>
  <c r="Q45" i="7"/>
  <c r="Q50" i="7"/>
  <c r="I50" i="7" l="1"/>
  <c r="I45" i="7"/>
  <c r="R50" i="7"/>
  <c r="S50" i="7" l="1"/>
  <c r="B17" i="4"/>
  <c r="B20" i="4" s="1"/>
  <c r="B21" i="4" s="1"/>
  <c r="D9" i="4"/>
  <c r="D8" i="4"/>
  <c r="D7" i="4"/>
  <c r="B23" i="4" l="1"/>
  <c r="G8" i="4"/>
  <c r="F8" i="4"/>
  <c r="E8" i="4"/>
  <c r="G7" i="4"/>
  <c r="F7" i="4"/>
  <c r="E7" i="4"/>
  <c r="G54" i="7"/>
  <c r="G9" i="4"/>
  <c r="F9" i="4"/>
  <c r="E9" i="4"/>
  <c r="I6" i="7" l="1"/>
  <c r="G20" i="7"/>
  <c r="G39" i="7"/>
  <c r="I54" i="7"/>
  <c r="Q20" i="7" l="1"/>
  <c r="I20" i="7"/>
  <c r="Q39" i="7"/>
  <c r="I39" i="7"/>
  <c r="G51" i="7"/>
  <c r="Q51" i="7" l="1"/>
  <c r="I51" i="7"/>
  <c r="J6" i="7" l="1"/>
  <c r="J54" i="7"/>
  <c r="K54" i="7" s="1"/>
  <c r="L54" i="7" s="1"/>
  <c r="M54" i="7" l="1"/>
  <c r="O54" i="7" s="1"/>
  <c r="K6" i="7"/>
  <c r="J20" i="7"/>
  <c r="J39" i="7"/>
  <c r="J45" i="7"/>
  <c r="J50" i="7"/>
  <c r="P54" i="7" l="1"/>
  <c r="R54" i="7" s="1"/>
  <c r="S54" i="7" s="1"/>
  <c r="T54" i="7"/>
  <c r="U54" i="7" s="1"/>
  <c r="L6" i="7"/>
  <c r="M6" i="7" s="1"/>
  <c r="O6" i="7" s="1"/>
  <c r="U39" i="7"/>
  <c r="S39" i="7"/>
  <c r="R39" i="7"/>
  <c r="J51" i="7"/>
  <c r="T50" i="7"/>
  <c r="T20" i="7"/>
  <c r="U50" i="7"/>
  <c r="T6" i="7" l="1"/>
  <c r="U6" i="7" s="1"/>
  <c r="P6" i="7"/>
  <c r="R6" i="7" s="1"/>
  <c r="S6" i="7" s="1"/>
  <c r="T39" i="7"/>
  <c r="T45" i="7"/>
  <c r="U20" i="7" l="1"/>
  <c r="T51" i="7"/>
  <c r="U45" i="7"/>
  <c r="R45" i="7"/>
  <c r="S45" i="7"/>
  <c r="U51" i="7" l="1"/>
  <c r="S20" i="7"/>
  <c r="S51" i="7" s="1"/>
  <c r="B25" i="4" s="1"/>
  <c r="B26" i="4" s="1"/>
  <c r="R20" i="7"/>
  <c r="R51" i="7" s="1"/>
  <c r="B28" i="4" l="1"/>
  <c r="B29" i="4" s="1"/>
  <c r="C29" i="4" s="1"/>
</calcChain>
</file>

<file path=xl/comments1.xml><?xml version="1.0" encoding="utf-8"?>
<comments xmlns="http://schemas.openxmlformats.org/spreadsheetml/2006/main">
  <authors>
    <author>Logan Davis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rate listed in current tariff, not rate that was charged on invoices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Companies with gross receipts over $1million gets taxed at 1.75%, not 1.5%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Bad debts taken from Lurito-Gallagher in workpapers from prior general rate case
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Used a rolling 12 months rather than the total collected in 2019</t>
        </r>
      </text>
    </comment>
  </commentList>
</comments>
</file>

<file path=xl/comments2.xml><?xml version="1.0" encoding="utf-8"?>
<comments xmlns="http://schemas.openxmlformats.org/spreadsheetml/2006/main">
  <authors>
    <author>Logan Davis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Estimate - 96 gal toter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>Logan Davis:</t>
        </r>
        <r>
          <rPr>
            <sz val="9"/>
            <color indexed="81"/>
            <rFont val="Tahoma"/>
            <family val="2"/>
          </rPr>
          <t xml:space="preserve">
Estimate - 96 gal toter</t>
        </r>
      </text>
    </comment>
  </commentList>
</comments>
</file>

<file path=xl/sharedStrings.xml><?xml version="1.0" encoding="utf-8"?>
<sst xmlns="http://schemas.openxmlformats.org/spreadsheetml/2006/main" count="126" uniqueCount="107">
  <si>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</si>
  <si>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</si>
  <si>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</si>
  <si>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</si>
  <si>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</si>
  <si>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</si>
  <si>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</si>
  <si>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</si>
  <si>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</si>
  <si>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</si>
  <si>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</si>
  <si>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</si>
  <si>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</si>
  <si>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</si>
  <si>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</si>
  <si>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</si>
  <si>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</si>
  <si>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</si>
  <si>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</si>
  <si>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</si>
  <si>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</si>
  <si>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</si>
  <si>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</si>
  <si>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</si>
  <si>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</si>
  <si>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</si>
  <si>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</si>
  <si>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</si>
  <si>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</si>
  <si>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</si>
  <si>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</si>
  <si>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</si>
  <si>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</si>
  <si>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</si>
  <si>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</si>
  <si>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</si>
  <si>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</si>
  <si>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</si>
  <si>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</si>
  <si>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</si>
  <si>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</si>
  <si>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</si>
  <si>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</si>
  <si>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</si>
  <si>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</si>
  <si>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</si>
  <si>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</si>
  <si>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</si>
  <si>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</si>
  <si>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</si>
  <si>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</si>
  <si>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</si>
  <si>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</si>
  <si>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Current Rate</t>
  </si>
  <si>
    <t>New Rate</t>
  </si>
  <si>
    <t>Staff Revenue Increase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</si>
  <si>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</si>
  <si>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</si>
  <si>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</si>
  <si>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</si>
  <si>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</si>
  <si>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</si>
  <si>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</si>
  <si>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</si>
  <si>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</si>
  <si>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</si>
  <si>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</si>
  <si>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</si>
  <si>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</si>
  <si>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</si>
  <si>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</si>
  <si>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</si>
  <si>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</si>
  <si>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</si>
  <si>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</si>
  <si>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</si>
  <si>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</si>
  <si>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</si>
  <si>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</si>
  <si>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Bad debt</t>
  </si>
  <si>
    <t>Olympic View Transfer Station</t>
  </si>
  <si>
    <t>Jan</t>
  </si>
  <si>
    <t>Feb</t>
  </si>
  <si>
    <t>Mar</t>
  </si>
  <si>
    <t>Apr</t>
  </si>
  <si>
    <t>May</t>
  </si>
  <si>
    <t>Aug</t>
  </si>
  <si>
    <t>Oct</t>
  </si>
  <si>
    <t>Nov</t>
  </si>
  <si>
    <t>Dec</t>
  </si>
  <si>
    <t>Jun</t>
  </si>
  <si>
    <t>Jul</t>
  </si>
  <si>
    <t>Commercial/Mult-fam</t>
  </si>
  <si>
    <t>Sept</t>
  </si>
  <si>
    <t>Total Charge</t>
  </si>
  <si>
    <t>Less nonregulated</t>
  </si>
  <si>
    <t>Total Regulated</t>
  </si>
  <si>
    <t>$/Ton</t>
  </si>
  <si>
    <t>Sound Disposal</t>
  </si>
  <si>
    <t>Disposal fee - Residential Yard Waste</t>
  </si>
  <si>
    <t>Cedar Grove Composting</t>
  </si>
  <si>
    <t>Yardwaste Service EOW</t>
  </si>
  <si>
    <t>Yardwaste Only EOW</t>
  </si>
  <si>
    <t>Disposal Fee - Residential Yard Waste</t>
  </si>
  <si>
    <t>Total tons in a rolling 12 month period:</t>
  </si>
  <si>
    <t>Total Regulated Tons</t>
  </si>
  <si>
    <t>Summary of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</si>
</sst>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10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1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5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2" applyNumberFormat="0" applyFill="0" applyAlignment="0" applyProtection="0"/>
  </cellStyleXfs>
  <cellXfs count="1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43" fontId="0" fillId="0" borderId="0" xfId="0" applyNumberFormat="1"/>
    <xf numFmtId="44" fontId="0" fillId="0" borderId="1" xfId="2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0" fontId="0" fillId="0" borderId="0" xfId="0" applyBorder="1" applyAlignment="1">
      <alignment wrapText="1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 applyBorder="1"/>
    <xf numFmtId="167" fontId="0" fillId="0" borderId="0" xfId="1" applyNumberFormat="1" applyFont="1" applyFill="1"/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43" fontId="0" fillId="0" borderId="0" xfId="1" applyFont="1" applyBorder="1" applyAlignment="1">
      <alignment horizontal="center" wrapText="1"/>
    </xf>
    <xf numFmtId="43" fontId="0" fillId="0" borderId="0" xfId="1" applyFon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4" applyFont="1" applyFill="1" applyBorder="1" applyAlignment="1">
      <alignment horizontal="left"/>
    </xf>
    <xf numFmtId="3" fontId="0" fillId="0" borderId="3" xfId="0" applyNumberFormat="1" applyFill="1" applyBorder="1"/>
    <xf numFmtId="43" fontId="0" fillId="0" borderId="3" xfId="0" applyNumberFormat="1" applyFill="1" applyBorder="1"/>
    <xf numFmtId="43" fontId="0" fillId="0" borderId="3" xfId="1" applyFont="1" applyFill="1" applyBorder="1" applyAlignment="1">
      <alignment horizontal="center" wrapText="1"/>
    </xf>
    <xf numFmtId="43" fontId="0" fillId="0" borderId="3" xfId="1" applyFont="1" applyFill="1" applyBorder="1"/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167" fontId="0" fillId="0" borderId="1" xfId="1" applyNumberFormat="1" applyFont="1" applyFill="1" applyBorder="1"/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44" fontId="0" fillId="0" borderId="0" xfId="0" applyNumberFormat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6" fillId="0" borderId="0" xfId="0" applyNumberFormat="1" applyFont="1" applyFill="1" applyBorder="1"/>
    <xf numFmtId="3" fontId="6" fillId="0" borderId="1" xfId="0" applyNumberFormat="1" applyFont="1" applyFill="1" applyBorder="1"/>
    <xf numFmtId="164" fontId="0" fillId="0" borderId="0" xfId="0" applyNumberFormat="1"/>
    <xf numFmtId="43" fontId="0" fillId="0" borderId="2" xfId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3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7" fontId="6" fillId="0" borderId="1" xfId="0" applyNumberFormat="1" applyFont="1" applyFill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43" fontId="6" fillId="0" borderId="0" xfId="1" applyFont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0" fontId="0" fillId="0" borderId="2" xfId="0" applyFill="1" applyBorder="1"/>
    <xf numFmtId="0" fontId="7" fillId="0" borderId="2" xfId="4" applyFont="1" applyFill="1" applyBorder="1" applyAlignment="1">
      <alignment horizontal="left"/>
    </xf>
    <xf numFmtId="0" fontId="0" fillId="0" borderId="2" xfId="0" applyFill="1" applyBorder="1" applyAlignment="1">
      <alignment vertical="center" textRotation="90"/>
    </xf>
    <xf numFmtId="0" fontId="0" fillId="0" borderId="2" xfId="0" applyBorder="1"/>
    <xf numFmtId="0" fontId="7" fillId="0" borderId="2" xfId="4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7" fontId="6" fillId="0" borderId="2" xfId="0" applyNumberFormat="1" applyFont="1" applyBorder="1"/>
    <xf numFmtId="43" fontId="6" fillId="0" borderId="2" xfId="1" applyFont="1" applyBorder="1" applyAlignment="1">
      <alignment horizontal="center" wrapText="1"/>
    </xf>
    <xf numFmtId="0" fontId="7" fillId="0" borderId="0" xfId="4" applyFont="1" applyFill="1" applyBorder="1" applyAlignment="1">
      <alignment horizontal="center" vertical="center"/>
    </xf>
    <xf numFmtId="164" fontId="0" fillId="0" borderId="3" xfId="1" applyNumberFormat="1" applyFont="1" applyFill="1" applyBorder="1"/>
    <xf numFmtId="164" fontId="6" fillId="0" borderId="1" xfId="0" applyNumberFormat="1" applyFont="1" applyFill="1" applyBorder="1"/>
    <xf numFmtId="164" fontId="0" fillId="0" borderId="0" xfId="1" applyNumberFormat="1" applyFont="1" applyFill="1"/>
    <xf numFmtId="164" fontId="6" fillId="0" borderId="1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164" fontId="6" fillId="0" borderId="2" xfId="0" applyNumberFormat="1" applyFont="1" applyBorder="1"/>
    <xf numFmtId="44" fontId="0" fillId="0" borderId="0" xfId="1" applyNumberFormat="1" applyFont="1" applyFill="1" applyBorder="1" applyAlignment="1">
      <alignment horizontal="center" wrapText="1"/>
    </xf>
    <xf numFmtId="44" fontId="0" fillId="0" borderId="1" xfId="1" applyNumberFormat="1" applyFont="1" applyFill="1" applyBorder="1" applyAlignment="1">
      <alignment horizontal="center" wrapText="1"/>
    </xf>
    <xf numFmtId="44" fontId="6" fillId="0" borderId="2" xfId="1" applyNumberFormat="1" applyFont="1" applyFill="1" applyBorder="1" applyAlignment="1">
      <alignment horizontal="center" wrapText="1"/>
    </xf>
    <xf numFmtId="44" fontId="6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7" fillId="0" borderId="4" xfId="4" applyFont="1" applyFill="1" applyBorder="1" applyAlignment="1">
      <alignment horizontal="left"/>
    </xf>
    <xf numFmtId="3" fontId="6" fillId="0" borderId="4" xfId="0" applyNumberFormat="1" applyFont="1" applyBorder="1"/>
    <xf numFmtId="2" fontId="0" fillId="0" borderId="4" xfId="0" applyNumberFormat="1" applyBorder="1"/>
    <xf numFmtId="164" fontId="6" fillId="0" borderId="4" xfId="0" applyNumberFormat="1" applyFont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2" applyNumberFormat="1" applyFont="1" applyFill="1" applyBorder="1"/>
    <xf numFmtId="164" fontId="0" fillId="0" borderId="0" xfId="0" applyNumberFormat="1" applyFill="1" applyBorder="1"/>
    <xf numFmtId="0" fontId="0" fillId="0" borderId="1" xfId="0" applyBorder="1" applyAlignment="1">
      <alignment horizontal="center"/>
    </xf>
    <xf numFmtId="44" fontId="6" fillId="0" borderId="1" xfId="0" applyNumberFormat="1" applyFont="1" applyBorder="1"/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164" fontId="6" fillId="0" borderId="2" xfId="0" applyNumberFormat="1" applyFont="1" applyFill="1" applyBorder="1"/>
    <xf numFmtId="164" fontId="0" fillId="0" borderId="1" xfId="0" applyNumberFormat="1" applyFill="1" applyBorder="1"/>
    <xf numFmtId="164" fontId="6" fillId="0" borderId="2" xfId="1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/>
    <xf numFmtId="0" fontId="6" fillId="0" borderId="1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/>
    <xf numFmtId="0" fontId="0" fillId="0" borderId="0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43" fontId="0" fillId="0" borderId="0" xfId="1" applyFont="1"/>
    <xf numFmtId="0" fontId="0" fillId="17" borderId="0" xfId="0" applyFill="1"/>
    <xf numFmtId="3" fontId="6" fillId="0" borderId="2" xfId="0" applyNumberFormat="1" applyFont="1" applyFill="1" applyBorder="1"/>
    <xf numFmtId="44" fontId="0" fillId="0" borderId="0" xfId="2" applyFont="1" applyFill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Alignment="1">
      <alignment horizontal="right"/>
    </xf>
    <xf numFmtId="44" fontId="34" fillId="0" borderId="0" xfId="2" applyNumberFormat="1" applyFont="1" applyFill="1" applyBorder="1"/>
    <xf numFmtId="0" fontId="0" fillId="0" borderId="4" xfId="0" applyFill="1" applyBorder="1"/>
    <xf numFmtId="0" fontId="0" fillId="0" borderId="0" xfId="0" applyFill="1" applyBorder="1" applyAlignment="1">
      <alignment horizontal="right" wrapText="1"/>
    </xf>
    <xf numFmtId="44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/>
    <xf numFmtId="44" fontId="34" fillId="0" borderId="0" xfId="1" applyNumberFormat="1" applyFont="1" applyFill="1" applyBorder="1"/>
    <xf numFmtId="0" fontId="0" fillId="0" borderId="0" xfId="0" applyFill="1" applyAlignment="1">
      <alignment wrapText="1"/>
    </xf>
    <xf numFmtId="165" fontId="0" fillId="0" borderId="0" xfId="2" applyNumberFormat="1" applyFont="1" applyFill="1"/>
    <xf numFmtId="169" fontId="0" fillId="0" borderId="0" xfId="0" applyNumberFormat="1" applyFill="1"/>
    <xf numFmtId="44" fontId="0" fillId="0" borderId="1" xfId="2" applyFont="1" applyFill="1" applyBorder="1"/>
    <xf numFmtId="165" fontId="0" fillId="0" borderId="1" xfId="2" applyNumberFormat="1" applyFont="1" applyFill="1" applyBorder="1"/>
    <xf numFmtId="44" fontId="0" fillId="0" borderId="0" xfId="0" applyNumberFormat="1" applyFill="1"/>
    <xf numFmtId="44" fontId="6" fillId="0" borderId="0" xfId="0" applyNumberFormat="1" applyFont="1" applyFill="1"/>
    <xf numFmtId="0" fontId="0" fillId="0" borderId="0" xfId="2" applyNumberFormat="1" applyFont="1" applyFill="1" applyBorder="1"/>
    <xf numFmtId="43" fontId="34" fillId="0" borderId="0" xfId="0" applyNumberFormat="1" applyFont="1" applyFill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</cellXfs>
  <cellStyles count="129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Bad 2" xfId="23"/>
    <cellStyle name="Budget" xfId="24"/>
    <cellStyle name="Calculation 2" xfId="25"/>
    <cellStyle name="Comma" xfId="1" builtinId="3"/>
    <cellStyle name="Comma 10" xfId="26"/>
    <cellStyle name="Comma 11" xfId="27"/>
    <cellStyle name="Comma 12" xfId="28"/>
    <cellStyle name="Comma 13" xfId="29"/>
    <cellStyle name="Comma 14" xfId="30"/>
    <cellStyle name="Comma 15" xfId="31"/>
    <cellStyle name="Comma 16" xfId="32"/>
    <cellStyle name="Comma 17" xfId="33"/>
    <cellStyle name="Comma 2" xfId="5"/>
    <cellStyle name="Comma 2 2" xfId="34"/>
    <cellStyle name="Comma 2 3" xfId="35"/>
    <cellStyle name="Comma 3" xfId="36"/>
    <cellStyle name="Comma 3 2" xfId="37"/>
    <cellStyle name="Comma 3 2 2" xfId="38"/>
    <cellStyle name="Comma 3 3" xfId="39"/>
    <cellStyle name="Comma 4" xfId="40"/>
    <cellStyle name="Comma 4 2" xfId="41"/>
    <cellStyle name="Comma 4 3" xfId="42"/>
    <cellStyle name="Comma 4 4" xfId="43"/>
    <cellStyle name="Comma 4 5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" xfId="2" builtinId="4"/>
    <cellStyle name="Currency 2" xfId="6"/>
    <cellStyle name="Currency 2 2" xfId="54"/>
    <cellStyle name="Currency 3" xfId="55"/>
    <cellStyle name="Currency 4" xfId="56"/>
    <cellStyle name="Currency 5" xfId="57"/>
    <cellStyle name="Currency 6" xfId="58"/>
    <cellStyle name="Currency 7" xfId="59"/>
    <cellStyle name="Currency 9" xfId="60"/>
    <cellStyle name="Data Enter" xfId="61"/>
    <cellStyle name="FactSheet" xfId="62"/>
    <cellStyle name="Good 2" xfId="63"/>
    <cellStyle name="Heading 1 2" xfId="64"/>
    <cellStyle name="Heading 2 2" xfId="65"/>
    <cellStyle name="Heading 3 2" xfId="66"/>
    <cellStyle name="Hyperlink 2" xfId="67"/>
    <cellStyle name="Hyperlink 3" xfId="68"/>
    <cellStyle name="input(0)" xfId="69"/>
    <cellStyle name="Input(2)" xfId="70"/>
    <cellStyle name="Linked Cell 2" xfId="71"/>
    <cellStyle name="Neutral 2" xfId="72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10" xfId="79"/>
    <cellStyle name="Normal 10 2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2 2 3" xfId="93"/>
    <cellStyle name="Normal 2 2_IS210PL" xfId="94"/>
    <cellStyle name="Normal 2 3" xfId="95"/>
    <cellStyle name="Normal 2 3 2" xfId="96"/>
    <cellStyle name="Normal 2 3 3" xfId="97"/>
    <cellStyle name="Normal 2 4" xfId="98"/>
    <cellStyle name="Normal 2 5" xfId="99"/>
    <cellStyle name="Normal 2_2180 Payroll Schedule 8-22-2011" xfId="100"/>
    <cellStyle name="Normal 20" xfId="101"/>
    <cellStyle name="Normal 3" xfId="102"/>
    <cellStyle name="Normal 3 2" xfId="103"/>
    <cellStyle name="Normal 3_2149 Depr 9-30-12" xfId="104"/>
    <cellStyle name="Normal 4" xfId="105"/>
    <cellStyle name="Normal 5" xfId="106"/>
    <cellStyle name="Normal 5 2" xfId="107"/>
    <cellStyle name="Normal 5_2183 UTC Depreciation 3 31 2012 Heather 6-6-2012" xfId="108"/>
    <cellStyle name="Normal 6" xfId="109"/>
    <cellStyle name="Normal 7" xfId="110"/>
    <cellStyle name="Normal 8" xfId="111"/>
    <cellStyle name="Normal 9" xfId="112"/>
    <cellStyle name="Normal_Price out" xfId="4"/>
    <cellStyle name="Note 2" xfId="113"/>
    <cellStyle name="Notes" xfId="114"/>
    <cellStyle name="Percent" xfId="3" builtinId="5"/>
    <cellStyle name="Percent 2" xfId="115"/>
    <cellStyle name="Percent 2 2" xfId="116"/>
    <cellStyle name="Percent 3" xfId="117"/>
    <cellStyle name="Percent 4" xfId="118"/>
    <cellStyle name="Percent 4 2" xfId="119"/>
    <cellStyle name="Percent 7" xfId="120"/>
    <cellStyle name="Percent(1)" xfId="121"/>
    <cellStyle name="Percent(2)" xfId="122"/>
    <cellStyle name="PRM" xfId="123"/>
    <cellStyle name="PSChar" xfId="124"/>
    <cellStyle name="PSHeading" xfId="125"/>
    <cellStyle name="Style 1" xfId="126"/>
    <cellStyle name="STYLE1" xfId="127"/>
    <cellStyle name="Total 2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zoomScaleNormal="100" workbookViewId="0">
      <selection activeCell="C24" sqref="C24"/>
    </sheetView>
  </sheetViews>
  <sheetFormatPr defaultRowHeight="15"/>
  <sheetData>
    <row r="2" spans="1:7">
      <c r="A2" s="119" t="s">
        <v>57</v>
      </c>
    </row>
    <row r="4" spans="1:7">
      <c r="B4" t="s">
        <v>58</v>
      </c>
      <c r="C4" s="25"/>
      <c r="D4" s="25"/>
    </row>
    <row r="5" spans="1:7">
      <c r="C5" s="25" t="s">
        <v>69</v>
      </c>
      <c r="D5" s="25"/>
      <c r="E5" s="25"/>
      <c r="F5" s="25"/>
      <c r="G5" s="25"/>
    </row>
    <row r="6" spans="1:7">
      <c r="C6" s="25" t="s">
        <v>59</v>
      </c>
      <c r="D6" s="25"/>
      <c r="E6" s="25"/>
      <c r="F6" s="25"/>
      <c r="G6" s="25"/>
    </row>
    <row r="7" spans="1:7" s="17" customFormat="1">
      <c r="C7" s="25" t="s">
        <v>70</v>
      </c>
      <c r="D7" s="25"/>
      <c r="E7" s="25"/>
      <c r="F7" s="25"/>
      <c r="G7" s="25"/>
    </row>
    <row r="8" spans="1:7" s="17" customFormat="1">
      <c r="C8" s="25"/>
      <c r="D8" s="25"/>
      <c r="E8" s="25"/>
      <c r="F8" s="25"/>
      <c r="G8" s="25"/>
    </row>
    <row r="9" spans="1:7" s="17" customFormat="1">
      <c r="B9" s="17" t="s">
        <v>73</v>
      </c>
    </row>
    <row r="10" spans="1:7" s="17" customFormat="1">
      <c r="C10" s="17" t="s">
        <v>74</v>
      </c>
    </row>
    <row r="11" spans="1:7" s="17" customFormat="1"/>
    <row r="12" spans="1:7">
      <c r="B12" t="s">
        <v>75</v>
      </c>
    </row>
    <row r="13" spans="1:7" s="17" customFormat="1">
      <c r="C13" s="17" t="s">
        <v>71</v>
      </c>
    </row>
    <row r="14" spans="1:7" s="17" customFormat="1">
      <c r="C14" s="17" t="s">
        <v>76</v>
      </c>
    </row>
    <row r="15" spans="1:7">
      <c r="C15" t="s">
        <v>72</v>
      </c>
    </row>
    <row r="17" spans="2:3">
      <c r="B17" t="s">
        <v>62</v>
      </c>
    </row>
    <row r="18" spans="2:3">
      <c r="C18" t="s">
        <v>60</v>
      </c>
    </row>
    <row r="19" spans="2:3">
      <c r="C19" t="s">
        <v>61</v>
      </c>
    </row>
    <row r="21" spans="2:3">
      <c r="B21" t="s">
        <v>64</v>
      </c>
    </row>
    <row r="22" spans="2:3">
      <c r="C22" t="s">
        <v>66</v>
      </c>
    </row>
    <row r="23" spans="2:3">
      <c r="C23" t="s">
        <v>65</v>
      </c>
    </row>
    <row r="24" spans="2:3">
      <c r="C24" t="s">
        <v>67</v>
      </c>
    </row>
    <row r="25" spans="2:3">
      <c r="C25" t="s">
        <v>68</v>
      </c>
    </row>
    <row r="27" spans="2:3">
      <c r="B27" t="s">
        <v>78</v>
      </c>
    </row>
  </sheetData>
  <pageMargins left="0.7" right="0.7" top="0.75" bottom="0.75" header="0.3" footer="0.3"/>
  <pageSetup scale="9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H12" sqref="H12"/>
    </sheetView>
  </sheetViews>
  <sheetFormatPr defaultRowHeight="15"/>
  <cols>
    <col min="1" max="1" width="35.140625" customWidth="1"/>
    <col min="2" max="2" width="16.7109375" customWidth="1"/>
    <col min="3" max="3" width="9.7109375" bestFit="1" customWidth="1"/>
    <col min="4" max="4" width="7" bestFit="1" customWidth="1"/>
    <col min="5" max="5" width="12.7109375" customWidth="1"/>
    <col min="6" max="6" width="12.28515625" bestFit="1" customWidth="1"/>
    <col min="7" max="7" width="13.140625" customWidth="1"/>
    <col min="8" max="8" width="11.5703125" customWidth="1"/>
    <col min="9" max="9" width="11.42578125" customWidth="1"/>
    <col min="10" max="10" width="3.140625" customWidth="1"/>
    <col min="11" max="11" width="11.5703125" customWidth="1"/>
    <col min="12" max="13" width="11.5703125" style="17" customWidth="1"/>
    <col min="15" max="17" width="11.7109375" bestFit="1" customWidth="1"/>
    <col min="18" max="18" width="14.5703125" bestFit="1" customWidth="1"/>
    <col min="19" max="19" width="12.140625" bestFit="1" customWidth="1"/>
    <col min="20" max="20" width="10.7109375" bestFit="1" customWidth="1"/>
    <col min="21" max="21" width="13.28515625" bestFit="1" customWidth="1"/>
  </cols>
  <sheetData>
    <row r="1" spans="1:11" s="17" customFormat="1">
      <c r="A1" s="49" t="s">
        <v>98</v>
      </c>
    </row>
    <row r="2" spans="1:11" s="17" customFormat="1">
      <c r="A2" s="49" t="s">
        <v>103</v>
      </c>
    </row>
    <row r="3" spans="1:11" s="17" customFormat="1">
      <c r="A3" s="49" t="s">
        <v>100</v>
      </c>
    </row>
    <row r="4" spans="1:11" s="17" customFormat="1">
      <c r="A4" s="49"/>
      <c r="D4" s="149" t="s">
        <v>17</v>
      </c>
      <c r="E4" s="149"/>
      <c r="F4" s="149"/>
      <c r="G4" s="149"/>
    </row>
    <row r="5" spans="1:11" s="17" customFormat="1">
      <c r="D5" s="109" t="s">
        <v>46</v>
      </c>
      <c r="E5" s="109" t="s">
        <v>47</v>
      </c>
      <c r="F5" s="109" t="s">
        <v>48</v>
      </c>
      <c r="G5" s="111" t="s">
        <v>52</v>
      </c>
    </row>
    <row r="6" spans="1:11" s="17" customFormat="1">
      <c r="A6" s="105" t="s">
        <v>45</v>
      </c>
      <c r="D6" s="112">
        <f>52*2/12</f>
        <v>8.6666666666666661</v>
      </c>
      <c r="E6" s="112">
        <f>D6*2</f>
        <v>17.333333333333332</v>
      </c>
      <c r="F6" s="112">
        <f>D6*3</f>
        <v>26</v>
      </c>
      <c r="G6" s="112">
        <f>D6*4</f>
        <v>34.666666666666664</v>
      </c>
    </row>
    <row r="7" spans="1:11">
      <c r="A7" t="s">
        <v>20</v>
      </c>
      <c r="D7" s="112">
        <f>52/12</f>
        <v>4.333333333333333</v>
      </c>
      <c r="E7" s="112">
        <f t="shared" ref="E7:E9" si="0">D7*2</f>
        <v>8.6666666666666661</v>
      </c>
      <c r="F7" s="112">
        <f t="shared" ref="F7:F9" si="1">D7*3</f>
        <v>13</v>
      </c>
      <c r="G7" s="112">
        <f t="shared" ref="G7:G9" si="2">D7*4</f>
        <v>17.333333333333332</v>
      </c>
    </row>
    <row r="8" spans="1:11">
      <c r="A8" t="s">
        <v>22</v>
      </c>
      <c r="D8" s="112">
        <f>26/12</f>
        <v>2.1666666666666665</v>
      </c>
      <c r="E8" s="112">
        <f t="shared" si="0"/>
        <v>4.333333333333333</v>
      </c>
      <c r="F8" s="112">
        <f t="shared" si="1"/>
        <v>6.5</v>
      </c>
      <c r="G8" s="112">
        <f t="shared" si="2"/>
        <v>8.6666666666666661</v>
      </c>
    </row>
    <row r="9" spans="1:11">
      <c r="A9" t="s">
        <v>21</v>
      </c>
      <c r="D9" s="112">
        <f>12/12</f>
        <v>1</v>
      </c>
      <c r="E9" s="112">
        <f t="shared" si="0"/>
        <v>2</v>
      </c>
      <c r="F9" s="112">
        <f t="shared" si="1"/>
        <v>3</v>
      </c>
      <c r="G9" s="112">
        <f t="shared" si="2"/>
        <v>4</v>
      </c>
    </row>
    <row r="11" spans="1:11">
      <c r="A11" t="s">
        <v>18</v>
      </c>
      <c r="B11">
        <v>2000</v>
      </c>
    </row>
    <row r="12" spans="1:11">
      <c r="A12" t="s">
        <v>19</v>
      </c>
      <c r="B12" s="46" t="s">
        <v>49</v>
      </c>
    </row>
    <row r="14" spans="1:11">
      <c r="A14" s="47" t="s">
        <v>80</v>
      </c>
      <c r="B14" s="109" t="s">
        <v>6</v>
      </c>
      <c r="C14" s="1" t="s">
        <v>7</v>
      </c>
      <c r="E14" s="47" t="s">
        <v>25</v>
      </c>
      <c r="F14" s="1"/>
      <c r="I14" s="118"/>
    </row>
    <row r="15" spans="1:11">
      <c r="A15" s="17" t="s">
        <v>53</v>
      </c>
      <c r="B15" s="128">
        <v>60.56</v>
      </c>
      <c r="C15" s="140">
        <f>B15/2000</f>
        <v>3.0280000000000001E-2</v>
      </c>
      <c r="D15" s="25"/>
      <c r="E15" s="25" t="s">
        <v>26</v>
      </c>
      <c r="F15" s="141">
        <v>1.7500000000000002E-2</v>
      </c>
      <c r="G15" s="25"/>
      <c r="H15" s="25"/>
      <c r="I15" s="129"/>
      <c r="J15" s="25"/>
      <c r="K15" s="25"/>
    </row>
    <row r="16" spans="1:11">
      <c r="A16" s="17" t="s">
        <v>54</v>
      </c>
      <c r="B16" s="142">
        <v>65</v>
      </c>
      <c r="C16" s="143">
        <f>B16/2000</f>
        <v>3.2500000000000001E-2</v>
      </c>
      <c r="D16" s="25"/>
      <c r="E16" s="25" t="s">
        <v>27</v>
      </c>
      <c r="F16" s="129">
        <v>5.1000000000000004E-3</v>
      </c>
      <c r="G16" s="25"/>
    </row>
    <row r="17" spans="1:7">
      <c r="A17" s="17" t="s">
        <v>8</v>
      </c>
      <c r="B17" s="128">
        <f>B16-B15</f>
        <v>4.4399999999999977</v>
      </c>
      <c r="C17" s="140">
        <f>C16-C15</f>
        <v>2.2199999999999998E-3</v>
      </c>
      <c r="D17" s="25"/>
      <c r="E17" s="25" t="s">
        <v>79</v>
      </c>
      <c r="F17" s="25">
        <v>4.0000000000000001E-3</v>
      </c>
      <c r="G17" s="25"/>
    </row>
    <row r="18" spans="1:7">
      <c r="B18" s="25"/>
      <c r="C18" s="25"/>
      <c r="D18" s="25"/>
      <c r="E18" s="25" t="s">
        <v>15</v>
      </c>
      <c r="F18" s="141">
        <f>SUM(F15:F16)+F17</f>
        <v>2.6600000000000002E-2</v>
      </c>
      <c r="G18" s="25"/>
    </row>
    <row r="19" spans="1:7">
      <c r="B19" s="25"/>
      <c r="C19" s="25"/>
      <c r="D19" s="25"/>
      <c r="E19" s="25" t="s">
        <v>28</v>
      </c>
      <c r="F19" s="141">
        <f>1-F18</f>
        <v>0.97340000000000004</v>
      </c>
      <c r="G19" s="25"/>
    </row>
    <row r="20" spans="1:7">
      <c r="A20" t="s">
        <v>4</v>
      </c>
      <c r="B20" s="144">
        <f>B17</f>
        <v>4.4399999999999977</v>
      </c>
      <c r="C20" s="144"/>
      <c r="D20" s="25"/>
      <c r="E20" s="25" t="s">
        <v>63</v>
      </c>
      <c r="F20" s="25"/>
      <c r="G20" s="25"/>
    </row>
    <row r="21" spans="1:7">
      <c r="A21" t="s">
        <v>24</v>
      </c>
      <c r="B21" s="144">
        <f>B20/F19</f>
        <v>4.5613314156564595</v>
      </c>
      <c r="C21" s="25"/>
      <c r="D21" s="25"/>
      <c r="E21" s="25"/>
      <c r="F21" s="25"/>
      <c r="G21" s="25"/>
    </row>
    <row r="22" spans="1:7">
      <c r="A22" t="s">
        <v>23</v>
      </c>
      <c r="B22" s="28">
        <f>+'Compost Invoices'!U41</f>
        <v>829.15</v>
      </c>
      <c r="C22" s="25"/>
      <c r="D22" s="25"/>
      <c r="E22" s="25"/>
      <c r="F22" s="25"/>
      <c r="G22" s="25"/>
    </row>
    <row r="23" spans="1:7">
      <c r="A23" s="49" t="s">
        <v>29</v>
      </c>
      <c r="B23" s="145">
        <f>B21*B22</f>
        <v>3782.0279432915531</v>
      </c>
      <c r="C23" s="25"/>
      <c r="D23" s="25"/>
      <c r="E23" s="25"/>
      <c r="F23" s="25"/>
      <c r="G23" s="25"/>
    </row>
    <row r="24" spans="1:7">
      <c r="B24" s="25"/>
      <c r="C24" s="25"/>
      <c r="D24" s="25"/>
      <c r="E24" s="25"/>
      <c r="F24" s="25"/>
      <c r="G24" s="25"/>
    </row>
    <row r="25" spans="1:7">
      <c r="A25" t="s">
        <v>50</v>
      </c>
      <c r="B25" s="7">
        <f>'Staff calcs '!S51</f>
        <v>3709.4400000000023</v>
      </c>
    </row>
    <row r="26" spans="1:7">
      <c r="A26" s="50" t="s">
        <v>11</v>
      </c>
      <c r="B26" s="48">
        <f>B25-B23</f>
        <v>-72.5879432915508</v>
      </c>
    </row>
    <row r="27" spans="1:7">
      <c r="E27" s="117" t="s">
        <v>56</v>
      </c>
      <c r="F27" s="1"/>
    </row>
    <row r="28" spans="1:7">
      <c r="A28" s="49" t="s">
        <v>51</v>
      </c>
      <c r="B28" s="110">
        <f>'Staff calcs '!U51</f>
        <v>3709.4400000000023</v>
      </c>
      <c r="E28">
        <v>0.01</v>
      </c>
    </row>
    <row r="29" spans="1:7">
      <c r="A29" s="50" t="s">
        <v>11</v>
      </c>
      <c r="B29" s="48">
        <f>B28-B23</f>
        <v>-72.5879432915508</v>
      </c>
      <c r="C29" s="13">
        <f>B29/B23</f>
        <v>-1.9192862765677103E-2</v>
      </c>
    </row>
  </sheetData>
  <mergeCells count="1">
    <mergeCell ref="D4:G4"/>
  </mergeCells>
  <pageMargins left="0.28000000000000003" right="0.52" top="0.75" bottom="0.75" header="0.3" footer="0.3"/>
  <pageSetup scale="63" orientation="portrait" r:id="rId1"/>
  <colBreaks count="1" manualBreakCount="1">
    <brk id="1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zoomScaleNormal="100" workbookViewId="0">
      <selection activeCell="D3" sqref="D3"/>
    </sheetView>
  </sheetViews>
  <sheetFormatPr defaultRowHeight="15"/>
  <cols>
    <col min="1" max="1" width="23" customWidth="1"/>
    <col min="15" max="15" width="9.140625" style="17"/>
  </cols>
  <sheetData>
    <row r="1" spans="1:21">
      <c r="A1" s="49" t="s">
        <v>98</v>
      </c>
    </row>
    <row r="2" spans="1:21" s="17" customFormat="1">
      <c r="A2" s="49" t="s">
        <v>99</v>
      </c>
    </row>
    <row r="3" spans="1:21" s="17" customFormat="1">
      <c r="A3" s="49" t="s">
        <v>100</v>
      </c>
    </row>
    <row r="4" spans="1:21" s="17" customFormat="1">
      <c r="A4" s="49" t="s">
        <v>106</v>
      </c>
    </row>
    <row r="5" spans="1:21">
      <c r="B5" s="150">
        <v>2019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49"/>
      <c r="O5" s="49"/>
      <c r="P5" s="150">
        <v>2020</v>
      </c>
      <c r="Q5" s="150"/>
      <c r="R5" s="150"/>
      <c r="S5" s="150"/>
      <c r="T5" s="150"/>
      <c r="U5" s="150"/>
    </row>
    <row r="6" spans="1:21">
      <c r="B6" s="49" t="s">
        <v>81</v>
      </c>
      <c r="C6" s="49" t="s">
        <v>82</v>
      </c>
      <c r="D6" s="49" t="s">
        <v>83</v>
      </c>
      <c r="E6" s="49" t="s">
        <v>84</v>
      </c>
      <c r="F6" s="49" t="s">
        <v>85</v>
      </c>
      <c r="G6" s="49" t="s">
        <v>90</v>
      </c>
      <c r="H6" s="49" t="s">
        <v>91</v>
      </c>
      <c r="I6" s="49" t="s">
        <v>86</v>
      </c>
      <c r="J6" s="49" t="s">
        <v>93</v>
      </c>
      <c r="K6" s="49" t="s">
        <v>87</v>
      </c>
      <c r="L6" s="49" t="s">
        <v>88</v>
      </c>
      <c r="M6" s="49" t="s">
        <v>89</v>
      </c>
      <c r="N6" s="49" t="s">
        <v>15</v>
      </c>
      <c r="O6" s="49"/>
      <c r="P6" s="49" t="s">
        <v>81</v>
      </c>
      <c r="Q6" s="49" t="s">
        <v>82</v>
      </c>
      <c r="R6" s="49" t="s">
        <v>83</v>
      </c>
      <c r="S6" s="49" t="s">
        <v>84</v>
      </c>
      <c r="T6" s="49" t="s">
        <v>85</v>
      </c>
      <c r="U6" s="49" t="s">
        <v>90</v>
      </c>
    </row>
    <row r="7" spans="1:21">
      <c r="B7">
        <v>6.51</v>
      </c>
      <c r="C7">
        <v>2.93</v>
      </c>
      <c r="D7">
        <v>1.54</v>
      </c>
      <c r="E7">
        <v>6.03</v>
      </c>
      <c r="F7">
        <v>8.3800000000000008</v>
      </c>
      <c r="G7">
        <v>9.64</v>
      </c>
      <c r="H7">
        <v>4.3</v>
      </c>
      <c r="I7">
        <v>5.92</v>
      </c>
      <c r="J7">
        <v>4.57</v>
      </c>
      <c r="K7">
        <v>6.3</v>
      </c>
      <c r="L7">
        <v>5.54</v>
      </c>
      <c r="M7">
        <v>5</v>
      </c>
      <c r="P7">
        <v>2.21</v>
      </c>
      <c r="Q7">
        <v>2.15</v>
      </c>
      <c r="R7">
        <v>4.21</v>
      </c>
      <c r="S7">
        <v>6.23</v>
      </c>
      <c r="T7">
        <v>8.0399999999999991</v>
      </c>
      <c r="U7">
        <v>3.69</v>
      </c>
    </row>
    <row r="8" spans="1:21">
      <c r="B8">
        <v>3.96</v>
      </c>
      <c r="C8">
        <v>2.02</v>
      </c>
      <c r="D8">
        <v>2.29</v>
      </c>
      <c r="E8">
        <v>4.92</v>
      </c>
      <c r="F8">
        <v>10.42</v>
      </c>
      <c r="G8">
        <v>6.84</v>
      </c>
      <c r="H8">
        <v>7.03</v>
      </c>
      <c r="I8">
        <v>5.33</v>
      </c>
      <c r="J8">
        <v>3.31</v>
      </c>
      <c r="K8">
        <v>5.81</v>
      </c>
      <c r="L8">
        <v>5.76</v>
      </c>
      <c r="M8">
        <v>3.23</v>
      </c>
      <c r="P8">
        <v>4.01</v>
      </c>
      <c r="Q8">
        <v>4.1399999999999997</v>
      </c>
      <c r="R8">
        <v>2.63</v>
      </c>
      <c r="S8">
        <v>8.4700000000000006</v>
      </c>
      <c r="T8">
        <v>7.58</v>
      </c>
      <c r="U8">
        <v>2.13</v>
      </c>
    </row>
    <row r="9" spans="1:21">
      <c r="B9">
        <v>5.0199999999999996</v>
      </c>
      <c r="C9">
        <v>3.29</v>
      </c>
      <c r="D9">
        <v>3.42</v>
      </c>
      <c r="E9">
        <v>4.4800000000000004</v>
      </c>
      <c r="F9">
        <v>8.43</v>
      </c>
      <c r="G9">
        <v>6.91</v>
      </c>
      <c r="H9">
        <v>3.58</v>
      </c>
      <c r="I9">
        <v>4.97</v>
      </c>
      <c r="J9">
        <v>3.27</v>
      </c>
      <c r="K9">
        <v>4.0599999999999996</v>
      </c>
      <c r="L9">
        <v>4.78</v>
      </c>
      <c r="M9">
        <v>5.12</v>
      </c>
      <c r="P9">
        <v>3.96</v>
      </c>
      <c r="Q9">
        <v>4.42</v>
      </c>
      <c r="R9">
        <v>3.74</v>
      </c>
      <c r="S9">
        <v>6.28</v>
      </c>
      <c r="T9">
        <v>7.8</v>
      </c>
      <c r="U9">
        <v>5.2</v>
      </c>
    </row>
    <row r="10" spans="1:21">
      <c r="B10">
        <v>3.28</v>
      </c>
      <c r="C10">
        <v>2.0499999999999998</v>
      </c>
      <c r="D10">
        <v>3.23</v>
      </c>
      <c r="E10">
        <v>3.18</v>
      </c>
      <c r="F10">
        <v>7.05</v>
      </c>
      <c r="G10">
        <v>5.34</v>
      </c>
      <c r="H10">
        <v>4.97</v>
      </c>
      <c r="I10">
        <v>4.42</v>
      </c>
      <c r="J10">
        <v>3.08</v>
      </c>
      <c r="K10">
        <v>6.92</v>
      </c>
      <c r="L10">
        <v>3.42</v>
      </c>
      <c r="M10">
        <v>5.51</v>
      </c>
      <c r="P10">
        <v>3.7</v>
      </c>
      <c r="Q10">
        <v>4.3499999999999996</v>
      </c>
      <c r="R10">
        <v>3.5</v>
      </c>
      <c r="S10">
        <v>7.46</v>
      </c>
      <c r="T10">
        <v>5.32</v>
      </c>
      <c r="U10">
        <v>3.81</v>
      </c>
    </row>
    <row r="11" spans="1:21">
      <c r="B11">
        <v>4.6399999999999997</v>
      </c>
      <c r="C11">
        <v>3.47</v>
      </c>
      <c r="D11">
        <v>1.76</v>
      </c>
      <c r="E11">
        <v>4.5199999999999996</v>
      </c>
      <c r="F11">
        <v>8.7100000000000009</v>
      </c>
      <c r="G11">
        <v>8.26</v>
      </c>
      <c r="H11">
        <v>4.3099999999999996</v>
      </c>
      <c r="I11">
        <v>4.3499999999999996</v>
      </c>
      <c r="J11">
        <v>2.2200000000000002</v>
      </c>
      <c r="K11">
        <v>4.92</v>
      </c>
      <c r="L11">
        <v>4.83</v>
      </c>
      <c r="M11">
        <v>3.81</v>
      </c>
      <c r="P11">
        <v>2.04</v>
      </c>
      <c r="Q11">
        <v>4.43</v>
      </c>
      <c r="R11">
        <v>2.62</v>
      </c>
      <c r="S11">
        <v>3.21</v>
      </c>
      <c r="T11">
        <v>2.5099999999999998</v>
      </c>
      <c r="U11">
        <v>4.8600000000000003</v>
      </c>
    </row>
    <row r="12" spans="1:21">
      <c r="B12">
        <v>5.84</v>
      </c>
      <c r="C12">
        <v>2.02</v>
      </c>
      <c r="D12">
        <v>1.89</v>
      </c>
      <c r="E12">
        <v>3.06</v>
      </c>
      <c r="F12">
        <v>8.15</v>
      </c>
      <c r="G12">
        <v>3.3</v>
      </c>
      <c r="H12">
        <v>6.41</v>
      </c>
      <c r="I12">
        <v>5.61</v>
      </c>
      <c r="J12">
        <v>4.2300000000000004</v>
      </c>
      <c r="K12">
        <v>6.42</v>
      </c>
      <c r="L12">
        <v>2.83</v>
      </c>
      <c r="M12">
        <v>3.63</v>
      </c>
      <c r="P12">
        <v>3.61</v>
      </c>
      <c r="Q12">
        <v>6.23</v>
      </c>
      <c r="R12">
        <v>1.72</v>
      </c>
      <c r="S12">
        <v>2.5499999999999998</v>
      </c>
      <c r="T12">
        <v>2.46</v>
      </c>
      <c r="U12">
        <v>3.12</v>
      </c>
    </row>
    <row r="13" spans="1:21">
      <c r="B13">
        <v>3.27</v>
      </c>
      <c r="C13">
        <v>2.6</v>
      </c>
      <c r="D13">
        <v>3.06</v>
      </c>
      <c r="E13">
        <v>4.5199999999999996</v>
      </c>
      <c r="F13">
        <v>6.05</v>
      </c>
      <c r="G13">
        <v>8.8000000000000007</v>
      </c>
      <c r="H13">
        <v>4.5199999999999996</v>
      </c>
      <c r="I13">
        <v>6.03</v>
      </c>
      <c r="J13">
        <v>4.9400000000000004</v>
      </c>
      <c r="K13">
        <v>3.35</v>
      </c>
      <c r="L13">
        <v>4.53</v>
      </c>
      <c r="M13">
        <v>2.5099999999999998</v>
      </c>
      <c r="P13">
        <v>2.2000000000000002</v>
      </c>
      <c r="Q13">
        <v>5.07</v>
      </c>
      <c r="R13">
        <v>2.5</v>
      </c>
      <c r="S13">
        <v>4.0599999999999996</v>
      </c>
      <c r="T13">
        <v>3.95</v>
      </c>
      <c r="U13">
        <v>3.4</v>
      </c>
    </row>
    <row r="14" spans="1:21">
      <c r="B14">
        <v>6.42</v>
      </c>
      <c r="C14">
        <v>1.03</v>
      </c>
      <c r="D14">
        <v>2.81</v>
      </c>
      <c r="E14">
        <v>3.33</v>
      </c>
      <c r="F14">
        <v>5.48</v>
      </c>
      <c r="G14">
        <v>5.98</v>
      </c>
      <c r="H14">
        <v>4.1399999999999997</v>
      </c>
      <c r="I14">
        <v>4.1399999999999997</v>
      </c>
      <c r="J14">
        <v>3.2</v>
      </c>
      <c r="K14">
        <v>6.3</v>
      </c>
      <c r="L14">
        <v>2.7</v>
      </c>
      <c r="M14">
        <v>2.66</v>
      </c>
      <c r="P14">
        <v>5.09</v>
      </c>
      <c r="R14">
        <v>2.57</v>
      </c>
      <c r="S14">
        <v>2.35</v>
      </c>
      <c r="T14">
        <v>5.03</v>
      </c>
      <c r="U14">
        <v>3.71</v>
      </c>
    </row>
    <row r="15" spans="1:21">
      <c r="D15">
        <v>2.89</v>
      </c>
      <c r="E15">
        <v>4.82</v>
      </c>
      <c r="F15">
        <v>6.32</v>
      </c>
      <c r="G15">
        <v>5.55</v>
      </c>
      <c r="H15">
        <v>5.13</v>
      </c>
      <c r="I15">
        <v>2.68</v>
      </c>
      <c r="J15">
        <v>4.5599999999999996</v>
      </c>
      <c r="K15">
        <v>3.28</v>
      </c>
      <c r="L15">
        <v>6.1</v>
      </c>
      <c r="R15">
        <v>3.83</v>
      </c>
      <c r="S15">
        <v>1.9</v>
      </c>
      <c r="T15">
        <v>1.63</v>
      </c>
      <c r="U15">
        <v>9.07</v>
      </c>
    </row>
    <row r="16" spans="1:21">
      <c r="D16">
        <v>4.26</v>
      </c>
      <c r="E16">
        <v>5.34</v>
      </c>
      <c r="F16">
        <v>5.68</v>
      </c>
      <c r="G16">
        <v>6.96</v>
      </c>
      <c r="H16">
        <v>4.2</v>
      </c>
      <c r="I16">
        <v>4.3899999999999997</v>
      </c>
      <c r="J16">
        <v>4.25</v>
      </c>
      <c r="K16">
        <v>4.1900000000000004</v>
      </c>
      <c r="L16">
        <v>5.4</v>
      </c>
      <c r="R16">
        <v>3.28</v>
      </c>
      <c r="S16">
        <v>4.71</v>
      </c>
      <c r="T16">
        <v>3.68</v>
      </c>
      <c r="U16">
        <v>5.16</v>
      </c>
    </row>
    <row r="17" spans="1:21">
      <c r="D17">
        <v>4.82</v>
      </c>
      <c r="E17">
        <v>3.31</v>
      </c>
      <c r="F17">
        <v>5.88</v>
      </c>
      <c r="G17">
        <v>5.81</v>
      </c>
      <c r="H17">
        <v>4.01</v>
      </c>
      <c r="I17">
        <v>4.22</v>
      </c>
      <c r="J17">
        <v>3.81</v>
      </c>
      <c r="K17">
        <v>3.65</v>
      </c>
      <c r="L17">
        <v>3.75</v>
      </c>
      <c r="R17">
        <v>2.83</v>
      </c>
      <c r="S17">
        <v>4.3899999999999997</v>
      </c>
      <c r="T17">
        <v>3.69</v>
      </c>
      <c r="U17">
        <v>8.01</v>
      </c>
    </row>
    <row r="18" spans="1:21">
      <c r="D18">
        <v>3.86</v>
      </c>
      <c r="E18">
        <v>3.87</v>
      </c>
      <c r="F18">
        <v>6.96</v>
      </c>
      <c r="G18">
        <v>4.04</v>
      </c>
      <c r="H18">
        <v>4.5999999999999996</v>
      </c>
      <c r="I18">
        <v>5.15</v>
      </c>
      <c r="J18">
        <v>3.75</v>
      </c>
      <c r="K18">
        <v>2.0299999999999998</v>
      </c>
      <c r="L18">
        <v>5</v>
      </c>
      <c r="R18">
        <v>3.34</v>
      </c>
      <c r="S18">
        <v>2.6</v>
      </c>
      <c r="T18">
        <v>3.32</v>
      </c>
      <c r="U18">
        <v>5.67</v>
      </c>
    </row>
    <row r="19" spans="1:21">
      <c r="D19">
        <v>1.63</v>
      </c>
      <c r="E19">
        <v>6.9</v>
      </c>
      <c r="F19">
        <v>4.28</v>
      </c>
      <c r="G19">
        <v>5.86</v>
      </c>
      <c r="H19">
        <v>5.34</v>
      </c>
      <c r="I19">
        <v>3.13</v>
      </c>
      <c r="J19">
        <v>4.93</v>
      </c>
      <c r="K19">
        <v>4.8</v>
      </c>
      <c r="L19">
        <v>6.42</v>
      </c>
      <c r="R19">
        <v>6.09</v>
      </c>
      <c r="S19">
        <v>3.27</v>
      </c>
      <c r="T19">
        <v>3.72</v>
      </c>
      <c r="U19">
        <v>8.08</v>
      </c>
    </row>
    <row r="20" spans="1:21">
      <c r="D20">
        <v>5.15</v>
      </c>
      <c r="E20">
        <v>7.46</v>
      </c>
      <c r="F20">
        <v>6.82</v>
      </c>
      <c r="G20">
        <v>5.36</v>
      </c>
      <c r="H20">
        <v>4.63</v>
      </c>
      <c r="I20">
        <v>3.76</v>
      </c>
      <c r="J20">
        <v>2.1800000000000002</v>
      </c>
      <c r="K20">
        <v>3.65</v>
      </c>
      <c r="L20">
        <v>3.45</v>
      </c>
      <c r="R20">
        <v>4.3600000000000003</v>
      </c>
      <c r="S20">
        <v>3.22</v>
      </c>
      <c r="T20">
        <v>3.29</v>
      </c>
      <c r="U20">
        <v>7.82</v>
      </c>
    </row>
    <row r="21" spans="1:21">
      <c r="D21">
        <v>5.04</v>
      </c>
      <c r="E21">
        <v>5.59</v>
      </c>
      <c r="F21">
        <v>4.9000000000000004</v>
      </c>
      <c r="G21">
        <v>3.09</v>
      </c>
      <c r="H21">
        <v>2.96</v>
      </c>
      <c r="I21">
        <v>5.52</v>
      </c>
      <c r="J21">
        <v>4.9000000000000004</v>
      </c>
      <c r="K21">
        <v>3.05</v>
      </c>
      <c r="L21">
        <v>6.79</v>
      </c>
      <c r="R21">
        <v>5.0199999999999996</v>
      </c>
      <c r="S21">
        <v>4.3</v>
      </c>
      <c r="T21">
        <v>4.7300000000000004</v>
      </c>
      <c r="U21">
        <v>5.04</v>
      </c>
    </row>
    <row r="22" spans="1:21">
      <c r="D22">
        <v>3.09</v>
      </c>
      <c r="F22">
        <v>4.1399999999999997</v>
      </c>
      <c r="G22">
        <v>3.96</v>
      </c>
      <c r="H22">
        <v>3.97</v>
      </c>
      <c r="I22">
        <v>3.31</v>
      </c>
      <c r="J22">
        <v>3.4</v>
      </c>
      <c r="K22">
        <v>3.7</v>
      </c>
      <c r="L22">
        <v>4.51</v>
      </c>
      <c r="R22">
        <v>3.66</v>
      </c>
      <c r="S22">
        <v>2.74</v>
      </c>
      <c r="T22">
        <v>3.03</v>
      </c>
      <c r="U22">
        <v>7.2</v>
      </c>
    </row>
    <row r="23" spans="1:21">
      <c r="S23">
        <v>3.86</v>
      </c>
      <c r="T23">
        <v>4.3600000000000003</v>
      </c>
      <c r="U23">
        <v>6.27</v>
      </c>
    </row>
    <row r="24" spans="1:21">
      <c r="S24">
        <v>2.23</v>
      </c>
      <c r="T24">
        <v>4.08</v>
      </c>
      <c r="U24">
        <v>6.79</v>
      </c>
    </row>
    <row r="25" spans="1:21">
      <c r="S25">
        <v>4.12</v>
      </c>
      <c r="T25">
        <v>4.29</v>
      </c>
      <c r="U25">
        <v>4.84</v>
      </c>
    </row>
    <row r="26" spans="1:21">
      <c r="S26">
        <v>3.77</v>
      </c>
      <c r="T26">
        <v>2.99</v>
      </c>
      <c r="U26">
        <v>5.22</v>
      </c>
    </row>
    <row r="27" spans="1:21">
      <c r="S27">
        <v>7.39</v>
      </c>
      <c r="T27">
        <v>8.18</v>
      </c>
    </row>
    <row r="28" spans="1:21">
      <c r="S28">
        <v>4.68</v>
      </c>
      <c r="T28">
        <v>4.2300000000000004</v>
      </c>
    </row>
    <row r="29" spans="1:21">
      <c r="S29">
        <v>7.82</v>
      </c>
      <c r="T29">
        <v>7.8</v>
      </c>
    </row>
    <row r="30" spans="1:2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P30" s="1"/>
      <c r="Q30" s="1"/>
      <c r="R30" s="1"/>
      <c r="S30" s="1">
        <v>5.68</v>
      </c>
      <c r="T30" s="1">
        <v>6.21</v>
      </c>
      <c r="U30" s="1"/>
    </row>
    <row r="31" spans="1:21">
      <c r="A31" s="148" t="s">
        <v>105</v>
      </c>
      <c r="B31">
        <f>SUM(B7:B14)</f>
        <v>38.940000000000005</v>
      </c>
      <c r="C31">
        <f>SUM(C7:C14)</f>
        <v>19.41</v>
      </c>
      <c r="D31">
        <f>SUM(D7:D22)</f>
        <v>50.739999999999995</v>
      </c>
      <c r="E31">
        <f>SUM(E7:E21)</f>
        <v>71.33</v>
      </c>
      <c r="F31">
        <f>SUM(F7:F22)</f>
        <v>107.65000000000002</v>
      </c>
      <c r="G31">
        <f t="shared" ref="G31:L31" si="0">SUM(G7:G22)</f>
        <v>95.7</v>
      </c>
      <c r="H31">
        <f t="shared" si="0"/>
        <v>74.099999999999994</v>
      </c>
      <c r="I31">
        <f t="shared" si="0"/>
        <v>72.930000000000007</v>
      </c>
      <c r="J31">
        <f t="shared" si="0"/>
        <v>60.6</v>
      </c>
      <c r="K31">
        <f t="shared" si="0"/>
        <v>72.429999999999993</v>
      </c>
      <c r="L31">
        <f t="shared" si="0"/>
        <v>75.810000000000016</v>
      </c>
      <c r="M31">
        <f>SUM(M7:M14)</f>
        <v>31.469999999999995</v>
      </c>
      <c r="N31">
        <f>SUM(B31:M31)</f>
        <v>771.11</v>
      </c>
      <c r="P31">
        <f>SUM(P7:P14)</f>
        <v>26.819999999999997</v>
      </c>
      <c r="Q31">
        <f>SUM(Q7:Q13)</f>
        <v>30.79</v>
      </c>
      <c r="R31">
        <f>SUM(R7:R22)</f>
        <v>55.899999999999991</v>
      </c>
      <c r="S31">
        <f>SUM(S7:S30)</f>
        <v>107.29000000000002</v>
      </c>
      <c r="T31">
        <f>SUM(T7:T30)</f>
        <v>111.92</v>
      </c>
      <c r="U31">
        <f>SUM(U7:U26)</f>
        <v>109.09000000000003</v>
      </c>
    </row>
    <row r="32" spans="1:21">
      <c r="A32" s="148"/>
    </row>
    <row r="33" spans="1:21">
      <c r="A33" s="148" t="s">
        <v>94</v>
      </c>
      <c r="B33">
        <v>2077.46</v>
      </c>
      <c r="C33">
        <v>1192.93</v>
      </c>
      <c r="D33">
        <v>3449.06</v>
      </c>
      <c r="E33">
        <v>4681.79</v>
      </c>
      <c r="F33">
        <v>6774.42</v>
      </c>
      <c r="G33">
        <v>6022.42</v>
      </c>
      <c r="H33">
        <v>4663.12</v>
      </c>
      <c r="I33">
        <v>4676.68</v>
      </c>
      <c r="J33">
        <v>3813.55</v>
      </c>
      <c r="K33">
        <v>4558.03</v>
      </c>
      <c r="L33">
        <v>4770.71</v>
      </c>
      <c r="M33">
        <v>1980.38</v>
      </c>
      <c r="N33">
        <f>SUM(B33:M33)</f>
        <v>48660.55</v>
      </c>
      <c r="P33">
        <v>1687.78</v>
      </c>
      <c r="Q33">
        <v>1937.6</v>
      </c>
      <c r="R33">
        <v>3517.82</v>
      </c>
      <c r="S33">
        <v>6889.08</v>
      </c>
      <c r="T33">
        <v>7186.4</v>
      </c>
      <c r="U33">
        <v>7004.63</v>
      </c>
    </row>
    <row r="34" spans="1:21">
      <c r="A34" s="148" t="s">
        <v>95</v>
      </c>
      <c r="D34">
        <v>-141.82</v>
      </c>
      <c r="E34">
        <v>-174.84</v>
      </c>
      <c r="I34">
        <v>-81.13</v>
      </c>
      <c r="N34">
        <f>SUM(B34:M34)</f>
        <v>-397.78999999999996</v>
      </c>
    </row>
    <row r="35" spans="1:21">
      <c r="A35" s="49"/>
      <c r="D35">
        <v>-188.77</v>
      </c>
      <c r="E35">
        <v>-18.13</v>
      </c>
      <c r="I35">
        <v>-6.08</v>
      </c>
      <c r="N35" s="17">
        <f t="shared" ref="N35:N36" si="1">SUM(B35:M35)</f>
        <v>-212.98000000000002</v>
      </c>
    </row>
    <row r="36" spans="1:21">
      <c r="A36" s="148" t="s">
        <v>96</v>
      </c>
      <c r="B36">
        <f>+B33+B34+B35</f>
        <v>2077.46</v>
      </c>
      <c r="C36" s="17">
        <f t="shared" ref="C36:U36" si="2">+C33+C34+C35</f>
        <v>1192.93</v>
      </c>
      <c r="D36" s="17">
        <f t="shared" si="2"/>
        <v>3118.47</v>
      </c>
      <c r="E36" s="17">
        <f t="shared" si="2"/>
        <v>4488.82</v>
      </c>
      <c r="F36" s="17">
        <f t="shared" si="2"/>
        <v>6774.42</v>
      </c>
      <c r="G36" s="17">
        <f t="shared" si="2"/>
        <v>6022.42</v>
      </c>
      <c r="H36" s="17">
        <f t="shared" si="2"/>
        <v>4663.12</v>
      </c>
      <c r="I36" s="17">
        <f t="shared" si="2"/>
        <v>4589.47</v>
      </c>
      <c r="J36" s="17">
        <f t="shared" si="2"/>
        <v>3813.55</v>
      </c>
      <c r="K36" s="17">
        <f t="shared" si="2"/>
        <v>4558.03</v>
      </c>
      <c r="L36" s="17">
        <f t="shared" si="2"/>
        <v>4770.71</v>
      </c>
      <c r="M36" s="17">
        <f t="shared" si="2"/>
        <v>1980.38</v>
      </c>
      <c r="N36" s="17">
        <f t="shared" si="1"/>
        <v>48049.779999999992</v>
      </c>
      <c r="P36" s="17">
        <f t="shared" si="2"/>
        <v>1687.78</v>
      </c>
      <c r="Q36" s="17">
        <f t="shared" si="2"/>
        <v>1937.6</v>
      </c>
      <c r="R36" s="17">
        <f t="shared" si="2"/>
        <v>3517.82</v>
      </c>
      <c r="S36" s="17">
        <f t="shared" si="2"/>
        <v>6889.08</v>
      </c>
      <c r="T36" s="17">
        <f t="shared" si="2"/>
        <v>7186.4</v>
      </c>
      <c r="U36" s="17">
        <f t="shared" si="2"/>
        <v>7004.63</v>
      </c>
    </row>
    <row r="37" spans="1:21">
      <c r="A37" s="49"/>
    </row>
    <row r="38" spans="1:21">
      <c r="A38" s="148" t="s">
        <v>97</v>
      </c>
      <c r="B38" s="125">
        <f>+B36/B31</f>
        <v>53.350282485875702</v>
      </c>
      <c r="C38" s="125">
        <f t="shared" ref="C38:U38" si="3">+C36/C31</f>
        <v>61.459556929417829</v>
      </c>
      <c r="D38" s="125">
        <f t="shared" si="3"/>
        <v>61.459795033504143</v>
      </c>
      <c r="E38" s="125">
        <f t="shared" si="3"/>
        <v>62.930323846908735</v>
      </c>
      <c r="F38" s="125">
        <f t="shared" si="3"/>
        <v>62.930051091500218</v>
      </c>
      <c r="G38" s="125">
        <f t="shared" si="3"/>
        <v>62.930198537095087</v>
      </c>
      <c r="H38" s="125">
        <f t="shared" si="3"/>
        <v>62.930094466936573</v>
      </c>
      <c r="I38" s="125">
        <f t="shared" si="3"/>
        <v>62.929795694501571</v>
      </c>
      <c r="J38" s="125">
        <f t="shared" si="3"/>
        <v>62.929867986798683</v>
      </c>
      <c r="K38" s="125">
        <f t="shared" si="3"/>
        <v>62.930139444981364</v>
      </c>
      <c r="L38" s="125">
        <f t="shared" si="3"/>
        <v>62.929824561403493</v>
      </c>
      <c r="M38" s="125">
        <f t="shared" si="3"/>
        <v>62.929138862408657</v>
      </c>
      <c r="N38" s="125">
        <f>SUM(B38:M38)/12</f>
        <v>61.886589078444338</v>
      </c>
      <c r="O38" s="125"/>
      <c r="P38" s="125">
        <f t="shared" si="3"/>
        <v>62.929903057419843</v>
      </c>
      <c r="Q38" s="125">
        <f t="shared" si="3"/>
        <v>62.929522572263721</v>
      </c>
      <c r="R38" s="125">
        <f t="shared" si="3"/>
        <v>62.930590339892674</v>
      </c>
      <c r="S38" s="125">
        <f t="shared" si="3"/>
        <v>64.209898406188827</v>
      </c>
      <c r="T38" s="125">
        <f t="shared" si="3"/>
        <v>64.210150107219434</v>
      </c>
      <c r="U38" s="125">
        <f t="shared" si="3"/>
        <v>64.20964341369509</v>
      </c>
    </row>
    <row r="39" spans="1:21">
      <c r="A39" s="49"/>
    </row>
    <row r="40" spans="1:21">
      <c r="A40" s="49"/>
    </row>
    <row r="41" spans="1:21">
      <c r="A41" s="49" t="s">
        <v>104</v>
      </c>
      <c r="U41">
        <f>+U31+T31+S31+R31+Q31+P31+M31+L31+K31+J31+I31+H31</f>
        <v>829.15</v>
      </c>
    </row>
  </sheetData>
  <mergeCells count="2">
    <mergeCell ref="B5:M5"/>
    <mergeCell ref="P5:U5"/>
  </mergeCells>
  <pageMargins left="0.7" right="0.7" top="0.75" bottom="0.75" header="0.3" footer="0.3"/>
  <pageSetup scale="4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L85"/>
  <sheetViews>
    <sheetView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D1" sqref="D1:D3"/>
    </sheetView>
  </sheetViews>
  <sheetFormatPr defaultColWidth="8.85546875" defaultRowHeight="15"/>
  <cols>
    <col min="1" max="1" width="4.5703125" style="17" bestFit="1" customWidth="1"/>
    <col min="2" max="2" width="7.140625" style="17" customWidth="1"/>
    <col min="3" max="3" width="5.5703125" style="17" bestFit="1" customWidth="1"/>
    <col min="4" max="4" width="27" style="17" bestFit="1" customWidth="1"/>
    <col min="5" max="5" width="14.140625" style="17" customWidth="1"/>
    <col min="6" max="6" width="10.5703125" style="17" customWidth="1"/>
    <col min="7" max="7" width="12.85546875" style="17" bestFit="1" customWidth="1"/>
    <col min="8" max="8" width="13.42578125" style="17" bestFit="1" customWidth="1"/>
    <col min="9" max="9" width="15.7109375" style="17" bestFit="1" customWidth="1"/>
    <col min="10" max="10" width="15" style="17" bestFit="1" customWidth="1"/>
    <col min="11" max="11" width="12.42578125" style="17" customWidth="1"/>
    <col min="12" max="12" width="13" style="17" customWidth="1"/>
    <col min="13" max="13" width="9.140625" style="17" customWidth="1"/>
    <col min="14" max="14" width="9.28515625" style="25" bestFit="1" customWidth="1"/>
    <col min="15" max="15" width="9.5703125" style="25" bestFit="1" customWidth="1"/>
    <col min="16" max="16" width="9.28515625" style="25" bestFit="1" customWidth="1"/>
    <col min="17" max="17" width="15.7109375" style="17" bestFit="1" customWidth="1"/>
    <col min="18" max="18" width="16" style="17" bestFit="1" customWidth="1"/>
    <col min="19" max="19" width="12.85546875" style="17" bestFit="1" customWidth="1"/>
    <col min="20" max="20" width="16" style="17" bestFit="1" customWidth="1"/>
    <col min="21" max="21" width="12.28515625" style="17" customWidth="1"/>
    <col min="22" max="16384" width="8.85546875" style="17"/>
  </cols>
  <sheetData>
    <row r="1" spans="1:21" ht="15" customHeight="1">
      <c r="D1" s="49" t="s">
        <v>98</v>
      </c>
      <c r="F1" s="136"/>
      <c r="G1" s="136"/>
      <c r="H1" s="136"/>
      <c r="I1" s="136"/>
      <c r="J1" s="136"/>
      <c r="K1" s="130"/>
      <c r="L1" s="130"/>
      <c r="M1" s="55"/>
      <c r="O1" s="131"/>
    </row>
    <row r="2" spans="1:21">
      <c r="D2" s="49" t="s">
        <v>99</v>
      </c>
      <c r="F2" s="136"/>
      <c r="G2" s="136"/>
      <c r="H2" s="136"/>
      <c r="I2" s="136"/>
      <c r="J2" s="136"/>
      <c r="K2" s="139"/>
      <c r="L2" s="130"/>
      <c r="M2" s="55"/>
    </row>
    <row r="3" spans="1:21">
      <c r="D3" s="49" t="s">
        <v>100</v>
      </c>
      <c r="F3" s="136"/>
      <c r="G3" s="136"/>
      <c r="H3" s="136"/>
      <c r="I3" s="136"/>
      <c r="J3" s="136"/>
      <c r="K3" s="139"/>
      <c r="L3" s="130"/>
      <c r="M3" s="55"/>
    </row>
    <row r="4" spans="1:21">
      <c r="F4" s="130"/>
      <c r="G4" s="130"/>
      <c r="H4" s="130"/>
      <c r="I4" s="137"/>
      <c r="J4" s="130"/>
      <c r="K4" s="130"/>
      <c r="L4" s="130"/>
      <c r="M4" s="54"/>
    </row>
    <row r="5" spans="1:21" ht="45">
      <c r="A5" s="1"/>
      <c r="B5" s="2" t="s">
        <v>77</v>
      </c>
      <c r="C5" s="2" t="s">
        <v>14</v>
      </c>
      <c r="D5" s="106" t="s">
        <v>16</v>
      </c>
      <c r="E5" s="2" t="s">
        <v>42</v>
      </c>
      <c r="F5" s="2" t="s">
        <v>0</v>
      </c>
      <c r="G5" s="1" t="s">
        <v>1</v>
      </c>
      <c r="H5" s="3" t="s">
        <v>9</v>
      </c>
      <c r="I5" s="3" t="s">
        <v>33</v>
      </c>
      <c r="J5" s="3" t="s">
        <v>34</v>
      </c>
      <c r="K5" s="4" t="s">
        <v>8</v>
      </c>
      <c r="L5" s="5" t="s">
        <v>2</v>
      </c>
      <c r="M5" s="5" t="s">
        <v>43</v>
      </c>
      <c r="N5" s="5" t="s">
        <v>39</v>
      </c>
      <c r="O5" s="5" t="s">
        <v>36</v>
      </c>
      <c r="P5" s="5" t="s">
        <v>37</v>
      </c>
      <c r="Q5" s="5" t="s">
        <v>40</v>
      </c>
      <c r="R5" s="5" t="s">
        <v>38</v>
      </c>
      <c r="S5" s="5" t="s">
        <v>44</v>
      </c>
      <c r="T5" s="5" t="s">
        <v>41</v>
      </c>
      <c r="U5" s="5" t="s">
        <v>55</v>
      </c>
    </row>
    <row r="6" spans="1:21" s="25" customFormat="1">
      <c r="A6" s="151" t="s">
        <v>12</v>
      </c>
      <c r="B6" s="122">
        <v>100</v>
      </c>
      <c r="C6" s="32">
        <v>21</v>
      </c>
      <c r="D6" s="19" t="s">
        <v>101</v>
      </c>
      <c r="E6" s="21">
        <v>1344</v>
      </c>
      <c r="F6" s="16">
        <v>2.17</v>
      </c>
      <c r="G6" s="70">
        <f>E6*F6*12</f>
        <v>34997.760000000002</v>
      </c>
      <c r="H6" s="147">
        <v>68</v>
      </c>
      <c r="I6" s="15">
        <f>G6*H6</f>
        <v>2379847.6800000002</v>
      </c>
      <c r="J6" s="22">
        <f t="shared" ref="J6" si="0">$E$74*I6</f>
        <v>1658300</v>
      </c>
      <c r="K6" s="59">
        <f>References!$C$17*J6</f>
        <v>3681.4259999999995</v>
      </c>
      <c r="L6" s="67">
        <f>K6/References!$F$19</f>
        <v>3782.0279432915545</v>
      </c>
      <c r="M6" s="67">
        <f>L6/G6*F6</f>
        <v>0.23450074053147038</v>
      </c>
      <c r="N6" s="59">
        <v>8.15</v>
      </c>
      <c r="O6" s="67">
        <f>MROUND(N6+M6,References!$E$28)</f>
        <v>8.3800000000000008</v>
      </c>
      <c r="P6" s="59">
        <f>+O6</f>
        <v>8.3800000000000008</v>
      </c>
      <c r="Q6" s="61">
        <f>E6*N6*12</f>
        <v>131443.20000000001</v>
      </c>
      <c r="R6" s="61">
        <f>E6*P6*12</f>
        <v>135152.64000000001</v>
      </c>
      <c r="S6" s="61">
        <f>R6-Q6</f>
        <v>3709.4400000000023</v>
      </c>
      <c r="T6" s="61">
        <f>E6*O6*12</f>
        <v>135152.64000000001</v>
      </c>
      <c r="U6" s="108">
        <f>T6-Q6</f>
        <v>3709.4400000000023</v>
      </c>
    </row>
    <row r="7" spans="1:21" s="25" customFormat="1" ht="15" customHeight="1">
      <c r="A7" s="151"/>
    </row>
    <row r="8" spans="1:21" s="25" customFormat="1">
      <c r="A8" s="151"/>
      <c r="B8" s="122"/>
      <c r="C8" s="32"/>
      <c r="D8" s="19"/>
      <c r="E8" s="21"/>
      <c r="F8" s="16"/>
      <c r="G8" s="70"/>
      <c r="H8" s="15"/>
      <c r="I8" s="15"/>
      <c r="J8" s="22"/>
      <c r="K8" s="59"/>
      <c r="L8" s="67"/>
      <c r="M8" s="67"/>
      <c r="N8" s="59"/>
      <c r="O8" s="67"/>
      <c r="P8" s="67"/>
      <c r="Q8" s="61"/>
      <c r="R8" s="61"/>
      <c r="S8" s="61"/>
      <c r="T8" s="61"/>
      <c r="U8" s="108"/>
    </row>
    <row r="9" spans="1:21" s="25" customFormat="1">
      <c r="A9" s="151"/>
      <c r="B9" s="122"/>
      <c r="C9" s="32"/>
      <c r="D9" s="19"/>
      <c r="E9" s="21"/>
      <c r="F9" s="16"/>
      <c r="G9" s="70"/>
      <c r="H9" s="15"/>
      <c r="I9" s="15"/>
      <c r="J9" s="22"/>
      <c r="K9" s="59"/>
      <c r="L9" s="67"/>
      <c r="M9" s="67"/>
      <c r="N9" s="59"/>
      <c r="O9" s="67"/>
      <c r="P9" s="67"/>
      <c r="Q9" s="61"/>
      <c r="R9" s="61"/>
      <c r="S9" s="61"/>
      <c r="T9" s="61"/>
      <c r="U9" s="108"/>
    </row>
    <row r="10" spans="1:21" s="25" customFormat="1">
      <c r="A10" s="151"/>
      <c r="B10" s="122"/>
      <c r="C10" s="32"/>
      <c r="D10" s="19"/>
      <c r="E10" s="21"/>
      <c r="F10" s="16"/>
      <c r="G10" s="70"/>
      <c r="H10" s="15"/>
      <c r="I10" s="15"/>
      <c r="J10" s="22"/>
      <c r="K10" s="59"/>
      <c r="L10" s="67"/>
      <c r="M10" s="67"/>
      <c r="N10" s="59"/>
      <c r="O10" s="67"/>
      <c r="P10" s="67"/>
      <c r="Q10" s="61"/>
      <c r="R10" s="61"/>
      <c r="S10" s="61"/>
      <c r="T10" s="61"/>
      <c r="U10" s="108"/>
    </row>
    <row r="11" spans="1:21" s="25" customFormat="1">
      <c r="A11" s="151"/>
      <c r="B11" s="122"/>
      <c r="C11" s="32"/>
      <c r="D11" s="19"/>
      <c r="E11" s="21"/>
      <c r="F11" s="16"/>
      <c r="G11" s="70"/>
      <c r="H11" s="15"/>
      <c r="I11" s="15"/>
      <c r="J11" s="22"/>
      <c r="K11" s="59"/>
      <c r="L11" s="67"/>
      <c r="M11" s="67"/>
      <c r="N11" s="59"/>
      <c r="O11" s="67"/>
      <c r="P11" s="67"/>
      <c r="Q11" s="61"/>
      <c r="R11" s="61"/>
      <c r="S11" s="61"/>
      <c r="T11" s="61"/>
      <c r="U11" s="108"/>
    </row>
    <row r="12" spans="1:21" s="25" customFormat="1">
      <c r="A12" s="151"/>
      <c r="B12" s="122"/>
      <c r="C12" s="32"/>
      <c r="D12" s="19"/>
      <c r="E12" s="21"/>
      <c r="F12" s="16"/>
      <c r="G12" s="70"/>
      <c r="H12" s="15"/>
      <c r="I12" s="15"/>
      <c r="J12" s="22"/>
      <c r="K12" s="59"/>
      <c r="L12" s="67"/>
      <c r="M12" s="67"/>
      <c r="N12" s="59"/>
      <c r="O12" s="67"/>
      <c r="P12" s="132"/>
      <c r="Q12" s="61"/>
      <c r="R12" s="61"/>
      <c r="S12" s="61"/>
      <c r="T12" s="61"/>
      <c r="U12" s="108"/>
    </row>
    <row r="13" spans="1:21" s="25" customFormat="1">
      <c r="A13" s="151"/>
      <c r="B13" s="122"/>
      <c r="C13" s="32"/>
      <c r="D13" s="19"/>
      <c r="E13" s="21"/>
      <c r="F13" s="16"/>
      <c r="G13" s="70"/>
      <c r="H13" s="15"/>
      <c r="I13" s="15"/>
      <c r="J13" s="22"/>
      <c r="K13" s="59"/>
      <c r="L13" s="67"/>
      <c r="M13" s="67"/>
      <c r="N13" s="59"/>
      <c r="O13" s="67"/>
      <c r="P13" s="67"/>
      <c r="Q13" s="61"/>
      <c r="R13" s="61"/>
      <c r="S13" s="61"/>
      <c r="T13" s="61"/>
      <c r="U13" s="108"/>
    </row>
    <row r="14" spans="1:21" s="25" customFormat="1">
      <c r="A14" s="151"/>
      <c r="B14" s="122"/>
      <c r="C14" s="32"/>
      <c r="D14" s="19"/>
      <c r="E14" s="21"/>
      <c r="F14" s="16"/>
      <c r="G14" s="70"/>
      <c r="H14" s="15"/>
      <c r="I14" s="15"/>
      <c r="J14" s="22"/>
      <c r="K14" s="59"/>
      <c r="L14" s="67"/>
      <c r="M14" s="67"/>
      <c r="N14" s="59"/>
      <c r="O14" s="67"/>
      <c r="P14" s="67"/>
      <c r="Q14" s="61"/>
      <c r="R14" s="61"/>
      <c r="S14" s="61"/>
      <c r="T14" s="61"/>
      <c r="U14" s="108"/>
    </row>
    <row r="15" spans="1:21" s="25" customFormat="1" ht="14.45" customHeight="1">
      <c r="A15" s="151"/>
      <c r="B15" s="122"/>
      <c r="C15" s="32"/>
      <c r="D15" s="19"/>
      <c r="E15" s="21"/>
      <c r="F15" s="16"/>
      <c r="G15" s="70"/>
      <c r="H15" s="15"/>
      <c r="I15" s="15"/>
      <c r="J15" s="22"/>
      <c r="K15" s="59"/>
      <c r="L15" s="67"/>
      <c r="M15" s="67"/>
      <c r="N15" s="59"/>
      <c r="O15" s="67"/>
      <c r="P15" s="67"/>
      <c r="Q15" s="61"/>
      <c r="R15" s="61"/>
      <c r="S15" s="61"/>
      <c r="T15" s="61"/>
      <c r="U15" s="108"/>
    </row>
    <row r="16" spans="1:21" s="25" customFormat="1">
      <c r="A16" s="151"/>
      <c r="B16" s="122"/>
      <c r="C16" s="32"/>
      <c r="D16" s="19"/>
      <c r="E16" s="21"/>
      <c r="F16" s="16"/>
      <c r="G16" s="70"/>
      <c r="H16" s="15"/>
      <c r="I16" s="15"/>
      <c r="J16" s="22"/>
      <c r="K16" s="59"/>
      <c r="L16" s="67"/>
      <c r="M16" s="67"/>
      <c r="N16" s="59"/>
      <c r="O16" s="67"/>
      <c r="P16" s="67"/>
      <c r="Q16" s="61"/>
      <c r="R16" s="61"/>
      <c r="S16" s="61"/>
      <c r="T16" s="61"/>
      <c r="U16" s="108"/>
    </row>
    <row r="17" spans="1:21" s="25" customFormat="1">
      <c r="A17" s="151"/>
      <c r="B17" s="122"/>
      <c r="C17" s="32"/>
      <c r="D17" s="19"/>
      <c r="E17" s="21"/>
      <c r="F17" s="16"/>
      <c r="G17" s="70"/>
      <c r="H17" s="15"/>
      <c r="I17" s="15"/>
      <c r="J17" s="22"/>
      <c r="K17" s="59"/>
      <c r="L17" s="67"/>
      <c r="M17" s="67"/>
      <c r="N17" s="59"/>
      <c r="O17" s="67"/>
      <c r="P17" s="67"/>
      <c r="Q17" s="61"/>
      <c r="R17" s="61"/>
      <c r="S17" s="61"/>
      <c r="T17" s="61"/>
      <c r="U17" s="108"/>
    </row>
    <row r="18" spans="1:21" s="25" customFormat="1">
      <c r="A18" s="151"/>
      <c r="B18" s="122"/>
      <c r="C18" s="32"/>
      <c r="D18" s="19"/>
      <c r="E18" s="21"/>
      <c r="F18" s="16"/>
      <c r="G18" s="70"/>
      <c r="H18" s="15"/>
      <c r="I18" s="15"/>
      <c r="J18" s="22"/>
      <c r="K18" s="59"/>
      <c r="L18" s="67"/>
      <c r="M18" s="67"/>
      <c r="N18" s="59"/>
      <c r="O18" s="67"/>
      <c r="P18" s="67"/>
      <c r="Q18" s="61"/>
      <c r="R18" s="61"/>
      <c r="S18" s="61"/>
      <c r="T18" s="61"/>
      <c r="U18" s="108"/>
    </row>
    <row r="19" spans="1:21" s="25" customFormat="1">
      <c r="A19" s="152"/>
      <c r="B19" s="123"/>
      <c r="C19" s="39"/>
      <c r="D19" s="40"/>
      <c r="E19" s="26"/>
      <c r="F19" s="16"/>
      <c r="G19" s="71"/>
      <c r="H19" s="28"/>
      <c r="I19" s="28"/>
      <c r="J19" s="29"/>
      <c r="K19" s="59"/>
      <c r="L19" s="68"/>
      <c r="M19" s="68"/>
      <c r="N19" s="60"/>
      <c r="O19" s="67"/>
      <c r="P19" s="68"/>
      <c r="Q19" s="62"/>
      <c r="R19" s="62"/>
      <c r="S19" s="62"/>
      <c r="T19" s="62"/>
      <c r="U19" s="108"/>
    </row>
    <row r="20" spans="1:21" s="25" customFormat="1" ht="14.45" customHeight="1">
      <c r="A20" s="153" t="s">
        <v>92</v>
      </c>
      <c r="B20" s="124"/>
      <c r="C20" s="32"/>
      <c r="D20" s="56" t="s">
        <v>15</v>
      </c>
      <c r="E20" s="57">
        <f>SUM(E6:E19)</f>
        <v>1344</v>
      </c>
      <c r="F20" s="66"/>
      <c r="G20" s="57">
        <f>SUM(G6:G19)</f>
        <v>34997.760000000002</v>
      </c>
      <c r="H20" s="15"/>
      <c r="I20" s="127">
        <f>SUM(I6:I19)</f>
        <v>2379847.6800000002</v>
      </c>
      <c r="J20" s="127">
        <f>SUM(J6:J19)</f>
        <v>1658300</v>
      </c>
      <c r="K20" s="66"/>
      <c r="L20" s="66"/>
      <c r="M20" s="66"/>
      <c r="N20" s="16"/>
      <c r="O20" s="66"/>
      <c r="P20" s="27"/>
      <c r="Q20" s="57">
        <f>SUM(Q6:Q19)</f>
        <v>131443.20000000001</v>
      </c>
      <c r="R20" s="57">
        <f>SUM(R6:R19)</f>
        <v>135152.64000000001</v>
      </c>
      <c r="S20" s="57">
        <f>SUM(S6:S19)</f>
        <v>3709.4400000000023</v>
      </c>
      <c r="T20" s="63">
        <f>SUM(T7:T19)</f>
        <v>0</v>
      </c>
      <c r="U20" s="57">
        <f>SUM(U6:U19)</f>
        <v>3709.4400000000023</v>
      </c>
    </row>
    <row r="21" spans="1:21" s="25" customFormat="1">
      <c r="A21" s="151"/>
      <c r="B21" s="122"/>
      <c r="C21" s="33"/>
      <c r="D21" s="34"/>
      <c r="E21" s="35"/>
      <c r="F21" s="16"/>
      <c r="G21" s="69"/>
      <c r="H21" s="36"/>
      <c r="I21" s="15"/>
      <c r="J21" s="22"/>
      <c r="K21" s="59"/>
      <c r="L21" s="67"/>
      <c r="M21" s="67"/>
      <c r="N21" s="58"/>
      <c r="O21" s="67"/>
      <c r="P21" s="59"/>
      <c r="Q21" s="90"/>
      <c r="R21" s="90"/>
      <c r="S21" s="90"/>
      <c r="T21" s="90"/>
      <c r="U21" s="108"/>
    </row>
    <row r="22" spans="1:21" s="25" customFormat="1">
      <c r="A22" s="151"/>
      <c r="B22" s="122"/>
      <c r="C22" s="32"/>
      <c r="D22" s="19"/>
      <c r="E22" s="21"/>
      <c r="F22" s="16"/>
      <c r="G22" s="70"/>
      <c r="H22" s="15"/>
      <c r="I22" s="15"/>
      <c r="J22" s="22"/>
      <c r="K22" s="59"/>
      <c r="L22" s="67"/>
      <c r="M22" s="67"/>
      <c r="N22" s="59"/>
      <c r="O22" s="67"/>
      <c r="P22" s="59"/>
      <c r="Q22" s="61"/>
      <c r="R22" s="61"/>
      <c r="S22" s="61"/>
      <c r="T22" s="61"/>
      <c r="U22" s="108"/>
    </row>
    <row r="23" spans="1:21" s="25" customFormat="1">
      <c r="A23" s="151"/>
      <c r="B23" s="122"/>
      <c r="C23" s="32"/>
      <c r="D23" s="19"/>
      <c r="E23" s="21"/>
      <c r="F23" s="16"/>
      <c r="G23" s="70"/>
      <c r="H23" s="15"/>
      <c r="I23" s="15"/>
      <c r="J23" s="22"/>
      <c r="K23" s="59"/>
      <c r="L23" s="67"/>
      <c r="M23" s="67"/>
      <c r="N23" s="59"/>
      <c r="O23" s="67"/>
      <c r="P23" s="59"/>
      <c r="Q23" s="61"/>
      <c r="R23" s="61"/>
      <c r="S23" s="61"/>
      <c r="T23" s="61"/>
      <c r="U23" s="108"/>
    </row>
    <row r="24" spans="1:21" s="25" customFormat="1">
      <c r="A24" s="151"/>
      <c r="B24" s="122"/>
      <c r="C24" s="32"/>
      <c r="D24" s="19"/>
      <c r="E24" s="21"/>
      <c r="F24" s="16"/>
      <c r="G24" s="70"/>
      <c r="H24" s="15"/>
      <c r="I24" s="15"/>
      <c r="J24" s="22"/>
      <c r="K24" s="59"/>
      <c r="L24" s="67"/>
      <c r="M24" s="67"/>
      <c r="N24" s="59"/>
      <c r="O24" s="67"/>
      <c r="P24" s="59"/>
      <c r="Q24" s="61"/>
      <c r="R24" s="61"/>
      <c r="S24" s="61"/>
      <c r="T24" s="61"/>
      <c r="U24" s="108"/>
    </row>
    <row r="25" spans="1:21" s="25" customFormat="1">
      <c r="A25" s="151"/>
      <c r="B25" s="122"/>
      <c r="C25" s="32"/>
      <c r="D25" s="19"/>
      <c r="E25" s="21"/>
      <c r="F25" s="16"/>
      <c r="G25" s="70"/>
      <c r="H25" s="15"/>
      <c r="I25" s="15"/>
      <c r="J25" s="22"/>
      <c r="K25" s="59"/>
      <c r="L25" s="67"/>
      <c r="M25" s="67"/>
      <c r="N25" s="59"/>
      <c r="O25" s="67"/>
      <c r="P25" s="59"/>
      <c r="Q25" s="61"/>
      <c r="R25" s="61"/>
      <c r="S25" s="61"/>
      <c r="T25" s="61"/>
      <c r="U25" s="108"/>
    </row>
    <row r="26" spans="1:21" s="25" customFormat="1">
      <c r="A26" s="151"/>
      <c r="B26" s="122"/>
      <c r="C26" s="32"/>
      <c r="D26" s="19"/>
      <c r="E26" s="21"/>
      <c r="F26" s="16"/>
      <c r="G26" s="70"/>
      <c r="H26" s="15"/>
      <c r="I26" s="15"/>
      <c r="J26" s="22"/>
      <c r="K26" s="59"/>
      <c r="L26" s="67"/>
      <c r="M26" s="67"/>
      <c r="N26" s="59"/>
      <c r="O26" s="67"/>
      <c r="P26" s="59"/>
      <c r="Q26" s="61"/>
      <c r="R26" s="61"/>
      <c r="S26" s="61"/>
      <c r="T26" s="61"/>
      <c r="U26" s="108"/>
    </row>
    <row r="27" spans="1:21" s="25" customFormat="1">
      <c r="A27" s="151"/>
      <c r="B27" s="122"/>
      <c r="C27" s="32"/>
      <c r="D27" s="19"/>
      <c r="E27" s="21"/>
      <c r="F27" s="16"/>
      <c r="G27" s="70"/>
      <c r="H27" s="15"/>
      <c r="I27" s="15"/>
      <c r="J27" s="22"/>
      <c r="K27" s="59"/>
      <c r="L27" s="67"/>
      <c r="M27" s="67"/>
      <c r="N27" s="59"/>
      <c r="O27" s="67"/>
      <c r="P27" s="59"/>
      <c r="Q27" s="61"/>
      <c r="R27" s="61"/>
      <c r="S27" s="61"/>
      <c r="T27" s="61"/>
      <c r="U27" s="108"/>
    </row>
    <row r="28" spans="1:21" s="25" customFormat="1">
      <c r="A28" s="151"/>
      <c r="B28" s="122"/>
      <c r="C28" s="32"/>
      <c r="D28" s="19"/>
      <c r="E28" s="21"/>
      <c r="F28" s="16"/>
      <c r="G28" s="70"/>
      <c r="H28" s="15"/>
      <c r="I28" s="15"/>
      <c r="J28" s="22"/>
      <c r="K28" s="59"/>
      <c r="L28" s="67"/>
      <c r="M28" s="67"/>
      <c r="N28" s="59"/>
      <c r="O28" s="67"/>
      <c r="P28" s="59"/>
      <c r="Q28" s="61"/>
      <c r="R28" s="61"/>
      <c r="S28" s="61"/>
      <c r="T28" s="61"/>
      <c r="U28" s="108"/>
    </row>
    <row r="29" spans="1:21" s="25" customFormat="1">
      <c r="A29" s="151"/>
      <c r="B29" s="122"/>
      <c r="C29" s="32"/>
      <c r="D29" s="19"/>
      <c r="E29" s="21"/>
      <c r="F29" s="16"/>
      <c r="G29" s="70"/>
      <c r="H29" s="15"/>
      <c r="I29" s="15"/>
      <c r="J29" s="22"/>
      <c r="K29" s="59"/>
      <c r="L29" s="67"/>
      <c r="M29" s="67"/>
      <c r="N29" s="59"/>
      <c r="O29" s="67"/>
      <c r="P29" s="59"/>
      <c r="Q29" s="61"/>
      <c r="R29" s="61"/>
      <c r="S29" s="61"/>
      <c r="T29" s="61"/>
      <c r="U29" s="108"/>
    </row>
    <row r="30" spans="1:21" s="25" customFormat="1">
      <c r="A30" s="151"/>
      <c r="B30" s="122"/>
      <c r="C30" s="32"/>
      <c r="D30" s="19"/>
      <c r="E30" s="21"/>
      <c r="F30" s="16"/>
      <c r="G30" s="70"/>
      <c r="H30" s="15"/>
      <c r="I30" s="15"/>
      <c r="J30" s="22"/>
      <c r="K30" s="59"/>
      <c r="L30" s="67"/>
      <c r="M30" s="67"/>
      <c r="N30" s="59"/>
      <c r="O30" s="67"/>
      <c r="P30" s="59"/>
      <c r="Q30" s="61"/>
      <c r="R30" s="61"/>
      <c r="S30" s="61"/>
      <c r="T30" s="61"/>
      <c r="U30" s="108"/>
    </row>
    <row r="31" spans="1:21" s="25" customFormat="1">
      <c r="A31" s="151"/>
      <c r="B31" s="122"/>
      <c r="C31" s="32"/>
      <c r="D31" s="19"/>
      <c r="E31" s="21"/>
      <c r="F31" s="16"/>
      <c r="G31" s="70"/>
      <c r="H31" s="15"/>
      <c r="I31" s="15"/>
      <c r="J31" s="22"/>
      <c r="K31" s="59"/>
      <c r="L31" s="67"/>
      <c r="M31" s="67"/>
      <c r="N31" s="59"/>
      <c r="O31" s="67"/>
      <c r="P31" s="59"/>
      <c r="Q31" s="61"/>
      <c r="R31" s="61"/>
      <c r="S31" s="61"/>
      <c r="T31" s="61"/>
      <c r="U31" s="108"/>
    </row>
    <row r="32" spans="1:21" s="25" customFormat="1">
      <c r="A32" s="151"/>
      <c r="B32" s="122"/>
      <c r="C32" s="32"/>
      <c r="D32" s="19"/>
      <c r="E32" s="21"/>
      <c r="F32" s="16"/>
      <c r="G32" s="70"/>
      <c r="H32" s="15"/>
      <c r="I32" s="15"/>
      <c r="J32" s="22"/>
      <c r="K32" s="59"/>
      <c r="L32" s="67"/>
      <c r="M32" s="67"/>
      <c r="N32" s="59"/>
      <c r="O32" s="67"/>
      <c r="P32" s="59"/>
      <c r="Q32" s="61"/>
      <c r="R32" s="61"/>
      <c r="S32" s="61"/>
      <c r="T32" s="61"/>
      <c r="U32" s="108"/>
    </row>
    <row r="33" spans="1:116" s="126" customFormat="1">
      <c r="A33" s="151"/>
      <c r="B33" s="122"/>
      <c r="C33" s="32"/>
      <c r="D33" s="19"/>
      <c r="E33" s="21"/>
      <c r="F33" s="16"/>
      <c r="G33" s="70"/>
      <c r="H33" s="15"/>
      <c r="I33" s="15"/>
      <c r="J33" s="22"/>
      <c r="K33" s="59"/>
      <c r="L33" s="67"/>
      <c r="M33" s="67"/>
      <c r="N33" s="59"/>
      <c r="O33" s="67"/>
      <c r="P33" s="59"/>
      <c r="Q33" s="61"/>
      <c r="R33" s="61"/>
      <c r="S33" s="61"/>
      <c r="T33" s="61"/>
      <c r="U33" s="108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</row>
    <row r="34" spans="1:116" s="25" customFormat="1">
      <c r="A34" s="151"/>
      <c r="B34" s="122"/>
      <c r="C34" s="32"/>
      <c r="D34" s="19"/>
      <c r="E34" s="21"/>
      <c r="F34" s="16"/>
      <c r="G34" s="70"/>
      <c r="H34" s="15"/>
      <c r="I34" s="15"/>
      <c r="J34" s="22"/>
      <c r="K34" s="59"/>
      <c r="L34" s="67"/>
      <c r="M34" s="67"/>
      <c r="N34" s="138"/>
      <c r="O34" s="67"/>
      <c r="P34" s="59"/>
      <c r="Q34" s="61"/>
      <c r="R34" s="61"/>
      <c r="S34" s="61"/>
      <c r="T34" s="61"/>
      <c r="U34" s="108"/>
    </row>
    <row r="35" spans="1:116" s="25" customFormat="1">
      <c r="A35" s="151"/>
      <c r="B35" s="122"/>
      <c r="C35" s="32"/>
      <c r="D35" s="19"/>
      <c r="E35" s="21"/>
      <c r="F35" s="15"/>
      <c r="G35" s="70"/>
      <c r="H35" s="15"/>
      <c r="I35" s="15"/>
      <c r="J35" s="22"/>
      <c r="K35" s="59"/>
      <c r="L35" s="67"/>
      <c r="M35" s="67"/>
      <c r="N35" s="59"/>
      <c r="O35" s="67"/>
      <c r="P35" s="59"/>
      <c r="Q35" s="61"/>
      <c r="R35" s="61"/>
      <c r="S35" s="61"/>
      <c r="T35" s="61"/>
      <c r="U35" s="108"/>
    </row>
    <row r="36" spans="1:116" s="25" customFormat="1">
      <c r="A36" s="151"/>
      <c r="B36" s="122"/>
      <c r="C36" s="32"/>
      <c r="D36" s="19"/>
      <c r="E36" s="21"/>
      <c r="F36" s="15"/>
      <c r="G36" s="70"/>
      <c r="H36" s="15"/>
      <c r="I36" s="15"/>
      <c r="J36" s="22"/>
      <c r="K36" s="59"/>
      <c r="L36" s="67"/>
      <c r="M36" s="67"/>
      <c r="N36" s="59"/>
      <c r="O36" s="67"/>
      <c r="P36" s="59"/>
      <c r="Q36" s="61"/>
      <c r="R36" s="61"/>
      <c r="S36" s="61"/>
      <c r="T36" s="61"/>
      <c r="U36" s="108"/>
    </row>
    <row r="37" spans="1:116" s="25" customFormat="1">
      <c r="A37" s="151"/>
      <c r="B37" s="122"/>
      <c r="C37" s="32"/>
      <c r="D37" s="19"/>
      <c r="E37" s="21"/>
      <c r="F37" s="15"/>
      <c r="G37" s="70"/>
      <c r="H37" s="15"/>
      <c r="I37" s="15"/>
      <c r="J37" s="22"/>
      <c r="K37" s="59"/>
      <c r="L37" s="67"/>
      <c r="M37" s="67"/>
      <c r="N37" s="59"/>
      <c r="O37" s="67"/>
      <c r="P37" s="59"/>
      <c r="Q37" s="61"/>
      <c r="R37" s="61"/>
      <c r="S37" s="61"/>
      <c r="T37" s="61"/>
      <c r="U37" s="108"/>
    </row>
    <row r="38" spans="1:116" s="25" customFormat="1">
      <c r="A38" s="152"/>
      <c r="B38" s="123"/>
      <c r="C38" s="39"/>
      <c r="D38" s="40"/>
      <c r="E38" s="26"/>
      <c r="F38" s="27"/>
      <c r="G38" s="71"/>
      <c r="H38" s="28"/>
      <c r="I38" s="28"/>
      <c r="J38" s="29"/>
      <c r="K38" s="60"/>
      <c r="L38" s="68"/>
      <c r="M38" s="68"/>
      <c r="N38" s="60"/>
      <c r="O38" s="68"/>
      <c r="P38" s="60"/>
      <c r="Q38" s="62"/>
      <c r="R38" s="62"/>
      <c r="S38" s="62"/>
      <c r="T38" s="62"/>
      <c r="U38" s="114"/>
    </row>
    <row r="39" spans="1:116" ht="24" customHeight="1">
      <c r="A39" s="80"/>
      <c r="B39" s="121"/>
      <c r="C39" s="78"/>
      <c r="D39" s="79" t="s">
        <v>15</v>
      </c>
      <c r="E39" s="64">
        <f>SUM(E21:E38)</f>
        <v>0</v>
      </c>
      <c r="F39" s="27"/>
      <c r="G39" s="72">
        <f>SUM(G21:G38)</f>
        <v>0</v>
      </c>
      <c r="H39" s="28"/>
      <c r="I39" s="64">
        <f>SUM(I21:I38)</f>
        <v>0</v>
      </c>
      <c r="J39" s="64">
        <f>SUM(J21:J38)</f>
        <v>0</v>
      </c>
      <c r="K39" s="27"/>
      <c r="L39" s="27"/>
      <c r="M39" s="27"/>
      <c r="N39" s="27"/>
      <c r="O39" s="27"/>
      <c r="P39" s="27"/>
      <c r="Q39" s="91">
        <f>SUM(Q21:Q38)</f>
        <v>0</v>
      </c>
      <c r="R39" s="91">
        <f>SUM(R21:R38)</f>
        <v>0</v>
      </c>
      <c r="S39" s="91">
        <f>SUM(S21:S38)</f>
        <v>0</v>
      </c>
      <c r="T39" s="91">
        <f>SUM(T21:T38)</f>
        <v>0</v>
      </c>
      <c r="U39" s="91">
        <f>SUM(U21:U38)</f>
        <v>0</v>
      </c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</row>
    <row r="40" spans="1:116" s="25" customFormat="1" ht="14.45" customHeight="1">
      <c r="A40" s="153" t="s">
        <v>12</v>
      </c>
      <c r="B40" s="80"/>
      <c r="C40" s="81"/>
      <c r="D40" s="82" t="s">
        <v>30</v>
      </c>
      <c r="E40" s="17"/>
      <c r="F40" s="17"/>
      <c r="G40" s="17"/>
      <c r="H40" s="8"/>
      <c r="I40" s="13"/>
      <c r="J40" s="6"/>
      <c r="K40" s="17"/>
      <c r="L40" s="17"/>
      <c r="M40" s="17"/>
      <c r="Q40" s="65"/>
      <c r="R40" s="65"/>
      <c r="S40" s="65"/>
      <c r="T40" s="65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1:116">
      <c r="A41" s="151"/>
      <c r="B41" s="122"/>
      <c r="C41" s="32"/>
      <c r="D41" s="19"/>
      <c r="E41" s="21"/>
      <c r="F41" s="16"/>
      <c r="G41" s="70"/>
      <c r="H41" s="15"/>
      <c r="I41" s="15"/>
      <c r="J41" s="22"/>
      <c r="K41" s="59"/>
      <c r="L41" s="59"/>
      <c r="M41" s="67"/>
      <c r="N41" s="59"/>
      <c r="O41" s="132"/>
      <c r="P41" s="59"/>
      <c r="Q41" s="61"/>
      <c r="R41" s="61"/>
      <c r="S41" s="61"/>
      <c r="T41" s="92"/>
      <c r="U41" s="108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</row>
    <row r="42" spans="1:116">
      <c r="A42" s="151"/>
      <c r="B42" s="122"/>
      <c r="C42" s="32"/>
      <c r="D42" s="19"/>
      <c r="E42" s="20"/>
      <c r="F42" s="31"/>
      <c r="G42" s="70"/>
      <c r="H42" s="30"/>
      <c r="I42" s="15"/>
      <c r="J42" s="22"/>
      <c r="K42" s="59"/>
      <c r="L42" s="59"/>
      <c r="M42" s="67"/>
      <c r="N42" s="96"/>
      <c r="O42" s="67"/>
      <c r="P42" s="96"/>
      <c r="Q42" s="61"/>
      <c r="R42" s="61"/>
      <c r="S42" s="61"/>
      <c r="T42" s="92"/>
      <c r="U42" s="108"/>
    </row>
    <row r="43" spans="1:116">
      <c r="A43" s="151"/>
      <c r="B43" s="122"/>
      <c r="C43" s="32"/>
      <c r="D43" s="19"/>
      <c r="E43" s="20"/>
      <c r="F43" s="31"/>
      <c r="G43" s="70"/>
      <c r="H43" s="30"/>
      <c r="I43" s="15"/>
      <c r="J43" s="22"/>
      <c r="K43" s="59"/>
      <c r="L43" s="59"/>
      <c r="M43" s="67"/>
      <c r="N43" s="96"/>
      <c r="O43" s="67"/>
      <c r="P43" s="96"/>
      <c r="Q43" s="61"/>
      <c r="R43" s="61"/>
      <c r="S43" s="61"/>
      <c r="T43" s="92"/>
      <c r="U43" s="108"/>
    </row>
    <row r="44" spans="1:116">
      <c r="A44" s="152"/>
      <c r="B44" s="123"/>
      <c r="C44" s="39"/>
      <c r="D44" s="40"/>
      <c r="E44" s="2"/>
      <c r="F44" s="73"/>
      <c r="G44" s="71"/>
      <c r="H44" s="74"/>
      <c r="I44" s="28"/>
      <c r="J44" s="29"/>
      <c r="K44" s="59"/>
      <c r="L44" s="60"/>
      <c r="M44" s="68"/>
      <c r="N44" s="97"/>
      <c r="O44" s="67"/>
      <c r="P44" s="97"/>
      <c r="Q44" s="62"/>
      <c r="R44" s="62"/>
      <c r="S44" s="62"/>
      <c r="T44" s="62"/>
      <c r="U44" s="108"/>
    </row>
    <row r="45" spans="1:116" ht="14.45" customHeight="1">
      <c r="A45" s="153" t="s">
        <v>13</v>
      </c>
      <c r="B45" s="124"/>
      <c r="C45" s="32"/>
      <c r="D45" s="56" t="s">
        <v>15</v>
      </c>
      <c r="E45" s="75"/>
      <c r="F45" s="75"/>
      <c r="G45" s="76">
        <f>SUM(G41:G44)</f>
        <v>0</v>
      </c>
      <c r="H45" s="76"/>
      <c r="I45" s="88">
        <f>SUM(I41:I44)</f>
        <v>0</v>
      </c>
      <c r="J45" s="76">
        <f>SUM(J41:J44)</f>
        <v>0</v>
      </c>
      <c r="K45" s="77"/>
      <c r="L45" s="98"/>
      <c r="M45" s="98"/>
      <c r="N45" s="99"/>
      <c r="O45" s="98"/>
      <c r="P45" s="99"/>
      <c r="Q45" s="93">
        <f>SUM(Q41:Q44)</f>
        <v>0</v>
      </c>
      <c r="R45" s="94">
        <f>SUM(R41:R44)</f>
        <v>0</v>
      </c>
      <c r="S45" s="94">
        <f>SUM(S41:S44)</f>
        <v>0</v>
      </c>
      <c r="T45" s="94">
        <f>SUM(T41:T44)</f>
        <v>0</v>
      </c>
      <c r="U45" s="115">
        <f>SUM(U41:U44)</f>
        <v>0</v>
      </c>
    </row>
    <row r="46" spans="1:116">
      <c r="A46" s="151"/>
      <c r="B46" s="122"/>
      <c r="C46" s="33"/>
      <c r="D46" s="34"/>
      <c r="E46" s="35"/>
      <c r="F46" s="38"/>
      <c r="G46" s="69"/>
      <c r="H46" s="36"/>
      <c r="I46" s="15"/>
      <c r="J46" s="37"/>
      <c r="K46" s="59"/>
      <c r="L46" s="58"/>
      <c r="M46" s="67"/>
      <c r="N46" s="58"/>
      <c r="O46" s="67"/>
      <c r="P46" s="58"/>
      <c r="Q46" s="61"/>
      <c r="R46" s="61"/>
      <c r="S46" s="61"/>
      <c r="T46" s="92"/>
      <c r="U46" s="108"/>
    </row>
    <row r="47" spans="1:116">
      <c r="A47" s="151"/>
      <c r="B47" s="122"/>
      <c r="C47" s="32"/>
      <c r="D47" s="19"/>
      <c r="E47" s="21"/>
      <c r="F47" s="16"/>
      <c r="G47" s="70"/>
      <c r="H47" s="15"/>
      <c r="I47" s="15"/>
      <c r="J47" s="22"/>
      <c r="K47" s="59"/>
      <c r="L47" s="59"/>
      <c r="M47" s="67"/>
      <c r="N47" s="59"/>
      <c r="O47" s="67"/>
      <c r="P47" s="59"/>
      <c r="Q47" s="61"/>
      <c r="R47" s="61"/>
      <c r="S47" s="61"/>
      <c r="T47" s="92"/>
      <c r="U47" s="108"/>
    </row>
    <row r="48" spans="1:116">
      <c r="A48" s="151"/>
      <c r="B48" s="122"/>
      <c r="C48" s="32"/>
      <c r="D48" s="19"/>
      <c r="E48" s="21"/>
      <c r="F48" s="16"/>
      <c r="G48" s="70"/>
      <c r="H48" s="15"/>
      <c r="I48" s="15"/>
      <c r="J48" s="22"/>
      <c r="K48" s="59"/>
      <c r="L48" s="59"/>
      <c r="M48" s="67"/>
      <c r="N48" s="59"/>
      <c r="O48" s="67"/>
      <c r="P48" s="59"/>
      <c r="Q48" s="61"/>
      <c r="R48" s="61"/>
      <c r="S48" s="61"/>
      <c r="T48" s="92"/>
      <c r="U48" s="108"/>
    </row>
    <row r="49" spans="1:44">
      <c r="A49" s="152"/>
      <c r="B49" s="123"/>
      <c r="C49" s="39"/>
      <c r="D49" s="40"/>
      <c r="E49" s="26"/>
      <c r="F49" s="27"/>
      <c r="G49" s="71"/>
      <c r="H49" s="28"/>
      <c r="I49" s="15"/>
      <c r="J49" s="29"/>
      <c r="K49" s="59"/>
      <c r="L49" s="60"/>
      <c r="M49" s="67"/>
      <c r="N49" s="60"/>
      <c r="O49" s="67"/>
      <c r="P49" s="60"/>
      <c r="Q49" s="61"/>
      <c r="R49" s="61"/>
      <c r="S49" s="61"/>
      <c r="T49" s="92"/>
      <c r="U49" s="108"/>
    </row>
    <row r="50" spans="1:44" ht="15.75" thickBot="1">
      <c r="A50" s="100"/>
      <c r="B50" s="121"/>
      <c r="C50" s="81"/>
      <c r="D50" s="79" t="s">
        <v>15</v>
      </c>
      <c r="E50" s="83"/>
      <c r="F50" s="83"/>
      <c r="G50" s="87">
        <f>SUM(G46:G49)</f>
        <v>0</v>
      </c>
      <c r="H50" s="84"/>
      <c r="I50" s="87">
        <f>SUM(I46:I49)</f>
        <v>0</v>
      </c>
      <c r="J50" s="87">
        <f>SUM(J46:J49)</f>
        <v>0</v>
      </c>
      <c r="K50" s="85"/>
      <c r="L50" s="86"/>
      <c r="M50" s="86"/>
      <c r="N50" s="86"/>
      <c r="O50" s="86"/>
      <c r="P50" s="86"/>
      <c r="Q50" s="95">
        <f t="shared" ref="Q50:T50" si="1">SUM(Q46:Q49)</f>
        <v>0</v>
      </c>
      <c r="R50" s="95">
        <f t="shared" si="1"/>
        <v>0</v>
      </c>
      <c r="S50" s="95">
        <f t="shared" si="1"/>
        <v>0</v>
      </c>
      <c r="T50" s="95">
        <f t="shared" si="1"/>
        <v>0</v>
      </c>
      <c r="U50" s="113">
        <f>SUM(U46:U49)</f>
        <v>0</v>
      </c>
    </row>
    <row r="51" spans="1:44" ht="16.5" thickTop="1" thickBot="1">
      <c r="B51" s="100"/>
      <c r="C51" s="100"/>
      <c r="D51" s="101" t="s">
        <v>3</v>
      </c>
      <c r="E51" s="102">
        <f>E50+E45+E39+E20</f>
        <v>1344</v>
      </c>
      <c r="F51" s="100"/>
      <c r="G51" s="102">
        <f>G50+G45+G39+G20</f>
        <v>34997.760000000002</v>
      </c>
      <c r="H51" s="100"/>
      <c r="I51" s="102">
        <f>I50+I45+I39+I20</f>
        <v>2379847.6800000002</v>
      </c>
      <c r="J51" s="102">
        <f>J50+J45+J39+J20</f>
        <v>1658300</v>
      </c>
      <c r="K51" s="103"/>
      <c r="L51" s="103"/>
      <c r="M51" s="103"/>
      <c r="N51" s="133"/>
      <c r="O51" s="133"/>
      <c r="P51" s="133"/>
      <c r="Q51" s="104">
        <f>Q50+Q45+Q39+Q20</f>
        <v>131443.20000000001</v>
      </c>
      <c r="R51" s="104">
        <f>R50+R45+R39+R20</f>
        <v>135152.64000000001</v>
      </c>
      <c r="S51" s="104">
        <f>S50+S45+S39+S20</f>
        <v>3709.4400000000023</v>
      </c>
      <c r="T51" s="104">
        <f>T50+T45+T39+T20</f>
        <v>0</v>
      </c>
      <c r="U51" s="116">
        <f>U50+U45+U39+U20</f>
        <v>3709.4400000000023</v>
      </c>
    </row>
    <row r="52" spans="1:44" ht="26.45" customHeight="1" thickTop="1">
      <c r="J52" s="6"/>
      <c r="T52" s="65"/>
    </row>
    <row r="53" spans="1:44" s="25" customFormat="1" ht="14.45" customHeight="1">
      <c r="A53" s="151"/>
      <c r="B53" s="17"/>
      <c r="C53" s="17"/>
      <c r="D53" s="89" t="s">
        <v>35</v>
      </c>
      <c r="E53" s="17"/>
      <c r="F53" s="17"/>
      <c r="G53" s="17"/>
      <c r="H53" s="8"/>
      <c r="I53" s="13"/>
      <c r="J53" s="6"/>
      <c r="K53" s="17"/>
      <c r="L53" s="17"/>
      <c r="M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</row>
    <row r="54" spans="1:44" s="25" customFormat="1">
      <c r="A54" s="151"/>
      <c r="B54" s="122">
        <v>100</v>
      </c>
      <c r="C54" s="32">
        <v>21</v>
      </c>
      <c r="D54" s="19" t="s">
        <v>102</v>
      </c>
      <c r="E54" s="21">
        <v>0</v>
      </c>
      <c r="F54" s="16">
        <v>2.17</v>
      </c>
      <c r="G54" s="70">
        <f>E54*F54*12</f>
        <v>0</v>
      </c>
      <c r="H54" s="147">
        <v>68</v>
      </c>
      <c r="I54" s="15">
        <f>G54*H54</f>
        <v>0</v>
      </c>
      <c r="J54" s="22">
        <f>$E$74*I54</f>
        <v>0</v>
      </c>
      <c r="K54" s="59">
        <f>References!$C$17*J54</f>
        <v>0</v>
      </c>
      <c r="L54" s="67">
        <f>K54/References!$F$19</f>
        <v>0</v>
      </c>
      <c r="M54" s="146" t="e">
        <f>L54/G54*F54</f>
        <v>#DIV/0!</v>
      </c>
      <c r="N54" s="67">
        <v>9.15</v>
      </c>
      <c r="O54" s="67" t="e">
        <f>MROUND(N54+M54,References!$E$28)</f>
        <v>#DIV/0!</v>
      </c>
      <c r="P54" s="67" t="e">
        <f>+O54</f>
        <v>#DIV/0!</v>
      </c>
      <c r="Q54" s="107">
        <f t="shared" ref="Q54" si="2">E54*N54*12</f>
        <v>0</v>
      </c>
      <c r="R54" s="107" t="e">
        <f t="shared" ref="R54" si="3">E54*P54*12</f>
        <v>#DIV/0!</v>
      </c>
      <c r="S54" s="107" t="e">
        <f>R54-Q54</f>
        <v>#DIV/0!</v>
      </c>
      <c r="T54" s="108" t="e">
        <f t="shared" ref="T54" si="4">E54*O54*12</f>
        <v>#DIV/0!</v>
      </c>
      <c r="U54" s="108" t="e">
        <f t="shared" ref="U54" si="5">T54-Q54</f>
        <v>#DIV/0!</v>
      </c>
    </row>
    <row r="55" spans="1:44" s="25" customFormat="1">
      <c r="A55" s="151"/>
      <c r="B55" s="120"/>
      <c r="C55" s="32"/>
      <c r="D55" s="19"/>
      <c r="E55" s="21"/>
      <c r="F55" s="16"/>
      <c r="G55" s="15"/>
      <c r="H55" s="15"/>
      <c r="I55" s="15"/>
      <c r="J55" s="22"/>
      <c r="K55" s="59"/>
      <c r="L55" s="59"/>
      <c r="M55" s="59"/>
      <c r="N55" s="59"/>
      <c r="O55" s="59"/>
      <c r="P55" s="59"/>
      <c r="Q55" s="23"/>
      <c r="R55" s="23"/>
      <c r="S55" s="23"/>
      <c r="T55" s="24"/>
    </row>
    <row r="56" spans="1:44" s="25" customFormat="1">
      <c r="A56" s="151"/>
      <c r="B56" s="120"/>
      <c r="C56" s="32"/>
      <c r="D56" s="19"/>
      <c r="E56" s="21"/>
      <c r="F56" s="16"/>
      <c r="G56" s="15"/>
      <c r="H56" s="15"/>
      <c r="I56" s="15"/>
      <c r="J56" s="22"/>
      <c r="K56" s="59"/>
      <c r="L56" s="59"/>
      <c r="M56" s="59"/>
      <c r="N56" s="59"/>
      <c r="O56" s="59"/>
      <c r="P56" s="59"/>
      <c r="Q56" s="23"/>
      <c r="R56" s="23"/>
      <c r="S56" s="23"/>
      <c r="T56" s="24"/>
    </row>
    <row r="57" spans="1:44" s="25" customFormat="1">
      <c r="A57" s="151"/>
      <c r="B57" s="120"/>
      <c r="C57" s="32"/>
      <c r="D57" s="19"/>
      <c r="E57" s="21"/>
      <c r="F57" s="16"/>
      <c r="G57" s="15"/>
      <c r="H57" s="15"/>
      <c r="I57" s="15"/>
      <c r="J57" s="22"/>
      <c r="K57" s="59"/>
      <c r="L57" s="59"/>
      <c r="M57" s="59"/>
      <c r="N57" s="59"/>
      <c r="O57" s="59"/>
      <c r="P57" s="59"/>
      <c r="Q57" s="23"/>
      <c r="R57" s="23"/>
      <c r="S57" s="23"/>
      <c r="T57" s="24"/>
    </row>
    <row r="58" spans="1:44" s="25" customFormat="1">
      <c r="A58" s="151"/>
      <c r="B58" s="120"/>
      <c r="C58" s="32"/>
      <c r="D58" s="19"/>
      <c r="E58" s="21"/>
      <c r="F58" s="16"/>
      <c r="G58" s="15"/>
      <c r="H58" s="15"/>
      <c r="I58" s="15"/>
      <c r="J58" s="22"/>
      <c r="K58" s="59"/>
      <c r="L58" s="59"/>
      <c r="M58" s="59"/>
      <c r="N58" s="59"/>
      <c r="O58" s="59"/>
      <c r="P58" s="59"/>
      <c r="Q58" s="23"/>
      <c r="R58" s="23"/>
      <c r="S58" s="23"/>
      <c r="T58" s="24"/>
    </row>
    <row r="59" spans="1:44" s="25" customFormat="1">
      <c r="A59" s="151"/>
      <c r="B59" s="120"/>
      <c r="C59" s="32"/>
      <c r="D59" s="19"/>
      <c r="E59" s="21"/>
      <c r="F59" s="16"/>
      <c r="G59" s="15"/>
      <c r="H59" s="15"/>
      <c r="I59" s="15"/>
      <c r="J59" s="22"/>
      <c r="K59" s="59"/>
      <c r="L59" s="59"/>
      <c r="M59" s="59"/>
      <c r="N59" s="59"/>
      <c r="O59" s="59"/>
      <c r="P59" s="59"/>
      <c r="Q59" s="23"/>
      <c r="R59" s="23"/>
      <c r="S59" s="23"/>
      <c r="T59" s="24"/>
    </row>
    <row r="60" spans="1:44" s="25" customFormat="1">
      <c r="A60" s="151"/>
      <c r="B60" s="120"/>
      <c r="C60" s="32"/>
      <c r="D60" s="19"/>
      <c r="E60" s="21"/>
      <c r="F60" s="16"/>
      <c r="G60" s="15"/>
      <c r="H60" s="15"/>
      <c r="I60" s="15"/>
      <c r="J60" s="22"/>
      <c r="K60" s="59"/>
      <c r="L60" s="59"/>
      <c r="M60" s="59"/>
      <c r="N60" s="59"/>
      <c r="O60" s="59"/>
      <c r="P60" s="59"/>
      <c r="Q60" s="23"/>
      <c r="R60" s="23"/>
      <c r="S60" s="23"/>
      <c r="T60" s="24"/>
    </row>
    <row r="61" spans="1:44" s="25" customFormat="1">
      <c r="A61" s="151"/>
      <c r="B61" s="120"/>
      <c r="C61" s="32"/>
      <c r="D61" s="19"/>
      <c r="E61" s="21"/>
      <c r="F61" s="16"/>
      <c r="G61" s="15"/>
      <c r="H61" s="15"/>
      <c r="I61" s="15"/>
      <c r="J61" s="22"/>
      <c r="K61" s="59"/>
      <c r="L61" s="59"/>
      <c r="M61" s="59"/>
      <c r="N61" s="59"/>
      <c r="O61" s="59"/>
      <c r="P61" s="59"/>
      <c r="Q61" s="23"/>
      <c r="R61" s="23"/>
      <c r="S61" s="23"/>
      <c r="T61" s="24"/>
    </row>
    <row r="62" spans="1:44" s="25" customFormat="1">
      <c r="A62" s="151"/>
      <c r="B62" s="120"/>
      <c r="C62" s="32"/>
      <c r="D62" s="19"/>
      <c r="E62" s="21"/>
      <c r="F62" s="16"/>
      <c r="G62" s="15"/>
      <c r="H62" s="15"/>
      <c r="I62" s="15"/>
      <c r="J62" s="22"/>
      <c r="K62" s="59"/>
      <c r="L62" s="59"/>
      <c r="M62" s="59"/>
      <c r="N62" s="59"/>
      <c r="O62" s="59"/>
      <c r="P62" s="59"/>
      <c r="Q62" s="23"/>
      <c r="R62" s="23"/>
      <c r="S62" s="23"/>
      <c r="T62" s="24"/>
    </row>
    <row r="63" spans="1:44" s="25" customFormat="1">
      <c r="A63" s="151"/>
      <c r="B63" s="120"/>
      <c r="C63" s="32"/>
      <c r="D63" s="19"/>
      <c r="E63" s="21"/>
      <c r="F63" s="16"/>
      <c r="G63" s="15"/>
      <c r="H63" s="15"/>
      <c r="I63" s="15"/>
      <c r="J63" s="22"/>
      <c r="K63" s="59"/>
      <c r="L63" s="59"/>
      <c r="M63" s="59"/>
      <c r="N63" s="59"/>
      <c r="O63" s="59"/>
      <c r="P63" s="59"/>
      <c r="Q63" s="23"/>
      <c r="R63" s="23"/>
      <c r="S63" s="23"/>
      <c r="T63" s="24"/>
    </row>
    <row r="64" spans="1:44" s="25" customFormat="1">
      <c r="A64" s="151"/>
      <c r="B64" s="120"/>
      <c r="C64" s="32"/>
      <c r="D64" s="19"/>
      <c r="E64" s="21"/>
      <c r="F64" s="16"/>
      <c r="G64" s="15"/>
      <c r="H64" s="15"/>
      <c r="I64" s="15"/>
      <c r="J64" s="22"/>
      <c r="K64" s="59"/>
      <c r="L64" s="59"/>
      <c r="M64" s="59"/>
      <c r="N64" s="59"/>
      <c r="O64" s="59"/>
      <c r="P64" s="59"/>
      <c r="Q64" s="23"/>
      <c r="R64" s="23"/>
      <c r="S64" s="23"/>
      <c r="T64" s="24"/>
    </row>
    <row r="65" spans="1:44" s="25" customFormat="1">
      <c r="A65" s="151"/>
      <c r="B65" s="120"/>
      <c r="C65" s="32"/>
      <c r="D65" s="19"/>
      <c r="E65" s="21"/>
      <c r="F65" s="16"/>
      <c r="G65" s="15"/>
      <c r="H65" s="15"/>
      <c r="I65" s="15"/>
      <c r="J65" s="22"/>
      <c r="K65" s="59"/>
      <c r="L65" s="59"/>
      <c r="M65" s="59"/>
      <c r="N65" s="59"/>
      <c r="O65" s="59"/>
      <c r="P65" s="59"/>
      <c r="Q65" s="23"/>
      <c r="R65" s="23"/>
      <c r="S65" s="23"/>
      <c r="T65" s="24"/>
    </row>
    <row r="66" spans="1:44">
      <c r="A66" s="151"/>
      <c r="B66" s="120"/>
      <c r="C66" s="32"/>
      <c r="D66" s="19"/>
      <c r="E66" s="21"/>
      <c r="F66" s="16"/>
      <c r="G66" s="15"/>
      <c r="H66" s="15"/>
      <c r="I66" s="15"/>
      <c r="J66" s="22"/>
      <c r="K66" s="59"/>
      <c r="L66" s="59"/>
      <c r="M66" s="59"/>
      <c r="N66" s="59"/>
      <c r="O66" s="59"/>
      <c r="P66" s="59"/>
      <c r="Q66" s="23"/>
      <c r="R66" s="23"/>
      <c r="S66" s="23"/>
      <c r="T66" s="24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</row>
    <row r="67" spans="1:44">
      <c r="A67" s="152"/>
      <c r="B67" s="120"/>
      <c r="C67" s="32"/>
      <c r="D67" s="19"/>
      <c r="E67" s="20"/>
      <c r="F67" s="31"/>
      <c r="G67" s="15"/>
      <c r="H67" s="30"/>
      <c r="I67" s="30"/>
      <c r="J67" s="30"/>
      <c r="K67" s="59"/>
      <c r="L67" s="59"/>
      <c r="M67" s="59"/>
      <c r="N67" s="96"/>
      <c r="O67" s="59"/>
      <c r="P67" s="96"/>
      <c r="Q67" s="23"/>
      <c r="R67" s="23"/>
      <c r="S67" s="23"/>
      <c r="T67" s="24"/>
    </row>
    <row r="68" spans="1:44">
      <c r="B68" s="121"/>
      <c r="C68" s="39"/>
      <c r="D68" s="40"/>
      <c r="E68" s="2"/>
      <c r="F68" s="73"/>
      <c r="G68" s="28"/>
      <c r="H68" s="74"/>
      <c r="I68" s="74"/>
      <c r="J68" s="74"/>
      <c r="K68" s="60"/>
      <c r="L68" s="60"/>
      <c r="M68" s="60"/>
      <c r="N68" s="97"/>
      <c r="O68" s="60"/>
      <c r="P68" s="97"/>
      <c r="Q68" s="41"/>
      <c r="R68" s="41"/>
      <c r="S68" s="41"/>
      <c r="T68" s="41"/>
    </row>
    <row r="69" spans="1:44">
      <c r="H69" s="8"/>
      <c r="I69" s="13"/>
      <c r="J69" s="6"/>
    </row>
    <row r="70" spans="1:44">
      <c r="E70" s="45"/>
      <c r="H70" s="19"/>
      <c r="I70" s="43"/>
      <c r="J70" s="43"/>
      <c r="K70" s="44"/>
      <c r="Q70" s="14"/>
      <c r="R70" s="44"/>
      <c r="S70" s="18"/>
    </row>
    <row r="71" spans="1:44">
      <c r="D71" s="17" t="s">
        <v>31</v>
      </c>
      <c r="E71" s="24">
        <f>+References!B22</f>
        <v>829.15</v>
      </c>
      <c r="H71" s="19"/>
      <c r="I71" s="43"/>
      <c r="J71" s="43"/>
      <c r="K71" s="44"/>
      <c r="Q71" s="14"/>
      <c r="R71" s="51"/>
      <c r="S71" s="18"/>
    </row>
    <row r="72" spans="1:44">
      <c r="D72" s="17" t="s">
        <v>32</v>
      </c>
      <c r="E72" s="6">
        <f>E71*2000</f>
        <v>1658300</v>
      </c>
      <c r="H72" s="19"/>
      <c r="I72" s="43"/>
      <c r="J72" s="43"/>
      <c r="K72" s="44"/>
      <c r="Q72" s="18"/>
      <c r="R72" s="51"/>
      <c r="S72" s="18"/>
    </row>
    <row r="73" spans="1:44">
      <c r="D73" s="17" t="s">
        <v>5</v>
      </c>
      <c r="E73" s="6">
        <f>G50+G45+G39+G20</f>
        <v>34997.760000000002</v>
      </c>
      <c r="H73" s="19"/>
      <c r="I73" s="43"/>
      <c r="J73" s="43"/>
      <c r="K73" s="44"/>
      <c r="Q73" s="14"/>
      <c r="R73" s="51"/>
      <c r="S73" s="18"/>
    </row>
    <row r="74" spans="1:44">
      <c r="D74" s="50" t="s">
        <v>10</v>
      </c>
      <c r="E74" s="12">
        <f>E72/I51</f>
        <v>0.69680930167766031</v>
      </c>
      <c r="H74" s="19"/>
      <c r="I74" s="43"/>
      <c r="J74" s="16"/>
      <c r="K74" s="44"/>
      <c r="L74" s="18"/>
      <c r="M74" s="18"/>
      <c r="N74" s="134"/>
      <c r="O74" s="134"/>
      <c r="P74" s="134"/>
      <c r="Q74" s="9"/>
      <c r="R74" s="9"/>
      <c r="S74" s="18"/>
    </row>
    <row r="75" spans="1:44">
      <c r="D75" s="18"/>
      <c r="E75" s="18"/>
      <c r="F75" s="18"/>
      <c r="H75" s="19"/>
      <c r="I75" s="43"/>
      <c r="J75" s="43"/>
      <c r="K75" s="44"/>
      <c r="L75" s="18"/>
      <c r="M75" s="18"/>
      <c r="N75" s="135"/>
      <c r="O75" s="107"/>
      <c r="P75" s="107"/>
      <c r="Q75" s="11"/>
      <c r="R75" s="12"/>
    </row>
    <row r="76" spans="1:44">
      <c r="D76" s="18"/>
      <c r="E76" s="51"/>
      <c r="F76" s="52"/>
      <c r="G76" s="18"/>
      <c r="H76" s="19"/>
      <c r="I76" s="43"/>
      <c r="J76" s="43"/>
      <c r="K76" s="44"/>
      <c r="L76" s="18"/>
      <c r="M76" s="18"/>
      <c r="N76" s="135"/>
      <c r="O76" s="107"/>
      <c r="P76" s="107"/>
      <c r="Q76" s="11"/>
      <c r="R76" s="12"/>
    </row>
    <row r="77" spans="1:44">
      <c r="D77" s="18"/>
      <c r="E77" s="51"/>
      <c r="F77" s="52"/>
      <c r="H77" s="19"/>
      <c r="I77" s="43"/>
      <c r="J77" s="43"/>
      <c r="K77" s="44"/>
      <c r="L77" s="18"/>
      <c r="M77" s="18"/>
      <c r="N77" s="135"/>
      <c r="O77" s="107"/>
      <c r="P77" s="107"/>
      <c r="Q77" s="11"/>
      <c r="R77" s="12"/>
    </row>
    <row r="78" spans="1:44">
      <c r="D78" s="18"/>
      <c r="E78" s="51"/>
      <c r="F78" s="52"/>
      <c r="H78" s="42"/>
      <c r="I78" s="18"/>
      <c r="J78" s="10"/>
      <c r="K78" s="44"/>
      <c r="L78" s="18"/>
      <c r="M78" s="18"/>
      <c r="N78" s="135"/>
      <c r="O78" s="107"/>
      <c r="P78" s="107"/>
      <c r="Q78" s="12"/>
      <c r="R78" s="12"/>
    </row>
    <row r="79" spans="1:44">
      <c r="D79" s="18"/>
      <c r="E79" s="53"/>
      <c r="F79" s="18"/>
      <c r="H79" s="18"/>
      <c r="I79" s="18"/>
      <c r="J79" s="10"/>
      <c r="K79" s="18"/>
      <c r="L79" s="18"/>
      <c r="M79" s="18"/>
      <c r="N79" s="129"/>
      <c r="O79" s="108"/>
      <c r="P79" s="108"/>
      <c r="Q79" s="11"/>
      <c r="R79" s="12"/>
    </row>
    <row r="80" spans="1:44">
      <c r="D80" s="18"/>
      <c r="E80" s="18"/>
      <c r="F80" s="18"/>
      <c r="H80" s="18"/>
      <c r="I80" s="18"/>
      <c r="J80" s="18"/>
      <c r="K80" s="18"/>
      <c r="L80" s="18"/>
      <c r="M80" s="18"/>
      <c r="N80" s="129"/>
      <c r="O80" s="129"/>
      <c r="P80" s="129"/>
      <c r="Q80" s="18"/>
      <c r="R80" s="18"/>
    </row>
    <row r="81" spans="4:6">
      <c r="D81" s="18"/>
      <c r="E81" s="18"/>
      <c r="F81" s="18"/>
    </row>
    <row r="82" spans="4:6">
      <c r="D82" s="18"/>
      <c r="E82" s="18"/>
      <c r="F82" s="18"/>
    </row>
    <row r="83" spans="4:6">
      <c r="D83" s="18"/>
      <c r="E83" s="18"/>
      <c r="F83" s="18"/>
    </row>
    <row r="84" spans="4:6">
      <c r="D84" s="18"/>
      <c r="E84" s="18"/>
      <c r="F84" s="18"/>
    </row>
    <row r="85" spans="4:6">
      <c r="D85" s="18"/>
      <c r="E85" s="18"/>
      <c r="F85" s="18"/>
    </row>
  </sheetData>
  <mergeCells count="5">
    <mergeCell ref="A53:A67"/>
    <mergeCell ref="A6:A19"/>
    <mergeCell ref="A20:A38"/>
    <mergeCell ref="A40:A44"/>
    <mergeCell ref="A45:A49"/>
  </mergeCells>
  <pageMargins left="0.2" right="0.22" top="0.38" bottom="0.34" header="0.19" footer="0.17"/>
  <pageSetup scale="50" orientation="landscape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5DD47A209A2240BFC6E9857BEDC5ED" ma:contentTypeVersion="52" ma:contentTypeDescription="" ma:contentTypeScope="" ma:versionID="8457466bd1c7ba32c82549863904fa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2020-07-21T07:00:00+00:00</OpenedDate>
    <SignificantOrder xmlns="dc463f71-b30c-4ab2-9473-d307f9d35888">false</SignificantOrder>
    <Date1 xmlns="dc463f71-b30c-4ab2-9473-d307f9d35888">2020-07-21T07:00:00+00:00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DISPOSAL, INC.  </CaseCompanyNames>
    <Nickname xmlns="http://schemas.microsoft.com/sharepoint/v3" xsi:nil="true"/>
    <DocketNumber xmlns="dc463f71-b30c-4ab2-9473-d307f9d35888">200687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47AEEB-5B49-4109-88E6-82064A9CE892}"/>
</file>

<file path=customXml/itemProps2.xml><?xml version="1.0" encoding="utf-8"?>
<ds:datastoreItem xmlns:ds="http://schemas.openxmlformats.org/officeDocument/2006/customXml" ds:itemID="{55A888BF-C45F-414C-8A82-56F8BAAC7DF8}"/>
</file>

<file path=customXml/itemProps3.xml><?xml version="1.0" encoding="utf-8"?>
<ds:datastoreItem xmlns:ds="http://schemas.openxmlformats.org/officeDocument/2006/customXml" ds:itemID="{8923DBDD-F370-401F-9453-7E01B1C6FC1D}"/>
</file>

<file path=customXml/itemProps4.xml><?xml version="1.0" encoding="utf-8"?>
<ds:datastoreItem xmlns:ds="http://schemas.openxmlformats.org/officeDocument/2006/customXml" ds:itemID="{93394E6C-A124-4BA6-9C73-D2FEC2973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References</vt:lpstr>
      <vt:lpstr>Compost Invoices</vt:lpstr>
      <vt:lpstr>Staff calcs </vt:lpstr>
      <vt:lpstr>References!Print_Area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Logan Davis</cp:lastModifiedBy>
  <cp:lastPrinted>2020-07-21T16:56:40Z</cp:lastPrinted>
  <dcterms:created xsi:type="dcterms:W3CDTF">2013-10-29T22:33:54Z</dcterms:created>
  <dcterms:modified xsi:type="dcterms:W3CDTF">2020-07-21T16:58:15Z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Heirborne Investments, LLC</vt:lpwstr>
  </property>
  <property fmtid="{D5CDD505-2E9C-101B-9397-08002B2CF9AE}" pid="4" name="PPC_Template_Engagement_Date">
    <vt:lpwstr>12/31/2017</vt:lpwstr>
  </property>
  <property fmtid="{D5CDD505-2E9C-101B-9397-08002B2CF9AE}" pid="5" name="ContentTypeId">
    <vt:lpwstr>0x0101006E56B4D1795A2E4DB2F0B01679ED314A00F65DD47A209A2240BFC6E9857BEDC5ED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