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/>
  <bookViews>
    <workbookView xWindow="390" yWindow="645" windowWidth="28755" windowHeight="17565"/>
  </bookViews>
  <sheets>
    <sheet name="Total First Year" sheetId="1" r:id="rId1"/>
    <sheet name="APP 2885" sheetId="2" r:id="rId2"/>
  </sheets>
  <definedNames>
    <definedName name="JR_PAGE_ANCHOR_0_1">'Total First Year'!$A$1</definedName>
    <definedName name="JR_PAGE_ANCHOR_0_2">'APP 2885'!$A$1</definedName>
    <definedName name="JR_PAGE_ANCHOR_0_3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32" i="1" l="1"/>
  <c r="S33" i="1"/>
  <c r="S34" i="1"/>
  <c r="S35" i="1"/>
  <c r="S36" i="1"/>
  <c r="S37" i="1"/>
  <c r="S70" i="1" l="1"/>
  <c r="S71" i="1"/>
  <c r="S69" i="1"/>
  <c r="L70" i="1"/>
  <c r="L71" i="1"/>
  <c r="L69" i="1"/>
  <c r="H70" i="1"/>
  <c r="H71" i="1"/>
  <c r="H69" i="1"/>
  <c r="S66" i="1"/>
  <c r="S67" i="1"/>
  <c r="S65" i="1"/>
  <c r="L66" i="1"/>
  <c r="L67" i="1"/>
  <c r="L65" i="1"/>
  <c r="H66" i="1"/>
  <c r="H67" i="1"/>
  <c r="H65" i="1"/>
  <c r="H13" i="1" l="1"/>
  <c r="H35" i="1"/>
  <c r="S27" i="1"/>
  <c r="S28" i="1"/>
  <c r="S26" i="1"/>
  <c r="H27" i="1"/>
  <c r="H28" i="1"/>
  <c r="H26" i="1"/>
  <c r="S42" i="1"/>
  <c r="S43" i="1"/>
  <c r="S41" i="1"/>
  <c r="L42" i="1"/>
  <c r="L43" i="1"/>
  <c r="L41" i="1"/>
  <c r="H42" i="1"/>
  <c r="H43" i="1"/>
  <c r="H41" i="1"/>
  <c r="S14" i="1"/>
  <c r="S15" i="1"/>
  <c r="S16" i="1"/>
  <c r="S17" i="1"/>
  <c r="S18" i="1"/>
  <c r="S13" i="1"/>
  <c r="L14" i="1"/>
  <c r="L15" i="1"/>
  <c r="L16" i="1"/>
  <c r="L17" i="1"/>
  <c r="L18" i="1"/>
  <c r="L13" i="1"/>
  <c r="H14" i="1"/>
  <c r="H15" i="1"/>
  <c r="H16" i="1"/>
  <c r="H17" i="1"/>
  <c r="H18" i="1"/>
  <c r="I76" i="1" l="1"/>
  <c r="Q76" i="1" l="1"/>
  <c r="E76" i="1"/>
  <c r="K71" i="1"/>
  <c r="J71" i="1"/>
  <c r="P71" i="1"/>
  <c r="K70" i="1"/>
  <c r="J70" i="1"/>
  <c r="O70" i="1"/>
  <c r="K69" i="1"/>
  <c r="J69" i="1"/>
  <c r="S68" i="1"/>
  <c r="L68" i="1"/>
  <c r="K68" i="1"/>
  <c r="J68" i="1"/>
  <c r="H68" i="1"/>
  <c r="O68" i="1" s="1"/>
  <c r="K67" i="1"/>
  <c r="J67" i="1"/>
  <c r="P67" i="1"/>
  <c r="O66" i="1"/>
  <c r="K66" i="1"/>
  <c r="J66" i="1"/>
  <c r="P66" i="1"/>
  <c r="K65" i="1"/>
  <c r="J65" i="1"/>
  <c r="O65" i="1"/>
  <c r="S64" i="1"/>
  <c r="L64" i="1"/>
  <c r="K64" i="1"/>
  <c r="J64" i="1"/>
  <c r="H64" i="1"/>
  <c r="P64" i="1" s="1"/>
  <c r="S63" i="1"/>
  <c r="L63" i="1"/>
  <c r="K63" i="1"/>
  <c r="J63" i="1"/>
  <c r="H63" i="1"/>
  <c r="P63" i="1" s="1"/>
  <c r="S62" i="1"/>
  <c r="L62" i="1"/>
  <c r="K62" i="1"/>
  <c r="J62" i="1"/>
  <c r="H62" i="1"/>
  <c r="O62" i="1" s="1"/>
  <c r="S61" i="1"/>
  <c r="L61" i="1"/>
  <c r="K61" i="1"/>
  <c r="J61" i="1"/>
  <c r="H61" i="1"/>
  <c r="S60" i="1"/>
  <c r="L60" i="1"/>
  <c r="K60" i="1"/>
  <c r="J60" i="1"/>
  <c r="H60" i="1"/>
  <c r="O60" i="1" s="1"/>
  <c r="S59" i="1"/>
  <c r="L59" i="1"/>
  <c r="K59" i="1"/>
  <c r="J59" i="1"/>
  <c r="H59" i="1"/>
  <c r="P59" i="1" s="1"/>
  <c r="T59" i="1" s="1"/>
  <c r="S58" i="1"/>
  <c r="L58" i="1"/>
  <c r="K58" i="1"/>
  <c r="J58" i="1"/>
  <c r="H58" i="1"/>
  <c r="O58" i="1" s="1"/>
  <c r="S57" i="1"/>
  <c r="L57" i="1"/>
  <c r="K57" i="1"/>
  <c r="J57" i="1"/>
  <c r="H57" i="1"/>
  <c r="O57" i="1" s="1"/>
  <c r="S56" i="1"/>
  <c r="L56" i="1"/>
  <c r="K56" i="1"/>
  <c r="J56" i="1"/>
  <c r="H56" i="1"/>
  <c r="P56" i="1" s="1"/>
  <c r="S55" i="1"/>
  <c r="L55" i="1"/>
  <c r="K55" i="1"/>
  <c r="J55" i="1"/>
  <c r="H55" i="1"/>
  <c r="P55" i="1" s="1"/>
  <c r="S54" i="1"/>
  <c r="L54" i="1"/>
  <c r="K54" i="1"/>
  <c r="J54" i="1"/>
  <c r="H54" i="1"/>
  <c r="O54" i="1" s="1"/>
  <c r="S53" i="1"/>
  <c r="L53" i="1"/>
  <c r="K53" i="1"/>
  <c r="J53" i="1"/>
  <c r="H53" i="1"/>
  <c r="S52" i="1"/>
  <c r="L52" i="1"/>
  <c r="K52" i="1"/>
  <c r="J52" i="1"/>
  <c r="H52" i="1"/>
  <c r="O52" i="1" s="1"/>
  <c r="S51" i="1"/>
  <c r="L51" i="1"/>
  <c r="K51" i="1"/>
  <c r="J51" i="1"/>
  <c r="H51" i="1"/>
  <c r="P51" i="1" s="1"/>
  <c r="T51" i="1" s="1"/>
  <c r="S50" i="1"/>
  <c r="L50" i="1"/>
  <c r="K50" i="1"/>
  <c r="J50" i="1"/>
  <c r="H50" i="1"/>
  <c r="P50" i="1" s="1"/>
  <c r="S49" i="1"/>
  <c r="L49" i="1"/>
  <c r="K49" i="1"/>
  <c r="J49" i="1"/>
  <c r="H49" i="1"/>
  <c r="O49" i="1" s="1"/>
  <c r="S48" i="1"/>
  <c r="L48" i="1"/>
  <c r="K48" i="1"/>
  <c r="J48" i="1"/>
  <c r="H48" i="1"/>
  <c r="P48" i="1" s="1"/>
  <c r="S47" i="1"/>
  <c r="L47" i="1"/>
  <c r="K47" i="1"/>
  <c r="J47" i="1"/>
  <c r="H47" i="1"/>
  <c r="O47" i="1" s="1"/>
  <c r="S46" i="1"/>
  <c r="L46" i="1"/>
  <c r="K46" i="1"/>
  <c r="J46" i="1"/>
  <c r="H46" i="1"/>
  <c r="S45" i="1"/>
  <c r="L45" i="1"/>
  <c r="K45" i="1"/>
  <c r="J45" i="1"/>
  <c r="H45" i="1"/>
  <c r="O45" i="1" s="1"/>
  <c r="S44" i="1"/>
  <c r="L44" i="1"/>
  <c r="K44" i="1"/>
  <c r="J44" i="1"/>
  <c r="H44" i="1"/>
  <c r="P44" i="1" s="1"/>
  <c r="K43" i="1"/>
  <c r="J43" i="1"/>
  <c r="P43" i="1"/>
  <c r="K42" i="1"/>
  <c r="J42" i="1"/>
  <c r="O42" i="1"/>
  <c r="K41" i="1"/>
  <c r="J41" i="1"/>
  <c r="P41" i="1"/>
  <c r="S40" i="1"/>
  <c r="L40" i="1"/>
  <c r="K40" i="1"/>
  <c r="J40" i="1"/>
  <c r="H40" i="1"/>
  <c r="P40" i="1" s="1"/>
  <c r="S39" i="1"/>
  <c r="L39" i="1"/>
  <c r="K39" i="1"/>
  <c r="J39" i="1"/>
  <c r="H39" i="1"/>
  <c r="O39" i="1" s="1"/>
  <c r="S38" i="1"/>
  <c r="L38" i="1"/>
  <c r="K38" i="1"/>
  <c r="J38" i="1"/>
  <c r="H38" i="1"/>
  <c r="L37" i="1"/>
  <c r="K37" i="1"/>
  <c r="J37" i="1"/>
  <c r="H37" i="1"/>
  <c r="L36" i="1"/>
  <c r="K36" i="1"/>
  <c r="J36" i="1"/>
  <c r="H36" i="1"/>
  <c r="P36" i="1" s="1"/>
  <c r="L35" i="1"/>
  <c r="K35" i="1"/>
  <c r="J35" i="1"/>
  <c r="P35" i="1"/>
  <c r="L34" i="1"/>
  <c r="K34" i="1"/>
  <c r="J34" i="1"/>
  <c r="H34" i="1"/>
  <c r="O34" i="1" s="1"/>
  <c r="L33" i="1"/>
  <c r="K33" i="1"/>
  <c r="J33" i="1"/>
  <c r="H33" i="1"/>
  <c r="P33" i="1" s="1"/>
  <c r="L32" i="1"/>
  <c r="K32" i="1"/>
  <c r="J32" i="1"/>
  <c r="H32" i="1"/>
  <c r="O32" i="1" s="1"/>
  <c r="S31" i="1"/>
  <c r="L31" i="1"/>
  <c r="K31" i="1"/>
  <c r="J31" i="1"/>
  <c r="H31" i="1"/>
  <c r="O31" i="1" s="1"/>
  <c r="S30" i="1"/>
  <c r="L30" i="1"/>
  <c r="K30" i="1"/>
  <c r="J30" i="1"/>
  <c r="H30" i="1"/>
  <c r="S29" i="1"/>
  <c r="L29" i="1"/>
  <c r="K29" i="1"/>
  <c r="J29" i="1"/>
  <c r="H29" i="1"/>
  <c r="L28" i="1"/>
  <c r="K28" i="1"/>
  <c r="J28" i="1"/>
  <c r="O28" i="1"/>
  <c r="L27" i="1"/>
  <c r="K27" i="1"/>
  <c r="J27" i="1"/>
  <c r="P27" i="1"/>
  <c r="L26" i="1"/>
  <c r="K26" i="1"/>
  <c r="J26" i="1"/>
  <c r="O26" i="1"/>
  <c r="S25" i="1"/>
  <c r="L25" i="1"/>
  <c r="K25" i="1"/>
  <c r="J25" i="1"/>
  <c r="H25" i="1"/>
  <c r="O25" i="1" s="1"/>
  <c r="S24" i="1"/>
  <c r="L24" i="1"/>
  <c r="K24" i="1"/>
  <c r="J24" i="1"/>
  <c r="H24" i="1"/>
  <c r="P24" i="1" s="1"/>
  <c r="S23" i="1"/>
  <c r="L23" i="1"/>
  <c r="K23" i="1"/>
  <c r="J23" i="1"/>
  <c r="H23" i="1"/>
  <c r="O23" i="1" s="1"/>
  <c r="S22" i="1"/>
  <c r="L22" i="1"/>
  <c r="K22" i="1"/>
  <c r="J22" i="1"/>
  <c r="H22" i="1"/>
  <c r="S21" i="1"/>
  <c r="L21" i="1"/>
  <c r="K21" i="1"/>
  <c r="J21" i="1"/>
  <c r="H21" i="1"/>
  <c r="S20" i="1"/>
  <c r="L20" i="1"/>
  <c r="K20" i="1"/>
  <c r="J20" i="1"/>
  <c r="H20" i="1"/>
  <c r="O20" i="1" s="1"/>
  <c r="S19" i="1"/>
  <c r="L19" i="1"/>
  <c r="K19" i="1"/>
  <c r="J19" i="1"/>
  <c r="H19" i="1"/>
  <c r="O19" i="1" s="1"/>
  <c r="K18" i="1"/>
  <c r="J18" i="1"/>
  <c r="P18" i="1"/>
  <c r="K17" i="1"/>
  <c r="J17" i="1"/>
  <c r="O17" i="1"/>
  <c r="K16" i="1"/>
  <c r="J16" i="1"/>
  <c r="P16" i="1"/>
  <c r="K15" i="1"/>
  <c r="J15" i="1"/>
  <c r="O15" i="1"/>
  <c r="K14" i="1"/>
  <c r="J14" i="1"/>
  <c r="K13" i="1"/>
  <c r="J13" i="1"/>
  <c r="S75" i="1"/>
  <c r="L75" i="1"/>
  <c r="K75" i="1"/>
  <c r="J75" i="1"/>
  <c r="H75" i="1"/>
  <c r="O75" i="1" s="1"/>
  <c r="W75" i="1" s="1"/>
  <c r="S74" i="1"/>
  <c r="L74" i="1"/>
  <c r="K74" i="1"/>
  <c r="J74" i="1"/>
  <c r="H74" i="1"/>
  <c r="P74" i="1" s="1"/>
  <c r="S73" i="1"/>
  <c r="L73" i="1"/>
  <c r="K73" i="1"/>
  <c r="J73" i="1"/>
  <c r="H73" i="1"/>
  <c r="P73" i="1" s="1"/>
  <c r="S72" i="1"/>
  <c r="L72" i="1"/>
  <c r="K72" i="1"/>
  <c r="J72" i="1"/>
  <c r="H72" i="1"/>
  <c r="O72" i="1" s="1"/>
  <c r="W72" i="1" s="1"/>
  <c r="S12" i="1"/>
  <c r="L12" i="1"/>
  <c r="K12" i="1"/>
  <c r="J12" i="1"/>
  <c r="H12" i="1"/>
  <c r="P12" i="1" s="1"/>
  <c r="S11" i="1"/>
  <c r="L11" i="1"/>
  <c r="K11" i="1"/>
  <c r="J11" i="1"/>
  <c r="H11" i="1"/>
  <c r="S10" i="1"/>
  <c r="L10" i="1"/>
  <c r="K10" i="1"/>
  <c r="J10" i="1"/>
  <c r="H10" i="1"/>
  <c r="P10" i="1" s="1"/>
  <c r="S9" i="1"/>
  <c r="L9" i="1"/>
  <c r="K9" i="1"/>
  <c r="J9" i="1"/>
  <c r="H9" i="1"/>
  <c r="P9" i="1" s="1"/>
  <c r="S8" i="1"/>
  <c r="L8" i="1"/>
  <c r="K8" i="1"/>
  <c r="J8" i="1"/>
  <c r="H8" i="1"/>
  <c r="P8" i="1" s="1"/>
  <c r="S7" i="1"/>
  <c r="L7" i="1"/>
  <c r="K7" i="1"/>
  <c r="J7" i="1"/>
  <c r="H7" i="1"/>
  <c r="O7" i="1" s="1"/>
  <c r="S6" i="1"/>
  <c r="L6" i="1"/>
  <c r="K6" i="1"/>
  <c r="J6" i="1"/>
  <c r="H6" i="1"/>
  <c r="S5" i="1"/>
  <c r="L5" i="1"/>
  <c r="K5" i="1"/>
  <c r="J5" i="1"/>
  <c r="H5" i="1"/>
  <c r="T44" i="1" l="1"/>
  <c r="T71" i="1"/>
  <c r="S76" i="1"/>
  <c r="T12" i="1"/>
  <c r="T16" i="1"/>
  <c r="T36" i="1"/>
  <c r="M18" i="1"/>
  <c r="M65" i="1"/>
  <c r="W65" i="1" s="1"/>
  <c r="T27" i="1"/>
  <c r="T35" i="1"/>
  <c r="T24" i="1"/>
  <c r="M34" i="1"/>
  <c r="W34" i="1" s="1"/>
  <c r="M47" i="1"/>
  <c r="W47" i="1" s="1"/>
  <c r="M49" i="1"/>
  <c r="W49" i="1" s="1"/>
  <c r="T8" i="1"/>
  <c r="O36" i="1"/>
  <c r="T43" i="1"/>
  <c r="P19" i="1"/>
  <c r="T19" i="1" s="1"/>
  <c r="T63" i="1"/>
  <c r="T66" i="1"/>
  <c r="O18" i="1"/>
  <c r="P32" i="1"/>
  <c r="T32" i="1" s="1"/>
  <c r="M69" i="1"/>
  <c r="M9" i="1"/>
  <c r="M74" i="1"/>
  <c r="P28" i="1"/>
  <c r="T28" i="1" s="1"/>
  <c r="M30" i="1"/>
  <c r="M36" i="1"/>
  <c r="O40" i="1"/>
  <c r="M42" i="1"/>
  <c r="W42" i="1" s="1"/>
  <c r="M48" i="1"/>
  <c r="M12" i="1"/>
  <c r="M45" i="1"/>
  <c r="W45" i="1" s="1"/>
  <c r="M64" i="1"/>
  <c r="M11" i="1"/>
  <c r="O12" i="1"/>
  <c r="O35" i="1"/>
  <c r="M57" i="1"/>
  <c r="W57" i="1" s="1"/>
  <c r="O64" i="1"/>
  <c r="O24" i="1"/>
  <c r="M33" i="1"/>
  <c r="O51" i="1"/>
  <c r="O63" i="1"/>
  <c r="M15" i="1"/>
  <c r="W15" i="1" s="1"/>
  <c r="P20" i="1"/>
  <c r="T20" i="1" s="1"/>
  <c r="M23" i="1"/>
  <c r="W23" i="1" s="1"/>
  <c r="O33" i="1"/>
  <c r="T40" i="1"/>
  <c r="O50" i="1"/>
  <c r="M59" i="1"/>
  <c r="T64" i="1"/>
  <c r="M10" i="1"/>
  <c r="M73" i="1"/>
  <c r="M26" i="1"/>
  <c r="W26" i="1" s="1"/>
  <c r="M29" i="1"/>
  <c r="M43" i="1"/>
  <c r="T48" i="1"/>
  <c r="T55" i="1"/>
  <c r="O59" i="1"/>
  <c r="O67" i="1"/>
  <c r="M61" i="1"/>
  <c r="M17" i="1"/>
  <c r="W17" i="1" s="1"/>
  <c r="P17" i="1"/>
  <c r="T17" i="1" s="1"/>
  <c r="O27" i="1"/>
  <c r="T33" i="1"/>
  <c r="O48" i="1"/>
  <c r="M7" i="1"/>
  <c r="W7" i="1" s="1"/>
  <c r="O8" i="1"/>
  <c r="O9" i="1"/>
  <c r="P75" i="1"/>
  <c r="T75" i="1" s="1"/>
  <c r="O16" i="1"/>
  <c r="O44" i="1"/>
  <c r="M56" i="1"/>
  <c r="P58" i="1"/>
  <c r="T58" i="1" s="1"/>
  <c r="M66" i="1"/>
  <c r="W66" i="1" s="1"/>
  <c r="M68" i="1"/>
  <c r="W68" i="1" s="1"/>
  <c r="M70" i="1"/>
  <c r="W70" i="1" s="1"/>
  <c r="M44" i="1"/>
  <c r="M6" i="1"/>
  <c r="O74" i="1"/>
  <c r="W74" i="1" s="1"/>
  <c r="M14" i="1"/>
  <c r="M19" i="1"/>
  <c r="W19" i="1" s="1"/>
  <c r="M25" i="1"/>
  <c r="W25" i="1" s="1"/>
  <c r="M41" i="1"/>
  <c r="O43" i="1"/>
  <c r="M46" i="1"/>
  <c r="M50" i="1"/>
  <c r="M52" i="1"/>
  <c r="M54" i="1"/>
  <c r="O56" i="1"/>
  <c r="W56" i="1" s="1"/>
  <c r="M67" i="1"/>
  <c r="O71" i="1"/>
  <c r="M8" i="1"/>
  <c r="T9" i="1"/>
  <c r="O10" i="1"/>
  <c r="P25" i="1"/>
  <c r="T25" i="1" s="1"/>
  <c r="M35" i="1"/>
  <c r="M37" i="1"/>
  <c r="M39" i="1"/>
  <c r="W39" i="1" s="1"/>
  <c r="M40" i="1"/>
  <c r="O41" i="1"/>
  <c r="M51" i="1"/>
  <c r="O55" i="1"/>
  <c r="O73" i="1"/>
  <c r="W73" i="1" s="1"/>
  <c r="T56" i="1"/>
  <c r="J76" i="1"/>
  <c r="M72" i="1"/>
  <c r="X72" i="1" s="1"/>
  <c r="M22" i="1"/>
  <c r="M27" i="1"/>
  <c r="T41" i="1"/>
  <c r="M53" i="1"/>
  <c r="M58" i="1"/>
  <c r="W58" i="1" s="1"/>
  <c r="M60" i="1"/>
  <c r="W60" i="1" s="1"/>
  <c r="M62" i="1"/>
  <c r="W62" i="1" s="1"/>
  <c r="M38" i="1"/>
  <c r="T50" i="1"/>
  <c r="M28" i="1"/>
  <c r="W28" i="1" s="1"/>
  <c r="P46" i="1"/>
  <c r="T46" i="1" s="1"/>
  <c r="O46" i="1"/>
  <c r="K76" i="1"/>
  <c r="O13" i="1"/>
  <c r="P13" i="1"/>
  <c r="T13" i="1" s="1"/>
  <c r="P14" i="1"/>
  <c r="T14" i="1" s="1"/>
  <c r="O14" i="1"/>
  <c r="O21" i="1"/>
  <c r="P21" i="1"/>
  <c r="T21" i="1" s="1"/>
  <c r="P22" i="1"/>
  <c r="T22" i="1" s="1"/>
  <c r="O22" i="1"/>
  <c r="P38" i="1"/>
  <c r="T38" i="1" s="1"/>
  <c r="O38" i="1"/>
  <c r="M55" i="1"/>
  <c r="L76" i="1"/>
  <c r="M75" i="1"/>
  <c r="M5" i="1"/>
  <c r="O37" i="1"/>
  <c r="P37" i="1"/>
  <c r="T37" i="1" s="1"/>
  <c r="W54" i="1"/>
  <c r="M63" i="1"/>
  <c r="H76" i="1"/>
  <c r="Q42" i="1" s="1"/>
  <c r="N76" i="1"/>
  <c r="T73" i="1"/>
  <c r="O6" i="1"/>
  <c r="P7" i="1"/>
  <c r="T7" i="1" s="1"/>
  <c r="T10" i="1"/>
  <c r="O5" i="1"/>
  <c r="P6" i="1"/>
  <c r="T6" i="1" s="1"/>
  <c r="O11" i="1"/>
  <c r="T74" i="1"/>
  <c r="M13" i="1"/>
  <c r="M21" i="1"/>
  <c r="W52" i="1"/>
  <c r="P61" i="1"/>
  <c r="T61" i="1" s="1"/>
  <c r="O61" i="1"/>
  <c r="P26" i="1"/>
  <c r="T26" i="1" s="1"/>
  <c r="P53" i="1"/>
  <c r="T53" i="1" s="1"/>
  <c r="O53" i="1"/>
  <c r="P5" i="1"/>
  <c r="T5" i="1" s="1"/>
  <c r="P11" i="1"/>
  <c r="T11" i="1" s="1"/>
  <c r="P72" i="1"/>
  <c r="T72" i="1" s="1"/>
  <c r="P30" i="1"/>
  <c r="T30" i="1" s="1"/>
  <c r="O30" i="1"/>
  <c r="M71" i="1"/>
  <c r="M16" i="1"/>
  <c r="M24" i="1"/>
  <c r="M32" i="1"/>
  <c r="T18" i="1"/>
  <c r="M20" i="1"/>
  <c r="W20" i="1" s="1"/>
  <c r="O29" i="1"/>
  <c r="P29" i="1"/>
  <c r="T29" i="1" s="1"/>
  <c r="M31" i="1"/>
  <c r="W31" i="1" s="1"/>
  <c r="P69" i="1"/>
  <c r="T69" i="1" s="1"/>
  <c r="O69" i="1"/>
  <c r="W69" i="1" s="1"/>
  <c r="P45" i="1"/>
  <c r="T45" i="1" s="1"/>
  <c r="P52" i="1"/>
  <c r="T52" i="1" s="1"/>
  <c r="P60" i="1"/>
  <c r="T60" i="1" s="1"/>
  <c r="P68" i="1"/>
  <c r="T68" i="1" s="1"/>
  <c r="P34" i="1"/>
  <c r="T34" i="1" s="1"/>
  <c r="P42" i="1"/>
  <c r="T42" i="1" s="1"/>
  <c r="P49" i="1"/>
  <c r="T49" i="1" s="1"/>
  <c r="P57" i="1"/>
  <c r="T57" i="1" s="1"/>
  <c r="P65" i="1"/>
  <c r="T65" i="1" s="1"/>
  <c r="T67" i="1"/>
  <c r="P15" i="1"/>
  <c r="T15" i="1" s="1"/>
  <c r="P23" i="1"/>
  <c r="T23" i="1" s="1"/>
  <c r="P31" i="1"/>
  <c r="T31" i="1" s="1"/>
  <c r="P39" i="1"/>
  <c r="T39" i="1" s="1"/>
  <c r="P47" i="1"/>
  <c r="T47" i="1" s="1"/>
  <c r="P54" i="1"/>
  <c r="T54" i="1" s="1"/>
  <c r="P62" i="1"/>
  <c r="T62" i="1" s="1"/>
  <c r="P70" i="1"/>
  <c r="T70" i="1" s="1"/>
  <c r="W18" i="1" l="1"/>
  <c r="W71" i="1"/>
  <c r="W55" i="1"/>
  <c r="W43" i="1"/>
  <c r="W11" i="1"/>
  <c r="W48" i="1"/>
  <c r="X74" i="1"/>
  <c r="W36" i="1"/>
  <c r="W50" i="1"/>
  <c r="W51" i="1"/>
  <c r="Q58" i="1"/>
  <c r="V58" i="1" s="1"/>
  <c r="W9" i="1"/>
  <c r="W6" i="1"/>
  <c r="W40" i="1"/>
  <c r="W16" i="1"/>
  <c r="W46" i="1"/>
  <c r="W67" i="1"/>
  <c r="W59" i="1"/>
  <c r="W35" i="1"/>
  <c r="W53" i="1"/>
  <c r="Q49" i="1"/>
  <c r="Y49" i="1" s="1"/>
  <c r="Q71" i="1"/>
  <c r="V71" i="1" s="1"/>
  <c r="W12" i="1"/>
  <c r="W8" i="1"/>
  <c r="Q74" i="1"/>
  <c r="U74" i="1" s="1"/>
  <c r="Q26" i="1"/>
  <c r="Y26" i="1" s="1"/>
  <c r="W64" i="1"/>
  <c r="W61" i="1"/>
  <c r="W33" i="1"/>
  <c r="Q57" i="1"/>
  <c r="U57" i="1" s="1"/>
  <c r="W30" i="1"/>
  <c r="W14" i="1"/>
  <c r="W10" i="1"/>
  <c r="W37" i="1"/>
  <c r="Q69" i="1"/>
  <c r="Y69" i="1" s="1"/>
  <c r="W29" i="1"/>
  <c r="Q13" i="1"/>
  <c r="Y13" i="1" s="1"/>
  <c r="W41" i="1"/>
  <c r="Q22" i="1"/>
  <c r="Y22" i="1" s="1"/>
  <c r="W22" i="1"/>
  <c r="X73" i="1"/>
  <c r="Q62" i="1"/>
  <c r="X62" i="1" s="1"/>
  <c r="Q66" i="1"/>
  <c r="X66" i="1" s="1"/>
  <c r="W44" i="1"/>
  <c r="Q70" i="1"/>
  <c r="X70" i="1" s="1"/>
  <c r="W27" i="1"/>
  <c r="Q55" i="1"/>
  <c r="V55" i="1" s="1"/>
  <c r="W38" i="1"/>
  <c r="Q30" i="1"/>
  <c r="Y30" i="1" s="1"/>
  <c r="Q23" i="1"/>
  <c r="U23" i="1" s="1"/>
  <c r="Q54" i="1"/>
  <c r="U54" i="1" s="1"/>
  <c r="Q48" i="1"/>
  <c r="X48" i="1" s="1"/>
  <c r="Q39" i="1"/>
  <c r="U39" i="1" s="1"/>
  <c r="Q46" i="1"/>
  <c r="U46" i="1" s="1"/>
  <c r="Q35" i="1"/>
  <c r="V35" i="1" s="1"/>
  <c r="Q6" i="1"/>
  <c r="Y6" i="1" s="1"/>
  <c r="U42" i="1"/>
  <c r="Y42" i="1"/>
  <c r="X42" i="1"/>
  <c r="V42" i="1"/>
  <c r="O76" i="1"/>
  <c r="W5" i="1"/>
  <c r="Q5" i="1"/>
  <c r="Q32" i="1"/>
  <c r="Y32" i="1" s="1"/>
  <c r="W63" i="1"/>
  <c r="Q43" i="1"/>
  <c r="Q15" i="1"/>
  <c r="Q14" i="1"/>
  <c r="X14" i="1" s="1"/>
  <c r="Q65" i="1"/>
  <c r="Q47" i="1"/>
  <c r="Q31" i="1"/>
  <c r="Y31" i="1" s="1"/>
  <c r="Q19" i="1"/>
  <c r="Q61" i="1"/>
  <c r="Q50" i="1"/>
  <c r="Q11" i="1"/>
  <c r="X11" i="1" s="1"/>
  <c r="Q27" i="1"/>
  <c r="X75" i="1"/>
  <c r="W24" i="1"/>
  <c r="Q63" i="1"/>
  <c r="Y63" i="1" s="1"/>
  <c r="Q40" i="1"/>
  <c r="Q24" i="1"/>
  <c r="Y24" i="1" s="1"/>
  <c r="Q16" i="1"/>
  <c r="X16" i="1" s="1"/>
  <c r="Q64" i="1"/>
  <c r="Q56" i="1"/>
  <c r="Q41" i="1"/>
  <c r="Q33" i="1"/>
  <c r="Q67" i="1"/>
  <c r="Q59" i="1"/>
  <c r="Q51" i="1"/>
  <c r="Q44" i="1"/>
  <c r="Q45" i="1"/>
  <c r="Q25" i="1"/>
  <c r="Q17" i="1"/>
  <c r="Q28" i="1"/>
  <c r="Y28" i="1" s="1"/>
  <c r="Q52" i="1"/>
  <c r="Q60" i="1"/>
  <c r="Q68" i="1"/>
  <c r="Q20" i="1"/>
  <c r="Y20" i="1" s="1"/>
  <c r="Q75" i="1"/>
  <c r="Y75" i="1" s="1"/>
  <c r="Q29" i="1"/>
  <c r="X29" i="1" s="1"/>
  <c r="Q9" i="1"/>
  <c r="Q8" i="1"/>
  <c r="Q12" i="1"/>
  <c r="Q37" i="1"/>
  <c r="X37" i="1" s="1"/>
  <c r="Q18" i="1"/>
  <c r="Q73" i="1"/>
  <c r="Q36" i="1"/>
  <c r="W32" i="1"/>
  <c r="Q34" i="1"/>
  <c r="Q10" i="1"/>
  <c r="W13" i="1"/>
  <c r="Q7" i="1"/>
  <c r="M76" i="1"/>
  <c r="V76" i="1"/>
  <c r="Q72" i="1"/>
  <c r="Q21" i="1"/>
  <c r="Q53" i="1"/>
  <c r="Q38" i="1"/>
  <c r="W21" i="1"/>
  <c r="X26" i="1" l="1"/>
  <c r="Y46" i="1"/>
  <c r="X69" i="1"/>
  <c r="X58" i="1"/>
  <c r="U58" i="1"/>
  <c r="Y74" i="1"/>
  <c r="V49" i="1"/>
  <c r="V74" i="1"/>
  <c r="Y57" i="1"/>
  <c r="V26" i="1"/>
  <c r="V46" i="1"/>
  <c r="U69" i="1"/>
  <c r="U22" i="1"/>
  <c r="X49" i="1"/>
  <c r="Y58" i="1"/>
  <c r="Y9" i="1"/>
  <c r="V9" i="1"/>
  <c r="Y7" i="1"/>
  <c r="V7" i="1"/>
  <c r="X57" i="1"/>
  <c r="V57" i="1"/>
  <c r="X55" i="1"/>
  <c r="Y55" i="1"/>
  <c r="U55" i="1"/>
  <c r="X22" i="1"/>
  <c r="V22" i="1"/>
  <c r="U13" i="1"/>
  <c r="X71" i="1"/>
  <c r="Y70" i="1"/>
  <c r="U71" i="1"/>
  <c r="V13" i="1"/>
  <c r="X13" i="1"/>
  <c r="Y71" i="1"/>
  <c r="V69" i="1"/>
  <c r="V48" i="1"/>
  <c r="U26" i="1"/>
  <c r="U49" i="1"/>
  <c r="Y54" i="1"/>
  <c r="X54" i="1"/>
  <c r="V54" i="1"/>
  <c r="X28" i="1"/>
  <c r="X31" i="1"/>
  <c r="Y62" i="1"/>
  <c r="X30" i="1"/>
  <c r="X6" i="1"/>
  <c r="U62" i="1"/>
  <c r="X23" i="1"/>
  <c r="V62" i="1"/>
  <c r="U70" i="1"/>
  <c r="V70" i="1"/>
  <c r="U6" i="1"/>
  <c r="V6" i="1"/>
  <c r="X63" i="1"/>
  <c r="V66" i="1"/>
  <c r="Y66" i="1"/>
  <c r="U48" i="1"/>
  <c r="U66" i="1"/>
  <c r="Y23" i="1"/>
  <c r="X35" i="1"/>
  <c r="V23" i="1"/>
  <c r="U35" i="1"/>
  <c r="Y39" i="1"/>
  <c r="V39" i="1"/>
  <c r="X39" i="1"/>
  <c r="Y35" i="1"/>
  <c r="Y16" i="1"/>
  <c r="X46" i="1"/>
  <c r="Y48" i="1"/>
  <c r="U30" i="1"/>
  <c r="V30" i="1"/>
  <c r="U38" i="1"/>
  <c r="Y38" i="1"/>
  <c r="V38" i="1"/>
  <c r="X38" i="1"/>
  <c r="U10" i="1"/>
  <c r="V10" i="1"/>
  <c r="X10" i="1"/>
  <c r="Y10" i="1"/>
  <c r="U44" i="1"/>
  <c r="Y44" i="1"/>
  <c r="X44" i="1"/>
  <c r="V44" i="1"/>
  <c r="U64" i="1"/>
  <c r="V64" i="1"/>
  <c r="Y64" i="1"/>
  <c r="X64" i="1"/>
  <c r="U61" i="1"/>
  <c r="Y61" i="1"/>
  <c r="V61" i="1"/>
  <c r="V32" i="1"/>
  <c r="U32" i="1"/>
  <c r="U7" i="1"/>
  <c r="X7" i="1"/>
  <c r="U34" i="1"/>
  <c r="X34" i="1"/>
  <c r="V34" i="1"/>
  <c r="Y34" i="1"/>
  <c r="U18" i="1"/>
  <c r="Y18" i="1"/>
  <c r="X18" i="1"/>
  <c r="V18" i="1"/>
  <c r="U68" i="1"/>
  <c r="Y68" i="1"/>
  <c r="X68" i="1"/>
  <c r="V68" i="1"/>
  <c r="U51" i="1"/>
  <c r="X51" i="1"/>
  <c r="Y51" i="1"/>
  <c r="V51" i="1"/>
  <c r="V16" i="1"/>
  <c r="U16" i="1"/>
  <c r="U45" i="1"/>
  <c r="V45" i="1"/>
  <c r="Y45" i="1"/>
  <c r="X45" i="1"/>
  <c r="U72" i="1"/>
  <c r="V72" i="1"/>
  <c r="Y72" i="1"/>
  <c r="U73" i="1"/>
  <c r="Y73" i="1"/>
  <c r="V73" i="1"/>
  <c r="U60" i="1"/>
  <c r="X60" i="1"/>
  <c r="V60" i="1"/>
  <c r="Y60" i="1"/>
  <c r="P76" i="1"/>
  <c r="W76" i="1"/>
  <c r="U52" i="1"/>
  <c r="V52" i="1"/>
  <c r="Y52" i="1"/>
  <c r="X52" i="1"/>
  <c r="U40" i="1"/>
  <c r="V40" i="1"/>
  <c r="Y40" i="1"/>
  <c r="X40" i="1"/>
  <c r="U65" i="1"/>
  <c r="Y65" i="1"/>
  <c r="X65" i="1"/>
  <c r="V65" i="1"/>
  <c r="U5" i="1"/>
  <c r="V5" i="1"/>
  <c r="X5" i="1"/>
  <c r="U8" i="1"/>
  <c r="V8" i="1"/>
  <c r="Y8" i="1"/>
  <c r="X8" i="1"/>
  <c r="U28" i="1"/>
  <c r="V28" i="1"/>
  <c r="U33" i="1"/>
  <c r="V33" i="1"/>
  <c r="Y33" i="1"/>
  <c r="X33" i="1"/>
  <c r="V63" i="1"/>
  <c r="U63" i="1"/>
  <c r="U27" i="1"/>
  <c r="Y27" i="1"/>
  <c r="X27" i="1"/>
  <c r="V27" i="1"/>
  <c r="U47" i="1"/>
  <c r="Y47" i="1"/>
  <c r="V47" i="1"/>
  <c r="X47" i="1"/>
  <c r="U14" i="1"/>
  <c r="V14" i="1"/>
  <c r="Y14" i="1"/>
  <c r="U36" i="1"/>
  <c r="Y36" i="1"/>
  <c r="X36" i="1"/>
  <c r="V36" i="1"/>
  <c r="U56" i="1"/>
  <c r="V56" i="1"/>
  <c r="Y56" i="1"/>
  <c r="X56" i="1"/>
  <c r="U50" i="1"/>
  <c r="X50" i="1"/>
  <c r="V50" i="1"/>
  <c r="Y50" i="1"/>
  <c r="U20" i="1"/>
  <c r="V20" i="1"/>
  <c r="X20" i="1"/>
  <c r="V12" i="1"/>
  <c r="U12" i="1"/>
  <c r="Y12" i="1"/>
  <c r="X12" i="1"/>
  <c r="U67" i="1"/>
  <c r="Y67" i="1"/>
  <c r="X67" i="1"/>
  <c r="V67" i="1"/>
  <c r="U31" i="1"/>
  <c r="V31" i="1"/>
  <c r="X76" i="1"/>
  <c r="U9" i="1"/>
  <c r="X9" i="1"/>
  <c r="U17" i="1"/>
  <c r="V17" i="1"/>
  <c r="X17" i="1"/>
  <c r="Y17" i="1"/>
  <c r="U41" i="1"/>
  <c r="V41" i="1"/>
  <c r="Y41" i="1"/>
  <c r="X41" i="1"/>
  <c r="U11" i="1"/>
  <c r="Y11" i="1"/>
  <c r="V11" i="1"/>
  <c r="U15" i="1"/>
  <c r="Y15" i="1"/>
  <c r="X15" i="1"/>
  <c r="V15" i="1"/>
  <c r="Y76" i="1"/>
  <c r="U75" i="1"/>
  <c r="V75" i="1"/>
  <c r="U37" i="1"/>
  <c r="V37" i="1"/>
  <c r="Y37" i="1"/>
  <c r="U59" i="1"/>
  <c r="Y59" i="1"/>
  <c r="V59" i="1"/>
  <c r="X59" i="1"/>
  <c r="V24" i="1"/>
  <c r="U24" i="1"/>
  <c r="U19" i="1"/>
  <c r="V19" i="1"/>
  <c r="Y19" i="1"/>
  <c r="X19" i="1"/>
  <c r="X24" i="1"/>
  <c r="U53" i="1"/>
  <c r="V53" i="1"/>
  <c r="Y53" i="1"/>
  <c r="U21" i="1"/>
  <c r="V21" i="1"/>
  <c r="Y21" i="1"/>
  <c r="X53" i="1"/>
  <c r="X61" i="1"/>
  <c r="U29" i="1"/>
  <c r="Y29" i="1"/>
  <c r="V29" i="1"/>
  <c r="U25" i="1"/>
  <c r="V25" i="1"/>
  <c r="X25" i="1"/>
  <c r="Y25" i="1"/>
  <c r="X21" i="1"/>
  <c r="X32" i="1"/>
  <c r="U43" i="1"/>
  <c r="X43" i="1"/>
  <c r="V43" i="1"/>
  <c r="Y43" i="1"/>
  <c r="Y5" i="1"/>
  <c r="T76" i="1" l="1"/>
  <c r="U76" i="1"/>
</calcChain>
</file>

<file path=xl/sharedStrings.xml><?xml version="1.0" encoding="utf-8"?>
<sst xmlns="http://schemas.openxmlformats.org/spreadsheetml/2006/main" count="309" uniqueCount="106">
  <si>
    <t xml:space="preserve">PROGRAM YEAR </t>
  </si>
  <si>
    <t xml:space="preserve"> CASCADE NATURAL GAS CORPORATION</t>
  </si>
  <si>
    <t xml:space="preserve"> RESIDENTIAL Program Participant Cost Effectiveness</t>
  </si>
  <si>
    <t>MEASURE</t>
  </si>
  <si>
    <t>ZONE</t>
  </si>
  <si>
    <t>EFFICIENCY  RATING</t>
  </si>
  <si>
    <t>PARTICIPANTS</t>
  </si>
  <si>
    <t>MEASURES  INSTALLED</t>
  </si>
  <si>
    <t>ANNUAL  THERM  SAVINGS</t>
  </si>
  <si>
    <t>TOTAL  ANNUAL  THERM  SAVINGS</t>
  </si>
  <si>
    <t>MEASURE  INCREMENTAL  COST</t>
  </si>
  <si>
    <t>SOCIETAL  NEBS</t>
  </si>
  <si>
    <t>PARTICIPANT  NEBS</t>
  </si>
  <si>
    <t>TOTAL  INCREMENTAL  COST</t>
  </si>
  <si>
    <t>TOTAL  NET  INCREMENTAL  COST  WITH  NEBS</t>
  </si>
  <si>
    <t>MEASURE  LIFE</t>
  </si>
  <si>
    <t>TRC  DISCOUNTED  THERM  SAVINGS</t>
  </si>
  <si>
    <t>UCT  DISCOUNTED  THERM  SAVINGS</t>
  </si>
  <si>
    <t>PROGRAM  DELIVERY  &amp;  ADMIN</t>
  </si>
  <si>
    <t>PROGRAM  REBATE</t>
  </si>
  <si>
    <t>TOTAL  REBATES  COST</t>
  </si>
  <si>
    <t>UTILITY  COST</t>
  </si>
  <si>
    <t>UC  W/DELIVERY  &amp;  ADMIN</t>
  </si>
  <si>
    <t>LOADED  UTILITY  BENEFIT  TO  COST  RATIO</t>
  </si>
  <si>
    <t>TOTAL  RESOURCE  COST</t>
  </si>
  <si>
    <t>TRC  W/DELIVERY  &amp;  ADMIN</t>
  </si>
  <si>
    <t>LOADED  SOCIETAL  BENEFIT  TO  COST  RATIO</t>
  </si>
  <si>
    <t>0.87 UEF Tankless Water Heater</t>
  </si>
  <si>
    <t>Zone 1</t>
  </si>
  <si>
    <t>0.87+ UEF</t>
  </si>
  <si>
    <t>Zone 2</t>
  </si>
  <si>
    <t>Zone 3</t>
  </si>
  <si>
    <t>0.93 UEF Tankless Water Heater</t>
  </si>
  <si>
    <t>0.93+ UEF</t>
  </si>
  <si>
    <t>Built Green Certified Home</t>
  </si>
  <si>
    <t>Certified from one to five stars</t>
  </si>
  <si>
    <t>Bundle A</t>
  </si>
  <si>
    <t>Bundle B</t>
  </si>
  <si>
    <t>Ceiling Tier I</t>
  </si>
  <si>
    <t>Tier 1: Post R-38+</t>
  </si>
  <si>
    <t>Ceiling Tier II</t>
  </si>
  <si>
    <t>Tier 2: Post R-49+</t>
  </si>
  <si>
    <t>Condensing Boiler</t>
  </si>
  <si>
    <t>95+% Annual Fuel Utilization Efficiency (AFUE)</t>
  </si>
  <si>
    <t>Condensing High-Efficiency Natural Gas Tankless Water Heater</t>
  </si>
  <si>
    <t>0.91+ Energy Factor (EF) or Greater</t>
  </si>
  <si>
    <t>Duct Insulation</t>
  </si>
  <si>
    <t>Post R ? 8, prior condition must not exceed R-0</t>
  </si>
  <si>
    <t>Duct Sealing</t>
  </si>
  <si>
    <t>30% or more of supply ducts in unconditioned space</t>
  </si>
  <si>
    <t>Energy Savings Kit 1</t>
  </si>
  <si>
    <t>One Low Flow Showerhead plus Aerators</t>
  </si>
  <si>
    <t>Energy Savings Kit 2</t>
  </si>
  <si>
    <t>Two Low Flow Showerheads plus Aerators</t>
  </si>
  <si>
    <t>ENERGY STAR Certified Homes + U.30 Window Glazing</t>
  </si>
  <si>
    <t>Certified HERS 75</t>
  </si>
  <si>
    <t>Floor Insulation</t>
  </si>
  <si>
    <t>Post R 30+, or to fill cavity</t>
  </si>
  <si>
    <t>High-Efficiency Exterior Entry (not sliding) Door</t>
  </si>
  <si>
    <t>U-Factor &lt;0.21, Energy Star Door</t>
  </si>
  <si>
    <t>High-Efficiency Natural Gas Furnace</t>
  </si>
  <si>
    <t>High-Efficiency Natural Gas Hearth (Fireplace)</t>
  </si>
  <si>
    <t>Natural Gas Hearth (Fireplace) - 70% FE Hearth</t>
  </si>
  <si>
    <t>High-Efficiency Natural Gas Fireplace</t>
  </si>
  <si>
    <t>Programmable Thermostat</t>
  </si>
  <si>
    <t>Programmable</t>
  </si>
  <si>
    <t>Wall Insulation</t>
  </si>
  <si>
    <t>Post R-11+, or to fill cavity</t>
  </si>
  <si>
    <t>Whole House Residential Air Sealing</t>
  </si>
  <si>
    <t>Min. 400 CFM50 reduction</t>
  </si>
  <si>
    <t>Windows</t>
  </si>
  <si>
    <t>U Factor ? 0.27</t>
  </si>
  <si>
    <t>TOTAL PROGRAM</t>
  </si>
  <si>
    <t xml:space="preserve"> </t>
  </si>
  <si>
    <t>IRP Discount Rate</t>
  </si>
  <si>
    <t>Inflation Rate</t>
  </si>
  <si>
    <t>Long Term Discount Rate</t>
  </si>
  <si>
    <t>Total Res Program Admin</t>
  </si>
  <si>
    <t>CASCADE NATURAL GAS CORPORATION</t>
  </si>
  <si>
    <t>INTEGRATED RESOURCE PLAN</t>
  </si>
  <si>
    <t>BASECASE - MEDIUM FORECAST - AVERAGE WEATHER</t>
  </si>
  <si>
    <t>45 YEAR RESOURCE SUMMARY COSTS - MELDED COST PER THERM</t>
  </si>
  <si>
    <t>YEAR</t>
  </si>
  <si>
    <t>IRP ANNUAL 
 PORTFOLIO 
 COST PER 
 THERM (PV)*</t>
  </si>
  <si>
    <t>NOMINAL 
 COST 
 PER 
 THERM</t>
  </si>
  <si>
    <t>PV OF 
 RESOURCE 
 PORTFOLIO 
 COST/THERM</t>
  </si>
  <si>
    <t>NON 
 ENERGY 
 BENEFIT</t>
  </si>
  <si>
    <t>PORTFOLIO 
 COSTS  WITH 
 CONSERVATION 
 CREDIT</t>
  </si>
  <si>
    <t>COST- 
 EFFECTIVENESS 
 LIMIT</t>
  </si>
  <si>
    <t>5%</t>
  </si>
  <si>
    <t>7.5%</t>
  </si>
  <si>
    <t>10%</t>
  </si>
  <si>
    <t>12.5%</t>
  </si>
  <si>
    <t>15%</t>
  </si>
  <si>
    <t>17.5%</t>
  </si>
  <si>
    <t>20%</t>
  </si>
  <si>
    <t>Cascade's Long Term Real Discount Rate:</t>
  </si>
  <si>
    <t>IRP Discount Rate :</t>
  </si>
  <si>
    <t>Revised Discount Rate:</t>
  </si>
  <si>
    <t>Years 21-45 Escalation:</t>
  </si>
  <si>
    <t>(EIA Inflation Rate)</t>
  </si>
  <si>
    <t>High-Efficiency Combination Domestic Hot Water &amp; Hydronic Space Heating System</t>
  </si>
  <si>
    <r>
      <t>ENERGY STAR</t>
    </r>
    <r>
      <rPr>
        <sz val="10"/>
        <color rgb="FF000000"/>
        <rFont val="Calibri"/>
        <family val="2"/>
      </rPr>
      <t>®</t>
    </r>
    <r>
      <rPr>
        <sz val="10"/>
        <color rgb="FF000000"/>
        <rFont val="Arial"/>
        <family val="2"/>
      </rPr>
      <t xml:space="preserve"> Certified Homes + U.30 Window Glazing</t>
    </r>
  </si>
  <si>
    <t>95+% (AFUE) Hydronic Space Heating &amp; DHW</t>
  </si>
  <si>
    <t>95+%  (AFUE) Hydronic Space Heating &amp; DHW</t>
  </si>
  <si>
    <t>SQFT Insulation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</si>
</sst>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\$#,##0.00;\$\-#,##0.00"/>
    <numFmt numFmtId="165" formatCode="\$#,##0.00"/>
    <numFmt numFmtId="166" formatCode="\$#,##0.00;\$\(#,##0.00\)\ "/>
    <numFmt numFmtId="167" formatCode="\$#,##0.000"/>
    <numFmt numFmtId="168" formatCode="#,##0.000;\(#,##0.000\)\ "/>
    <numFmt numFmtId="169" formatCode="\$#,##0.000;\$\(#,##0.000\)\ "/>
    <numFmt numFmtId="170" formatCode="\$#,##0.000;\$\(#,##0.000\)"/>
    <numFmt numFmtId="171" formatCode="#,##0.000"/>
    <numFmt numFmtId="172" formatCode="\$#,##0.00;\$\(#,##0.00\)"/>
    <numFmt numFmtId="173" formatCode="#,##0.00%"/>
    <numFmt numFmtId="174" formatCode="\$#,##0.0000;\$\-#,##0.0000"/>
    <numFmt numFmtId="175" formatCode="\$#,##0.##;\$\-#,##0.##"/>
    <numFmt numFmtId="179" formatCode="#,##0.0"/>
  </numFmts>
  <fonts count="16" x14ac:knownFonts="1">
    <font>
      <sz val="11"/>
      <color theme="1"/>
      <name val="Calibri"/>
      <family val="2"/>
      <scheme val="minor"/>
    </font>
    <font>
      <b/>
      <sz val="15"/>
      <color rgb="FF3634E0"/>
      <name val="Arial"/>
      <family val="2"/>
    </font>
    <font>
      <b/>
      <sz val="21"/>
      <color rgb="FF058FFF"/>
      <name val="Arial"/>
      <family val="2"/>
    </font>
    <font>
      <b/>
      <sz val="17"/>
      <color rgb="FF058FFF"/>
      <name val="Arial"/>
      <family val="2"/>
    </font>
    <font>
      <b/>
      <sz val="23"/>
      <color rgb="FF058FFF"/>
      <name val="Arial"/>
      <family val="2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b/>
      <sz val="11"/>
      <color rgb="FFFFFFFF"/>
      <name val="Arial"/>
      <family val="2"/>
    </font>
    <font>
      <b/>
      <sz val="10"/>
      <color rgb="FF000000"/>
      <name val="Arial"/>
      <family val="2"/>
    </font>
    <font>
      <b/>
      <sz val="11"/>
      <color rgb="FF3634E0"/>
      <name val="Arial"/>
      <family val="2"/>
    </font>
    <font>
      <b/>
      <sz val="11"/>
      <color rgb="FFA61712"/>
      <name val="Arial"/>
      <family val="2"/>
    </font>
    <font>
      <sz val="11"/>
      <color rgb="FF000000"/>
      <name val="Arial"/>
      <family val="2"/>
    </font>
    <font>
      <b/>
      <sz val="8"/>
      <color rgb="FF000000"/>
      <name val="Arial"/>
      <family val="2"/>
    </font>
    <font>
      <sz val="7.5"/>
      <color rgb="FF000000"/>
      <name val="Arial"/>
      <family val="2"/>
    </font>
    <font>
      <sz val="8"/>
      <color rgb="FF000000"/>
      <name val="Arial"/>
      <family val="2"/>
    </font>
    <font>
      <sz val="10"/>
      <color rgb="FF000000"/>
      <name val="Calibri"/>
      <family val="2"/>
    </font>
  </fonts>
  <fills count="58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5AA6DB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E8E6E6"/>
      </patternFill>
    </fill>
    <fill>
      <patternFill patternType="solid">
        <fgColor rgb="FFE8E6E6"/>
      </patternFill>
    </fill>
    <fill>
      <patternFill patternType="solid">
        <fgColor rgb="FFE8E6E6"/>
      </patternFill>
    </fill>
    <fill>
      <patternFill patternType="solid">
        <fgColor rgb="FFE8E6E6"/>
      </patternFill>
    </fill>
    <fill>
      <patternFill patternType="solid">
        <fgColor rgb="FFE8E6E6"/>
      </patternFill>
    </fill>
    <fill>
      <patternFill patternType="solid">
        <fgColor rgb="FFE8E6E6"/>
      </patternFill>
    </fill>
    <fill>
      <patternFill patternType="solid">
        <fgColor rgb="FFE8E6E6"/>
      </patternFill>
    </fill>
    <fill>
      <patternFill patternType="solid">
        <fgColor rgb="FFE8E6E6"/>
      </patternFill>
    </fill>
    <fill>
      <patternFill patternType="solid">
        <fgColor rgb="FFE8E6E6"/>
      </patternFill>
    </fill>
    <fill>
      <patternFill patternType="solid">
        <fgColor rgb="FFE8E6E6"/>
      </patternFill>
    </fill>
    <fill>
      <patternFill patternType="none"/>
    </fill>
    <fill>
      <patternFill patternType="solid">
        <fgColor rgb="FFE8E6E6"/>
      </patternFill>
    </fill>
    <fill>
      <patternFill patternType="solid">
        <fgColor rgb="FFF89842"/>
      </patternFill>
    </fill>
    <fill>
      <patternFill patternType="solid">
        <fgColor rgb="FFF89842"/>
      </patternFill>
    </fill>
    <fill>
      <patternFill patternType="solid">
        <fgColor rgb="FFF89842"/>
      </patternFill>
    </fill>
    <fill>
      <patternFill patternType="solid">
        <fgColor rgb="FFF89842"/>
      </patternFill>
    </fill>
    <fill>
      <patternFill patternType="solid">
        <fgColor rgb="FFF89842"/>
      </patternFill>
    </fill>
    <fill>
      <patternFill patternType="solid">
        <fgColor rgb="FFF89842"/>
      </patternFill>
    </fill>
    <fill>
      <patternFill patternType="solid">
        <fgColor rgb="FFF89842"/>
      </patternFill>
    </fill>
    <fill>
      <patternFill patternType="solid">
        <fgColor rgb="FFF89842"/>
      </patternFill>
    </fill>
    <fill>
      <patternFill patternType="solid">
        <fgColor rgb="FFF89842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7">
    <border>
      <left/>
      <right/>
      <top/>
      <bottom/>
      <diagonal/>
    </border>
    <border>
      <left style="medium">
        <color rgb="FFD6D2D2"/>
      </left>
      <right style="medium">
        <color rgb="FFD6D2D2"/>
      </right>
      <top style="medium">
        <color rgb="FFD6D2D2"/>
      </top>
      <bottom style="medium">
        <color rgb="FFD6D2D2"/>
      </bottom>
      <diagonal/>
    </border>
    <border>
      <left style="thick">
        <color rgb="FFD6D2D2"/>
      </left>
      <right style="medium">
        <color rgb="FFD6D2D2"/>
      </right>
      <top/>
      <bottom/>
      <diagonal/>
    </border>
    <border>
      <left style="medium">
        <color rgb="FFD6D2D2"/>
      </left>
      <right style="medium">
        <color rgb="FFD6D2D2"/>
      </right>
      <top/>
      <bottom/>
      <diagonal/>
    </border>
    <border>
      <left/>
      <right/>
      <top/>
      <bottom/>
      <diagonal/>
    </border>
    <border>
      <left style="thin">
        <color rgb="FFC2BABA"/>
      </left>
      <right style="thin">
        <color rgb="FFC2BABA"/>
      </right>
      <top style="thin">
        <color rgb="FFC2BABA"/>
      </top>
      <bottom style="thin">
        <color rgb="FFC2BABA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2" borderId="1" xfId="0" applyNumberFormat="1" applyFont="1" applyFill="1" applyBorder="1" applyAlignment="1" applyProtection="1">
      <alignment horizontal="left" vertical="center" wrapText="1"/>
    </xf>
    <xf numFmtId="0" fontId="5" fillId="6" borderId="2" xfId="0" applyNumberFormat="1" applyFont="1" applyFill="1" applyBorder="1" applyAlignment="1" applyProtection="1">
      <alignment horizontal="center" vertical="center" wrapText="1"/>
    </xf>
    <xf numFmtId="0" fontId="6" fillId="7" borderId="1" xfId="0" applyNumberFormat="1" applyFont="1" applyFill="1" applyBorder="1" applyAlignment="1" applyProtection="1">
      <alignment horizontal="center" vertical="center" wrapText="1"/>
    </xf>
    <xf numFmtId="3" fontId="6" fillId="8" borderId="1" xfId="0" applyNumberFormat="1" applyFont="1" applyFill="1" applyBorder="1" applyAlignment="1" applyProtection="1">
      <alignment horizontal="center" vertical="center" wrapText="1"/>
    </xf>
    <xf numFmtId="164" fontId="6" fillId="9" borderId="1" xfId="0" applyNumberFormat="1" applyFont="1" applyFill="1" applyBorder="1" applyAlignment="1" applyProtection="1">
      <alignment horizontal="center" vertical="center" wrapText="1"/>
    </xf>
    <xf numFmtId="165" fontId="6" fillId="10" borderId="1" xfId="0" applyNumberFormat="1" applyFont="1" applyFill="1" applyBorder="1" applyAlignment="1" applyProtection="1">
      <alignment horizontal="center" vertical="center" wrapText="1"/>
    </xf>
    <xf numFmtId="166" fontId="6" fillId="11" borderId="1" xfId="0" applyNumberFormat="1" applyFont="1" applyFill="1" applyBorder="1" applyAlignment="1" applyProtection="1">
      <alignment horizontal="center" vertical="center" wrapText="1"/>
    </xf>
    <xf numFmtId="4" fontId="6" fillId="12" borderId="1" xfId="0" applyNumberFormat="1" applyFont="1" applyFill="1" applyBorder="1" applyAlignment="1" applyProtection="1">
      <alignment horizontal="center" vertical="center" wrapText="1"/>
    </xf>
    <xf numFmtId="167" fontId="6" fillId="13" borderId="1" xfId="0" applyNumberFormat="1" applyFont="1" applyFill="1" applyBorder="1" applyAlignment="1" applyProtection="1">
      <alignment horizontal="center" vertical="center" wrapText="1"/>
    </xf>
    <xf numFmtId="168" fontId="6" fillId="14" borderId="1" xfId="0" applyNumberFormat="1" applyFont="1" applyFill="1" applyBorder="1" applyAlignment="1" applyProtection="1">
      <alignment horizontal="center" vertical="center" wrapText="1"/>
    </xf>
    <xf numFmtId="169" fontId="6" fillId="15" borderId="1" xfId="0" applyNumberFormat="1" applyFont="1" applyFill="1" applyBorder="1" applyAlignment="1" applyProtection="1">
      <alignment horizontal="center" vertical="center" wrapText="1"/>
    </xf>
    <xf numFmtId="170" fontId="6" fillId="16" borderId="1" xfId="0" applyNumberFormat="1" applyFont="1" applyFill="1" applyBorder="1" applyAlignment="1" applyProtection="1">
      <alignment horizontal="center" vertical="center" wrapText="1"/>
    </xf>
    <xf numFmtId="0" fontId="6" fillId="17" borderId="1" xfId="0" applyNumberFormat="1" applyFont="1" applyFill="1" applyBorder="1" applyAlignment="1" applyProtection="1">
      <alignment horizontal="center" vertical="center" wrapText="1"/>
    </xf>
    <xf numFmtId="3" fontId="6" fillId="18" borderId="1" xfId="0" applyNumberFormat="1" applyFont="1" applyFill="1" applyBorder="1" applyAlignment="1" applyProtection="1">
      <alignment horizontal="center" vertical="center" wrapText="1"/>
    </xf>
    <xf numFmtId="164" fontId="6" fillId="19" borderId="1" xfId="0" applyNumberFormat="1" applyFont="1" applyFill="1" applyBorder="1" applyAlignment="1" applyProtection="1">
      <alignment horizontal="center" vertical="center" wrapText="1"/>
    </xf>
    <xf numFmtId="165" fontId="6" fillId="20" borderId="1" xfId="0" applyNumberFormat="1" applyFont="1" applyFill="1" applyBorder="1" applyAlignment="1" applyProtection="1">
      <alignment horizontal="center" vertical="center" wrapText="1"/>
    </xf>
    <xf numFmtId="166" fontId="6" fillId="21" borderId="1" xfId="0" applyNumberFormat="1" applyFont="1" applyFill="1" applyBorder="1" applyAlignment="1" applyProtection="1">
      <alignment horizontal="center" vertical="center" wrapText="1"/>
    </xf>
    <xf numFmtId="4" fontId="6" fillId="22" borderId="1" xfId="0" applyNumberFormat="1" applyFont="1" applyFill="1" applyBorder="1" applyAlignment="1" applyProtection="1">
      <alignment horizontal="center" vertical="center" wrapText="1"/>
    </xf>
    <xf numFmtId="167" fontId="6" fillId="23" borderId="1" xfId="0" applyNumberFormat="1" applyFont="1" applyFill="1" applyBorder="1" applyAlignment="1" applyProtection="1">
      <alignment horizontal="center" vertical="center" wrapText="1"/>
    </xf>
    <xf numFmtId="168" fontId="6" fillId="24" borderId="1" xfId="0" applyNumberFormat="1" applyFont="1" applyFill="1" applyBorder="1" applyAlignment="1" applyProtection="1">
      <alignment horizontal="center" vertical="center" wrapText="1"/>
    </xf>
    <xf numFmtId="169" fontId="6" fillId="25" borderId="1" xfId="0" applyNumberFormat="1" applyFont="1" applyFill="1" applyBorder="1" applyAlignment="1" applyProtection="1">
      <alignment horizontal="center" vertical="center" wrapText="1"/>
    </xf>
    <xf numFmtId="170" fontId="6" fillId="26" borderId="1" xfId="0" applyNumberFormat="1" applyFont="1" applyFill="1" applyBorder="1" applyAlignment="1" applyProtection="1">
      <alignment horizontal="center" vertical="center" wrapText="1"/>
    </xf>
    <xf numFmtId="171" fontId="6" fillId="27" borderId="1" xfId="0" applyNumberFormat="1" applyFont="1" applyFill="1" applyBorder="1" applyAlignment="1" applyProtection="1">
      <alignment horizontal="center" vertical="center" wrapText="1"/>
    </xf>
    <xf numFmtId="171" fontId="6" fillId="28" borderId="1" xfId="0" applyNumberFormat="1" applyFont="1" applyFill="1" applyBorder="1" applyAlignment="1" applyProtection="1">
      <alignment horizontal="center" vertical="center" wrapText="1"/>
    </xf>
    <xf numFmtId="0" fontId="5" fillId="29" borderId="1" xfId="0" applyNumberFormat="1" applyFont="1" applyFill="1" applyBorder="1" applyAlignment="1" applyProtection="1">
      <alignment horizontal="center" vertical="center" wrapText="1"/>
    </xf>
    <xf numFmtId="0" fontId="7" fillId="30" borderId="3" xfId="0" applyNumberFormat="1" applyFont="1" applyFill="1" applyBorder="1" applyAlignment="1" applyProtection="1">
      <alignment horizontal="center" vertical="center" wrapText="1"/>
    </xf>
    <xf numFmtId="3" fontId="7" fillId="31" borderId="1" xfId="0" applyNumberFormat="1" applyFont="1" applyFill="1" applyBorder="1" applyAlignment="1" applyProtection="1">
      <alignment horizontal="center" vertical="center" wrapText="1"/>
    </xf>
    <xf numFmtId="4" fontId="7" fillId="32" borderId="3" xfId="0" applyNumberFormat="1" applyFont="1" applyFill="1" applyBorder="1" applyAlignment="1" applyProtection="1">
      <alignment horizontal="center" vertical="center" wrapText="1"/>
    </xf>
    <xf numFmtId="4" fontId="5" fillId="33" borderId="1" xfId="0" applyNumberFormat="1" applyFont="1" applyFill="1" applyBorder="1" applyAlignment="1" applyProtection="1">
      <alignment horizontal="center" vertical="center" wrapText="1"/>
    </xf>
    <xf numFmtId="172" fontId="7" fillId="34" borderId="3" xfId="0" applyNumberFormat="1" applyFont="1" applyFill="1" applyBorder="1" applyAlignment="1" applyProtection="1">
      <alignment horizontal="center" vertical="center" wrapText="1"/>
    </xf>
    <xf numFmtId="3" fontId="5" fillId="35" borderId="1" xfId="0" applyNumberFormat="1" applyFont="1" applyFill="1" applyBorder="1" applyAlignment="1" applyProtection="1">
      <alignment horizontal="center" vertical="center" wrapText="1"/>
    </xf>
    <xf numFmtId="172" fontId="5" fillId="36" borderId="1" xfId="0" applyNumberFormat="1" applyFont="1" applyFill="1" applyBorder="1" applyAlignment="1" applyProtection="1">
      <alignment horizontal="center" vertical="center" wrapText="1"/>
    </xf>
    <xf numFmtId="168" fontId="7" fillId="37" borderId="3" xfId="0" applyNumberFormat="1" applyFont="1" applyFill="1" applyBorder="1" applyAlignment="1" applyProtection="1">
      <alignment horizontal="center" vertical="center" wrapText="1"/>
    </xf>
    <xf numFmtId="0" fontId="8" fillId="38" borderId="4" xfId="0" applyNumberFormat="1" applyFont="1" applyFill="1" applyBorder="1" applyAlignment="1" applyProtection="1">
      <alignment horizontal="center" vertical="center" wrapText="1"/>
    </xf>
    <xf numFmtId="0" fontId="0" fillId="39" borderId="0" xfId="0" applyNumberFormat="1" applyFont="1" applyFill="1" applyBorder="1" applyAlignment="1" applyProtection="1">
      <alignment wrapText="1"/>
      <protection locked="0"/>
    </xf>
    <xf numFmtId="0" fontId="9" fillId="40" borderId="1" xfId="0" applyNumberFormat="1" applyFont="1" applyFill="1" applyBorder="1" applyAlignment="1" applyProtection="1">
      <alignment horizontal="center" vertical="center" wrapText="1"/>
    </xf>
    <xf numFmtId="173" fontId="10" fillId="41" borderId="1" xfId="0" applyNumberFormat="1" applyFont="1" applyFill="1" applyBorder="1" applyAlignment="1" applyProtection="1">
      <alignment horizontal="left" vertical="center" wrapText="1"/>
    </xf>
    <xf numFmtId="164" fontId="10" fillId="42" borderId="1" xfId="0" applyNumberFormat="1" applyFont="1" applyFill="1" applyBorder="1" applyAlignment="1" applyProtection="1">
      <alignment horizontal="left" vertical="center" wrapText="1"/>
    </xf>
    <xf numFmtId="0" fontId="11" fillId="43" borderId="4" xfId="0" applyNumberFormat="1" applyFont="1" applyFill="1" applyBorder="1" applyAlignment="1" applyProtection="1">
      <alignment horizontal="left" vertical="center" wrapText="1"/>
    </xf>
    <xf numFmtId="0" fontId="6" fillId="46" borderId="4" xfId="0" applyNumberFormat="1" applyFont="1" applyFill="1" applyBorder="1" applyAlignment="1" applyProtection="1">
      <alignment horizontal="center" vertical="center" wrapText="1"/>
    </xf>
    <xf numFmtId="0" fontId="13" fillId="47" borderId="6" xfId="0" applyNumberFormat="1" applyFont="1" applyFill="1" applyBorder="1" applyAlignment="1" applyProtection="1">
      <alignment horizontal="center" vertical="center" wrapText="1"/>
    </xf>
    <xf numFmtId="0" fontId="14" fillId="48" borderId="6" xfId="0" applyNumberFormat="1" applyFont="1" applyFill="1" applyBorder="1" applyAlignment="1" applyProtection="1">
      <alignment horizontal="center" vertical="center" wrapText="1"/>
    </xf>
    <xf numFmtId="164" fontId="14" fillId="49" borderId="6" xfId="0" applyNumberFormat="1" applyFont="1" applyFill="1" applyBorder="1" applyAlignment="1" applyProtection="1">
      <alignment horizontal="center" vertical="center" wrapText="1"/>
    </xf>
    <xf numFmtId="174" fontId="14" fillId="50" borderId="6" xfId="0" applyNumberFormat="1" applyFont="1" applyFill="1" applyBorder="1" applyAlignment="1" applyProtection="1">
      <alignment horizontal="center" vertical="center" wrapText="1"/>
    </xf>
    <xf numFmtId="175" fontId="14" fillId="51" borderId="6" xfId="0" applyNumberFormat="1" applyFont="1" applyFill="1" applyBorder="1" applyAlignment="1" applyProtection="1">
      <alignment horizontal="center" vertical="center" wrapText="1"/>
    </xf>
    <xf numFmtId="0" fontId="12" fillId="52" borderId="6" xfId="0" applyNumberFormat="1" applyFont="1" applyFill="1" applyBorder="1" applyAlignment="1" applyProtection="1">
      <alignment horizontal="center" vertical="center" wrapText="1"/>
    </xf>
    <xf numFmtId="0" fontId="14" fillId="54" borderId="5" xfId="0" applyNumberFormat="1" applyFont="1" applyFill="1" applyBorder="1" applyAlignment="1" applyProtection="1">
      <alignment horizontal="center" vertical="center" wrapText="1"/>
    </xf>
    <xf numFmtId="173" fontId="14" fillId="56" borderId="5" xfId="0" applyNumberFormat="1" applyFont="1" applyFill="1" applyBorder="1" applyAlignment="1" applyProtection="1">
      <alignment horizontal="center" vertical="center" wrapText="1"/>
    </xf>
    <xf numFmtId="0" fontId="0" fillId="39" borderId="4" xfId="0" applyNumberFormat="1" applyFont="1" applyFill="1" applyBorder="1" applyAlignment="1" applyProtection="1">
      <alignment wrapText="1"/>
      <protection locked="0"/>
    </xf>
    <xf numFmtId="179" fontId="6" fillId="18" borderId="1" xfId="0" applyNumberFormat="1" applyFont="1" applyFill="1" applyBorder="1" applyAlignment="1" applyProtection="1">
      <alignment horizontal="center" vertical="center" wrapText="1"/>
    </xf>
    <xf numFmtId="171" fontId="6" fillId="18" borderId="1" xfId="0" applyNumberFormat="1" applyFont="1" applyFill="1" applyBorder="1" applyAlignment="1" applyProtection="1">
      <alignment horizontal="center" vertical="center" wrapText="1"/>
    </xf>
    <xf numFmtId="171" fontId="6" fillId="8" borderId="1" xfId="0" applyNumberFormat="1" applyFont="1" applyFill="1" applyBorder="1" applyAlignment="1" applyProtection="1">
      <alignment horizontal="center" vertical="center" wrapText="1"/>
    </xf>
    <xf numFmtId="0" fontId="2" fillId="3" borderId="1" xfId="0" applyNumberFormat="1" applyFont="1" applyFill="1" applyBorder="1" applyAlignment="1" applyProtection="1">
      <alignment horizontal="left" vertical="center" wrapText="1"/>
    </xf>
    <xf numFmtId="0" fontId="3" fillId="4" borderId="1" xfId="0" applyNumberFormat="1" applyFont="1" applyFill="1" applyBorder="1" applyAlignment="1" applyProtection="1">
      <alignment horizontal="left" vertical="center" wrapText="1"/>
    </xf>
    <xf numFmtId="0" fontId="4" fillId="5" borderId="1" xfId="0" applyNumberFormat="1" applyFont="1" applyFill="1" applyBorder="1" applyAlignment="1" applyProtection="1">
      <alignment horizontal="left" vertical="center" wrapText="1"/>
    </xf>
    <xf numFmtId="0" fontId="12" fillId="55" borderId="5" xfId="0" applyNumberFormat="1" applyFont="1" applyFill="1" applyBorder="1" applyAlignment="1" applyProtection="1">
      <alignment horizontal="left" vertical="center" wrapText="1"/>
    </xf>
    <xf numFmtId="0" fontId="14" fillId="54" borderId="5" xfId="0" applyNumberFormat="1" applyFont="1" applyFill="1" applyBorder="1" applyAlignment="1" applyProtection="1">
      <alignment horizontal="center" vertical="center" wrapText="1"/>
    </xf>
    <xf numFmtId="0" fontId="14" fillId="57" borderId="5" xfId="0" applyNumberFormat="1" applyFont="1" applyFill="1" applyBorder="1" applyAlignment="1" applyProtection="1">
      <alignment horizontal="left" vertical="center" wrapText="1"/>
    </xf>
    <xf numFmtId="0" fontId="14" fillId="53" borderId="4" xfId="0" applyNumberFormat="1" applyFont="1" applyFill="1" applyBorder="1" applyAlignment="1" applyProtection="1">
      <alignment horizontal="center" vertical="center" wrapText="1"/>
    </xf>
    <xf numFmtId="0" fontId="12" fillId="44" borderId="5" xfId="0" applyNumberFormat="1" applyFont="1" applyFill="1" applyBorder="1" applyAlignment="1" applyProtection="1">
      <alignment horizontal="center" vertical="center" wrapText="1"/>
    </xf>
    <xf numFmtId="0" fontId="6" fillId="45" borderId="5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Y82"/>
  <sheetViews>
    <sheetView tabSelected="1" zoomScale="80" zoomScaleNormal="80" workbookViewId="0">
      <pane ySplit="4" topLeftCell="A62" activePane="bottomLeft" state="frozen"/>
      <selection pane="bottomLeft" activeCell="D76" sqref="D76"/>
    </sheetView>
  </sheetViews>
  <sheetFormatPr defaultRowHeight="15" x14ac:dyDescent="0.25"/>
  <cols>
    <col min="1" max="1" width="73.140625" bestFit="1" customWidth="1"/>
    <col min="2" max="2" width="12.42578125" customWidth="1"/>
    <col min="3" max="3" width="45.42578125" customWidth="1"/>
    <col min="4" max="4" width="14.85546875" customWidth="1"/>
    <col min="5" max="5" width="15.85546875" customWidth="1"/>
    <col min="6" max="6" width="11.42578125" hidden="1" customWidth="1"/>
    <col min="7" max="7" width="20.140625" customWidth="1"/>
    <col min="8" max="8" width="20.85546875" customWidth="1"/>
    <col min="9" max="9" width="20.5703125" customWidth="1"/>
    <col min="10" max="10" width="16.5703125" customWidth="1"/>
    <col min="11" max="11" width="19.85546875" customWidth="1"/>
    <col min="12" max="12" width="21.42578125" customWidth="1"/>
    <col min="13" max="13" width="29.140625" customWidth="1"/>
    <col min="14" max="14" width="10.140625" customWidth="1"/>
    <col min="15" max="15" width="24.28515625" customWidth="1"/>
    <col min="16" max="16" width="19.7109375" customWidth="1"/>
    <col min="17" max="17" width="20.28515625" customWidth="1"/>
    <col min="18" max="18" width="14.42578125" customWidth="1"/>
    <col min="19" max="19" width="23.5703125" bestFit="1" customWidth="1"/>
    <col min="20" max="20" width="14.42578125" bestFit="1" customWidth="1"/>
    <col min="21" max="21" width="16.7109375" customWidth="1"/>
    <col min="22" max="22" width="25.7109375" customWidth="1"/>
    <col min="23" max="23" width="19.85546875" customWidth="1"/>
    <col min="24" max="24" width="19" customWidth="1"/>
    <col min="25" max="25" width="27" customWidth="1"/>
  </cols>
  <sheetData>
    <row r="1" spans="1:25" ht="30" customHeight="1" x14ac:dyDescent="0.25">
      <c r="A1" s="1" t="s">
        <v>0</v>
      </c>
      <c r="B1" s="53" t="s">
        <v>1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</row>
    <row r="2" spans="1:25" ht="30" customHeight="1" x14ac:dyDescent="0.25">
      <c r="A2" s="1">
        <v>2020</v>
      </c>
      <c r="B2" s="54" t="s">
        <v>2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</row>
    <row r="3" spans="1:25" ht="24.95" customHeight="1" x14ac:dyDescent="0.25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</row>
    <row r="4" spans="1:25" ht="24.95" customHeight="1" x14ac:dyDescent="0.25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105</v>
      </c>
      <c r="G4" s="2" t="s">
        <v>8</v>
      </c>
      <c r="H4" s="2" t="s">
        <v>9</v>
      </c>
      <c r="I4" s="2" t="s">
        <v>10</v>
      </c>
      <c r="J4" s="2" t="s">
        <v>11</v>
      </c>
      <c r="K4" s="2" t="s">
        <v>12</v>
      </c>
      <c r="L4" s="2" t="s">
        <v>13</v>
      </c>
      <c r="M4" s="2" t="s">
        <v>14</v>
      </c>
      <c r="N4" s="2" t="s">
        <v>15</v>
      </c>
      <c r="O4" s="2" t="s">
        <v>16</v>
      </c>
      <c r="P4" s="2" t="s">
        <v>17</v>
      </c>
      <c r="Q4" s="2" t="s">
        <v>18</v>
      </c>
      <c r="R4" s="2" t="s">
        <v>19</v>
      </c>
      <c r="S4" s="2" t="s">
        <v>20</v>
      </c>
      <c r="T4" s="2" t="s">
        <v>21</v>
      </c>
      <c r="U4" s="2" t="s">
        <v>22</v>
      </c>
      <c r="V4" s="2" t="s">
        <v>23</v>
      </c>
      <c r="W4" s="2" t="s">
        <v>24</v>
      </c>
      <c r="X4" s="2" t="s">
        <v>25</v>
      </c>
      <c r="Y4" s="2" t="s">
        <v>26</v>
      </c>
    </row>
    <row r="5" spans="1:25" ht="20.100000000000001" customHeight="1" x14ac:dyDescent="0.25">
      <c r="A5" s="3" t="s">
        <v>27</v>
      </c>
      <c r="B5" s="3" t="s">
        <v>28</v>
      </c>
      <c r="C5" s="3" t="s">
        <v>29</v>
      </c>
      <c r="D5" s="4">
        <v>81</v>
      </c>
      <c r="E5" s="4">
        <v>81</v>
      </c>
      <c r="F5" s="4"/>
      <c r="G5" s="4">
        <v>60</v>
      </c>
      <c r="H5" s="4">
        <f t="shared" ref="H5:H32" si="0">IF(ISNUMBER(E5),E5*G5,"")</f>
        <v>4860</v>
      </c>
      <c r="I5" s="5">
        <v>1171</v>
      </c>
      <c r="J5" s="6">
        <f t="shared" ref="J5:J31" si="1">0.5*0.95*$G5+PV($B$80,$N5,-(0.116*$G5))</f>
        <v>113.60762313242893</v>
      </c>
      <c r="K5" s="6">
        <f t="shared" ref="K5:K12" si="2">0.1*$I5+PV($B$80,$N5,(-0.05*0.95*$G5))+PV($B$80,$N5,-15)</f>
        <v>335.37170587842763</v>
      </c>
      <c r="L5" s="6">
        <f t="shared" ref="L5:L32" si="3">IF(ISNUMBER(I5),I5*E5,"")</f>
        <v>94851</v>
      </c>
      <c r="M5" s="7">
        <f t="shared" ref="M5:M32" si="4">L5-D5*(J5+K5)</f>
        <v>58483.674350120622</v>
      </c>
      <c r="N5" s="4">
        <v>18</v>
      </c>
      <c r="O5" s="4">
        <f t="shared" ref="O5:P24" si="5">PV($B$80,$N5,-$H5)</f>
        <v>59428.598911437446</v>
      </c>
      <c r="P5" s="4">
        <f t="shared" si="5"/>
        <v>59428.598911437446</v>
      </c>
      <c r="Q5" s="8">
        <f t="shared" ref="Q5:Q36" si="6">(H5/$H$76)*$Q$76</f>
        <v>11265.938285876773</v>
      </c>
      <c r="R5" s="5">
        <v>250</v>
      </c>
      <c r="S5" s="6">
        <f t="shared" ref="S5:S37" si="7">IF(ISNUMBER(R5),R5*E5,"")</f>
        <v>20250</v>
      </c>
      <c r="T5" s="9">
        <f t="shared" ref="T5:T32" si="8">IF(ISERROR(S5/P5),0,S5/P5)</f>
        <v>0.34074503472944484</v>
      </c>
      <c r="U5" s="9">
        <f t="shared" ref="U5:U32" si="9">IF(ISERROR((Q5+S5)/P5),0,(Q5+S5)/P5)</f>
        <v>0.53031602398775901</v>
      </c>
      <c r="V5" s="10">
        <f>IF($S5=0,"-",(VLOOKUP(N5,'APP 2885'!$B$10:$G$54,6)*$H5)/($S5+$Q5))</f>
        <v>1.7769236312122081</v>
      </c>
      <c r="W5" s="11">
        <f t="shared" ref="W5:W32" si="10">IF(ISERROR(RM5/O5),0,M5/O5)</f>
        <v>0.98409983444629101</v>
      </c>
      <c r="X5" s="12">
        <f t="shared" ref="X5:X32" si="11">IF(ISERROR(M5/O5),0,(M5+Q5)/O5)</f>
        <v>1.1736708237046054</v>
      </c>
      <c r="Y5" s="10">
        <f>IF($S5=0,"-",(VLOOKUP(N5,'APP 2885'!$B$10:$G$54,4)*$H5)/($M5+$Q5))</f>
        <v>0.71368189899178458</v>
      </c>
    </row>
    <row r="6" spans="1:25" ht="20.100000000000001" customHeight="1" x14ac:dyDescent="0.25">
      <c r="A6" s="13" t="s">
        <v>27</v>
      </c>
      <c r="B6" s="13" t="s">
        <v>30</v>
      </c>
      <c r="C6" s="13" t="s">
        <v>29</v>
      </c>
      <c r="D6" s="14">
        <v>74</v>
      </c>
      <c r="E6" s="14">
        <v>74</v>
      </c>
      <c r="F6" s="14"/>
      <c r="G6" s="14">
        <v>60</v>
      </c>
      <c r="H6" s="14">
        <f t="shared" si="0"/>
        <v>4440</v>
      </c>
      <c r="I6" s="15">
        <v>1171</v>
      </c>
      <c r="J6" s="16">
        <f t="shared" si="1"/>
        <v>113.60762313242893</v>
      </c>
      <c r="K6" s="16">
        <f t="shared" si="2"/>
        <v>335.37170587842763</v>
      </c>
      <c r="L6" s="16">
        <f t="shared" si="3"/>
        <v>86654</v>
      </c>
      <c r="M6" s="17">
        <f t="shared" si="4"/>
        <v>53429.529653196616</v>
      </c>
      <c r="N6" s="14">
        <v>18</v>
      </c>
      <c r="O6" s="14">
        <f t="shared" si="5"/>
        <v>54292.794067239141</v>
      </c>
      <c r="P6" s="14">
        <f t="shared" si="5"/>
        <v>54292.794067239141</v>
      </c>
      <c r="Q6" s="18">
        <f t="shared" si="6"/>
        <v>10292.33868092446</v>
      </c>
      <c r="R6" s="15">
        <v>250</v>
      </c>
      <c r="S6" s="16">
        <f t="shared" si="7"/>
        <v>18500</v>
      </c>
      <c r="T6" s="19">
        <f t="shared" si="8"/>
        <v>0.3407450347294449</v>
      </c>
      <c r="U6" s="19">
        <f t="shared" si="9"/>
        <v>0.53031602398775923</v>
      </c>
      <c r="V6" s="20">
        <f>IF($S6=0,"-",(VLOOKUP(N6,'APP 2885'!$B$10:$G$54,6)*$H6)/($S6+$Q6))</f>
        <v>1.7769236312122079</v>
      </c>
      <c r="W6" s="21">
        <f t="shared" si="10"/>
        <v>0.98409983444629112</v>
      </c>
      <c r="X6" s="22">
        <f t="shared" si="11"/>
        <v>1.1736708237046054</v>
      </c>
      <c r="Y6" s="20">
        <f>IF($S6=0,"-",(VLOOKUP(N6,'APP 2885'!$B$10:$G$54,4)*$H6)/($M6+$Q6))</f>
        <v>0.71368189899178469</v>
      </c>
    </row>
    <row r="7" spans="1:25" ht="20.100000000000001" customHeight="1" x14ac:dyDescent="0.25">
      <c r="A7" s="3" t="s">
        <v>27</v>
      </c>
      <c r="B7" s="3" t="s">
        <v>31</v>
      </c>
      <c r="C7" s="3" t="s">
        <v>29</v>
      </c>
      <c r="D7" s="4">
        <v>2</v>
      </c>
      <c r="E7" s="4">
        <v>2</v>
      </c>
      <c r="F7" s="4"/>
      <c r="G7" s="4">
        <v>59</v>
      </c>
      <c r="H7" s="4">
        <f t="shared" si="0"/>
        <v>118</v>
      </c>
      <c r="I7" s="5">
        <v>1171</v>
      </c>
      <c r="J7" s="6">
        <f t="shared" si="1"/>
        <v>111.71416274688846</v>
      </c>
      <c r="K7" s="6">
        <f t="shared" si="2"/>
        <v>334.79087080676237</v>
      </c>
      <c r="L7" s="6">
        <f t="shared" si="3"/>
        <v>2342</v>
      </c>
      <c r="M7" s="7">
        <f t="shared" si="4"/>
        <v>1448.9899328926983</v>
      </c>
      <c r="N7" s="4">
        <v>18</v>
      </c>
      <c r="O7" s="4">
        <f t="shared" si="5"/>
        <v>1442.9165990842837</v>
      </c>
      <c r="P7" s="4">
        <f t="shared" si="5"/>
        <v>1442.9165990842837</v>
      </c>
      <c r="Q7" s="8">
        <f t="shared" si="6"/>
        <v>273.53512710565002</v>
      </c>
      <c r="R7" s="5">
        <v>250</v>
      </c>
      <c r="S7" s="6">
        <f t="shared" si="7"/>
        <v>500</v>
      </c>
      <c r="T7" s="9">
        <f t="shared" si="8"/>
        <v>0.34652037430113031</v>
      </c>
      <c r="U7" s="9">
        <f t="shared" si="9"/>
        <v>0.53609136355944453</v>
      </c>
      <c r="V7" s="10">
        <f>IF($S7=0,"-",(VLOOKUP(N7,'APP 2885'!$B$10:$G$54,6)*$H7)/($S7+$Q7))</f>
        <v>1.7577807424048508</v>
      </c>
      <c r="W7" s="11">
        <f t="shared" si="10"/>
        <v>1.0042090678090951</v>
      </c>
      <c r="X7" s="12">
        <f t="shared" si="11"/>
        <v>1.1937800570674093</v>
      </c>
      <c r="Y7" s="10">
        <f>IF($S7=0,"-",(VLOOKUP(N7,'APP 2885'!$B$10:$G$54,4)*$H7)/($M7+$Q7))</f>
        <v>0.7016599224403498</v>
      </c>
    </row>
    <row r="8" spans="1:25" ht="20.100000000000001" customHeight="1" x14ac:dyDescent="0.25">
      <c r="A8" s="13" t="s">
        <v>32</v>
      </c>
      <c r="B8" s="13" t="s">
        <v>28</v>
      </c>
      <c r="C8" s="13" t="s">
        <v>33</v>
      </c>
      <c r="D8" s="14">
        <v>268</v>
      </c>
      <c r="E8" s="14">
        <v>269</v>
      </c>
      <c r="F8" s="14"/>
      <c r="G8" s="14">
        <v>68</v>
      </c>
      <c r="H8" s="14">
        <f t="shared" si="0"/>
        <v>18292</v>
      </c>
      <c r="I8" s="15">
        <v>1171</v>
      </c>
      <c r="J8" s="16">
        <f t="shared" si="1"/>
        <v>128.75530621675279</v>
      </c>
      <c r="K8" s="16">
        <f t="shared" si="2"/>
        <v>340.01838645174996</v>
      </c>
      <c r="L8" s="16">
        <f t="shared" si="3"/>
        <v>314999</v>
      </c>
      <c r="M8" s="17">
        <f t="shared" si="4"/>
        <v>189367.65036484128</v>
      </c>
      <c r="N8" s="14">
        <v>18</v>
      </c>
      <c r="O8" s="14">
        <f t="shared" si="5"/>
        <v>223676.52907160777</v>
      </c>
      <c r="P8" s="14">
        <f t="shared" si="5"/>
        <v>223676.52907160777</v>
      </c>
      <c r="Q8" s="18">
        <f t="shared" si="6"/>
        <v>42402.58088997077</v>
      </c>
      <c r="R8" s="15">
        <v>350</v>
      </c>
      <c r="S8" s="16">
        <f t="shared" si="7"/>
        <v>94150</v>
      </c>
      <c r="T8" s="19">
        <f t="shared" si="8"/>
        <v>0.42092033701872594</v>
      </c>
      <c r="U8" s="19">
        <f t="shared" si="9"/>
        <v>0.61049132627704017</v>
      </c>
      <c r="V8" s="20">
        <f>IF($S8=0,"-",(VLOOKUP(N8,'APP 2885'!$B$10:$G$54,6)*$H8)/($S8+$Q8))</f>
        <v>1.5435617747118009</v>
      </c>
      <c r="W8" s="21">
        <f t="shared" si="10"/>
        <v>0.846613863112196</v>
      </c>
      <c r="X8" s="22">
        <f t="shared" si="11"/>
        <v>1.0361848523705102</v>
      </c>
      <c r="Y8" s="20">
        <f>IF($S8=0,"-",(VLOOKUP(N8,'APP 2885'!$B$10:$G$54,4)*$H8)/($M8+$Q8))</f>
        <v>0.80837663312341401</v>
      </c>
    </row>
    <row r="9" spans="1:25" ht="20.100000000000001" customHeight="1" x14ac:dyDescent="0.25">
      <c r="A9" s="3" t="s">
        <v>32</v>
      </c>
      <c r="B9" s="3" t="s">
        <v>30</v>
      </c>
      <c r="C9" s="3" t="s">
        <v>33</v>
      </c>
      <c r="D9" s="4">
        <v>134</v>
      </c>
      <c r="E9" s="4">
        <v>135</v>
      </c>
      <c r="F9" s="4"/>
      <c r="G9" s="4">
        <v>68</v>
      </c>
      <c r="H9" s="4">
        <f t="shared" si="0"/>
        <v>9180</v>
      </c>
      <c r="I9" s="5">
        <v>1171</v>
      </c>
      <c r="J9" s="6">
        <f t="shared" si="1"/>
        <v>128.75530621675279</v>
      </c>
      <c r="K9" s="6">
        <f t="shared" si="2"/>
        <v>340.01838645174996</v>
      </c>
      <c r="L9" s="6">
        <f t="shared" si="3"/>
        <v>158085</v>
      </c>
      <c r="M9" s="7">
        <f t="shared" si="4"/>
        <v>95269.325182420638</v>
      </c>
      <c r="N9" s="4">
        <v>18</v>
      </c>
      <c r="O9" s="4">
        <f t="shared" si="5"/>
        <v>112254.0201660485</v>
      </c>
      <c r="P9" s="4">
        <f t="shared" si="5"/>
        <v>112254.0201660485</v>
      </c>
      <c r="Q9" s="8">
        <f t="shared" si="6"/>
        <v>21280.105651100574</v>
      </c>
      <c r="R9" s="5">
        <v>350</v>
      </c>
      <c r="S9" s="6">
        <f t="shared" si="7"/>
        <v>47250</v>
      </c>
      <c r="T9" s="9">
        <f t="shared" si="8"/>
        <v>0.420920337018726</v>
      </c>
      <c r="U9" s="9">
        <f t="shared" si="9"/>
        <v>0.61049132627704028</v>
      </c>
      <c r="V9" s="10">
        <f>IF($S9=0,"-",(VLOOKUP(N9,'APP 2885'!$B$10:$G$54,6)*$H9)/($S9+$Q9))</f>
        <v>1.5435617747118009</v>
      </c>
      <c r="W9" s="11">
        <f t="shared" si="10"/>
        <v>0.8486941050440443</v>
      </c>
      <c r="X9" s="12">
        <f t="shared" si="11"/>
        <v>1.0382650943023586</v>
      </c>
      <c r="Y9" s="10">
        <f>IF($S9=0,"-",(VLOOKUP(N9,'APP 2885'!$B$10:$G$54,4)*$H9)/($M9+$Q9))</f>
        <v>0.80675698995311207</v>
      </c>
    </row>
    <row r="10" spans="1:25" ht="20.100000000000001" customHeight="1" x14ac:dyDescent="0.25">
      <c r="A10" s="13" t="s">
        <v>32</v>
      </c>
      <c r="B10" s="13" t="s">
        <v>31</v>
      </c>
      <c r="C10" s="13" t="s">
        <v>33</v>
      </c>
      <c r="D10" s="14">
        <v>247</v>
      </c>
      <c r="E10" s="14">
        <v>247</v>
      </c>
      <c r="F10" s="14"/>
      <c r="G10" s="14">
        <v>67</v>
      </c>
      <c r="H10" s="14">
        <f t="shared" si="0"/>
        <v>16549</v>
      </c>
      <c r="I10" s="15">
        <v>1171</v>
      </c>
      <c r="J10" s="16">
        <f t="shared" si="1"/>
        <v>126.86184583121232</v>
      </c>
      <c r="K10" s="16">
        <f t="shared" si="2"/>
        <v>339.43755138008464</v>
      </c>
      <c r="L10" s="16">
        <f t="shared" si="3"/>
        <v>289237</v>
      </c>
      <c r="M10" s="17">
        <f t="shared" si="4"/>
        <v>174061.04888880963</v>
      </c>
      <c r="N10" s="14">
        <v>18</v>
      </c>
      <c r="O10" s="14">
        <f t="shared" si="5"/>
        <v>202362.93896818481</v>
      </c>
      <c r="P10" s="14">
        <f t="shared" si="5"/>
        <v>202362.93896818481</v>
      </c>
      <c r="Q10" s="18">
        <f t="shared" si="6"/>
        <v>38362.14252941867</v>
      </c>
      <c r="R10" s="15">
        <v>350</v>
      </c>
      <c r="S10" s="16">
        <f t="shared" si="7"/>
        <v>86450</v>
      </c>
      <c r="T10" s="19">
        <f t="shared" si="8"/>
        <v>0.42720273010855775</v>
      </c>
      <c r="U10" s="19">
        <f t="shared" si="9"/>
        <v>0.61677371936687198</v>
      </c>
      <c r="V10" s="20">
        <f>IF($S10=0,"-",(VLOOKUP(N10,'APP 2885'!$B$10:$G$54,6)*$H10)/($S10+$Q10))</f>
        <v>1.5278392146826021</v>
      </c>
      <c r="W10" s="21">
        <f t="shared" si="10"/>
        <v>0.86014291834422918</v>
      </c>
      <c r="X10" s="22">
        <f t="shared" si="11"/>
        <v>1.0497139076025435</v>
      </c>
      <c r="Y10" s="20">
        <f>IF($S10=0,"-",(VLOOKUP(N10,'APP 2885'!$B$10:$G$54,4)*$H10)/($M10+$Q10))</f>
        <v>0.79795801140314937</v>
      </c>
    </row>
    <row r="11" spans="1:25" ht="20.100000000000001" customHeight="1" x14ac:dyDescent="0.25">
      <c r="A11" s="3" t="s">
        <v>34</v>
      </c>
      <c r="B11" s="3" t="s">
        <v>31</v>
      </c>
      <c r="C11" s="3" t="s">
        <v>35</v>
      </c>
      <c r="D11" s="4">
        <v>49</v>
      </c>
      <c r="E11" s="4">
        <v>49</v>
      </c>
      <c r="F11" s="4"/>
      <c r="G11" s="4">
        <v>229</v>
      </c>
      <c r="H11" s="4">
        <f t="shared" si="0"/>
        <v>11221</v>
      </c>
      <c r="I11" s="5">
        <v>1142</v>
      </c>
      <c r="J11" s="6">
        <f t="shared" si="1"/>
        <v>545.05921238716519</v>
      </c>
      <c r="K11" s="6">
        <f t="shared" si="2"/>
        <v>539.20921194281232</v>
      </c>
      <c r="L11" s="6">
        <f t="shared" si="3"/>
        <v>55958</v>
      </c>
      <c r="M11" s="7">
        <f t="shared" si="4"/>
        <v>2828.8472078311024</v>
      </c>
      <c r="N11" s="4">
        <v>30</v>
      </c>
      <c r="O11" s="4">
        <f t="shared" si="5"/>
        <v>184292.46902561287</v>
      </c>
      <c r="P11" s="4">
        <f t="shared" si="5"/>
        <v>184292.46902561287</v>
      </c>
      <c r="Q11" s="8">
        <f t="shared" si="6"/>
        <v>26011.336112309316</v>
      </c>
      <c r="R11" s="5">
        <v>2000</v>
      </c>
      <c r="S11" s="6">
        <f t="shared" si="7"/>
        <v>98000</v>
      </c>
      <c r="T11" s="9">
        <f t="shared" si="8"/>
        <v>0.53176345467692454</v>
      </c>
      <c r="U11" s="9">
        <f t="shared" si="9"/>
        <v>0.67290506643043724</v>
      </c>
      <c r="V11" s="10">
        <f>IF($S11=0,"-",(VLOOKUP(N11,'APP 2885'!$B$10:$G$54,6)*$H11)/($S11+$Q11))</f>
        <v>1.9960220651619565</v>
      </c>
      <c r="W11" s="11">
        <f t="shared" si="10"/>
        <v>1.5349771061116723E-2</v>
      </c>
      <c r="X11" s="12">
        <f t="shared" si="11"/>
        <v>0.15649138281462943</v>
      </c>
      <c r="Y11" s="10">
        <f>IF($S11=0,"-",(VLOOKUP(N11,'APP 2885'!$B$10:$G$54,4)*$H11)/($M11+$Q11))</f>
        <v>7.3045058521354802</v>
      </c>
    </row>
    <row r="12" spans="1:25" ht="20.100000000000001" customHeight="1" thickBot="1" x14ac:dyDescent="0.3">
      <c r="A12" s="13" t="s">
        <v>34</v>
      </c>
      <c r="B12" s="13" t="s">
        <v>31</v>
      </c>
      <c r="C12" s="13" t="s">
        <v>35</v>
      </c>
      <c r="D12" s="14">
        <v>3</v>
      </c>
      <c r="E12" s="14">
        <v>3</v>
      </c>
      <c r="F12" s="14"/>
      <c r="G12" s="14">
        <v>210</v>
      </c>
      <c r="H12" s="14">
        <f t="shared" si="0"/>
        <v>630</v>
      </c>
      <c r="I12" s="15">
        <v>1142</v>
      </c>
      <c r="J12" s="16">
        <f t="shared" si="1"/>
        <v>499.83595895766246</v>
      </c>
      <c r="K12" s="16">
        <f t="shared" si="2"/>
        <v>524.38665127124875</v>
      </c>
      <c r="L12" s="16">
        <f t="shared" si="3"/>
        <v>3426</v>
      </c>
      <c r="M12" s="17">
        <f t="shared" si="4"/>
        <v>353.3321693132666</v>
      </c>
      <c r="N12" s="14">
        <v>30</v>
      </c>
      <c r="O12" s="14">
        <f t="shared" si="5"/>
        <v>10347.050662698166</v>
      </c>
      <c r="P12" s="14">
        <f t="shared" si="5"/>
        <v>10347.050662698166</v>
      </c>
      <c r="Q12" s="18">
        <f t="shared" si="6"/>
        <v>1460.3994074284706</v>
      </c>
      <c r="R12" s="15">
        <v>2000</v>
      </c>
      <c r="S12" s="16">
        <f t="shared" si="7"/>
        <v>6000</v>
      </c>
      <c r="T12" s="19">
        <f t="shared" si="8"/>
        <v>0.57987538629055091</v>
      </c>
      <c r="U12" s="19">
        <f t="shared" si="9"/>
        <v>0.72101699804406361</v>
      </c>
      <c r="V12" s="20">
        <f>IF($S12=0,"-",(VLOOKUP(N12,'APP 2885'!$B$10:$G$54,6)*$H12)/($S12+$Q12))</f>
        <v>1.8628317556978615</v>
      </c>
      <c r="W12" s="21">
        <f t="shared" si="10"/>
        <v>3.4148104694901468E-2</v>
      </c>
      <c r="X12" s="22">
        <f t="shared" si="11"/>
        <v>0.17528971644841415</v>
      </c>
      <c r="Y12" s="20">
        <f>IF($S12=0,"-",(VLOOKUP(N12,'APP 2885'!$B$10:$G$54,4)*$H12)/($M12+$Q12))</f>
        <v>6.5211596249836692</v>
      </c>
    </row>
    <row r="13" spans="1:25" ht="20.100000000000001" customHeight="1" thickBot="1" x14ac:dyDescent="0.3">
      <c r="A13" s="3" t="s">
        <v>38</v>
      </c>
      <c r="B13" s="3" t="s">
        <v>28</v>
      </c>
      <c r="C13" s="3" t="s">
        <v>39</v>
      </c>
      <c r="D13" s="4">
        <v>11</v>
      </c>
      <c r="E13" s="4">
        <v>11</v>
      </c>
      <c r="F13" s="4">
        <v>8345</v>
      </c>
      <c r="G13" s="23">
        <v>6.2E-2</v>
      </c>
      <c r="H13" s="8">
        <f>F13*G13</f>
        <v>517.39</v>
      </c>
      <c r="I13" s="5">
        <v>0.67</v>
      </c>
      <c r="J13" s="6">
        <f t="shared" si="1"/>
        <v>0.16871376923300799</v>
      </c>
      <c r="K13" s="6">
        <f t="shared" ref="K13:K18" si="12">0.1*$I13+PV($B$80,$N13,(-0.05*0.95*$G13))</f>
        <v>0.12402611240144723</v>
      </c>
      <c r="L13" s="6">
        <f>IF(ISNUMBER(I13),I13*F13,"")</f>
        <v>5591.1500000000005</v>
      </c>
      <c r="M13" s="7">
        <f t="shared" si="4"/>
        <v>5587.9298613020219</v>
      </c>
      <c r="N13" s="4">
        <v>45</v>
      </c>
      <c r="O13" s="4">
        <f t="shared" si="5"/>
        <v>10018.587536633202</v>
      </c>
      <c r="P13" s="4">
        <f t="shared" si="5"/>
        <v>10018.587536633202</v>
      </c>
      <c r="Q13" s="8">
        <f t="shared" si="6"/>
        <v>1199.3588085863753</v>
      </c>
      <c r="R13" s="5">
        <v>0.75</v>
      </c>
      <c r="S13" s="6">
        <f>IF(ISNUMBER(R13),R13*F13,"")</f>
        <v>6258.75</v>
      </c>
      <c r="T13" s="9">
        <f t="shared" si="8"/>
        <v>0.62471381091543421</v>
      </c>
      <c r="U13" s="9">
        <f t="shared" si="9"/>
        <v>0.74442717412166381</v>
      </c>
      <c r="V13" s="10">
        <f>IF($S13=0,"-",(VLOOKUP(N13,'APP 2885'!$B$10:$G$54,6)*$H13)/($S13+$Q13))</f>
        <v>2.5789054559389877</v>
      </c>
      <c r="W13" s="11">
        <f t="shared" si="10"/>
        <v>0.55775625464863432</v>
      </c>
      <c r="X13" s="12">
        <f t="shared" si="11"/>
        <v>0.67746961785486393</v>
      </c>
      <c r="Y13" s="10">
        <f>IF($S13=0,"-",(VLOOKUP(N13,'APP 2885'!$B$10:$G$54,4)*$H13)/($M13+$Q13))</f>
        <v>2.3614924939001543</v>
      </c>
    </row>
    <row r="14" spans="1:25" ht="20.100000000000001" customHeight="1" x14ac:dyDescent="0.25">
      <c r="A14" s="13" t="s">
        <v>38</v>
      </c>
      <c r="B14" s="13" t="s">
        <v>30</v>
      </c>
      <c r="C14" s="13" t="s">
        <v>39</v>
      </c>
      <c r="D14" s="14">
        <v>2</v>
      </c>
      <c r="E14" s="14">
        <v>2</v>
      </c>
      <c r="F14" s="14">
        <v>2239</v>
      </c>
      <c r="G14" s="24">
        <v>5.7000000000000002E-2</v>
      </c>
      <c r="H14" s="18">
        <f t="shared" ref="H14:H18" si="13">F14*G14</f>
        <v>127.623</v>
      </c>
      <c r="I14" s="15">
        <v>0.67</v>
      </c>
      <c r="J14" s="16">
        <f t="shared" si="1"/>
        <v>0.15510782010131377</v>
      </c>
      <c r="K14" s="16">
        <f t="shared" si="12"/>
        <v>0.11942723236907246</v>
      </c>
      <c r="L14" s="16">
        <f t="shared" ref="L14:L18" si="14">IF(ISNUMBER(I14),I14*F14,"")</f>
        <v>1500.13</v>
      </c>
      <c r="M14" s="17">
        <f t="shared" si="4"/>
        <v>1499.5809298950594</v>
      </c>
      <c r="N14" s="14">
        <v>45</v>
      </c>
      <c r="O14" s="14">
        <f t="shared" si="5"/>
        <v>2471.2541741969098</v>
      </c>
      <c r="P14" s="14">
        <f t="shared" si="5"/>
        <v>2471.2541741969098</v>
      </c>
      <c r="Q14" s="18">
        <f t="shared" si="6"/>
        <v>295.84214853054556</v>
      </c>
      <c r="R14" s="15">
        <v>0.75</v>
      </c>
      <c r="S14" s="16">
        <f t="shared" ref="S14:S18" si="15">IF(ISNUMBER(R14),R14*F14,"")</f>
        <v>1679.25</v>
      </c>
      <c r="T14" s="19">
        <f t="shared" si="8"/>
        <v>0.67951326801327927</v>
      </c>
      <c r="U14" s="19">
        <f t="shared" si="9"/>
        <v>0.79922663121950888</v>
      </c>
      <c r="V14" s="20">
        <f>IF($S14=0,"-",(VLOOKUP(N14,'APP 2885'!$B$10:$G$54,6)*$H14)/($S14+$Q14))</f>
        <v>2.4020812444177975</v>
      </c>
      <c r="W14" s="21">
        <f t="shared" si="10"/>
        <v>0.6068096699856389</v>
      </c>
      <c r="X14" s="22">
        <f t="shared" si="11"/>
        <v>0.72652303319186839</v>
      </c>
      <c r="Y14" s="20">
        <f>IF($S14=0,"-",(VLOOKUP(N14,'APP 2885'!$B$10:$G$54,4)*$H14)/($M14+$Q14))</f>
        <v>2.2020491358422816</v>
      </c>
    </row>
    <row r="15" spans="1:25" ht="20.100000000000001" customHeight="1" x14ac:dyDescent="0.25">
      <c r="A15" s="3" t="s">
        <v>38</v>
      </c>
      <c r="B15" s="3" t="s">
        <v>31</v>
      </c>
      <c r="C15" s="3" t="s">
        <v>39</v>
      </c>
      <c r="D15" s="4">
        <v>4</v>
      </c>
      <c r="E15" s="4">
        <v>5</v>
      </c>
      <c r="F15" s="4">
        <v>2547</v>
      </c>
      <c r="G15" s="23">
        <v>6.7000000000000004E-2</v>
      </c>
      <c r="H15" s="8">
        <f t="shared" si="13"/>
        <v>170.649</v>
      </c>
      <c r="I15" s="5">
        <v>0.67</v>
      </c>
      <c r="J15" s="6">
        <f t="shared" si="1"/>
        <v>0.18231971836470218</v>
      </c>
      <c r="K15" s="6">
        <f t="shared" si="12"/>
        <v>0.128624992433822</v>
      </c>
      <c r="L15" s="6">
        <f t="shared" si="14"/>
        <v>1706.49</v>
      </c>
      <c r="M15" s="7">
        <f t="shared" si="4"/>
        <v>1705.2462211568059</v>
      </c>
      <c r="N15" s="4">
        <v>45</v>
      </c>
      <c r="O15" s="4">
        <f t="shared" si="5"/>
        <v>3304.3969627146239</v>
      </c>
      <c r="P15" s="4">
        <f t="shared" si="5"/>
        <v>3304.3969627146239</v>
      </c>
      <c r="Q15" s="8">
        <f t="shared" si="6"/>
        <v>395.58047377501759</v>
      </c>
      <c r="R15" s="5">
        <v>0.75</v>
      </c>
      <c r="S15" s="6">
        <f t="shared" si="15"/>
        <v>1910.25</v>
      </c>
      <c r="T15" s="9">
        <f t="shared" si="8"/>
        <v>0.57809337726502874</v>
      </c>
      <c r="U15" s="9">
        <f t="shared" si="9"/>
        <v>0.69780674047125824</v>
      </c>
      <c r="V15" s="10">
        <f>IF($S15=0,"-",(VLOOKUP(N15,'APP 2885'!$B$10:$G$54,6)*$H15)/($S15+$Q15))</f>
        <v>2.7512020012805767</v>
      </c>
      <c r="W15" s="11">
        <f t="shared" si="10"/>
        <v>0.51605368253211148</v>
      </c>
      <c r="X15" s="12">
        <f t="shared" si="11"/>
        <v>0.63576704573834109</v>
      </c>
      <c r="Y15" s="10">
        <f>IF($S15=0,"-",(VLOOKUP(N15,'APP 2885'!$B$10:$G$54,4)*$H15)/($M15+$Q15))</f>
        <v>2.5163924870495786</v>
      </c>
    </row>
    <row r="16" spans="1:25" ht="20.100000000000001" customHeight="1" x14ac:dyDescent="0.25">
      <c r="A16" s="13" t="s">
        <v>40</v>
      </c>
      <c r="B16" s="13" t="s">
        <v>28</v>
      </c>
      <c r="C16" s="13" t="s">
        <v>41</v>
      </c>
      <c r="D16" s="14">
        <v>171</v>
      </c>
      <c r="E16" s="14">
        <v>171</v>
      </c>
      <c r="F16" s="14">
        <v>197667</v>
      </c>
      <c r="G16" s="24">
        <v>7.3999999999999996E-2</v>
      </c>
      <c r="H16" s="18">
        <f t="shared" si="13"/>
        <v>14627.358</v>
      </c>
      <c r="I16" s="15">
        <v>0.67</v>
      </c>
      <c r="J16" s="16">
        <f t="shared" si="1"/>
        <v>0.201368047149074</v>
      </c>
      <c r="K16" s="16">
        <f t="shared" si="12"/>
        <v>0.13506342447914671</v>
      </c>
      <c r="L16" s="16">
        <f t="shared" si="14"/>
        <v>132436.89000000001</v>
      </c>
      <c r="M16" s="17">
        <f t="shared" si="4"/>
        <v>132379.36021835159</v>
      </c>
      <c r="N16" s="14">
        <v>45</v>
      </c>
      <c r="O16" s="14">
        <f t="shared" si="5"/>
        <v>283239.85108462081</v>
      </c>
      <c r="P16" s="14">
        <f t="shared" si="5"/>
        <v>283239.85108462081</v>
      </c>
      <c r="Q16" s="18">
        <f t="shared" si="6"/>
        <v>33907.59516737159</v>
      </c>
      <c r="R16" s="15">
        <v>1</v>
      </c>
      <c r="S16" s="16">
        <f t="shared" si="15"/>
        <v>197667</v>
      </c>
      <c r="T16" s="19">
        <f t="shared" si="8"/>
        <v>0.69787849147309766</v>
      </c>
      <c r="U16" s="19">
        <f t="shared" si="9"/>
        <v>0.81759185467932727</v>
      </c>
      <c r="V16" s="20">
        <f>IF($S16=0,"-",(VLOOKUP(N16,'APP 2885'!$B$10:$G$54,6)*$H16)/($S16+$Q16))</f>
        <v>2.3481242993113982</v>
      </c>
      <c r="W16" s="21">
        <f t="shared" si="10"/>
        <v>0.46737547598414003</v>
      </c>
      <c r="X16" s="22">
        <f t="shared" si="11"/>
        <v>0.58708883919036958</v>
      </c>
      <c r="Y16" s="20">
        <f>IF($S16=0,"-",(VLOOKUP(N16,'APP 2885'!$B$10:$G$54,4)*$H16)/($M16+$Q16))</f>
        <v>2.7250380361785465</v>
      </c>
    </row>
    <row r="17" spans="1:25" ht="20.100000000000001" customHeight="1" x14ac:dyDescent="0.25">
      <c r="A17" s="3" t="s">
        <v>40</v>
      </c>
      <c r="B17" s="3" t="s">
        <v>30</v>
      </c>
      <c r="C17" s="3" t="s">
        <v>41</v>
      </c>
      <c r="D17" s="4">
        <v>38</v>
      </c>
      <c r="E17" s="4">
        <v>38</v>
      </c>
      <c r="F17" s="4">
        <v>40798</v>
      </c>
      <c r="G17" s="23">
        <v>6.8000000000000005E-2</v>
      </c>
      <c r="H17" s="8">
        <f t="shared" si="13"/>
        <v>2774.2640000000001</v>
      </c>
      <c r="I17" s="5">
        <v>0.67</v>
      </c>
      <c r="J17" s="6">
        <f t="shared" si="1"/>
        <v>0.18504090819104099</v>
      </c>
      <c r="K17" s="6">
        <f t="shared" si="12"/>
        <v>0.12954476844029697</v>
      </c>
      <c r="L17" s="6">
        <f t="shared" si="14"/>
        <v>27334.66</v>
      </c>
      <c r="M17" s="7">
        <f t="shared" si="4"/>
        <v>27322.70574428801</v>
      </c>
      <c r="N17" s="4">
        <v>45</v>
      </c>
      <c r="O17" s="4">
        <f t="shared" si="5"/>
        <v>53720.030796362851</v>
      </c>
      <c r="P17" s="4">
        <f t="shared" si="5"/>
        <v>53720.030796362851</v>
      </c>
      <c r="Q17" s="8">
        <f t="shared" si="6"/>
        <v>6431.0055581748238</v>
      </c>
      <c r="R17" s="5">
        <v>1</v>
      </c>
      <c r="S17" s="6">
        <f t="shared" si="15"/>
        <v>40798</v>
      </c>
      <c r="T17" s="9">
        <f t="shared" si="8"/>
        <v>0.7594560054266063</v>
      </c>
      <c r="U17" s="9">
        <f t="shared" si="9"/>
        <v>0.87916936863283579</v>
      </c>
      <c r="V17" s="10">
        <f>IF($S17=0,"-",(VLOOKUP(N17,'APP 2885'!$B$10:$G$54,6)*$H17)/($S17+$Q17))</f>
        <v>2.1836603610030503</v>
      </c>
      <c r="W17" s="11">
        <f t="shared" si="10"/>
        <v>0.5086129948037541</v>
      </c>
      <c r="X17" s="12">
        <f t="shared" si="11"/>
        <v>0.62832635800998371</v>
      </c>
      <c r="Y17" s="10">
        <f>IF($S17=0,"-",(VLOOKUP(N17,'APP 2885'!$B$10:$G$54,4)*$H17)/($M17+$Q17))</f>
        <v>2.5461917950993338</v>
      </c>
    </row>
    <row r="18" spans="1:25" ht="20.100000000000001" customHeight="1" x14ac:dyDescent="0.25">
      <c r="A18" s="13" t="s">
        <v>40</v>
      </c>
      <c r="B18" s="13" t="s">
        <v>31</v>
      </c>
      <c r="C18" s="13" t="s">
        <v>41</v>
      </c>
      <c r="D18" s="14">
        <v>77</v>
      </c>
      <c r="E18" s="14">
        <v>77</v>
      </c>
      <c r="F18" s="14">
        <v>100238</v>
      </c>
      <c r="G18" s="24">
        <v>0.08</v>
      </c>
      <c r="H18" s="18">
        <f t="shared" si="13"/>
        <v>8019.04</v>
      </c>
      <c r="I18" s="15">
        <v>0.67</v>
      </c>
      <c r="J18" s="16">
        <f t="shared" si="1"/>
        <v>0.21769518610710706</v>
      </c>
      <c r="K18" s="16">
        <f t="shared" si="12"/>
        <v>0.14058208051799642</v>
      </c>
      <c r="L18" s="16">
        <f t="shared" si="14"/>
        <v>67159.460000000006</v>
      </c>
      <c r="M18" s="17">
        <f t="shared" si="4"/>
        <v>67131.872650469872</v>
      </c>
      <c r="N18" s="14">
        <v>45</v>
      </c>
      <c r="O18" s="14">
        <f t="shared" si="5"/>
        <v>155278.32814658788</v>
      </c>
      <c r="P18" s="14">
        <f t="shared" si="5"/>
        <v>155278.32814658788</v>
      </c>
      <c r="Q18" s="18">
        <f t="shared" si="6"/>
        <v>18588.890895468576</v>
      </c>
      <c r="R18" s="15">
        <v>1</v>
      </c>
      <c r="S18" s="16">
        <f t="shared" si="15"/>
        <v>100238</v>
      </c>
      <c r="T18" s="19">
        <f t="shared" si="8"/>
        <v>0.64553760461261545</v>
      </c>
      <c r="U18" s="19">
        <f t="shared" si="9"/>
        <v>0.76525096781884494</v>
      </c>
      <c r="V18" s="20">
        <f>IF($S18=0,"-",(VLOOKUP(N18,'APP 2885'!$B$10:$G$54,6)*$H18)/($S18+$Q18))</f>
        <v>2.5087290073784927</v>
      </c>
      <c r="W18" s="21">
        <f t="shared" si="10"/>
        <v>0.43233253121514265</v>
      </c>
      <c r="X18" s="22">
        <f t="shared" si="11"/>
        <v>0.5520458944213722</v>
      </c>
      <c r="Y18" s="20">
        <f>IF($S18=0,"-",(VLOOKUP(N18,'APP 2885'!$B$10:$G$54,4)*$H18)/($M18+$Q18))</f>
        <v>2.8980188668671132</v>
      </c>
    </row>
    <row r="19" spans="1:25" ht="20.100000000000001" customHeight="1" x14ac:dyDescent="0.25">
      <c r="A19" s="3" t="s">
        <v>42</v>
      </c>
      <c r="B19" s="3" t="s">
        <v>28</v>
      </c>
      <c r="C19" s="3" t="s">
        <v>43</v>
      </c>
      <c r="D19" s="4">
        <v>11</v>
      </c>
      <c r="E19" s="4">
        <v>12</v>
      </c>
      <c r="F19" s="4"/>
      <c r="G19" s="4">
        <v>77</v>
      </c>
      <c r="H19" s="4">
        <f t="shared" si="0"/>
        <v>924</v>
      </c>
      <c r="I19" s="5">
        <v>1747</v>
      </c>
      <c r="J19" s="6">
        <f t="shared" si="1"/>
        <v>209.53161662809052</v>
      </c>
      <c r="K19" s="6">
        <f t="shared" ref="K19:K31" si="16">0.1*$I19+PV($B$80,$N19,(-0.05*0.95*$G19))+PV($B$80,$N19,-15)</f>
        <v>535.97833349066275</v>
      </c>
      <c r="L19" s="6">
        <f t="shared" si="3"/>
        <v>20964</v>
      </c>
      <c r="M19" s="7">
        <f t="shared" si="4"/>
        <v>12763.390548693715</v>
      </c>
      <c r="N19" s="4">
        <v>45</v>
      </c>
      <c r="O19" s="4">
        <f t="shared" si="5"/>
        <v>17892.063789112814</v>
      </c>
      <c r="P19" s="4">
        <f t="shared" si="5"/>
        <v>17892.063789112814</v>
      </c>
      <c r="Q19" s="8">
        <f t="shared" si="6"/>
        <v>2141.9191308950903</v>
      </c>
      <c r="R19" s="5">
        <v>750</v>
      </c>
      <c r="S19" s="6">
        <f t="shared" si="7"/>
        <v>9000</v>
      </c>
      <c r="T19" s="9">
        <f t="shared" si="8"/>
        <v>0.50301631528255741</v>
      </c>
      <c r="U19" s="9">
        <f t="shared" si="9"/>
        <v>0.62272967848878702</v>
      </c>
      <c r="V19" s="10">
        <f>IF($S19=0,"-",(VLOOKUP(N19,'APP 2885'!$B$10:$G$54,6)*$H19)/($S19+$Q19))</f>
        <v>3.0828903249809865</v>
      </c>
      <c r="W19" s="11">
        <f t="shared" si="10"/>
        <v>0.71335485381290342</v>
      </c>
      <c r="X19" s="12">
        <f t="shared" si="11"/>
        <v>0.83306821701913303</v>
      </c>
      <c r="Y19" s="10">
        <f>IF($S19=0,"-",(VLOOKUP(N19,'APP 2885'!$B$10:$G$54,4)*$H19)/($M19+$Q19))</f>
        <v>1.9204182619451964</v>
      </c>
    </row>
    <row r="20" spans="1:25" ht="20.100000000000001" customHeight="1" x14ac:dyDescent="0.25">
      <c r="A20" s="13" t="s">
        <v>42</v>
      </c>
      <c r="B20" s="13" t="s">
        <v>30</v>
      </c>
      <c r="C20" s="13" t="s">
        <v>43</v>
      </c>
      <c r="D20" s="14">
        <v>2</v>
      </c>
      <c r="E20" s="14">
        <v>2</v>
      </c>
      <c r="F20" s="14"/>
      <c r="G20" s="14">
        <v>78</v>
      </c>
      <c r="H20" s="14">
        <f t="shared" si="0"/>
        <v>156</v>
      </c>
      <c r="I20" s="15">
        <v>1747</v>
      </c>
      <c r="J20" s="16">
        <f t="shared" si="1"/>
        <v>212.25280645442933</v>
      </c>
      <c r="K20" s="16">
        <f t="shared" si="16"/>
        <v>536.89810949713774</v>
      </c>
      <c r="L20" s="16">
        <f t="shared" si="3"/>
        <v>3494</v>
      </c>
      <c r="M20" s="17">
        <f t="shared" si="4"/>
        <v>1995.6981680968659</v>
      </c>
      <c r="N20" s="14">
        <v>45</v>
      </c>
      <c r="O20" s="14">
        <f t="shared" si="5"/>
        <v>3020.7380423177474</v>
      </c>
      <c r="P20" s="14">
        <f t="shared" si="5"/>
        <v>3020.7380423177474</v>
      </c>
      <c r="Q20" s="18">
        <f t="shared" si="6"/>
        <v>361.62271041085944</v>
      </c>
      <c r="R20" s="15">
        <v>750</v>
      </c>
      <c r="S20" s="16">
        <f t="shared" si="7"/>
        <v>1500</v>
      </c>
      <c r="T20" s="19">
        <f t="shared" si="8"/>
        <v>0.49656738816355034</v>
      </c>
      <c r="U20" s="19">
        <f t="shared" si="9"/>
        <v>0.61628075136977989</v>
      </c>
      <c r="V20" s="20">
        <f>IF($S20=0,"-",(VLOOKUP(N20,'APP 2885'!$B$10:$G$54,6)*$H20)/($S20+$Q20))</f>
        <v>3.1151505164237752</v>
      </c>
      <c r="W20" s="21">
        <f t="shared" si="10"/>
        <v>0.66066575126309512</v>
      </c>
      <c r="X20" s="22">
        <f t="shared" si="11"/>
        <v>0.78037911446932473</v>
      </c>
      <c r="Y20" s="20">
        <f>IF($S20=0,"-",(VLOOKUP(N20,'APP 2885'!$B$10:$G$54,4)*$H20)/($M20+$Q20))</f>
        <v>2.0500797468133087</v>
      </c>
    </row>
    <row r="21" spans="1:25" ht="20.100000000000001" customHeight="1" x14ac:dyDescent="0.25">
      <c r="A21" s="3" t="s">
        <v>42</v>
      </c>
      <c r="B21" s="3" t="s">
        <v>31</v>
      </c>
      <c r="C21" s="3" t="s">
        <v>43</v>
      </c>
      <c r="D21" s="4">
        <v>2</v>
      </c>
      <c r="E21" s="4">
        <v>2</v>
      </c>
      <c r="F21" s="4"/>
      <c r="G21" s="4">
        <v>67</v>
      </c>
      <c r="H21" s="4">
        <f t="shared" si="0"/>
        <v>134</v>
      </c>
      <c r="I21" s="5">
        <v>1747</v>
      </c>
      <c r="J21" s="6">
        <f t="shared" si="1"/>
        <v>182.31971836470217</v>
      </c>
      <c r="K21" s="6">
        <f t="shared" si="16"/>
        <v>526.78057342591319</v>
      </c>
      <c r="L21" s="6">
        <f t="shared" si="3"/>
        <v>3494</v>
      </c>
      <c r="M21" s="7">
        <f t="shared" si="4"/>
        <v>2075.7994164187694</v>
      </c>
      <c r="N21" s="4">
        <v>45</v>
      </c>
      <c r="O21" s="4">
        <f t="shared" si="5"/>
        <v>2594.7365235293473</v>
      </c>
      <c r="P21" s="4">
        <f t="shared" si="5"/>
        <v>2594.7365235293473</v>
      </c>
      <c r="Q21" s="8">
        <f t="shared" si="6"/>
        <v>310.62463586573818</v>
      </c>
      <c r="R21" s="5">
        <v>750</v>
      </c>
      <c r="S21" s="6">
        <f t="shared" si="7"/>
        <v>1500</v>
      </c>
      <c r="T21" s="9">
        <f t="shared" si="8"/>
        <v>0.57809337726502874</v>
      </c>
      <c r="U21" s="9">
        <f t="shared" si="9"/>
        <v>0.69780674047125824</v>
      </c>
      <c r="V21" s="10">
        <f>IF($S21=0,"-",(VLOOKUP(N21,'APP 2885'!$B$10:$G$54,6)*$H21)/($S21+$Q21))</f>
        <v>2.7512020012805771</v>
      </c>
      <c r="W21" s="11">
        <f t="shared" si="10"/>
        <v>0.80000393010820137</v>
      </c>
      <c r="X21" s="12">
        <f t="shared" si="11"/>
        <v>0.91971729331443097</v>
      </c>
      <c r="Y21" s="10">
        <f>IF($S21=0,"-",(VLOOKUP(N21,'APP 2885'!$B$10:$G$54,4)*$H21)/($M21+$Q21))</f>
        <v>1.7394904162824278</v>
      </c>
    </row>
    <row r="22" spans="1:25" ht="20.100000000000001" customHeight="1" x14ac:dyDescent="0.25">
      <c r="A22" s="13" t="s">
        <v>42</v>
      </c>
      <c r="B22" s="13" t="s">
        <v>31</v>
      </c>
      <c r="C22" s="13" t="s">
        <v>43</v>
      </c>
      <c r="D22" s="14">
        <v>1</v>
      </c>
      <c r="E22" s="14">
        <v>1</v>
      </c>
      <c r="F22" s="14"/>
      <c r="G22" s="14">
        <v>106</v>
      </c>
      <c r="H22" s="14">
        <f t="shared" si="0"/>
        <v>106</v>
      </c>
      <c r="I22" s="15">
        <v>1747</v>
      </c>
      <c r="J22" s="16">
        <f t="shared" si="1"/>
        <v>288.44612159191684</v>
      </c>
      <c r="K22" s="16">
        <f t="shared" si="16"/>
        <v>562.65183767843644</v>
      </c>
      <c r="L22" s="16">
        <f t="shared" si="3"/>
        <v>1747</v>
      </c>
      <c r="M22" s="17">
        <f t="shared" si="4"/>
        <v>895.90204072964673</v>
      </c>
      <c r="N22" s="14">
        <v>45</v>
      </c>
      <c r="O22" s="14">
        <f t="shared" si="5"/>
        <v>2052.5527723441105</v>
      </c>
      <c r="P22" s="14">
        <f t="shared" si="5"/>
        <v>2052.5527723441105</v>
      </c>
      <c r="Q22" s="18">
        <f t="shared" si="6"/>
        <v>245.71799553558395</v>
      </c>
      <c r="R22" s="15">
        <v>500</v>
      </c>
      <c r="S22" s="16">
        <f t="shared" si="7"/>
        <v>500</v>
      </c>
      <c r="T22" s="19">
        <f t="shared" si="8"/>
        <v>0.24359909608023222</v>
      </c>
      <c r="U22" s="19">
        <f t="shared" si="9"/>
        <v>0.36331245928646178</v>
      </c>
      <c r="V22" s="20">
        <f>IF($S22=0,"-",(VLOOKUP(N22,'APP 2885'!$B$10:$G$54,6)*$H22)/($S22+$Q22))</f>
        <v>5.2841768891220084</v>
      </c>
      <c r="W22" s="21">
        <f t="shared" si="10"/>
        <v>0.43648185459635469</v>
      </c>
      <c r="X22" s="22">
        <f t="shared" si="11"/>
        <v>0.5561952178025843</v>
      </c>
      <c r="Y22" s="20">
        <f>IF($S22=0,"-",(VLOOKUP(N22,'APP 2885'!$B$10:$G$54,4)*$H22)/($M22+$Q22))</f>
        <v>2.8763990883098778</v>
      </c>
    </row>
    <row r="23" spans="1:25" ht="20.100000000000001" customHeight="1" x14ac:dyDescent="0.25">
      <c r="A23" s="3" t="s">
        <v>44</v>
      </c>
      <c r="B23" s="3" t="s">
        <v>28</v>
      </c>
      <c r="C23" s="3" t="s">
        <v>45</v>
      </c>
      <c r="D23" s="4">
        <v>1</v>
      </c>
      <c r="E23" s="4">
        <v>1</v>
      </c>
      <c r="F23" s="4"/>
      <c r="G23" s="4">
        <v>54</v>
      </c>
      <c r="H23" s="4">
        <f t="shared" si="0"/>
        <v>54</v>
      </c>
      <c r="I23" s="5">
        <v>1171</v>
      </c>
      <c r="J23" s="6">
        <f t="shared" si="1"/>
        <v>102.24686081918603</v>
      </c>
      <c r="K23" s="6">
        <f t="shared" si="16"/>
        <v>331.88669544843594</v>
      </c>
      <c r="L23" s="6">
        <f t="shared" si="3"/>
        <v>1171</v>
      </c>
      <c r="M23" s="7">
        <f t="shared" si="4"/>
        <v>736.866443732378</v>
      </c>
      <c r="N23" s="4">
        <v>18</v>
      </c>
      <c r="O23" s="4">
        <f t="shared" si="5"/>
        <v>660.3177656826382</v>
      </c>
      <c r="P23" s="4">
        <f t="shared" si="5"/>
        <v>660.3177656826382</v>
      </c>
      <c r="Q23" s="8">
        <f t="shared" si="6"/>
        <v>125.17709206529747</v>
      </c>
      <c r="R23" s="5">
        <v>250</v>
      </c>
      <c r="S23" s="6">
        <f t="shared" si="7"/>
        <v>250</v>
      </c>
      <c r="T23" s="9">
        <f t="shared" si="8"/>
        <v>0.37860559414382766</v>
      </c>
      <c r="U23" s="9">
        <f t="shared" si="9"/>
        <v>0.56817658340214194</v>
      </c>
      <c r="V23" s="10">
        <f>IF($S23=0,"-",(VLOOKUP(N23,'APP 2885'!$B$10:$G$54,6)*$H23)/($S23+$Q23))</f>
        <v>1.6585179723385217</v>
      </c>
      <c r="W23" s="11">
        <f t="shared" si="10"/>
        <v>1.1159270309357852</v>
      </c>
      <c r="X23" s="12">
        <f t="shared" si="11"/>
        <v>1.3054980201940996</v>
      </c>
      <c r="Y23" s="10">
        <f>IF($S23=0,"-",(VLOOKUP(N23,'APP 2885'!$B$10:$G$54,4)*$H23)/($M23+$Q23))</f>
        <v>0.64161539067536655</v>
      </c>
    </row>
    <row r="24" spans="1:25" ht="20.100000000000001" customHeight="1" x14ac:dyDescent="0.25">
      <c r="A24" s="13" t="s">
        <v>44</v>
      </c>
      <c r="B24" s="13" t="s">
        <v>30</v>
      </c>
      <c r="C24" s="13" t="s">
        <v>45</v>
      </c>
      <c r="D24" s="14">
        <v>5</v>
      </c>
      <c r="E24" s="14">
        <v>5</v>
      </c>
      <c r="F24" s="14"/>
      <c r="G24" s="14">
        <v>54</v>
      </c>
      <c r="H24" s="14">
        <f t="shared" si="0"/>
        <v>270</v>
      </c>
      <c r="I24" s="15">
        <v>1171</v>
      </c>
      <c r="J24" s="16">
        <f t="shared" si="1"/>
        <v>102.24686081918603</v>
      </c>
      <c r="K24" s="16">
        <f t="shared" si="16"/>
        <v>331.88669544843594</v>
      </c>
      <c r="L24" s="16">
        <f t="shared" si="3"/>
        <v>5855</v>
      </c>
      <c r="M24" s="17">
        <f t="shared" si="4"/>
        <v>3684.3322186618898</v>
      </c>
      <c r="N24" s="14">
        <v>18</v>
      </c>
      <c r="O24" s="14">
        <f t="shared" si="5"/>
        <v>3301.5888284131911</v>
      </c>
      <c r="P24" s="14">
        <f t="shared" si="5"/>
        <v>3301.5888284131911</v>
      </c>
      <c r="Q24" s="18">
        <f t="shared" si="6"/>
        <v>625.88546032648742</v>
      </c>
      <c r="R24" s="15">
        <v>250</v>
      </c>
      <c r="S24" s="16">
        <f t="shared" si="7"/>
        <v>1250</v>
      </c>
      <c r="T24" s="19">
        <f t="shared" si="8"/>
        <v>0.37860559414382761</v>
      </c>
      <c r="U24" s="19">
        <f t="shared" si="9"/>
        <v>0.56817658340214194</v>
      </c>
      <c r="V24" s="20">
        <f>IF($S24=0,"-",(VLOOKUP(N24,'APP 2885'!$B$10:$G$54,6)*$H24)/($S24+$Q24))</f>
        <v>1.6585179723385215</v>
      </c>
      <c r="W24" s="21">
        <f t="shared" si="10"/>
        <v>1.1159270309357852</v>
      </c>
      <c r="X24" s="22">
        <f t="shared" si="11"/>
        <v>1.3054980201940993</v>
      </c>
      <c r="Y24" s="20">
        <f>IF($S24=0,"-",(VLOOKUP(N24,'APP 2885'!$B$10:$G$54,4)*$H24)/($M24+$Q24))</f>
        <v>0.64161539067536677</v>
      </c>
    </row>
    <row r="25" spans="1:25" ht="20.100000000000001" customHeight="1" x14ac:dyDescent="0.25">
      <c r="A25" s="3" t="s">
        <v>44</v>
      </c>
      <c r="B25" s="3" t="s">
        <v>31</v>
      </c>
      <c r="C25" s="3" t="s">
        <v>45</v>
      </c>
      <c r="D25" s="4">
        <v>9</v>
      </c>
      <c r="E25" s="4">
        <v>9</v>
      </c>
      <c r="F25" s="4"/>
      <c r="G25" s="4">
        <v>54</v>
      </c>
      <c r="H25" s="4">
        <f t="shared" si="0"/>
        <v>486</v>
      </c>
      <c r="I25" s="5">
        <v>1171</v>
      </c>
      <c r="J25" s="6">
        <f t="shared" si="1"/>
        <v>102.24686081918603</v>
      </c>
      <c r="K25" s="6">
        <f t="shared" si="16"/>
        <v>331.88669544843594</v>
      </c>
      <c r="L25" s="6">
        <f t="shared" si="3"/>
        <v>10539</v>
      </c>
      <c r="M25" s="7">
        <f t="shared" si="4"/>
        <v>6631.7979935914018</v>
      </c>
      <c r="N25" s="4">
        <v>18</v>
      </c>
      <c r="O25" s="4">
        <f t="shared" ref="O25:P44" si="17">PV($B$80,$N25,-$H25)</f>
        <v>5942.8598911437439</v>
      </c>
      <c r="P25" s="4">
        <f t="shared" si="17"/>
        <v>5942.8598911437439</v>
      </c>
      <c r="Q25" s="8">
        <f t="shared" si="6"/>
        <v>1126.5938285876773</v>
      </c>
      <c r="R25" s="5">
        <v>250</v>
      </c>
      <c r="S25" s="6">
        <f t="shared" si="7"/>
        <v>2250</v>
      </c>
      <c r="T25" s="9">
        <f t="shared" si="8"/>
        <v>0.37860559414382766</v>
      </c>
      <c r="U25" s="9">
        <f t="shared" si="9"/>
        <v>0.56817658340214194</v>
      </c>
      <c r="V25" s="10">
        <f>IF($S25=0,"-",(VLOOKUP(N25,'APP 2885'!$B$10:$G$54,6)*$H25)/($S25+$Q25))</f>
        <v>1.6585179723385217</v>
      </c>
      <c r="W25" s="11">
        <f t="shared" si="10"/>
        <v>1.1159270309357852</v>
      </c>
      <c r="X25" s="12">
        <f t="shared" si="11"/>
        <v>1.3054980201940996</v>
      </c>
      <c r="Y25" s="10">
        <f>IF($S25=0,"-",(VLOOKUP(N25,'APP 2885'!$B$10:$G$54,4)*$H25)/($M25+$Q25))</f>
        <v>0.64161539067536666</v>
      </c>
    </row>
    <row r="26" spans="1:25" ht="20.100000000000001" customHeight="1" x14ac:dyDescent="0.25">
      <c r="A26" s="13" t="s">
        <v>46</v>
      </c>
      <c r="B26" s="13" t="s">
        <v>28</v>
      </c>
      <c r="C26" s="13" t="s">
        <v>47</v>
      </c>
      <c r="D26" s="14">
        <v>68</v>
      </c>
      <c r="E26" s="14">
        <v>68</v>
      </c>
      <c r="F26" s="50">
        <v>9888.5</v>
      </c>
      <c r="G26" s="51">
        <v>6.3E-2</v>
      </c>
      <c r="H26" s="14">
        <f>G26*F26</f>
        <v>622.97550000000001</v>
      </c>
      <c r="I26" s="15">
        <v>0.61</v>
      </c>
      <c r="J26" s="16">
        <f t="shared" si="1"/>
        <v>0.14995078768729875</v>
      </c>
      <c r="K26" s="16">
        <f t="shared" si="16"/>
        <v>246.4684976025089</v>
      </c>
      <c r="L26" s="16">
        <f t="shared" si="3"/>
        <v>41.48</v>
      </c>
      <c r="M26" s="17">
        <f t="shared" si="4"/>
        <v>-16728.574490533341</v>
      </c>
      <c r="N26" s="14">
        <v>30</v>
      </c>
      <c r="O26" s="14">
        <f t="shared" si="17"/>
        <v>10231.681047809081</v>
      </c>
      <c r="P26" s="14">
        <f t="shared" si="17"/>
        <v>10231.681047809081</v>
      </c>
      <c r="Q26" s="18">
        <f t="shared" si="6"/>
        <v>1444.1159540356432</v>
      </c>
      <c r="R26" s="15">
        <v>0.5</v>
      </c>
      <c r="S26" s="16">
        <f>R26*F26</f>
        <v>4944.25</v>
      </c>
      <c r="T26" s="19">
        <f t="shared" si="8"/>
        <v>0.48322948857545911</v>
      </c>
      <c r="U26" s="19">
        <f t="shared" si="9"/>
        <v>0.62437110032897181</v>
      </c>
      <c r="V26" s="20">
        <f>IF($S26=0,"-",(VLOOKUP(N26,'APP 2885'!$B$10:$G$54,6)*$H26)/($S26+$Q26))</f>
        <v>2.151177976762134</v>
      </c>
      <c r="W26" s="21">
        <f t="shared" si="10"/>
        <v>-1.6349781050021537</v>
      </c>
      <c r="X26" s="22">
        <f t="shared" si="11"/>
        <v>-1.493836493248641</v>
      </c>
      <c r="Y26" s="20">
        <f>IF($S26=0,"-",(VLOOKUP(N26,'APP 2885'!$B$10:$G$54,4)*$H26)/($M26+$Q26))</f>
        <v>-0.76520571477829924</v>
      </c>
    </row>
    <row r="27" spans="1:25" ht="20.100000000000001" customHeight="1" x14ac:dyDescent="0.25">
      <c r="A27" s="3" t="s">
        <v>46</v>
      </c>
      <c r="B27" s="3" t="s">
        <v>30</v>
      </c>
      <c r="C27" s="3" t="s">
        <v>47</v>
      </c>
      <c r="D27" s="4">
        <v>29</v>
      </c>
      <c r="E27" s="4">
        <v>29</v>
      </c>
      <c r="F27" s="4">
        <v>3694</v>
      </c>
      <c r="G27" s="52">
        <v>6.3E-2</v>
      </c>
      <c r="H27" s="4">
        <f t="shared" ref="H27:H28" si="18">G27*F27</f>
        <v>232.72200000000001</v>
      </c>
      <c r="I27" s="5">
        <v>0.61</v>
      </c>
      <c r="J27" s="6">
        <f t="shared" si="1"/>
        <v>0.14995078768729875</v>
      </c>
      <c r="K27" s="6">
        <f t="shared" si="16"/>
        <v>246.4684976025089</v>
      </c>
      <c r="L27" s="6">
        <f t="shared" si="3"/>
        <v>17.690000000000001</v>
      </c>
      <c r="M27" s="7">
        <f t="shared" si="4"/>
        <v>-7134.2450033156902</v>
      </c>
      <c r="N27" s="4">
        <v>30</v>
      </c>
      <c r="O27" s="4">
        <f t="shared" si="17"/>
        <v>3822.2005148007029</v>
      </c>
      <c r="P27" s="4">
        <f t="shared" si="17"/>
        <v>3822.2005148007029</v>
      </c>
      <c r="Q27" s="8">
        <f t="shared" si="6"/>
        <v>539.47154110407712</v>
      </c>
      <c r="R27" s="5">
        <v>0.5</v>
      </c>
      <c r="S27" s="6">
        <f t="shared" ref="S27:S28" si="19">R27*F27</f>
        <v>1847</v>
      </c>
      <c r="T27" s="9">
        <f t="shared" si="8"/>
        <v>0.48322948857545905</v>
      </c>
      <c r="U27" s="9">
        <f t="shared" si="9"/>
        <v>0.6243711003289717</v>
      </c>
      <c r="V27" s="10">
        <f>IF($S27=0,"-",(VLOOKUP(N27,'APP 2885'!$B$10:$G$54,6)*$H27)/($S27+$Q27))</f>
        <v>2.151177976762134</v>
      </c>
      <c r="W27" s="11">
        <f t="shared" si="10"/>
        <v>-1.8665281885892069</v>
      </c>
      <c r="X27" s="12">
        <f t="shared" si="11"/>
        <v>-1.7253865768356942</v>
      </c>
      <c r="Y27" s="10">
        <f>IF($S27=0,"-",(VLOOKUP(N27,'APP 2885'!$B$10:$G$54,4)*$H27)/($M27+$Q27))</f>
        <v>-0.66251368645433062</v>
      </c>
    </row>
    <row r="28" spans="1:25" ht="20.100000000000001" customHeight="1" x14ac:dyDescent="0.25">
      <c r="A28" s="13" t="s">
        <v>46</v>
      </c>
      <c r="B28" s="13" t="s">
        <v>31</v>
      </c>
      <c r="C28" s="13" t="s">
        <v>47</v>
      </c>
      <c r="D28" s="14">
        <v>11</v>
      </c>
      <c r="E28" s="14">
        <v>11</v>
      </c>
      <c r="F28" s="14">
        <v>2900</v>
      </c>
      <c r="G28" s="51">
        <v>6.3E-2</v>
      </c>
      <c r="H28" s="14">
        <f t="shared" si="18"/>
        <v>182.7</v>
      </c>
      <c r="I28" s="15">
        <v>0.61</v>
      </c>
      <c r="J28" s="16">
        <f t="shared" si="1"/>
        <v>0.14995078768729875</v>
      </c>
      <c r="K28" s="16">
        <f t="shared" si="16"/>
        <v>246.4684976025089</v>
      </c>
      <c r="L28" s="16">
        <f t="shared" si="3"/>
        <v>6.71</v>
      </c>
      <c r="M28" s="17">
        <f t="shared" si="4"/>
        <v>-2706.0929322921579</v>
      </c>
      <c r="N28" s="14">
        <v>30</v>
      </c>
      <c r="O28" s="14">
        <f t="shared" si="17"/>
        <v>3000.6446921824681</v>
      </c>
      <c r="P28" s="14">
        <f t="shared" si="17"/>
        <v>3000.6446921824681</v>
      </c>
      <c r="Q28" s="18">
        <f t="shared" si="6"/>
        <v>423.51582815425644</v>
      </c>
      <c r="R28" s="15">
        <v>0.5</v>
      </c>
      <c r="S28" s="16">
        <f t="shared" si="19"/>
        <v>1450</v>
      </c>
      <c r="T28" s="19">
        <f t="shared" si="8"/>
        <v>0.48322948857545911</v>
      </c>
      <c r="U28" s="19">
        <f t="shared" si="9"/>
        <v>0.62437110032897181</v>
      </c>
      <c r="V28" s="20">
        <f>IF($S28=0,"-",(VLOOKUP(N28,'APP 2885'!$B$10:$G$54,6)*$H28)/($S28+$Q28))</f>
        <v>2.1511779767621335</v>
      </c>
      <c r="W28" s="21">
        <f t="shared" si="10"/>
        <v>-0.90183717497186477</v>
      </c>
      <c r="X28" s="22">
        <f t="shared" si="11"/>
        <v>-0.76069556321835219</v>
      </c>
      <c r="Y28" s="20">
        <f>IF($S28=0,"-",(VLOOKUP(N28,'APP 2885'!$B$10:$G$54,4)*$H28)/($M28+$Q28))</f>
        <v>-1.5026934253987723</v>
      </c>
    </row>
    <row r="29" spans="1:25" ht="20.100000000000001" customHeight="1" x14ac:dyDescent="0.25">
      <c r="A29" s="3" t="s">
        <v>48</v>
      </c>
      <c r="B29" s="3" t="s">
        <v>28</v>
      </c>
      <c r="C29" s="3" t="s">
        <v>49</v>
      </c>
      <c r="D29" s="4">
        <v>90</v>
      </c>
      <c r="E29" s="4">
        <v>90</v>
      </c>
      <c r="F29" s="4"/>
      <c r="G29" s="4">
        <v>27.72</v>
      </c>
      <c r="H29" s="4">
        <f t="shared" si="0"/>
        <v>2494.7999999999997</v>
      </c>
      <c r="I29" s="5">
        <v>793.95</v>
      </c>
      <c r="J29" s="6">
        <f t="shared" si="1"/>
        <v>65.978346582411433</v>
      </c>
      <c r="K29" s="6">
        <f t="shared" si="16"/>
        <v>347.37868499690023</v>
      </c>
      <c r="L29" s="6">
        <f t="shared" si="3"/>
        <v>71455.5</v>
      </c>
      <c r="M29" s="7">
        <f t="shared" si="4"/>
        <v>34253.367157861954</v>
      </c>
      <c r="N29" s="4">
        <v>30</v>
      </c>
      <c r="O29" s="4">
        <f t="shared" si="17"/>
        <v>40974.320624284737</v>
      </c>
      <c r="P29" s="4">
        <f t="shared" si="17"/>
        <v>40974.320624284737</v>
      </c>
      <c r="Q29" s="8">
        <f t="shared" si="6"/>
        <v>5783.1816534167438</v>
      </c>
      <c r="R29" s="5">
        <v>150</v>
      </c>
      <c r="S29" s="6">
        <f t="shared" si="7"/>
        <v>13500</v>
      </c>
      <c r="T29" s="9">
        <f t="shared" si="8"/>
        <v>0.32947465130144937</v>
      </c>
      <c r="U29" s="9">
        <f t="shared" si="9"/>
        <v>0.47061626305496207</v>
      </c>
      <c r="V29" s="10">
        <f>IF($S29=0,"-",(VLOOKUP(N29,'APP 2885'!$B$10:$G$54,6)*$H29)/($S29+$Q29))</f>
        <v>2.8539884100808548</v>
      </c>
      <c r="W29" s="11">
        <f t="shared" si="10"/>
        <v>0.83597157038793235</v>
      </c>
      <c r="X29" s="12">
        <f t="shared" si="11"/>
        <v>0.97711318214144505</v>
      </c>
      <c r="Y29" s="10">
        <f>IF($S29=0,"-",(VLOOKUP(N29,'APP 2885'!$B$10:$G$54,4)*$H29)/($M29+$Q29))</f>
        <v>1.1698667487762562</v>
      </c>
    </row>
    <row r="30" spans="1:25" ht="20.100000000000001" customHeight="1" x14ac:dyDescent="0.25">
      <c r="A30" s="13" t="s">
        <v>48</v>
      </c>
      <c r="B30" s="13" t="s">
        <v>30</v>
      </c>
      <c r="C30" s="13" t="s">
        <v>49</v>
      </c>
      <c r="D30" s="14">
        <v>18</v>
      </c>
      <c r="E30" s="14">
        <v>18</v>
      </c>
      <c r="F30" s="14"/>
      <c r="G30" s="14">
        <v>28</v>
      </c>
      <c r="H30" s="14">
        <f t="shared" si="0"/>
        <v>504</v>
      </c>
      <c r="I30" s="15">
        <v>793.95</v>
      </c>
      <c r="J30" s="16">
        <f t="shared" si="1"/>
        <v>66.644794527688319</v>
      </c>
      <c r="K30" s="16">
        <f t="shared" si="16"/>
        <v>347.59712273311277</v>
      </c>
      <c r="L30" s="16">
        <f t="shared" si="3"/>
        <v>14291.1</v>
      </c>
      <c r="M30" s="17">
        <f t="shared" si="4"/>
        <v>6834.745489305581</v>
      </c>
      <c r="N30" s="14">
        <v>30</v>
      </c>
      <c r="O30" s="14">
        <f t="shared" si="17"/>
        <v>8277.6405301585328</v>
      </c>
      <c r="P30" s="14">
        <f t="shared" si="17"/>
        <v>8277.6405301585328</v>
      </c>
      <c r="Q30" s="18">
        <f t="shared" si="6"/>
        <v>1168.3195259427764</v>
      </c>
      <c r="R30" s="15">
        <v>150</v>
      </c>
      <c r="S30" s="16">
        <f t="shared" si="7"/>
        <v>2700</v>
      </c>
      <c r="T30" s="19">
        <f t="shared" si="8"/>
        <v>0.32617990478843489</v>
      </c>
      <c r="U30" s="19">
        <f t="shared" si="9"/>
        <v>0.46732151654194759</v>
      </c>
      <c r="V30" s="20">
        <f>IF($S30=0,"-",(VLOOKUP(N30,'APP 2885'!$B$10:$G$54,6)*$H30)/($S30+$Q30))</f>
        <v>2.8741098212067082</v>
      </c>
      <c r="W30" s="21">
        <f t="shared" si="10"/>
        <v>0.82568764183514054</v>
      </c>
      <c r="X30" s="22">
        <f t="shared" si="11"/>
        <v>0.96682925358865324</v>
      </c>
      <c r="Y30" s="20">
        <f>IF($S30=0,"-",(VLOOKUP(N30,'APP 2885'!$B$10:$G$54,4)*$H30)/($M30+$Q30))</f>
        <v>1.182310337978844</v>
      </c>
    </row>
    <row r="31" spans="1:25" ht="20.100000000000001" customHeight="1" x14ac:dyDescent="0.25">
      <c r="A31" s="3" t="s">
        <v>48</v>
      </c>
      <c r="B31" s="3" t="s">
        <v>31</v>
      </c>
      <c r="C31" s="3" t="s">
        <v>49</v>
      </c>
      <c r="D31" s="4">
        <v>16</v>
      </c>
      <c r="E31" s="4">
        <v>16</v>
      </c>
      <c r="F31" s="4"/>
      <c r="G31" s="4">
        <v>28</v>
      </c>
      <c r="H31" s="4">
        <f t="shared" si="0"/>
        <v>448</v>
      </c>
      <c r="I31" s="5">
        <v>793.95</v>
      </c>
      <c r="J31" s="6">
        <f t="shared" si="1"/>
        <v>66.644794527688319</v>
      </c>
      <c r="K31" s="6">
        <f t="shared" si="16"/>
        <v>347.59712273311277</v>
      </c>
      <c r="L31" s="6">
        <f t="shared" si="3"/>
        <v>12703.2</v>
      </c>
      <c r="M31" s="7">
        <f t="shared" si="4"/>
        <v>6075.3293238271835</v>
      </c>
      <c r="N31" s="4">
        <v>30</v>
      </c>
      <c r="O31" s="4">
        <f t="shared" si="17"/>
        <v>7357.9026934742506</v>
      </c>
      <c r="P31" s="4">
        <f t="shared" si="17"/>
        <v>7357.9026934742506</v>
      </c>
      <c r="Q31" s="8">
        <f t="shared" si="6"/>
        <v>1038.5062452824679</v>
      </c>
      <c r="R31" s="5">
        <v>150</v>
      </c>
      <c r="S31" s="6">
        <f t="shared" si="7"/>
        <v>2400</v>
      </c>
      <c r="T31" s="9">
        <f t="shared" si="8"/>
        <v>0.32617990478843495</v>
      </c>
      <c r="U31" s="9">
        <f t="shared" si="9"/>
        <v>0.46732151654194759</v>
      </c>
      <c r="V31" s="10">
        <f>IF($S31=0,"-",(VLOOKUP(N31,'APP 2885'!$B$10:$G$54,6)*$H31)/($S31+$Q31))</f>
        <v>2.8741098212067082</v>
      </c>
      <c r="W31" s="11">
        <f t="shared" si="10"/>
        <v>0.82568764183514065</v>
      </c>
      <c r="X31" s="12">
        <f t="shared" si="11"/>
        <v>0.96682925358865324</v>
      </c>
      <c r="Y31" s="10">
        <f>IF($S31=0,"-",(VLOOKUP(N31,'APP 2885'!$B$10:$G$54,4)*$H31)/($M31+$Q31))</f>
        <v>1.1823103379788442</v>
      </c>
    </row>
    <row r="32" spans="1:25" ht="20.100000000000001" customHeight="1" x14ac:dyDescent="0.25">
      <c r="A32" s="13" t="s">
        <v>50</v>
      </c>
      <c r="B32" s="13" t="s">
        <v>28</v>
      </c>
      <c r="C32" s="13" t="s">
        <v>51</v>
      </c>
      <c r="D32" s="14">
        <v>57</v>
      </c>
      <c r="E32" s="14">
        <v>57</v>
      </c>
      <c r="F32" s="14"/>
      <c r="G32" s="14">
        <v>17</v>
      </c>
      <c r="H32" s="14">
        <f t="shared" si="0"/>
        <v>969</v>
      </c>
      <c r="I32" s="15">
        <v>10</v>
      </c>
      <c r="J32" s="16">
        <f t="shared" ref="J32:J37" si="20">PV($B$80,$N32,-(0.116*$G32))</f>
        <v>15.657724189025416</v>
      </c>
      <c r="K32" s="16">
        <f t="shared" ref="K32:K37" si="21">PV($B$80,$N32,-8.6)</f>
        <v>68.28419271075991</v>
      </c>
      <c r="L32" s="16">
        <f t="shared" si="3"/>
        <v>570</v>
      </c>
      <c r="M32" s="17">
        <f t="shared" si="4"/>
        <v>-4214.6892632877634</v>
      </c>
      <c r="N32" s="14">
        <v>10</v>
      </c>
      <c r="O32" s="14">
        <f t="shared" si="17"/>
        <v>7693.8817135728323</v>
      </c>
      <c r="P32" s="14">
        <f t="shared" si="17"/>
        <v>7693.8817135728323</v>
      </c>
      <c r="Q32" s="18">
        <f t="shared" si="6"/>
        <v>2246.2333742828382</v>
      </c>
      <c r="R32" s="16">
        <v>10</v>
      </c>
      <c r="S32" s="16">
        <f t="shared" si="7"/>
        <v>570</v>
      </c>
      <c r="T32" s="19">
        <f t="shared" si="8"/>
        <v>7.4084840555120421E-2</v>
      </c>
      <c r="U32" s="19">
        <f t="shared" si="9"/>
        <v>0.36603543947325062</v>
      </c>
      <c r="V32" s="20">
        <f>IF($S32=0,"-",(VLOOKUP(N32,'APP 2885'!$B$10:$G$54,6)*$H32)/($S32+$Q32))</f>
        <v>2.0058908723921181</v>
      </c>
      <c r="W32" s="21">
        <f t="shared" si="10"/>
        <v>-0.54779751238605601</v>
      </c>
      <c r="X32" s="22">
        <f t="shared" si="11"/>
        <v>-0.25584691346792582</v>
      </c>
      <c r="Y32" s="20">
        <f>IF($S32=0,"-",(VLOOKUP(N32,'APP 2885'!$B$10:$G$54,4)*$H32)/($M32+$Q32))</f>
        <v>-2.6089008286571524</v>
      </c>
    </row>
    <row r="33" spans="1:25" ht="20.100000000000001" customHeight="1" x14ac:dyDescent="0.25">
      <c r="A33" s="3" t="s">
        <v>50</v>
      </c>
      <c r="B33" s="3" t="s">
        <v>30</v>
      </c>
      <c r="C33" s="3" t="s">
        <v>51</v>
      </c>
      <c r="D33" s="4">
        <v>29</v>
      </c>
      <c r="E33" s="4">
        <v>29</v>
      </c>
      <c r="F33" s="4"/>
      <c r="G33" s="4">
        <v>17</v>
      </c>
      <c r="H33" s="4">
        <f t="shared" ref="H33:H63" si="22">IF(ISNUMBER(E33),E33*G33,"")</f>
        <v>493</v>
      </c>
      <c r="I33" s="5">
        <v>10</v>
      </c>
      <c r="J33" s="6">
        <f t="shared" si="20"/>
        <v>15.657724189025416</v>
      </c>
      <c r="K33" s="6">
        <f t="shared" si="21"/>
        <v>68.28419271075991</v>
      </c>
      <c r="L33" s="6">
        <f t="shared" ref="L33:L63" si="23">IF(ISNUMBER(I33),I33*E33,"")</f>
        <v>290</v>
      </c>
      <c r="M33" s="7">
        <f t="shared" ref="M33:M63" si="24">L33-D33*(J33+K33)</f>
        <v>-2144.3155900937745</v>
      </c>
      <c r="N33" s="4">
        <v>10</v>
      </c>
      <c r="O33" s="4">
        <f t="shared" si="17"/>
        <v>3914.4310472563534</v>
      </c>
      <c r="P33" s="4">
        <f t="shared" si="17"/>
        <v>3914.4310472563534</v>
      </c>
      <c r="Q33" s="8">
        <f t="shared" si="6"/>
        <v>1142.8204886702158</v>
      </c>
      <c r="R33" s="6">
        <v>10</v>
      </c>
      <c r="S33" s="6">
        <f t="shared" si="7"/>
        <v>290</v>
      </c>
      <c r="T33" s="9">
        <f t="shared" ref="T33:T63" si="25">IF(ISERROR(S33/P33),0,S33/P33)</f>
        <v>7.4084840555120421E-2</v>
      </c>
      <c r="U33" s="9">
        <f t="shared" ref="U33:U63" si="26">IF(ISERROR((Q33+S33)/P33),0,(Q33+S33)/P33)</f>
        <v>0.36603543947325057</v>
      </c>
      <c r="V33" s="10">
        <f>IF($S33=0,"-",(VLOOKUP(N33,'APP 2885'!$B$10:$G$54,6)*$H33)/($S33+$Q33))</f>
        <v>2.0058908723921181</v>
      </c>
      <c r="W33" s="11">
        <f t="shared" ref="W33:W63" si="27">IF(ISERROR(RM33/O33),0,M33/O33)</f>
        <v>-0.54779751238605601</v>
      </c>
      <c r="X33" s="12">
        <f t="shared" ref="X33:X63" si="28">IF(ISERROR(M33/O33),0,(M33+Q33)/O33)</f>
        <v>-0.25584691346792587</v>
      </c>
      <c r="Y33" s="10">
        <f>IF($S33=0,"-",(VLOOKUP(N33,'APP 2885'!$B$10:$G$54,4)*$H33)/($M33+$Q33))</f>
        <v>-2.6089008286571516</v>
      </c>
    </row>
    <row r="34" spans="1:25" ht="20.100000000000001" customHeight="1" x14ac:dyDescent="0.25">
      <c r="A34" s="13" t="s">
        <v>50</v>
      </c>
      <c r="B34" s="13" t="s">
        <v>31</v>
      </c>
      <c r="C34" s="13" t="s">
        <v>51</v>
      </c>
      <c r="D34" s="14">
        <v>41</v>
      </c>
      <c r="E34" s="14">
        <v>41</v>
      </c>
      <c r="F34" s="14"/>
      <c r="G34" s="14">
        <v>17</v>
      </c>
      <c r="H34" s="14">
        <f t="shared" si="22"/>
        <v>697</v>
      </c>
      <c r="I34" s="15">
        <v>10</v>
      </c>
      <c r="J34" s="16">
        <f t="shared" si="20"/>
        <v>15.657724189025416</v>
      </c>
      <c r="K34" s="16">
        <f t="shared" si="21"/>
        <v>68.28419271075991</v>
      </c>
      <c r="L34" s="16">
        <f t="shared" si="23"/>
        <v>410</v>
      </c>
      <c r="M34" s="17">
        <f t="shared" si="24"/>
        <v>-3031.6185928911982</v>
      </c>
      <c r="N34" s="14">
        <v>10</v>
      </c>
      <c r="O34" s="14">
        <f t="shared" si="17"/>
        <v>5534.1956185348445</v>
      </c>
      <c r="P34" s="14">
        <f t="shared" si="17"/>
        <v>5534.1956185348445</v>
      </c>
      <c r="Q34" s="18">
        <f t="shared" si="6"/>
        <v>1615.7117253613396</v>
      </c>
      <c r="R34" s="16">
        <v>10</v>
      </c>
      <c r="S34" s="16">
        <f t="shared" si="7"/>
        <v>410</v>
      </c>
      <c r="T34" s="19">
        <f t="shared" si="25"/>
        <v>7.4084840555120421E-2</v>
      </c>
      <c r="U34" s="19">
        <f t="shared" si="26"/>
        <v>0.36603543947325057</v>
      </c>
      <c r="V34" s="20">
        <f>IF($S34=0,"-",(VLOOKUP(N34,'APP 2885'!$B$10:$G$54,6)*$H34)/($S34+$Q34))</f>
        <v>2.0058908723921181</v>
      </c>
      <c r="W34" s="21">
        <f t="shared" si="27"/>
        <v>-0.54779751238605601</v>
      </c>
      <c r="X34" s="22">
        <f t="shared" si="28"/>
        <v>-0.25584691346792582</v>
      </c>
      <c r="Y34" s="20">
        <f>IF($S34=0,"-",(VLOOKUP(N34,'APP 2885'!$B$10:$G$54,4)*$H34)/($M34+$Q34))</f>
        <v>-2.608900828657152</v>
      </c>
    </row>
    <row r="35" spans="1:25" ht="20.100000000000001" customHeight="1" x14ac:dyDescent="0.25">
      <c r="A35" s="3" t="s">
        <v>52</v>
      </c>
      <c r="B35" s="3" t="s">
        <v>28</v>
      </c>
      <c r="C35" s="3" t="s">
        <v>53</v>
      </c>
      <c r="D35" s="4">
        <v>191</v>
      </c>
      <c r="E35" s="4">
        <v>191</v>
      </c>
      <c r="F35" s="4"/>
      <c r="G35" s="4">
        <v>31</v>
      </c>
      <c r="H35" s="4">
        <f>IF(ISNUMBER(E35),E35*G35,"")</f>
        <v>5921</v>
      </c>
      <c r="I35" s="5">
        <v>16</v>
      </c>
      <c r="J35" s="6">
        <f t="shared" si="20"/>
        <v>28.552320579987519</v>
      </c>
      <c r="K35" s="6">
        <f t="shared" si="21"/>
        <v>68.28419271075991</v>
      </c>
      <c r="L35" s="6">
        <f t="shared" si="23"/>
        <v>3056</v>
      </c>
      <c r="M35" s="7">
        <f t="shared" si="24"/>
        <v>-15439.77403853276</v>
      </c>
      <c r="N35" s="4">
        <v>10</v>
      </c>
      <c r="O35" s="4">
        <f t="shared" si="17"/>
        <v>47012.872679117376</v>
      </c>
      <c r="P35" s="4">
        <f t="shared" si="17"/>
        <v>47012.872679117376</v>
      </c>
      <c r="Q35" s="8">
        <f t="shared" si="6"/>
        <v>13725.436335530119</v>
      </c>
      <c r="R35" s="6">
        <v>16</v>
      </c>
      <c r="S35" s="6">
        <f t="shared" si="7"/>
        <v>3056</v>
      </c>
      <c r="T35" s="9">
        <f t="shared" si="25"/>
        <v>6.5003473003202444E-2</v>
      </c>
      <c r="U35" s="9">
        <f t="shared" si="26"/>
        <v>0.35695407192133261</v>
      </c>
      <c r="V35" s="10">
        <f>IF($S35=0,"-",(VLOOKUP(N35,'APP 2885'!$B$10:$G$54,6)*$H35)/($S35+$Q35))</f>
        <v>2.0569232984495658</v>
      </c>
      <c r="W35" s="11">
        <f t="shared" si="27"/>
        <v>-0.32841588183550724</v>
      </c>
      <c r="X35" s="12">
        <f t="shared" si="28"/>
        <v>-3.6465282917377037E-2</v>
      </c>
      <c r="Y35" s="10">
        <f>IF($S35=0,"-",(VLOOKUP(N35,'APP 2885'!$B$10:$G$54,4)*$H35)/($M35+$Q35))</f>
        <v>-18.304512433599363</v>
      </c>
    </row>
    <row r="36" spans="1:25" ht="20.100000000000001" customHeight="1" x14ac:dyDescent="0.25">
      <c r="A36" s="13" t="s">
        <v>52</v>
      </c>
      <c r="B36" s="13" t="s">
        <v>30</v>
      </c>
      <c r="C36" s="13" t="s">
        <v>53</v>
      </c>
      <c r="D36" s="14">
        <v>90</v>
      </c>
      <c r="E36" s="14">
        <v>90</v>
      </c>
      <c r="F36" s="14"/>
      <c r="G36" s="14">
        <v>31</v>
      </c>
      <c r="H36" s="14">
        <f t="shared" si="22"/>
        <v>2790</v>
      </c>
      <c r="I36" s="15">
        <v>16</v>
      </c>
      <c r="J36" s="16">
        <f t="shared" si="20"/>
        <v>28.552320579987519</v>
      </c>
      <c r="K36" s="16">
        <f t="shared" si="21"/>
        <v>68.28419271075991</v>
      </c>
      <c r="L36" s="16">
        <f t="shared" si="23"/>
        <v>1440</v>
      </c>
      <c r="M36" s="17">
        <f t="shared" si="24"/>
        <v>-7275.2861961672697</v>
      </c>
      <c r="N36" s="14">
        <v>10</v>
      </c>
      <c r="O36" s="14">
        <f t="shared" si="17"/>
        <v>22152.662518955836</v>
      </c>
      <c r="P36" s="14">
        <f t="shared" si="17"/>
        <v>22152.662518955836</v>
      </c>
      <c r="Q36" s="18">
        <f t="shared" si="6"/>
        <v>6467.4830900403704</v>
      </c>
      <c r="R36" s="16">
        <v>16</v>
      </c>
      <c r="S36" s="16">
        <f t="shared" si="7"/>
        <v>1440</v>
      </c>
      <c r="T36" s="19">
        <f t="shared" si="25"/>
        <v>6.500347300320243E-2</v>
      </c>
      <c r="U36" s="19">
        <f t="shared" si="26"/>
        <v>0.35695407192133261</v>
      </c>
      <c r="V36" s="20">
        <f>IF($S36=0,"-",(VLOOKUP(N36,'APP 2885'!$B$10:$G$54,6)*$H36)/($S36+$Q36))</f>
        <v>2.0569232984495653</v>
      </c>
      <c r="W36" s="21">
        <f t="shared" si="27"/>
        <v>-0.32841588183550724</v>
      </c>
      <c r="X36" s="22">
        <f t="shared" si="28"/>
        <v>-3.6465282917377065E-2</v>
      </c>
      <c r="Y36" s="20">
        <f>IF($S36=0,"-",(VLOOKUP(N36,'APP 2885'!$B$10:$G$54,4)*$H36)/($M36+$Q36))</f>
        <v>-18.304512433599346</v>
      </c>
    </row>
    <row r="37" spans="1:25" ht="20.100000000000001" customHeight="1" x14ac:dyDescent="0.25">
      <c r="A37" s="3" t="s">
        <v>52</v>
      </c>
      <c r="B37" s="3" t="s">
        <v>31</v>
      </c>
      <c r="C37" s="3" t="s">
        <v>53</v>
      </c>
      <c r="D37" s="4">
        <v>147</v>
      </c>
      <c r="E37" s="4">
        <v>159</v>
      </c>
      <c r="F37" s="4"/>
      <c r="G37" s="4">
        <v>34</v>
      </c>
      <c r="H37" s="4">
        <f t="shared" si="22"/>
        <v>5406</v>
      </c>
      <c r="I37" s="5">
        <v>16</v>
      </c>
      <c r="J37" s="6">
        <f t="shared" si="20"/>
        <v>31.315448378050831</v>
      </c>
      <c r="K37" s="6">
        <f t="shared" si="21"/>
        <v>68.28419271075991</v>
      </c>
      <c r="L37" s="6">
        <f t="shared" si="23"/>
        <v>2544</v>
      </c>
      <c r="M37" s="7">
        <f t="shared" si="24"/>
        <v>-12097.147240055179</v>
      </c>
      <c r="N37" s="4">
        <v>10</v>
      </c>
      <c r="O37" s="4">
        <f t="shared" si="17"/>
        <v>42923.761138880007</v>
      </c>
      <c r="P37" s="4">
        <f t="shared" si="17"/>
        <v>42923.761138880007</v>
      </c>
      <c r="Q37" s="8">
        <f t="shared" ref="Q37:Q67" si="29">(H37/$H$76)*$Q$76</f>
        <v>12531.617772314781</v>
      </c>
      <c r="R37" s="6">
        <v>16</v>
      </c>
      <c r="S37" s="6">
        <f t="shared" si="7"/>
        <v>2544</v>
      </c>
      <c r="T37" s="9">
        <f t="shared" si="25"/>
        <v>5.9267872444096349E-2</v>
      </c>
      <c r="U37" s="9">
        <f t="shared" si="26"/>
        <v>0.35121847136222656</v>
      </c>
      <c r="V37" s="10">
        <f>IF($S37=0,"-",(VLOOKUP(N37,'APP 2885'!$B$10:$G$54,6)*$H37)/($S37+$Q37))</f>
        <v>2.0905140443316585</v>
      </c>
      <c r="W37" s="11">
        <f t="shared" si="27"/>
        <v>-0.28182868693437207</v>
      </c>
      <c r="X37" s="12">
        <f t="shared" si="28"/>
        <v>1.0121911983758149E-2</v>
      </c>
      <c r="Y37" s="10">
        <f>IF($S37=0,"-",(VLOOKUP(N37,'APP 2885'!$B$10:$G$54,4)*$H37)/($M37+$Q37))</f>
        <v>65.943986237669208</v>
      </c>
    </row>
    <row r="38" spans="1:25" ht="20.100000000000001" customHeight="1" x14ac:dyDescent="0.25">
      <c r="A38" s="13" t="s">
        <v>102</v>
      </c>
      <c r="B38" s="13" t="s">
        <v>30</v>
      </c>
      <c r="C38" s="13" t="s">
        <v>55</v>
      </c>
      <c r="D38" s="14">
        <v>1</v>
      </c>
      <c r="E38" s="14">
        <v>1</v>
      </c>
      <c r="F38" s="14"/>
      <c r="G38" s="14">
        <v>168</v>
      </c>
      <c r="H38" s="14">
        <f t="shared" si="22"/>
        <v>168</v>
      </c>
      <c r="I38" s="15">
        <v>1142</v>
      </c>
      <c r="J38" s="16">
        <f t="shared" ref="J38:J75" si="30">0.5*0.95*$G38+PV($B$80,$N38,-(0.116*$G38))</f>
        <v>399.86876716612989</v>
      </c>
      <c r="K38" s="16">
        <f t="shared" ref="K38:K48" si="31">0.1*$I38+PV($B$80,$N38,(-0.05*0.95*$G38))+PV($B$80,$N38,-15)</f>
        <v>491.62099083937119</v>
      </c>
      <c r="L38" s="16">
        <f t="shared" si="23"/>
        <v>1142</v>
      </c>
      <c r="M38" s="17">
        <f t="shared" si="24"/>
        <v>250.51024199449898</v>
      </c>
      <c r="N38" s="14">
        <v>30</v>
      </c>
      <c r="O38" s="14">
        <f t="shared" si="17"/>
        <v>2759.2135100528444</v>
      </c>
      <c r="P38" s="14">
        <f t="shared" si="17"/>
        <v>2759.2135100528444</v>
      </c>
      <c r="Q38" s="18">
        <f t="shared" si="29"/>
        <v>389.43984198092551</v>
      </c>
      <c r="R38" s="15">
        <v>2000</v>
      </c>
      <c r="S38" s="16">
        <f t="shared" ref="S38:S63" si="32">IF(ISNUMBER(R38),R38*E38,"")</f>
        <v>2000</v>
      </c>
      <c r="T38" s="19">
        <f t="shared" si="25"/>
        <v>0.72484423286318866</v>
      </c>
      <c r="U38" s="19">
        <f t="shared" si="26"/>
        <v>0.86598584461670125</v>
      </c>
      <c r="V38" s="20">
        <f>IF($S38=0,"-",(VLOOKUP(N38,'APP 2885'!$B$10:$G$54,6)*$H38)/($S38+$Q38))</f>
        <v>1.5509876618698268</v>
      </c>
      <c r="W38" s="21">
        <f t="shared" si="27"/>
        <v>9.0790452091437171E-2</v>
      </c>
      <c r="X38" s="22">
        <f t="shared" si="28"/>
        <v>0.23193206384494985</v>
      </c>
      <c r="Y38" s="20">
        <f>IF($S38=0,"-",(VLOOKUP(N38,'APP 2885'!$B$10:$G$54,4)*$H38)/($M38+$Q38))</f>
        <v>4.9285648677813203</v>
      </c>
    </row>
    <row r="39" spans="1:25" ht="20.100000000000001" customHeight="1" x14ac:dyDescent="0.25">
      <c r="A39" s="3" t="s">
        <v>54</v>
      </c>
      <c r="B39" s="3" t="s">
        <v>31</v>
      </c>
      <c r="C39" s="3" t="s">
        <v>55</v>
      </c>
      <c r="D39" s="4">
        <v>33</v>
      </c>
      <c r="E39" s="4">
        <v>33</v>
      </c>
      <c r="F39" s="4"/>
      <c r="G39" s="4">
        <v>205</v>
      </c>
      <c r="H39" s="4">
        <f t="shared" si="22"/>
        <v>6765</v>
      </c>
      <c r="I39" s="5">
        <v>1142</v>
      </c>
      <c r="J39" s="6">
        <f t="shared" si="30"/>
        <v>487.93510279200382</v>
      </c>
      <c r="K39" s="6">
        <f t="shared" si="31"/>
        <v>520.48597741031097</v>
      </c>
      <c r="L39" s="6">
        <f t="shared" si="23"/>
        <v>37686</v>
      </c>
      <c r="M39" s="7">
        <f t="shared" si="24"/>
        <v>4408.1043533236152</v>
      </c>
      <c r="N39" s="4">
        <v>30</v>
      </c>
      <c r="O39" s="4">
        <f t="shared" si="17"/>
        <v>111107.61544944935</v>
      </c>
      <c r="P39" s="4">
        <f t="shared" si="17"/>
        <v>111107.61544944935</v>
      </c>
      <c r="Q39" s="8">
        <f t="shared" si="29"/>
        <v>15681.907922624769</v>
      </c>
      <c r="R39" s="5">
        <v>2000</v>
      </c>
      <c r="S39" s="6">
        <f t="shared" si="32"/>
        <v>66000</v>
      </c>
      <c r="T39" s="9">
        <f t="shared" si="25"/>
        <v>0.59401868839519856</v>
      </c>
      <c r="U39" s="9">
        <f t="shared" si="26"/>
        <v>0.73516030014871125</v>
      </c>
      <c r="V39" s="10">
        <f>IF($S39=0,"-",(VLOOKUP(N39,'APP 2885'!$B$10:$G$54,6)*$H39)/($S39+$Q39))</f>
        <v>1.8269938679805346</v>
      </c>
      <c r="W39" s="11">
        <f t="shared" si="27"/>
        <v>3.9674187367734225E-2</v>
      </c>
      <c r="X39" s="12">
        <f t="shared" si="28"/>
        <v>0.18081579912124693</v>
      </c>
      <c r="Y39" s="10">
        <f>IF($S39=0,"-",(VLOOKUP(N39,'APP 2885'!$B$10:$G$54,4)*$H39)/($M39+$Q39))</f>
        <v>6.3218602972394464</v>
      </c>
    </row>
    <row r="40" spans="1:25" ht="20.100000000000001" customHeight="1" x14ac:dyDescent="0.25">
      <c r="A40" s="13" t="s">
        <v>54</v>
      </c>
      <c r="B40" s="13" t="s">
        <v>31</v>
      </c>
      <c r="C40" s="13" t="s">
        <v>55</v>
      </c>
      <c r="D40" s="14">
        <v>1</v>
      </c>
      <c r="E40" s="14">
        <v>1</v>
      </c>
      <c r="F40" s="14"/>
      <c r="G40" s="14">
        <v>207</v>
      </c>
      <c r="H40" s="14">
        <f t="shared" si="22"/>
        <v>207</v>
      </c>
      <c r="I40" s="15">
        <v>1142</v>
      </c>
      <c r="J40" s="16">
        <f t="shared" si="30"/>
        <v>492.69544525826723</v>
      </c>
      <c r="K40" s="16">
        <f t="shared" si="31"/>
        <v>522.04624695468601</v>
      </c>
      <c r="L40" s="16">
        <f t="shared" si="23"/>
        <v>1142</v>
      </c>
      <c r="M40" s="17">
        <f t="shared" si="24"/>
        <v>127.25830778704676</v>
      </c>
      <c r="N40" s="14">
        <v>30</v>
      </c>
      <c r="O40" s="14">
        <f t="shared" si="17"/>
        <v>3399.745217743683</v>
      </c>
      <c r="P40" s="14">
        <f t="shared" si="17"/>
        <v>3399.745217743683</v>
      </c>
      <c r="Q40" s="18">
        <f t="shared" si="29"/>
        <v>479.8455195836404</v>
      </c>
      <c r="R40" s="15">
        <v>2000</v>
      </c>
      <c r="S40" s="16">
        <f t="shared" si="32"/>
        <v>2000</v>
      </c>
      <c r="T40" s="19">
        <f t="shared" si="25"/>
        <v>0.58827937739621106</v>
      </c>
      <c r="U40" s="19">
        <f t="shared" si="26"/>
        <v>0.72942098914972386</v>
      </c>
      <c r="V40" s="20">
        <f>IF($S40=0,"-",(VLOOKUP(N40,'APP 2885'!$B$10:$G$54,6)*$H40)/($S40+$Q40))</f>
        <v>1.8413692234440597</v>
      </c>
      <c r="W40" s="21">
        <f t="shared" si="27"/>
        <v>3.7431719036729635E-2</v>
      </c>
      <c r="X40" s="22">
        <f t="shared" si="28"/>
        <v>0.17857333079024235</v>
      </c>
      <c r="Y40" s="20">
        <f>IF($S40=0,"-",(VLOOKUP(N40,'APP 2885'!$B$10:$G$54,4)*$H40)/($M40+$Q40))</f>
        <v>6.401248252018914</v>
      </c>
    </row>
    <row r="41" spans="1:25" ht="20.100000000000001" customHeight="1" x14ac:dyDescent="0.25">
      <c r="A41" s="3" t="s">
        <v>56</v>
      </c>
      <c r="B41" s="3" t="s">
        <v>28</v>
      </c>
      <c r="C41" s="3" t="s">
        <v>57</v>
      </c>
      <c r="D41" s="4">
        <v>298</v>
      </c>
      <c r="E41" s="4">
        <v>305</v>
      </c>
      <c r="F41" s="4">
        <v>355704</v>
      </c>
      <c r="G41" s="23">
        <v>5.6000000000000001E-2</v>
      </c>
      <c r="H41" s="8">
        <f>G41*F41</f>
        <v>19919.423999999999</v>
      </c>
      <c r="I41" s="5">
        <v>1.08</v>
      </c>
      <c r="J41" s="6">
        <f t="shared" si="30"/>
        <v>0.15238663027497495</v>
      </c>
      <c r="K41" s="6">
        <f t="shared" si="31"/>
        <v>290.61508844845372</v>
      </c>
      <c r="L41" s="6">
        <f>IF(ISNUMBER(I41),I41*F41,"")</f>
        <v>384160.32</v>
      </c>
      <c r="M41" s="7">
        <f t="shared" si="24"/>
        <v>297511.61242653884</v>
      </c>
      <c r="N41" s="4">
        <v>45</v>
      </c>
      <c r="O41" s="4">
        <f t="shared" si="17"/>
        <v>385713.85806318687</v>
      </c>
      <c r="P41" s="4">
        <f t="shared" si="17"/>
        <v>385713.85806318687</v>
      </c>
      <c r="Q41" s="8">
        <f t="shared" si="29"/>
        <v>46175.103183994375</v>
      </c>
      <c r="R41" s="5">
        <v>0.75</v>
      </c>
      <c r="S41" s="6">
        <f>IF(ISNUMBER(R41),R41*F41,"")</f>
        <v>266778</v>
      </c>
      <c r="T41" s="9">
        <f t="shared" si="25"/>
        <v>0.69164743351351654</v>
      </c>
      <c r="U41" s="9">
        <f t="shared" si="26"/>
        <v>0.81136079671974615</v>
      </c>
      <c r="V41" s="10">
        <f>IF($S41=0,"-",(VLOOKUP(N41,'APP 2885'!$B$10:$G$54,6)*$H41)/($S41+$Q41))</f>
        <v>2.366157335495132</v>
      </c>
      <c r="W41" s="11">
        <f t="shared" si="27"/>
        <v>0.77132725777719158</v>
      </c>
      <c r="X41" s="12">
        <f t="shared" si="28"/>
        <v>0.89104062098342118</v>
      </c>
      <c r="Y41" s="10">
        <f>IF($S41=0,"-",(VLOOKUP(N41,'APP 2885'!$B$10:$G$54,4)*$H41)/($M41+$Q41))</f>
        <v>1.7954730454869285</v>
      </c>
    </row>
    <row r="42" spans="1:25" ht="20.100000000000001" customHeight="1" x14ac:dyDescent="0.25">
      <c r="A42" s="13" t="s">
        <v>56</v>
      </c>
      <c r="B42" s="13" t="s">
        <v>30</v>
      </c>
      <c r="C42" s="13" t="s">
        <v>57</v>
      </c>
      <c r="D42" s="14">
        <v>51</v>
      </c>
      <c r="E42" s="14">
        <v>52</v>
      </c>
      <c r="F42" s="14">
        <v>57342</v>
      </c>
      <c r="G42" s="24">
        <v>5.3999999999999999E-2</v>
      </c>
      <c r="H42" s="18">
        <f t="shared" ref="H42:H43" si="33">G42*F42</f>
        <v>3096.4679999999998</v>
      </c>
      <c r="I42" s="15">
        <v>1.08</v>
      </c>
      <c r="J42" s="16">
        <f t="shared" si="30"/>
        <v>0.14694425062229727</v>
      </c>
      <c r="K42" s="16">
        <f t="shared" si="31"/>
        <v>290.61324889644078</v>
      </c>
      <c r="L42" s="16">
        <f t="shared" ref="L42:L43" si="34">IF(ISNUMBER(I42),I42*F42,"")</f>
        <v>61929.36</v>
      </c>
      <c r="M42" s="17">
        <f t="shared" si="24"/>
        <v>47100.590149499782</v>
      </c>
      <c r="N42" s="14">
        <v>45</v>
      </c>
      <c r="O42" s="14">
        <f t="shared" si="17"/>
        <v>59959.094130894562</v>
      </c>
      <c r="P42" s="14">
        <f t="shared" si="17"/>
        <v>59959.094130894562</v>
      </c>
      <c r="Q42" s="18">
        <f t="shared" si="29"/>
        <v>7177.904813208288</v>
      </c>
      <c r="R42" s="15">
        <v>0.75</v>
      </c>
      <c r="S42" s="16">
        <f t="shared" ref="S42:S43" si="35">IF(ISNUMBER(R42),R42*F42,"")</f>
        <v>43006.5</v>
      </c>
      <c r="T42" s="19">
        <f t="shared" si="25"/>
        <v>0.71726400512512822</v>
      </c>
      <c r="U42" s="19">
        <f t="shared" si="26"/>
        <v>0.83697736833135772</v>
      </c>
      <c r="V42" s="20">
        <f>IF($S42=0,"-",(VLOOKUP(N42,'APP 2885'!$B$10:$G$54,6)*$H42)/($S42+$Q42))</f>
        <v>2.2937386045682819</v>
      </c>
      <c r="W42" s="21">
        <f t="shared" si="27"/>
        <v>0.78554539277521707</v>
      </c>
      <c r="X42" s="22">
        <f t="shared" si="28"/>
        <v>0.90525875598144667</v>
      </c>
      <c r="Y42" s="20">
        <f>IF($S42=0,"-",(VLOOKUP(N42,'APP 2885'!$B$10:$G$54,4)*$H42)/($M42+$Q42))</f>
        <v>1.7672730662242344</v>
      </c>
    </row>
    <row r="43" spans="1:25" ht="20.100000000000001" customHeight="1" x14ac:dyDescent="0.25">
      <c r="A43" s="3" t="s">
        <v>56</v>
      </c>
      <c r="B43" s="3" t="s">
        <v>31</v>
      </c>
      <c r="C43" s="3" t="s">
        <v>57</v>
      </c>
      <c r="D43" s="4">
        <v>39</v>
      </c>
      <c r="E43" s="4">
        <v>39</v>
      </c>
      <c r="F43" s="4">
        <v>51865</v>
      </c>
      <c r="G43" s="23">
        <v>5.8999999999999997E-2</v>
      </c>
      <c r="H43" s="8">
        <f t="shared" si="33"/>
        <v>3060.0349999999999</v>
      </c>
      <c r="I43" s="5">
        <v>1.08</v>
      </c>
      <c r="J43" s="6">
        <f t="shared" si="30"/>
        <v>0.16055019975399143</v>
      </c>
      <c r="K43" s="6">
        <f t="shared" si="31"/>
        <v>290.61784777647318</v>
      </c>
      <c r="L43" s="6">
        <f t="shared" si="34"/>
        <v>56014.200000000004</v>
      </c>
      <c r="M43" s="7">
        <f t="shared" si="24"/>
        <v>44673.842478927145</v>
      </c>
      <c r="N43" s="4">
        <v>45</v>
      </c>
      <c r="O43" s="4">
        <f t="shared" si="17"/>
        <v>59253.616252075568</v>
      </c>
      <c r="P43" s="4">
        <f t="shared" si="17"/>
        <v>59253.616252075568</v>
      </c>
      <c r="Q43" s="8">
        <f t="shared" si="29"/>
        <v>7093.4496836672697</v>
      </c>
      <c r="R43" s="5">
        <v>0.75</v>
      </c>
      <c r="S43" s="6">
        <f t="shared" si="35"/>
        <v>38898.75</v>
      </c>
      <c r="T43" s="9">
        <f t="shared" si="25"/>
        <v>0.6564789199450326</v>
      </c>
      <c r="U43" s="9">
        <f t="shared" si="26"/>
        <v>0.77619228315126221</v>
      </c>
      <c r="V43" s="10">
        <f>IF($S43=0,"-",(VLOOKUP(N43,'APP 2885'!$B$10:$G$54,6)*$H43)/($S43+$Q43))</f>
        <v>2.4733656112856188</v>
      </c>
      <c r="W43" s="11">
        <f t="shared" si="27"/>
        <v>0.75394288660588349</v>
      </c>
      <c r="X43" s="12">
        <f t="shared" si="28"/>
        <v>0.87365624981211309</v>
      </c>
      <c r="Y43" s="10">
        <f>IF($S43=0,"-",(VLOOKUP(N43,'APP 2885'!$B$10:$G$54,4)*$H43)/($M43+$Q43))</f>
        <v>1.8312001061673007</v>
      </c>
    </row>
    <row r="44" spans="1:25" ht="20.100000000000001" customHeight="1" x14ac:dyDescent="0.25">
      <c r="A44" s="13" t="s">
        <v>101</v>
      </c>
      <c r="B44" s="13" t="s">
        <v>28</v>
      </c>
      <c r="C44" s="13" t="s">
        <v>103</v>
      </c>
      <c r="D44" s="14">
        <v>43</v>
      </c>
      <c r="E44" s="14">
        <v>43</v>
      </c>
      <c r="F44" s="14"/>
      <c r="G44" s="14">
        <v>159</v>
      </c>
      <c r="H44" s="14">
        <f t="shared" si="22"/>
        <v>6837</v>
      </c>
      <c r="I44" s="15">
        <v>2500</v>
      </c>
      <c r="J44" s="16">
        <f t="shared" si="30"/>
        <v>324.32732886058005</v>
      </c>
      <c r="K44" s="16">
        <f t="shared" si="31"/>
        <v>554.22438308546032</v>
      </c>
      <c r="L44" s="16">
        <f t="shared" si="23"/>
        <v>107500</v>
      </c>
      <c r="M44" s="17">
        <f t="shared" si="24"/>
        <v>69722.276386320271</v>
      </c>
      <c r="N44" s="14">
        <v>21</v>
      </c>
      <c r="O44" s="14">
        <f t="shared" si="17"/>
        <v>92228.449491421896</v>
      </c>
      <c r="P44" s="14">
        <f t="shared" si="17"/>
        <v>92228.449491421896</v>
      </c>
      <c r="Q44" s="18">
        <f t="shared" si="29"/>
        <v>15848.810712045164</v>
      </c>
      <c r="R44" s="15">
        <v>1250</v>
      </c>
      <c r="S44" s="16">
        <f t="shared" si="32"/>
        <v>53750</v>
      </c>
      <c r="T44" s="19">
        <f t="shared" si="25"/>
        <v>0.58279197250301007</v>
      </c>
      <c r="U44" s="19">
        <f t="shared" si="26"/>
        <v>0.75463494286021249</v>
      </c>
      <c r="V44" s="20">
        <f>IF($S44=0,"-",(VLOOKUP(N44,'APP 2885'!$B$10:$G$54,6)*$H44)/($S44+$Q44))</f>
        <v>1.3871758945600954</v>
      </c>
      <c r="W44" s="21">
        <f t="shared" si="27"/>
        <v>0.75597363688527686</v>
      </c>
      <c r="X44" s="22">
        <f t="shared" si="28"/>
        <v>0.92781660724247927</v>
      </c>
      <c r="Y44" s="20">
        <f>IF($S44=0,"-",(VLOOKUP(N44,'APP 2885'!$B$10:$G$54,4)*$H44)/($M44+$Q44))</f>
        <v>0.98108912599760179</v>
      </c>
    </row>
    <row r="45" spans="1:25" ht="20.100000000000001" customHeight="1" x14ac:dyDescent="0.25">
      <c r="A45" s="3" t="s">
        <v>101</v>
      </c>
      <c r="B45" s="3" t="s">
        <v>30</v>
      </c>
      <c r="C45" s="3" t="s">
        <v>104</v>
      </c>
      <c r="D45" s="4">
        <v>7</v>
      </c>
      <c r="E45" s="4">
        <v>7</v>
      </c>
      <c r="F45" s="4"/>
      <c r="G45" s="4">
        <v>160</v>
      </c>
      <c r="H45" s="4">
        <f t="shared" si="22"/>
        <v>1120</v>
      </c>
      <c r="I45" s="5">
        <v>2500</v>
      </c>
      <c r="J45" s="6">
        <f t="shared" si="30"/>
        <v>326.36712338171577</v>
      </c>
      <c r="K45" s="6">
        <f t="shared" si="31"/>
        <v>554.86513946264949</v>
      </c>
      <c r="L45" s="6">
        <f t="shared" si="23"/>
        <v>17500</v>
      </c>
      <c r="M45" s="7">
        <f t="shared" si="24"/>
        <v>11331.374160089443</v>
      </c>
      <c r="N45" s="4">
        <v>21</v>
      </c>
      <c r="O45" s="4">
        <f t="shared" ref="O45:P64" si="36">PV($B$80,$N45,-$H45)</f>
        <v>15108.360893724226</v>
      </c>
      <c r="P45" s="4">
        <f t="shared" si="36"/>
        <v>15108.360893724226</v>
      </c>
      <c r="Q45" s="8">
        <f t="shared" si="29"/>
        <v>2596.2656132061697</v>
      </c>
      <c r="R45" s="5">
        <v>1250</v>
      </c>
      <c r="S45" s="6">
        <f t="shared" si="32"/>
        <v>8750</v>
      </c>
      <c r="T45" s="9">
        <f t="shared" si="25"/>
        <v>0.57914952267486619</v>
      </c>
      <c r="U45" s="9">
        <f t="shared" si="26"/>
        <v>0.75099249303206861</v>
      </c>
      <c r="V45" s="10">
        <f>IF($S45=0,"-",(VLOOKUP(N45,'APP 2885'!$B$10:$G$54,6)*$H45)/($S45+$Q45))</f>
        <v>1.3939039492951644</v>
      </c>
      <c r="W45" s="11">
        <f t="shared" si="27"/>
        <v>0.7500068498361272</v>
      </c>
      <c r="X45" s="12">
        <f t="shared" si="28"/>
        <v>0.92184982019332973</v>
      </c>
      <c r="Y45" s="10">
        <f>IF($S45=0,"-",(VLOOKUP(N45,'APP 2885'!$B$10:$G$54,4)*$H45)/($M45+$Q45))</f>
        <v>0.98743934678501399</v>
      </c>
    </row>
    <row r="46" spans="1:25" ht="20.100000000000001" customHeight="1" x14ac:dyDescent="0.25">
      <c r="A46" s="13" t="s">
        <v>58</v>
      </c>
      <c r="B46" s="13" t="s">
        <v>28</v>
      </c>
      <c r="C46" s="13" t="s">
        <v>59</v>
      </c>
      <c r="D46" s="14">
        <v>71</v>
      </c>
      <c r="E46" s="14">
        <v>78</v>
      </c>
      <c r="F46" s="14"/>
      <c r="G46" s="14">
        <v>13</v>
      </c>
      <c r="H46" s="14">
        <f t="shared" si="22"/>
        <v>1014</v>
      </c>
      <c r="I46" s="15">
        <v>200</v>
      </c>
      <c r="J46" s="16">
        <f t="shared" si="30"/>
        <v>28.697934629810305</v>
      </c>
      <c r="K46" s="16">
        <f t="shared" si="31"/>
        <v>253.25724905905994</v>
      </c>
      <c r="L46" s="16">
        <f t="shared" si="23"/>
        <v>15600</v>
      </c>
      <c r="M46" s="17">
        <f t="shared" si="24"/>
        <v>-4418.818041909788</v>
      </c>
      <c r="N46" s="14">
        <v>25</v>
      </c>
      <c r="O46" s="14">
        <f t="shared" si="36"/>
        <v>15144.731906251756</v>
      </c>
      <c r="P46" s="14">
        <f t="shared" si="36"/>
        <v>15144.731906251756</v>
      </c>
      <c r="Q46" s="18">
        <f t="shared" si="29"/>
        <v>2350.5476176705861</v>
      </c>
      <c r="R46" s="15">
        <v>100</v>
      </c>
      <c r="S46" s="16">
        <f t="shared" si="32"/>
        <v>7800</v>
      </c>
      <c r="T46" s="19">
        <f t="shared" si="25"/>
        <v>0.51503057619528769</v>
      </c>
      <c r="U46" s="19">
        <f t="shared" si="26"/>
        <v>0.6702362036187931</v>
      </c>
      <c r="V46" s="20">
        <f>IF($S46=0,"-",(VLOOKUP(N46,'APP 2885'!$B$10:$G$54,6)*$H46)/($S46+$Q46))</f>
        <v>1.7340188603549291</v>
      </c>
      <c r="W46" s="21">
        <f t="shared" si="27"/>
        <v>-0.29177261567011936</v>
      </c>
      <c r="X46" s="22">
        <f t="shared" si="28"/>
        <v>-0.1365669882466139</v>
      </c>
      <c r="Y46" s="20">
        <f>IF($S46=0,"-",(VLOOKUP(N46,'APP 2885'!$B$10:$G$54,4)*$H46)/($M46+$Q46))</f>
        <v>-7.4001091866706963</v>
      </c>
    </row>
    <row r="47" spans="1:25" ht="20.100000000000001" customHeight="1" x14ac:dyDescent="0.25">
      <c r="A47" s="3" t="s">
        <v>58</v>
      </c>
      <c r="B47" s="3" t="s">
        <v>30</v>
      </c>
      <c r="C47" s="3" t="s">
        <v>59</v>
      </c>
      <c r="D47" s="4">
        <v>64</v>
      </c>
      <c r="E47" s="4">
        <v>64</v>
      </c>
      <c r="F47" s="4"/>
      <c r="G47" s="4">
        <v>13</v>
      </c>
      <c r="H47" s="4">
        <f t="shared" si="22"/>
        <v>832</v>
      </c>
      <c r="I47" s="5">
        <v>200</v>
      </c>
      <c r="J47" s="6">
        <f t="shared" si="30"/>
        <v>28.697934629810305</v>
      </c>
      <c r="K47" s="6">
        <f t="shared" si="31"/>
        <v>253.25724905905994</v>
      </c>
      <c r="L47" s="6">
        <f t="shared" si="23"/>
        <v>12800</v>
      </c>
      <c r="M47" s="7">
        <f t="shared" si="24"/>
        <v>-5245.131756087696</v>
      </c>
      <c r="N47" s="4">
        <v>25</v>
      </c>
      <c r="O47" s="4">
        <f t="shared" si="36"/>
        <v>12426.446692309131</v>
      </c>
      <c r="P47" s="4">
        <f t="shared" si="36"/>
        <v>12426.446692309131</v>
      </c>
      <c r="Q47" s="8">
        <f t="shared" si="29"/>
        <v>1928.6544555245835</v>
      </c>
      <c r="R47" s="5">
        <v>100</v>
      </c>
      <c r="S47" s="6">
        <f t="shared" si="32"/>
        <v>6400</v>
      </c>
      <c r="T47" s="9">
        <f t="shared" si="25"/>
        <v>0.5150305761952878</v>
      </c>
      <c r="U47" s="9">
        <f t="shared" si="26"/>
        <v>0.67023620361879332</v>
      </c>
      <c r="V47" s="10">
        <f>IF($S47=0,"-",(VLOOKUP(N47,'APP 2885'!$B$10:$G$54,6)*$H47)/($S47+$Q47))</f>
        <v>1.7340188603549289</v>
      </c>
      <c r="W47" s="11">
        <f t="shared" si="27"/>
        <v>-0.42209425477469498</v>
      </c>
      <c r="X47" s="12">
        <f t="shared" si="28"/>
        <v>-0.26688862735118946</v>
      </c>
      <c r="Y47" s="10">
        <f>IF($S47=0,"-",(VLOOKUP(N47,'APP 2885'!$B$10:$G$54,4)*$H47)/($M47+$Q47))</f>
        <v>-3.7866380233200769</v>
      </c>
    </row>
    <row r="48" spans="1:25" ht="20.100000000000001" customHeight="1" thickBot="1" x14ac:dyDescent="0.3">
      <c r="A48" s="13" t="s">
        <v>58</v>
      </c>
      <c r="B48" s="13" t="s">
        <v>31</v>
      </c>
      <c r="C48" s="13" t="s">
        <v>59</v>
      </c>
      <c r="D48" s="14">
        <v>78</v>
      </c>
      <c r="E48" s="14">
        <v>86</v>
      </c>
      <c r="F48" s="14"/>
      <c r="G48" s="14">
        <v>13</v>
      </c>
      <c r="H48" s="14">
        <f t="shared" si="22"/>
        <v>1118</v>
      </c>
      <c r="I48" s="15">
        <v>200</v>
      </c>
      <c r="J48" s="16">
        <f t="shared" si="30"/>
        <v>28.697934629810305</v>
      </c>
      <c r="K48" s="16">
        <f t="shared" si="31"/>
        <v>253.25724905905994</v>
      </c>
      <c r="L48" s="16">
        <f t="shared" si="23"/>
        <v>17200</v>
      </c>
      <c r="M48" s="17">
        <f t="shared" si="24"/>
        <v>-4792.50432773188</v>
      </c>
      <c r="N48" s="14">
        <v>25</v>
      </c>
      <c r="O48" s="14">
        <f t="shared" si="36"/>
        <v>16698.037742790395</v>
      </c>
      <c r="P48" s="14">
        <f t="shared" si="36"/>
        <v>16698.037742790395</v>
      </c>
      <c r="Q48" s="18">
        <f t="shared" si="29"/>
        <v>2591.6294246111593</v>
      </c>
      <c r="R48" s="15">
        <v>100</v>
      </c>
      <c r="S48" s="16">
        <f t="shared" si="32"/>
        <v>8600</v>
      </c>
      <c r="T48" s="19">
        <f t="shared" si="25"/>
        <v>0.5150305761952878</v>
      </c>
      <c r="U48" s="19">
        <f t="shared" si="26"/>
        <v>0.67023620361879332</v>
      </c>
      <c r="V48" s="20">
        <f>IF($S48=0,"-",(VLOOKUP(N48,'APP 2885'!$B$10:$G$54,6)*$H48)/($S48+$Q48))</f>
        <v>1.7340188603549287</v>
      </c>
      <c r="W48" s="21">
        <f t="shared" si="27"/>
        <v>-0.28701003085234428</v>
      </c>
      <c r="X48" s="22">
        <f t="shared" si="28"/>
        <v>-0.13180440342883873</v>
      </c>
      <c r="Y48" s="20">
        <f>IF($S48=0,"-",(VLOOKUP(N48,'APP 2885'!$B$10:$G$54,4)*$H48)/($M48+$Q48))</f>
        <v>-7.667502739127726</v>
      </c>
    </row>
    <row r="49" spans="1:25" ht="20.100000000000001" customHeight="1" thickBot="1" x14ac:dyDescent="0.3">
      <c r="A49" s="13" t="s">
        <v>60</v>
      </c>
      <c r="B49" s="13" t="s">
        <v>28</v>
      </c>
      <c r="C49" s="13" t="s">
        <v>43</v>
      </c>
      <c r="D49" s="14">
        <v>852</v>
      </c>
      <c r="E49" s="14">
        <v>858</v>
      </c>
      <c r="F49" s="14"/>
      <c r="G49" s="14">
        <v>89</v>
      </c>
      <c r="H49" s="14">
        <f t="shared" si="22"/>
        <v>76362</v>
      </c>
      <c r="I49" s="15">
        <v>1024</v>
      </c>
      <c r="J49" s="16">
        <f t="shared" si="30"/>
        <v>168.51797431310291</v>
      </c>
      <c r="K49" s="16">
        <f t="shared" ref="K49:K54" si="37">0.1*$I49+PV($B$80,$N49,(-0.05*0.95*$G49))</f>
        <v>154.09432137821025</v>
      </c>
      <c r="L49" s="16">
        <f t="shared" si="23"/>
        <v>878592</v>
      </c>
      <c r="M49" s="17">
        <f t="shared" si="24"/>
        <v>603726.32407100115</v>
      </c>
      <c r="N49" s="14">
        <v>18</v>
      </c>
      <c r="O49" s="14">
        <f t="shared" si="36"/>
        <v>933762.68931588193</v>
      </c>
      <c r="P49" s="14">
        <f t="shared" si="36"/>
        <v>933762.68931588193</v>
      </c>
      <c r="Q49" s="18">
        <f t="shared" si="29"/>
        <v>177014.31674611568</v>
      </c>
      <c r="R49" s="15">
        <v>400</v>
      </c>
      <c r="S49" s="16">
        <f t="shared" si="32"/>
        <v>343200</v>
      </c>
      <c r="T49" s="19">
        <f t="shared" si="25"/>
        <v>0.36754520600030005</v>
      </c>
      <c r="U49" s="19">
        <f t="shared" si="26"/>
        <v>0.55711619525861433</v>
      </c>
      <c r="V49" s="20">
        <f>IF($S49=0,"-",(VLOOKUP(N49,'APP 2885'!$B$10:$G$54,6)*$H49)/($S49+$Q49))</f>
        <v>1.6914444115144014</v>
      </c>
      <c r="W49" s="21">
        <f t="shared" si="27"/>
        <v>0.64655220322983686</v>
      </c>
      <c r="X49" s="22">
        <f t="shared" si="28"/>
        <v>0.83612319248815115</v>
      </c>
      <c r="Y49" s="20">
        <f>IF($S49=0,"-",(VLOOKUP(N49,'APP 2885'!$B$10:$G$54,4)*$H49)/($M49+$Q49))</f>
        <v>1.0017992919920409</v>
      </c>
    </row>
    <row r="50" spans="1:25" ht="20.100000000000001" customHeight="1" x14ac:dyDescent="0.25">
      <c r="A50" s="3" t="s">
        <v>60</v>
      </c>
      <c r="B50" s="3" t="s">
        <v>28</v>
      </c>
      <c r="C50" s="3" t="s">
        <v>43</v>
      </c>
      <c r="D50" s="4">
        <v>2</v>
      </c>
      <c r="E50" s="4">
        <v>2</v>
      </c>
      <c r="F50" s="4"/>
      <c r="G50" s="4">
        <v>111</v>
      </c>
      <c r="H50" s="4">
        <f t="shared" si="22"/>
        <v>222</v>
      </c>
      <c r="I50" s="5">
        <v>1024</v>
      </c>
      <c r="J50" s="6">
        <f t="shared" si="30"/>
        <v>210.17410279499353</v>
      </c>
      <c r="K50" s="6">
        <f t="shared" si="37"/>
        <v>166.87269295484651</v>
      </c>
      <c r="L50" s="6">
        <f t="shared" si="23"/>
        <v>2048</v>
      </c>
      <c r="M50" s="7">
        <f t="shared" si="24"/>
        <v>1293.9064085003199</v>
      </c>
      <c r="N50" s="4">
        <v>18</v>
      </c>
      <c r="O50" s="4">
        <f t="shared" si="36"/>
        <v>2714.6397033619573</v>
      </c>
      <c r="P50" s="4">
        <f t="shared" si="36"/>
        <v>2714.6397033619573</v>
      </c>
      <c r="Q50" s="8">
        <f t="shared" si="29"/>
        <v>514.61693404622292</v>
      </c>
      <c r="R50" s="5">
        <v>400</v>
      </c>
      <c r="S50" s="6">
        <f t="shared" si="32"/>
        <v>800</v>
      </c>
      <c r="T50" s="9">
        <f t="shared" si="25"/>
        <v>0.294698408414655</v>
      </c>
      <c r="U50" s="9">
        <f t="shared" si="26"/>
        <v>0.48426939767296923</v>
      </c>
      <c r="V50" s="10">
        <f>IF($S50=0,"-",(VLOOKUP(N50,'APP 2885'!$B$10:$G$54,6)*$H50)/($S50+$Q50))</f>
        <v>1.9458819400161902</v>
      </c>
      <c r="W50" s="11">
        <f t="shared" si="27"/>
        <v>0.47664019902820837</v>
      </c>
      <c r="X50" s="12">
        <f t="shared" si="28"/>
        <v>0.66621118828652259</v>
      </c>
      <c r="Y50" s="10">
        <f>IF($S50=0,"-",(VLOOKUP(N50,'APP 2885'!$B$10:$G$54,4)*$H50)/($M50+$Q50))</f>
        <v>1.2573004431329211</v>
      </c>
    </row>
    <row r="51" spans="1:25" ht="20.100000000000001" customHeight="1" x14ac:dyDescent="0.25">
      <c r="A51" s="13" t="s">
        <v>60</v>
      </c>
      <c r="B51" s="13" t="s">
        <v>30</v>
      </c>
      <c r="C51" s="13" t="s">
        <v>43</v>
      </c>
      <c r="D51" s="14">
        <v>321</v>
      </c>
      <c r="E51" s="14">
        <v>325</v>
      </c>
      <c r="F51" s="14"/>
      <c r="G51" s="14">
        <v>90</v>
      </c>
      <c r="H51" s="14">
        <f t="shared" si="22"/>
        <v>29250</v>
      </c>
      <c r="I51" s="15">
        <v>1024</v>
      </c>
      <c r="J51" s="16">
        <f t="shared" si="30"/>
        <v>170.4114346986434</v>
      </c>
      <c r="K51" s="16">
        <f t="shared" si="37"/>
        <v>154.67515644987554</v>
      </c>
      <c r="L51" s="16">
        <f t="shared" si="23"/>
        <v>332800</v>
      </c>
      <c r="M51" s="17">
        <f t="shared" si="24"/>
        <v>228447.20424132544</v>
      </c>
      <c r="N51" s="14">
        <v>18</v>
      </c>
      <c r="O51" s="14">
        <f t="shared" si="36"/>
        <v>357672.12307809573</v>
      </c>
      <c r="P51" s="14">
        <f t="shared" si="36"/>
        <v>357672.12307809573</v>
      </c>
      <c r="Q51" s="18">
        <f t="shared" si="29"/>
        <v>67804.258202036144</v>
      </c>
      <c r="R51" s="15">
        <v>400</v>
      </c>
      <c r="S51" s="16">
        <f t="shared" si="32"/>
        <v>130000</v>
      </c>
      <c r="T51" s="19">
        <f t="shared" si="25"/>
        <v>0.36346137037807452</v>
      </c>
      <c r="U51" s="19">
        <f t="shared" si="26"/>
        <v>0.55303235963638875</v>
      </c>
      <c r="V51" s="20">
        <f>IF($S51=0,"-",(VLOOKUP(N51,'APP 2885'!$B$10:$G$54,6)*$H51)/($S51+$Q51))</f>
        <v>1.7039347853964983</v>
      </c>
      <c r="W51" s="21">
        <f t="shared" si="27"/>
        <v>0.63870564548147701</v>
      </c>
      <c r="X51" s="22">
        <f t="shared" si="28"/>
        <v>0.8282766347397913</v>
      </c>
      <c r="Y51" s="20">
        <f>IF($S51=0,"-",(VLOOKUP(N51,'APP 2885'!$B$10:$G$54,4)*$H51)/($M51+$Q51))</f>
        <v>1.0112896912948668</v>
      </c>
    </row>
    <row r="52" spans="1:25" ht="20.100000000000001" customHeight="1" x14ac:dyDescent="0.25">
      <c r="A52" s="3" t="s">
        <v>60</v>
      </c>
      <c r="B52" s="3" t="s">
        <v>30</v>
      </c>
      <c r="C52" s="3" t="s">
        <v>43</v>
      </c>
      <c r="D52" s="4">
        <v>5</v>
      </c>
      <c r="E52" s="4">
        <v>5</v>
      </c>
      <c r="F52" s="4"/>
      <c r="G52" s="4">
        <v>110</v>
      </c>
      <c r="H52" s="4">
        <f t="shared" si="22"/>
        <v>550</v>
      </c>
      <c r="I52" s="5">
        <v>1024</v>
      </c>
      <c r="J52" s="6">
        <f t="shared" si="30"/>
        <v>208.28064240945304</v>
      </c>
      <c r="K52" s="6">
        <f t="shared" si="37"/>
        <v>166.29185788318119</v>
      </c>
      <c r="L52" s="6">
        <f t="shared" si="23"/>
        <v>5120</v>
      </c>
      <c r="M52" s="7">
        <f t="shared" si="24"/>
        <v>3247.1374985368288</v>
      </c>
      <c r="N52" s="4">
        <v>18</v>
      </c>
      <c r="O52" s="4">
        <f t="shared" si="36"/>
        <v>6725.4587245453904</v>
      </c>
      <c r="P52" s="4">
        <f t="shared" si="36"/>
        <v>6725.4587245453904</v>
      </c>
      <c r="Q52" s="8">
        <f t="shared" si="29"/>
        <v>1274.95186362803</v>
      </c>
      <c r="R52" s="5">
        <v>400</v>
      </c>
      <c r="S52" s="6">
        <f t="shared" si="32"/>
        <v>2000</v>
      </c>
      <c r="T52" s="9">
        <f t="shared" si="25"/>
        <v>0.29737748485478821</v>
      </c>
      <c r="U52" s="9">
        <f t="shared" si="26"/>
        <v>0.48694847411310244</v>
      </c>
      <c r="V52" s="10">
        <f>IF($S52=0,"-",(VLOOKUP(N52,'APP 2885'!$B$10:$G$54,6)*$H52)/($S52+$Q52))</f>
        <v>1.9351761533921061</v>
      </c>
      <c r="W52" s="11">
        <f t="shared" si="27"/>
        <v>0.48281279114627534</v>
      </c>
      <c r="X52" s="12">
        <f t="shared" si="28"/>
        <v>0.67238378040458968</v>
      </c>
      <c r="Y52" s="10">
        <f>IF($S52=0,"-",(VLOOKUP(N52,'APP 2885'!$B$10:$G$54,4)*$H52)/($M52+$Q52))</f>
        <v>1.2457582212181468</v>
      </c>
    </row>
    <row r="53" spans="1:25" ht="20.100000000000001" customHeight="1" x14ac:dyDescent="0.25">
      <c r="A53" s="13" t="s">
        <v>60</v>
      </c>
      <c r="B53" s="13" t="s">
        <v>31</v>
      </c>
      <c r="C53" s="13" t="s">
        <v>43</v>
      </c>
      <c r="D53" s="14">
        <v>817</v>
      </c>
      <c r="E53" s="14">
        <v>821</v>
      </c>
      <c r="F53" s="14"/>
      <c r="G53" s="14">
        <v>78</v>
      </c>
      <c r="H53" s="14">
        <f t="shared" si="22"/>
        <v>64038</v>
      </c>
      <c r="I53" s="15">
        <v>1024</v>
      </c>
      <c r="J53" s="16">
        <f t="shared" si="30"/>
        <v>147.6899100721576</v>
      </c>
      <c r="K53" s="16">
        <f t="shared" si="37"/>
        <v>147.70513558989214</v>
      </c>
      <c r="L53" s="16">
        <f t="shared" si="23"/>
        <v>840704</v>
      </c>
      <c r="M53" s="17">
        <f t="shared" si="24"/>
        <v>599366.24769410538</v>
      </c>
      <c r="N53" s="14">
        <v>18</v>
      </c>
      <c r="O53" s="14">
        <f t="shared" si="36"/>
        <v>783063.50145897758</v>
      </c>
      <c r="P53" s="14">
        <f t="shared" si="36"/>
        <v>783063.50145897758</v>
      </c>
      <c r="Q53" s="18">
        <f t="shared" si="29"/>
        <v>148446.12262365778</v>
      </c>
      <c r="R53" s="15">
        <v>400</v>
      </c>
      <c r="S53" s="16">
        <f t="shared" si="32"/>
        <v>328400</v>
      </c>
      <c r="T53" s="19">
        <f t="shared" si="25"/>
        <v>0.41937850428239365</v>
      </c>
      <c r="U53" s="19">
        <f t="shared" si="26"/>
        <v>0.60894949354070793</v>
      </c>
      <c r="V53" s="20">
        <f>IF($S53=0,"-",(VLOOKUP(N53,'APP 2885'!$B$10:$G$54,6)*$H53)/($S53+$Q53))</f>
        <v>1.5474700037193725</v>
      </c>
      <c r="W53" s="21">
        <f t="shared" si="27"/>
        <v>0.76541205991262051</v>
      </c>
      <c r="X53" s="22">
        <f t="shared" si="28"/>
        <v>0.95498304917093479</v>
      </c>
      <c r="Y53" s="20">
        <f>IF($S53=0,"-",(VLOOKUP(N53,'APP 2885'!$B$10:$G$54,4)*$H53)/($M53+$Q53))</f>
        <v>0.87711255501334628</v>
      </c>
    </row>
    <row r="54" spans="1:25" ht="20.100000000000001" customHeight="1" x14ac:dyDescent="0.25">
      <c r="A54" s="3" t="s">
        <v>60</v>
      </c>
      <c r="B54" s="3" t="s">
        <v>31</v>
      </c>
      <c r="C54" s="3" t="s">
        <v>43</v>
      </c>
      <c r="D54" s="4">
        <v>16</v>
      </c>
      <c r="E54" s="4">
        <v>16</v>
      </c>
      <c r="F54" s="4"/>
      <c r="G54" s="4">
        <v>111</v>
      </c>
      <c r="H54" s="4">
        <f t="shared" si="22"/>
        <v>1776</v>
      </c>
      <c r="I54" s="5">
        <v>1024</v>
      </c>
      <c r="J54" s="6">
        <f t="shared" si="30"/>
        <v>210.17410279499353</v>
      </c>
      <c r="K54" s="6">
        <f t="shared" si="37"/>
        <v>166.87269295484651</v>
      </c>
      <c r="L54" s="6">
        <f t="shared" si="23"/>
        <v>16384</v>
      </c>
      <c r="M54" s="7">
        <f t="shared" si="24"/>
        <v>10351.251268002559</v>
      </c>
      <c r="N54" s="4">
        <v>18</v>
      </c>
      <c r="O54" s="4">
        <f t="shared" si="36"/>
        <v>21717.117626895659</v>
      </c>
      <c r="P54" s="4">
        <f t="shared" si="36"/>
        <v>21717.117626895659</v>
      </c>
      <c r="Q54" s="8">
        <f t="shared" si="29"/>
        <v>4116.9354723697834</v>
      </c>
      <c r="R54" s="5">
        <v>400</v>
      </c>
      <c r="S54" s="6">
        <f t="shared" si="32"/>
        <v>6400</v>
      </c>
      <c r="T54" s="9">
        <f t="shared" si="25"/>
        <v>0.294698408414655</v>
      </c>
      <c r="U54" s="9">
        <f t="shared" si="26"/>
        <v>0.48426939767296923</v>
      </c>
      <c r="V54" s="10">
        <f>IF($S54=0,"-",(VLOOKUP(N54,'APP 2885'!$B$10:$G$54,6)*$H54)/($S54+$Q54))</f>
        <v>1.9458819400161902</v>
      </c>
      <c r="W54" s="11">
        <f t="shared" si="27"/>
        <v>0.47664019902820837</v>
      </c>
      <c r="X54" s="12">
        <f t="shared" si="28"/>
        <v>0.66621118828652259</v>
      </c>
      <c r="Y54" s="10">
        <f>IF($S54=0,"-",(VLOOKUP(N54,'APP 2885'!$B$10:$G$54,4)*$H54)/($M54+$Q54))</f>
        <v>1.2573004431329211</v>
      </c>
    </row>
    <row r="55" spans="1:25" ht="20.100000000000001" customHeight="1" x14ac:dyDescent="0.25">
      <c r="A55" s="13" t="s">
        <v>61</v>
      </c>
      <c r="B55" s="13" t="s">
        <v>28</v>
      </c>
      <c r="C55" s="13" t="s">
        <v>62</v>
      </c>
      <c r="D55" s="14">
        <v>1</v>
      </c>
      <c r="E55" s="14">
        <v>1</v>
      </c>
      <c r="F55" s="14"/>
      <c r="G55" s="14">
        <v>56</v>
      </c>
      <c r="H55" s="14">
        <f t="shared" si="22"/>
        <v>56</v>
      </c>
      <c r="I55" s="15">
        <v>425</v>
      </c>
      <c r="J55" s="16">
        <f t="shared" si="30"/>
        <v>111.61443543163399</v>
      </c>
      <c r="K55" s="16">
        <f t="shared" ref="K55:K64" si="38">0.1*$I55+PV($B$80,$N55,(-0.05*0.95*$G55))+PV($B$80,$N55,-15)</f>
        <v>273.61990913218233</v>
      </c>
      <c r="L55" s="16">
        <f t="shared" si="23"/>
        <v>425</v>
      </c>
      <c r="M55" s="17">
        <f t="shared" si="24"/>
        <v>39.765655436183692</v>
      </c>
      <c r="N55" s="14">
        <v>20</v>
      </c>
      <c r="O55" s="14">
        <f t="shared" si="36"/>
        <v>732.88306406581034</v>
      </c>
      <c r="P55" s="14">
        <f t="shared" si="36"/>
        <v>732.88306406581034</v>
      </c>
      <c r="Q55" s="18">
        <f t="shared" si="29"/>
        <v>129.81328066030849</v>
      </c>
      <c r="R55" s="15">
        <v>250</v>
      </c>
      <c r="S55" s="16">
        <f t="shared" si="32"/>
        <v>250</v>
      </c>
      <c r="T55" s="19">
        <f t="shared" si="25"/>
        <v>0.34111853890179522</v>
      </c>
      <c r="U55" s="19">
        <f t="shared" si="26"/>
        <v>0.51824540541736763</v>
      </c>
      <c r="V55" s="20">
        <f>IF($S55=0,"-",(VLOOKUP(N55,'APP 2885'!$B$10:$G$54,6)*$H55)/($S55+$Q55))</f>
        <v>1.9229090639755591</v>
      </c>
      <c r="W55" s="21">
        <f t="shared" si="27"/>
        <v>5.4259209123452848E-2</v>
      </c>
      <c r="X55" s="22">
        <f t="shared" si="28"/>
        <v>0.23138607563902525</v>
      </c>
      <c r="Y55" s="20">
        <f>IF($S55=0,"-",(VLOOKUP(N55,'APP 2885'!$B$10:$G$54,4)*$H55)/($M55+$Q55))</f>
        <v>3.8282867845721138</v>
      </c>
    </row>
    <row r="56" spans="1:25" ht="20.100000000000001" customHeight="1" x14ac:dyDescent="0.25">
      <c r="A56" s="3" t="s">
        <v>61</v>
      </c>
      <c r="B56" s="3" t="s">
        <v>28</v>
      </c>
      <c r="C56" s="3" t="s">
        <v>63</v>
      </c>
      <c r="D56" s="4">
        <v>87</v>
      </c>
      <c r="E56" s="4">
        <v>98</v>
      </c>
      <c r="F56" s="4"/>
      <c r="G56" s="4">
        <v>56</v>
      </c>
      <c r="H56" s="4">
        <f t="shared" si="22"/>
        <v>5488</v>
      </c>
      <c r="I56" s="5">
        <v>425</v>
      </c>
      <c r="J56" s="6">
        <f t="shared" si="30"/>
        <v>111.61443543163399</v>
      </c>
      <c r="K56" s="6">
        <f t="shared" si="38"/>
        <v>273.61990913218233</v>
      </c>
      <c r="L56" s="6">
        <f t="shared" si="23"/>
        <v>41650</v>
      </c>
      <c r="M56" s="7">
        <f t="shared" si="24"/>
        <v>8134.6120229479784</v>
      </c>
      <c r="N56" s="4">
        <v>20</v>
      </c>
      <c r="O56" s="4">
        <f t="shared" si="36"/>
        <v>71822.540278449407</v>
      </c>
      <c r="P56" s="4">
        <f t="shared" si="36"/>
        <v>71822.540278449407</v>
      </c>
      <c r="Q56" s="8">
        <f t="shared" si="29"/>
        <v>12721.701504710234</v>
      </c>
      <c r="R56" s="5">
        <v>300</v>
      </c>
      <c r="S56" s="6">
        <f t="shared" si="32"/>
        <v>29400</v>
      </c>
      <c r="T56" s="9">
        <f t="shared" si="25"/>
        <v>0.4093422466821543</v>
      </c>
      <c r="U56" s="9">
        <f t="shared" si="26"/>
        <v>0.58646911319772677</v>
      </c>
      <c r="V56" s="10">
        <f>IF($S56=0,"-",(VLOOKUP(N56,'APP 2885'!$B$10:$G$54,6)*$H56)/($S56+$Q56))</f>
        <v>1.6992178531058695</v>
      </c>
      <c r="W56" s="11">
        <f t="shared" si="27"/>
        <v>0.11325987623677515</v>
      </c>
      <c r="X56" s="12">
        <f t="shared" si="28"/>
        <v>0.2903867427523476</v>
      </c>
      <c r="Y56" s="10">
        <f>IF($S56=0,"-",(VLOOKUP(N56,'APP 2885'!$B$10:$G$54,4)*$H56)/($M56+$Q56))</f>
        <v>3.0504569427204777</v>
      </c>
    </row>
    <row r="57" spans="1:25" ht="20.100000000000001" customHeight="1" x14ac:dyDescent="0.25">
      <c r="A57" s="13" t="s">
        <v>61</v>
      </c>
      <c r="B57" s="13" t="s">
        <v>30</v>
      </c>
      <c r="C57" s="13" t="s">
        <v>63</v>
      </c>
      <c r="D57" s="14">
        <v>21</v>
      </c>
      <c r="E57" s="14">
        <v>21</v>
      </c>
      <c r="F57" s="14"/>
      <c r="G57" s="14">
        <v>56</v>
      </c>
      <c r="H57" s="14">
        <f t="shared" si="22"/>
        <v>1176</v>
      </c>
      <c r="I57" s="15">
        <v>425</v>
      </c>
      <c r="J57" s="16">
        <f t="shared" si="30"/>
        <v>111.61443543163399</v>
      </c>
      <c r="K57" s="16">
        <f t="shared" si="38"/>
        <v>273.61990913218233</v>
      </c>
      <c r="L57" s="16">
        <f t="shared" si="23"/>
        <v>8925</v>
      </c>
      <c r="M57" s="17">
        <f t="shared" si="24"/>
        <v>835.0787641598572</v>
      </c>
      <c r="N57" s="14">
        <v>20</v>
      </c>
      <c r="O57" s="14">
        <f t="shared" si="36"/>
        <v>15390.544345382017</v>
      </c>
      <c r="P57" s="14">
        <f t="shared" si="36"/>
        <v>15390.544345382017</v>
      </c>
      <c r="Q57" s="18">
        <f t="shared" si="29"/>
        <v>2726.0788938664787</v>
      </c>
      <c r="R57" s="15">
        <v>300</v>
      </c>
      <c r="S57" s="16">
        <f t="shared" si="32"/>
        <v>6300</v>
      </c>
      <c r="T57" s="19">
        <f t="shared" si="25"/>
        <v>0.40934224668215424</v>
      </c>
      <c r="U57" s="19">
        <f t="shared" si="26"/>
        <v>0.58646911319772677</v>
      </c>
      <c r="V57" s="20">
        <f>IF($S57=0,"-",(VLOOKUP(N57,'APP 2885'!$B$10:$G$54,6)*$H57)/($S57+$Q57))</f>
        <v>1.6992178531058695</v>
      </c>
      <c r="W57" s="21">
        <f t="shared" si="27"/>
        <v>5.425920912345282E-2</v>
      </c>
      <c r="X57" s="22">
        <f t="shared" si="28"/>
        <v>0.23138607563902525</v>
      </c>
      <c r="Y57" s="20">
        <f>IF($S57=0,"-",(VLOOKUP(N57,'APP 2885'!$B$10:$G$54,4)*$H57)/($M57+$Q57))</f>
        <v>3.8282867845721138</v>
      </c>
    </row>
    <row r="58" spans="1:25" ht="20.100000000000001" customHeight="1" x14ac:dyDescent="0.25">
      <c r="A58" s="3" t="s">
        <v>61</v>
      </c>
      <c r="B58" s="3" t="s">
        <v>31</v>
      </c>
      <c r="C58" s="3" t="s">
        <v>63</v>
      </c>
      <c r="D58" s="4">
        <v>35</v>
      </c>
      <c r="E58" s="4">
        <v>38</v>
      </c>
      <c r="F58" s="4"/>
      <c r="G58" s="4">
        <v>57</v>
      </c>
      <c r="H58" s="4">
        <f t="shared" si="22"/>
        <v>2166</v>
      </c>
      <c r="I58" s="5">
        <v>425</v>
      </c>
      <c r="J58" s="6">
        <f t="shared" si="30"/>
        <v>113.60755035005604</v>
      </c>
      <c r="K58" s="6">
        <f t="shared" si="38"/>
        <v>274.24155101688098</v>
      </c>
      <c r="L58" s="6">
        <f t="shared" si="23"/>
        <v>16150</v>
      </c>
      <c r="M58" s="7">
        <f t="shared" si="24"/>
        <v>2575.2814521572036</v>
      </c>
      <c r="N58" s="4">
        <v>20</v>
      </c>
      <c r="O58" s="4">
        <f t="shared" si="36"/>
        <v>28346.869942259735</v>
      </c>
      <c r="P58" s="4">
        <f t="shared" si="36"/>
        <v>28346.869942259735</v>
      </c>
      <c r="Q58" s="8">
        <f t="shared" si="29"/>
        <v>5020.9922483969331</v>
      </c>
      <c r="R58" s="5">
        <v>300</v>
      </c>
      <c r="S58" s="6">
        <f t="shared" si="32"/>
        <v>11400</v>
      </c>
      <c r="T58" s="9">
        <f t="shared" si="25"/>
        <v>0.40216080375790597</v>
      </c>
      <c r="U58" s="9">
        <f t="shared" si="26"/>
        <v>0.57928767027347849</v>
      </c>
      <c r="V58" s="10">
        <f>IF($S58=0,"-",(VLOOKUP(N58,'APP 2885'!$B$10:$G$54,6)*$H58)/($S58+$Q58))</f>
        <v>1.7202830969460892</v>
      </c>
      <c r="W58" s="11">
        <f t="shared" si="27"/>
        <v>9.0848882342313003E-2</v>
      </c>
      <c r="X58" s="12">
        <f t="shared" si="28"/>
        <v>0.26797574885788544</v>
      </c>
      <c r="Y58" s="10">
        <f>IF($S58=0,"-",(VLOOKUP(N58,'APP 2885'!$B$10:$G$54,4)*$H58)/($M58+$Q58))</f>
        <v>3.3055687288055808</v>
      </c>
    </row>
    <row r="59" spans="1:25" ht="20.100000000000001" customHeight="1" x14ac:dyDescent="0.25">
      <c r="A59" s="13" t="s">
        <v>64</v>
      </c>
      <c r="B59" s="13" t="s">
        <v>28</v>
      </c>
      <c r="C59" s="13" t="s">
        <v>65</v>
      </c>
      <c r="D59" s="14">
        <v>599</v>
      </c>
      <c r="E59" s="14">
        <v>640</v>
      </c>
      <c r="F59" s="14"/>
      <c r="G59" s="14">
        <v>18</v>
      </c>
      <c r="H59" s="14">
        <f t="shared" si="22"/>
        <v>11520</v>
      </c>
      <c r="I59" s="15">
        <v>16</v>
      </c>
      <c r="J59" s="16">
        <f t="shared" si="30"/>
        <v>25.128766788379849</v>
      </c>
      <c r="K59" s="16">
        <f t="shared" si="38"/>
        <v>127.48905528245331</v>
      </c>
      <c r="L59" s="16">
        <f t="shared" si="23"/>
        <v>10240</v>
      </c>
      <c r="M59" s="17">
        <f t="shared" si="24"/>
        <v>-81178.075420429057</v>
      </c>
      <c r="N59" s="14">
        <v>10</v>
      </c>
      <c r="O59" s="14">
        <f t="shared" si="36"/>
        <v>91469.058142785376</v>
      </c>
      <c r="P59" s="14">
        <f t="shared" si="36"/>
        <v>91469.058142785376</v>
      </c>
      <c r="Q59" s="18">
        <f t="shared" si="29"/>
        <v>26704.446307263464</v>
      </c>
      <c r="R59" s="15">
        <v>25</v>
      </c>
      <c r="S59" s="16">
        <f t="shared" si="32"/>
        <v>16000</v>
      </c>
      <c r="T59" s="19">
        <f t="shared" si="25"/>
        <v>0.17492254019958989</v>
      </c>
      <c r="U59" s="19">
        <f t="shared" si="26"/>
        <v>0.4668731391177201</v>
      </c>
      <c r="V59" s="20">
        <f>IF($S59=0,"-",(VLOOKUP(N59,'APP 2885'!$B$10:$G$54,6)*$H59)/($S59+$Q59))</f>
        <v>1.5726480825154059</v>
      </c>
      <c r="W59" s="21">
        <f t="shared" si="27"/>
        <v>-0.88749219756595887</v>
      </c>
      <c r="X59" s="22">
        <f t="shared" si="28"/>
        <v>-0.59554159864782863</v>
      </c>
      <c r="Y59" s="20">
        <f>IF($S59=0,"-",(VLOOKUP(N59,'APP 2885'!$B$10:$G$54,4)*$H59)/($M59+$Q59))</f>
        <v>-1.1207936205822588</v>
      </c>
    </row>
    <row r="60" spans="1:25" ht="20.100000000000001" customHeight="1" x14ac:dyDescent="0.25">
      <c r="A60" s="3" t="s">
        <v>64</v>
      </c>
      <c r="B60" s="3" t="s">
        <v>28</v>
      </c>
      <c r="C60" s="3" t="s">
        <v>65</v>
      </c>
      <c r="D60" s="4">
        <v>2</v>
      </c>
      <c r="E60" s="4">
        <v>2</v>
      </c>
      <c r="F60" s="4"/>
      <c r="G60" s="4">
        <v>18</v>
      </c>
      <c r="H60" s="4">
        <f t="shared" si="22"/>
        <v>36</v>
      </c>
      <c r="I60" s="5">
        <v>16</v>
      </c>
      <c r="J60" s="6">
        <f t="shared" si="30"/>
        <v>25.128766788379849</v>
      </c>
      <c r="K60" s="6">
        <f t="shared" si="38"/>
        <v>127.48905528245331</v>
      </c>
      <c r="L60" s="6">
        <f t="shared" si="23"/>
        <v>32</v>
      </c>
      <c r="M60" s="7">
        <f t="shared" si="24"/>
        <v>-273.23564414166628</v>
      </c>
      <c r="N60" s="4">
        <v>10</v>
      </c>
      <c r="O60" s="4">
        <f t="shared" si="36"/>
        <v>285.84080669620431</v>
      </c>
      <c r="P60" s="4">
        <f t="shared" si="36"/>
        <v>285.84080669620431</v>
      </c>
      <c r="Q60" s="8">
        <f t="shared" si="29"/>
        <v>83.451394710198329</v>
      </c>
      <c r="R60" s="5">
        <v>10</v>
      </c>
      <c r="S60" s="6">
        <f t="shared" si="32"/>
        <v>20</v>
      </c>
      <c r="T60" s="9">
        <f t="shared" si="25"/>
        <v>6.9969016079835952E-2</v>
      </c>
      <c r="U60" s="9">
        <f t="shared" si="26"/>
        <v>0.36191961499796615</v>
      </c>
      <c r="V60" s="10">
        <f>IF($S60=0,"-",(VLOOKUP(N60,'APP 2885'!$B$10:$G$54,6)*$H60)/($S60+$Q60))</f>
        <v>2.0287022769284198</v>
      </c>
      <c r="W60" s="11">
        <f t="shared" si="27"/>
        <v>-0.95590145892662914</v>
      </c>
      <c r="X60" s="12">
        <f t="shared" si="28"/>
        <v>-0.66395086000849901</v>
      </c>
      <c r="Y60" s="10">
        <f>IF($S60=0,"-",(VLOOKUP(N60,'APP 2885'!$B$10:$G$54,4)*$H60)/($M60+$Q60))</f>
        <v>-1.0053141953115357</v>
      </c>
    </row>
    <row r="61" spans="1:25" ht="20.100000000000001" customHeight="1" x14ac:dyDescent="0.25">
      <c r="A61" s="13" t="s">
        <v>64</v>
      </c>
      <c r="B61" s="13" t="s">
        <v>30</v>
      </c>
      <c r="C61" s="13" t="s">
        <v>65</v>
      </c>
      <c r="D61" s="14">
        <v>286</v>
      </c>
      <c r="E61" s="14">
        <v>289</v>
      </c>
      <c r="F61" s="14"/>
      <c r="G61" s="14">
        <v>17</v>
      </c>
      <c r="H61" s="14">
        <f t="shared" si="22"/>
        <v>4913</v>
      </c>
      <c r="I61" s="15">
        <v>16</v>
      </c>
      <c r="J61" s="16">
        <f t="shared" si="30"/>
        <v>23.732724189025415</v>
      </c>
      <c r="K61" s="16">
        <f t="shared" si="38"/>
        <v>127.11190421806248</v>
      </c>
      <c r="L61" s="16">
        <f t="shared" si="23"/>
        <v>4624</v>
      </c>
      <c r="M61" s="17">
        <f t="shared" si="24"/>
        <v>-38517.563724427135</v>
      </c>
      <c r="N61" s="14">
        <v>10</v>
      </c>
      <c r="O61" s="14">
        <f t="shared" si="36"/>
        <v>39009.330091623655</v>
      </c>
      <c r="P61" s="14">
        <f t="shared" si="36"/>
        <v>39009.330091623655</v>
      </c>
      <c r="Q61" s="18">
        <f t="shared" si="29"/>
        <v>11388.797283644566</v>
      </c>
      <c r="R61" s="15">
        <v>25</v>
      </c>
      <c r="S61" s="16">
        <f t="shared" si="32"/>
        <v>7225</v>
      </c>
      <c r="T61" s="19">
        <f t="shared" si="25"/>
        <v>0.18521210138780109</v>
      </c>
      <c r="U61" s="19">
        <f t="shared" si="26"/>
        <v>0.47716270030593133</v>
      </c>
      <c r="V61" s="20">
        <f>IF($S61=0,"-",(VLOOKUP(N61,'APP 2885'!$B$10:$G$54,6)*$H61)/($S61+$Q61))</f>
        <v>1.5387354177949863</v>
      </c>
      <c r="W61" s="21">
        <f t="shared" si="27"/>
        <v>-0.98739362183248269</v>
      </c>
      <c r="X61" s="22">
        <f t="shared" si="28"/>
        <v>-0.69544302291435245</v>
      </c>
      <c r="Y61" s="20">
        <f>IF($S61=0,"-",(VLOOKUP(N61,'APP 2885'!$B$10:$G$54,4)*$H61)/($M61+$Q61))</f>
        <v>-0.95978995052489013</v>
      </c>
    </row>
    <row r="62" spans="1:25" ht="20.100000000000001" customHeight="1" x14ac:dyDescent="0.25">
      <c r="A62" s="3" t="s">
        <v>64</v>
      </c>
      <c r="B62" s="3" t="s">
        <v>30</v>
      </c>
      <c r="C62" s="3" t="s">
        <v>65</v>
      </c>
      <c r="D62" s="4">
        <v>4</v>
      </c>
      <c r="E62" s="4">
        <v>4</v>
      </c>
      <c r="F62" s="4"/>
      <c r="G62" s="4">
        <v>17</v>
      </c>
      <c r="H62" s="4">
        <f t="shared" si="22"/>
        <v>68</v>
      </c>
      <c r="I62" s="5">
        <v>16</v>
      </c>
      <c r="J62" s="6">
        <f t="shared" si="30"/>
        <v>23.732724189025415</v>
      </c>
      <c r="K62" s="6">
        <f t="shared" si="38"/>
        <v>127.11190421806248</v>
      </c>
      <c r="L62" s="6">
        <f t="shared" si="23"/>
        <v>64</v>
      </c>
      <c r="M62" s="7">
        <f t="shared" si="24"/>
        <v>-539.37851362835158</v>
      </c>
      <c r="N62" s="4">
        <v>10</v>
      </c>
      <c r="O62" s="4">
        <f t="shared" si="36"/>
        <v>539.92152375949695</v>
      </c>
      <c r="P62" s="4">
        <f t="shared" si="36"/>
        <v>539.92152375949695</v>
      </c>
      <c r="Q62" s="8">
        <f t="shared" si="29"/>
        <v>157.63041223037459</v>
      </c>
      <c r="R62" s="5">
        <v>10</v>
      </c>
      <c r="S62" s="6">
        <f t="shared" si="32"/>
        <v>40</v>
      </c>
      <c r="T62" s="9">
        <f t="shared" si="25"/>
        <v>7.4084840555120435E-2</v>
      </c>
      <c r="U62" s="9">
        <f t="shared" si="26"/>
        <v>0.36603543947325062</v>
      </c>
      <c r="V62" s="10">
        <f>IF($S62=0,"-",(VLOOKUP(N62,'APP 2885'!$B$10:$G$54,6)*$H62)/($S62+$Q62))</f>
        <v>2.0058908723921181</v>
      </c>
      <c r="W62" s="11">
        <f t="shared" si="27"/>
        <v>-0.99899427952535702</v>
      </c>
      <c r="X62" s="12">
        <f t="shared" si="28"/>
        <v>-0.70704368060722689</v>
      </c>
      <c r="Y62" s="10">
        <f>IF($S62=0,"-",(VLOOKUP(N62,'APP 2885'!$B$10:$G$54,4)*$H62)/($M62+$Q62))</f>
        <v>-0.94404241613841811</v>
      </c>
    </row>
    <row r="63" spans="1:25" ht="20.100000000000001" customHeight="1" x14ac:dyDescent="0.25">
      <c r="A63" s="13" t="s">
        <v>64</v>
      </c>
      <c r="B63" s="13" t="s">
        <v>31</v>
      </c>
      <c r="C63" s="13" t="s">
        <v>65</v>
      </c>
      <c r="D63" s="14">
        <v>712</v>
      </c>
      <c r="E63" s="14">
        <v>730</v>
      </c>
      <c r="F63" s="14"/>
      <c r="G63" s="14">
        <v>20</v>
      </c>
      <c r="H63" s="14">
        <f t="shared" si="22"/>
        <v>14600</v>
      </c>
      <c r="I63" s="15">
        <v>16</v>
      </c>
      <c r="J63" s="16">
        <f t="shared" si="30"/>
        <v>27.920851987088724</v>
      </c>
      <c r="K63" s="16">
        <f t="shared" si="38"/>
        <v>128.24335741123497</v>
      </c>
      <c r="L63" s="16">
        <f t="shared" si="23"/>
        <v>11680</v>
      </c>
      <c r="M63" s="17">
        <f t="shared" si="24"/>
        <v>-99508.917091606476</v>
      </c>
      <c r="N63" s="14">
        <v>10</v>
      </c>
      <c r="O63" s="14">
        <f t="shared" si="36"/>
        <v>115924.32716012729</v>
      </c>
      <c r="P63" s="14">
        <f t="shared" si="36"/>
        <v>115924.32716012729</v>
      </c>
      <c r="Q63" s="18">
        <f t="shared" si="29"/>
        <v>33844.176743580429</v>
      </c>
      <c r="R63" s="15">
        <v>25</v>
      </c>
      <c r="S63" s="16">
        <f t="shared" si="32"/>
        <v>18250</v>
      </c>
      <c r="T63" s="19">
        <f t="shared" si="25"/>
        <v>0.15743028617963092</v>
      </c>
      <c r="U63" s="19">
        <f t="shared" si="26"/>
        <v>0.44938088509776114</v>
      </c>
      <c r="V63" s="20">
        <f>IF($S63=0,"-",(VLOOKUP(N63,'APP 2885'!$B$10:$G$54,6)*$H63)/($S63+$Q63))</f>
        <v>1.6338637698212346</v>
      </c>
      <c r="W63" s="21">
        <f t="shared" si="27"/>
        <v>-0.85839546822776847</v>
      </c>
      <c r="X63" s="22">
        <f t="shared" si="28"/>
        <v>-0.56644486930963822</v>
      </c>
      <c r="Y63" s="20">
        <f>IF($S63=0,"-",(VLOOKUP(N63,'APP 2885'!$B$10:$G$54,4)*$H63)/($M63+$Q63))</f>
        <v>-1.1783657346377683</v>
      </c>
    </row>
    <row r="64" spans="1:25" ht="20.100000000000001" customHeight="1" x14ac:dyDescent="0.25">
      <c r="A64" s="3" t="s">
        <v>64</v>
      </c>
      <c r="B64" s="3" t="s">
        <v>31</v>
      </c>
      <c r="C64" s="3" t="s">
        <v>65</v>
      </c>
      <c r="D64" s="4">
        <v>16</v>
      </c>
      <c r="E64" s="4">
        <v>16</v>
      </c>
      <c r="F64" s="4"/>
      <c r="G64" s="4">
        <v>20</v>
      </c>
      <c r="H64" s="4">
        <f t="shared" ref="H64:H68" si="39">IF(ISNUMBER(E64),E64*G64,"")</f>
        <v>320</v>
      </c>
      <c r="I64" s="5">
        <v>16</v>
      </c>
      <c r="J64" s="6">
        <f t="shared" si="30"/>
        <v>27.920851987088724</v>
      </c>
      <c r="K64" s="6">
        <f t="shared" si="38"/>
        <v>128.24335741123497</v>
      </c>
      <c r="L64" s="6">
        <f t="shared" ref="L64:L68" si="40">IF(ISNUMBER(I64),I64*E64,"")</f>
        <v>256</v>
      </c>
      <c r="M64" s="7">
        <f t="shared" ref="M64:M71" si="41">L64-D64*(J64+K64)</f>
        <v>-2242.6273503731791</v>
      </c>
      <c r="N64" s="4">
        <v>10</v>
      </c>
      <c r="O64" s="4">
        <f t="shared" si="36"/>
        <v>2540.8071706329274</v>
      </c>
      <c r="P64" s="4">
        <f t="shared" si="36"/>
        <v>2540.8071706329274</v>
      </c>
      <c r="Q64" s="8">
        <f t="shared" si="29"/>
        <v>741.79017520176296</v>
      </c>
      <c r="R64" s="5">
        <v>10</v>
      </c>
      <c r="S64" s="6">
        <f t="shared" ref="S64:S68" si="42">IF(ISNUMBER(R64),R64*E64,"")</f>
        <v>160</v>
      </c>
      <c r="T64" s="9">
        <f t="shared" ref="T64:T76" si="43">IF(ISERROR(S64/P64),0,S64/P64)</f>
        <v>6.2972114471852358E-2</v>
      </c>
      <c r="U64" s="9">
        <f t="shared" ref="U64:U76" si="44">IF(ISERROR((Q64+S64)/P64),0,(Q64+S64)/P64)</f>
        <v>0.35492271338998255</v>
      </c>
      <c r="V64" s="10">
        <f>IF($S64=0,"-",(VLOOKUP(N64,'APP 2885'!$B$10:$G$54,6)*$H64)/($S64+$Q64))</f>
        <v>2.0686958577505172</v>
      </c>
      <c r="W64" s="11">
        <f t="shared" ref="W64:W76" si="45">IF(ISERROR(RM64/O64),0,M64/O64)</f>
        <v>-0.88264366390879234</v>
      </c>
      <c r="X64" s="12">
        <f t="shared" ref="X64:X76" si="46">IF(ISERROR(M64/O64),0,(M64+Q64)/O64)</f>
        <v>-0.59069306499066221</v>
      </c>
      <c r="Y64" s="10">
        <f>IF($S64=0,"-",(VLOOKUP(N64,'APP 2885'!$B$10:$G$54,4)*$H64)/($M64+$Q64))</f>
        <v>-1.1299933317591904</v>
      </c>
    </row>
    <row r="65" spans="1:25" ht="20.100000000000001" customHeight="1" x14ac:dyDescent="0.25">
      <c r="A65" s="13" t="s">
        <v>66</v>
      </c>
      <c r="B65" s="13" t="s">
        <v>28</v>
      </c>
      <c r="C65" s="13" t="s">
        <v>67</v>
      </c>
      <c r="D65" s="14">
        <v>62</v>
      </c>
      <c r="E65" s="14">
        <v>69</v>
      </c>
      <c r="F65" s="14">
        <v>46468</v>
      </c>
      <c r="G65" s="24">
        <v>7.0999999999999994E-2</v>
      </c>
      <c r="H65" s="18">
        <f>G65*F65</f>
        <v>3299.2279999999996</v>
      </c>
      <c r="I65" s="15">
        <v>1.18</v>
      </c>
      <c r="J65" s="16">
        <f t="shared" si="30"/>
        <v>0.19320447767005752</v>
      </c>
      <c r="K65" s="16">
        <f>0.1*$I65+PV($B$80,$N65,(-0.05*0.95*$G65))</f>
        <v>0.18330409645972179</v>
      </c>
      <c r="L65" s="16">
        <f>IF(ISNUMBER(I65),I65*F65,"")</f>
        <v>54832.24</v>
      </c>
      <c r="M65" s="17">
        <f t="shared" si="41"/>
        <v>54808.896468403953</v>
      </c>
      <c r="N65" s="14">
        <v>45</v>
      </c>
      <c r="O65" s="14">
        <f t="shared" ref="O65:P75" si="47">PV($B$80,$N65,-$H65)</f>
        <v>63885.279037691645</v>
      </c>
      <c r="P65" s="14">
        <f t="shared" si="47"/>
        <v>63885.279037691645</v>
      </c>
      <c r="Q65" s="18">
        <f t="shared" si="29"/>
        <v>7647.9216129705037</v>
      </c>
      <c r="R65" s="15">
        <v>0.75</v>
      </c>
      <c r="S65" s="16">
        <f>IF(ISNUMBER(R65),R65*F65,"")</f>
        <v>34851</v>
      </c>
      <c r="T65" s="19">
        <f t="shared" si="43"/>
        <v>0.5455247362923511</v>
      </c>
      <c r="U65" s="19">
        <f t="shared" si="44"/>
        <v>0.66523809949858059</v>
      </c>
      <c r="V65" s="20">
        <f>IF($S65=0,"-",(VLOOKUP(N65,'APP 2885'!$B$10:$G$54,6)*$H65)/($S65+$Q65))</f>
        <v>2.8858949935949934</v>
      </c>
      <c r="W65" s="21">
        <f t="shared" si="45"/>
        <v>0.85792685410464087</v>
      </c>
      <c r="X65" s="22">
        <f t="shared" si="46"/>
        <v>0.97764021731087036</v>
      </c>
      <c r="Y65" s="20">
        <f>IF($S65=0,"-",(VLOOKUP(N65,'APP 2885'!$B$10:$G$54,4)*$H65)/($M65+$Q65))</f>
        <v>1.6364296282841542</v>
      </c>
    </row>
    <row r="66" spans="1:25" ht="20.100000000000001" customHeight="1" x14ac:dyDescent="0.25">
      <c r="A66" s="3" t="s">
        <v>66</v>
      </c>
      <c r="B66" s="3" t="s">
        <v>30</v>
      </c>
      <c r="C66" s="3" t="s">
        <v>67</v>
      </c>
      <c r="D66" s="4">
        <v>8</v>
      </c>
      <c r="E66" s="4">
        <v>11</v>
      </c>
      <c r="F66" s="4">
        <v>7657</v>
      </c>
      <c r="G66" s="23">
        <v>6.5000000000000002E-2</v>
      </c>
      <c r="H66" s="8">
        <f t="shared" ref="H66:H67" si="48">G66*F66</f>
        <v>497.70500000000004</v>
      </c>
      <c r="I66" s="5">
        <v>1.18</v>
      </c>
      <c r="J66" s="6">
        <f t="shared" si="30"/>
        <v>0.17687733871202449</v>
      </c>
      <c r="K66" s="6">
        <f>0.1*$I66+PV($B$80,$N66,(-0.05*0.95*$G66))</f>
        <v>0.17778544042087208</v>
      </c>
      <c r="L66" s="6">
        <f t="shared" ref="L66:L67" si="49">IF(ISNUMBER(I66),I66*F66,"")</f>
        <v>9035.26</v>
      </c>
      <c r="M66" s="7">
        <f t="shared" si="41"/>
        <v>9032.4226977669368</v>
      </c>
      <c r="N66" s="4">
        <v>45</v>
      </c>
      <c r="O66" s="4">
        <f t="shared" si="47"/>
        <v>9637.412995844581</v>
      </c>
      <c r="P66" s="4">
        <f t="shared" si="47"/>
        <v>9637.412995844581</v>
      </c>
      <c r="Q66" s="8">
        <f t="shared" si="29"/>
        <v>1153.7271223399796</v>
      </c>
      <c r="R66" s="5">
        <v>0.75</v>
      </c>
      <c r="S66" s="6">
        <f t="shared" ref="S66:S67" si="50">IF(ISNUMBER(R66),R66*F66,"")</f>
        <v>5742.75</v>
      </c>
      <c r="T66" s="9">
        <f t="shared" si="43"/>
        <v>0.59588086579626032</v>
      </c>
      <c r="U66" s="9">
        <f t="shared" si="44"/>
        <v>0.71559422900248992</v>
      </c>
      <c r="V66" s="10">
        <f>IF($S66=0,"-",(VLOOKUP(N66,'APP 2885'!$B$10:$G$54,6)*$H66)/($S66+$Q66))</f>
        <v>2.6828155162287115</v>
      </c>
      <c r="W66" s="11">
        <f t="shared" si="45"/>
        <v>0.93722482388805983</v>
      </c>
      <c r="X66" s="12">
        <f t="shared" si="46"/>
        <v>1.0569381870942895</v>
      </c>
      <c r="Y66" s="10">
        <f>IF($S66=0,"-",(VLOOKUP(N66,'APP 2885'!$B$10:$G$54,4)*$H66)/($M66+$Q66))</f>
        <v>1.5136546649032614</v>
      </c>
    </row>
    <row r="67" spans="1:25" ht="20.100000000000001" customHeight="1" x14ac:dyDescent="0.25">
      <c r="A67" s="13" t="s">
        <v>66</v>
      </c>
      <c r="B67" s="13" t="s">
        <v>31</v>
      </c>
      <c r="C67" s="13" t="s">
        <v>67</v>
      </c>
      <c r="D67" s="14">
        <v>18</v>
      </c>
      <c r="E67" s="14">
        <v>21</v>
      </c>
      <c r="F67" s="14">
        <v>19114</v>
      </c>
      <c r="G67" s="24">
        <v>7.5999999999999998E-2</v>
      </c>
      <c r="H67" s="18">
        <f t="shared" si="48"/>
        <v>1452.664</v>
      </c>
      <c r="I67" s="15">
        <v>1.18</v>
      </c>
      <c r="J67" s="16">
        <f t="shared" si="30"/>
        <v>0.20681042680175171</v>
      </c>
      <c r="K67" s="16">
        <f>0.1*$I67+PV($B$80,$N67,(-0.05*0.95*$G67))</f>
        <v>0.18790297649209659</v>
      </c>
      <c r="L67" s="16">
        <f t="shared" si="49"/>
        <v>22554.52</v>
      </c>
      <c r="M67" s="17">
        <f t="shared" si="41"/>
        <v>22547.41515874071</v>
      </c>
      <c r="N67" s="14">
        <v>45</v>
      </c>
      <c r="O67" s="14">
        <f t="shared" si="47"/>
        <v>28128.957740419672</v>
      </c>
      <c r="P67" s="14">
        <f t="shared" si="47"/>
        <v>28128.957740419672</v>
      </c>
      <c r="Q67" s="18">
        <f t="shared" si="29"/>
        <v>3367.4121345915428</v>
      </c>
      <c r="R67" s="15">
        <v>0.75</v>
      </c>
      <c r="S67" s="16">
        <f t="shared" si="50"/>
        <v>14335.5</v>
      </c>
      <c r="T67" s="19">
        <f t="shared" si="43"/>
        <v>0.50963495100995948</v>
      </c>
      <c r="U67" s="19">
        <f t="shared" si="44"/>
        <v>0.62934831421618898</v>
      </c>
      <c r="V67" s="20">
        <f>IF($S67=0,"-",(VLOOKUP(N67,'APP 2885'!$B$10:$G$54,6)*$H67)/($S67+$Q67))</f>
        <v>3.0504686475288216</v>
      </c>
      <c r="W67" s="21">
        <f t="shared" si="45"/>
        <v>0.80157307522067878</v>
      </c>
      <c r="X67" s="22">
        <f t="shared" si="46"/>
        <v>0.92128643842690827</v>
      </c>
      <c r="Y67" s="20">
        <f>IF($S67=0,"-",(VLOOKUP(N67,'APP 2885'!$B$10:$G$54,4)*$H67)/($M67+$Q67))</f>
        <v>1.7365276972288712</v>
      </c>
    </row>
    <row r="68" spans="1:25" ht="20.100000000000001" customHeight="1" x14ac:dyDescent="0.25">
      <c r="A68" s="3" t="s">
        <v>68</v>
      </c>
      <c r="B68" s="3" t="s">
        <v>28</v>
      </c>
      <c r="C68" s="3" t="s">
        <v>69</v>
      </c>
      <c r="D68" s="4">
        <v>24</v>
      </c>
      <c r="E68" s="4">
        <v>24</v>
      </c>
      <c r="F68" s="4"/>
      <c r="G68" s="4">
        <v>75</v>
      </c>
      <c r="H68" s="4">
        <f t="shared" si="39"/>
        <v>1800</v>
      </c>
      <c r="I68" s="5">
        <v>750</v>
      </c>
      <c r="J68" s="6">
        <f t="shared" si="30"/>
        <v>120.22739154711937</v>
      </c>
      <c r="K68" s="6">
        <f t="shared" ref="K68:K75" si="51">0.1*$I68+PV($B$80,$N68,(-0.05*0.95*$G68))+PV($B$80,$N68,-15)</f>
        <v>255.5094129992417</v>
      </c>
      <c r="L68" s="6">
        <f t="shared" si="40"/>
        <v>18000</v>
      </c>
      <c r="M68" s="7">
        <f t="shared" si="41"/>
        <v>8982.3166908873336</v>
      </c>
      <c r="N68" s="4">
        <v>13</v>
      </c>
      <c r="O68" s="4">
        <f t="shared" si="47"/>
        <v>17503.94307871435</v>
      </c>
      <c r="P68" s="4">
        <f t="shared" si="47"/>
        <v>17503.94307871435</v>
      </c>
      <c r="Q68" s="8">
        <f t="shared" ref="Q68:Q75" si="52">(H68/$H$76)*$Q$76</f>
        <v>4172.5697355099164</v>
      </c>
      <c r="R68" s="5">
        <v>150</v>
      </c>
      <c r="S68" s="6">
        <f t="shared" si="42"/>
        <v>3600</v>
      </c>
      <c r="T68" s="9">
        <f t="shared" si="43"/>
        <v>0.20566794486310777</v>
      </c>
      <c r="U68" s="9">
        <f t="shared" si="44"/>
        <v>0.44404678994653157</v>
      </c>
      <c r="V68" s="10">
        <f>IF($S68=0,"-",(VLOOKUP(N68,'APP 2885'!$B$10:$G$54,6)*$H68)/($S68+$Q68))</f>
        <v>1.7939696232375102</v>
      </c>
      <c r="W68" s="11">
        <f t="shared" si="45"/>
        <v>0.51315961497899687</v>
      </c>
      <c r="X68" s="12">
        <f t="shared" si="46"/>
        <v>0.75153846006242075</v>
      </c>
      <c r="Y68" s="10">
        <f>IF($S68=0,"-",(VLOOKUP(N68,'APP 2885'!$B$10:$G$54,4)*$H68)/($M68+$Q68))</f>
        <v>0.96360695099301097</v>
      </c>
    </row>
    <row r="69" spans="1:25" ht="20.100000000000001" customHeight="1" x14ac:dyDescent="0.25">
      <c r="A69" s="13" t="s">
        <v>70</v>
      </c>
      <c r="B69" s="13" t="s">
        <v>28</v>
      </c>
      <c r="C69" s="13" t="s">
        <v>71</v>
      </c>
      <c r="D69" s="14">
        <v>27</v>
      </c>
      <c r="E69" s="14">
        <v>28</v>
      </c>
      <c r="F69" s="14">
        <v>2623.97</v>
      </c>
      <c r="G69" s="24">
        <v>0.63</v>
      </c>
      <c r="H69" s="14">
        <f>G69*F69</f>
        <v>1653.1010999999999</v>
      </c>
      <c r="I69" s="15">
        <v>23.09</v>
      </c>
      <c r="J69" s="16">
        <f t="shared" si="30"/>
        <v>1.714349590593468</v>
      </c>
      <c r="K69" s="16">
        <f t="shared" si="51"/>
        <v>293.34403987617037</v>
      </c>
      <c r="L69" s="16">
        <f>IF(ISNUMBER(I69),I69*F69,"")</f>
        <v>60587.467299999997</v>
      </c>
      <c r="M69" s="17">
        <f t="shared" si="41"/>
        <v>52620.890784397372</v>
      </c>
      <c r="N69" s="14">
        <v>45</v>
      </c>
      <c r="O69" s="14">
        <f t="shared" si="47"/>
        <v>32010.162695944324</v>
      </c>
      <c r="P69" s="14">
        <f t="shared" si="47"/>
        <v>32010.162695944324</v>
      </c>
      <c r="Q69" s="18">
        <f t="shared" si="52"/>
        <v>3832.044233110084</v>
      </c>
      <c r="R69" s="15">
        <v>5</v>
      </c>
      <c r="S69" s="16">
        <f>IF(ISNUMBER(R69),R69*F69,"")</f>
        <v>13119.849999999999</v>
      </c>
      <c r="T69" s="19">
        <f t="shared" si="43"/>
        <v>0.40986514578578753</v>
      </c>
      <c r="U69" s="19">
        <f t="shared" si="44"/>
        <v>0.52957850899201719</v>
      </c>
      <c r="V69" s="20">
        <f>IF($S69=0,"-",(VLOOKUP(N69,'APP 2885'!$B$10:$G$54,6)*$H69)/($S69+$Q69))</f>
        <v>3.6251608936051838</v>
      </c>
      <c r="W69" s="21">
        <f t="shared" si="45"/>
        <v>1.6438807663749995</v>
      </c>
      <c r="X69" s="22">
        <f t="shared" si="46"/>
        <v>1.763594129581229</v>
      </c>
      <c r="Y69" s="20">
        <f>IF($S69=0,"-",(VLOOKUP(N69,'APP 2885'!$B$10:$G$54,4)*$H69)/($M69+$Q69))</f>
        <v>0.90714716644557791</v>
      </c>
    </row>
    <row r="70" spans="1:25" ht="20.100000000000001" customHeight="1" thickBot="1" x14ac:dyDescent="0.3">
      <c r="A70" s="3" t="s">
        <v>70</v>
      </c>
      <c r="B70" s="3" t="s">
        <v>30</v>
      </c>
      <c r="C70" s="3" t="s">
        <v>71</v>
      </c>
      <c r="D70" s="4">
        <v>22</v>
      </c>
      <c r="E70" s="4">
        <v>22</v>
      </c>
      <c r="F70" s="4">
        <v>3056.46</v>
      </c>
      <c r="G70" s="23">
        <v>0.63</v>
      </c>
      <c r="H70" s="4">
        <f t="shared" ref="H70:H71" si="53">G70*F70</f>
        <v>1925.5698</v>
      </c>
      <c r="I70" s="5">
        <v>23.09</v>
      </c>
      <c r="J70" s="6">
        <f t="shared" si="30"/>
        <v>1.714349590593468</v>
      </c>
      <c r="K70" s="6">
        <f t="shared" si="51"/>
        <v>293.34403987617037</v>
      </c>
      <c r="L70" s="6">
        <f t="shared" ref="L70:L71" si="54">IF(ISNUMBER(I70),I70*F70,"")</f>
        <v>70573.661399999997</v>
      </c>
      <c r="M70" s="7">
        <f t="shared" si="41"/>
        <v>64082.376831731191</v>
      </c>
      <c r="N70" s="4">
        <v>45</v>
      </c>
      <c r="O70" s="4">
        <f t="shared" si="47"/>
        <v>37286.166333321642</v>
      </c>
      <c r="P70" s="4">
        <f t="shared" si="47"/>
        <v>37286.166333321642</v>
      </c>
      <c r="Q70" s="8">
        <f t="shared" si="52"/>
        <v>4463.652372828823</v>
      </c>
      <c r="R70" s="5">
        <v>5</v>
      </c>
      <c r="S70" s="6">
        <f t="shared" ref="S70:S71" si="55">IF(ISNUMBER(R70),R70*F70,"")</f>
        <v>15282.3</v>
      </c>
      <c r="T70" s="9">
        <f t="shared" si="43"/>
        <v>0.40986514578578759</v>
      </c>
      <c r="U70" s="9">
        <f t="shared" si="44"/>
        <v>0.52957850899201719</v>
      </c>
      <c r="V70" s="10">
        <f>IF($S70=0,"-",(VLOOKUP(N70,'APP 2885'!$B$10:$G$54,6)*$H70)/($S70+$Q70))</f>
        <v>3.6251608936051842</v>
      </c>
      <c r="W70" s="11">
        <f t="shared" si="45"/>
        <v>1.7186635992250696</v>
      </c>
      <c r="X70" s="12">
        <f t="shared" si="46"/>
        <v>1.8383769624312991</v>
      </c>
      <c r="Y70" s="10">
        <f>IF($S70=0,"-",(VLOOKUP(N70,'APP 2885'!$B$10:$G$54,4)*$H70)/($M70+$Q70))</f>
        <v>0.87024557536547908</v>
      </c>
    </row>
    <row r="71" spans="1:25" ht="20.100000000000001" customHeight="1" thickBot="1" x14ac:dyDescent="0.3">
      <c r="A71" s="13" t="s">
        <v>70</v>
      </c>
      <c r="B71" s="13" t="s">
        <v>31</v>
      </c>
      <c r="C71" s="13" t="s">
        <v>71</v>
      </c>
      <c r="D71" s="14">
        <v>22</v>
      </c>
      <c r="E71" s="14">
        <v>22</v>
      </c>
      <c r="F71" s="14">
        <v>2054.52</v>
      </c>
      <c r="G71" s="24">
        <v>0.63</v>
      </c>
      <c r="H71" s="14">
        <f t="shared" si="53"/>
        <v>1294.3476000000001</v>
      </c>
      <c r="I71" s="15">
        <v>23.09</v>
      </c>
      <c r="J71" s="16">
        <f t="shared" si="30"/>
        <v>1.714349590593468</v>
      </c>
      <c r="K71" s="16">
        <f t="shared" si="51"/>
        <v>293.34403987617037</v>
      </c>
      <c r="L71" s="16">
        <f t="shared" si="54"/>
        <v>47438.866799999996</v>
      </c>
      <c r="M71" s="17">
        <f t="shared" si="41"/>
        <v>40947.58223173119</v>
      </c>
      <c r="N71" s="14">
        <v>45</v>
      </c>
      <c r="O71" s="14">
        <f t="shared" si="47"/>
        <v>25063.365610914585</v>
      </c>
      <c r="P71" s="14">
        <f t="shared" si="47"/>
        <v>25063.365610914585</v>
      </c>
      <c r="Q71" s="18">
        <f t="shared" si="52"/>
        <v>3000.4197905499418</v>
      </c>
      <c r="R71" s="15">
        <v>5</v>
      </c>
      <c r="S71" s="16">
        <f t="shared" si="55"/>
        <v>10272.6</v>
      </c>
      <c r="T71" s="19">
        <f t="shared" si="43"/>
        <v>0.40986514578578753</v>
      </c>
      <c r="U71" s="19">
        <f t="shared" si="44"/>
        <v>0.52957850899201708</v>
      </c>
      <c r="V71" s="20">
        <f>IF($S71=0,"-",(VLOOKUP(N71,'APP 2885'!$B$10:$G$54,6)*$H71)/($S71+$Q71))</f>
        <v>3.6251608936051842</v>
      </c>
      <c r="W71" s="21">
        <f t="shared" si="45"/>
        <v>1.6337623153811136</v>
      </c>
      <c r="X71" s="22">
        <f t="shared" si="46"/>
        <v>1.7534756785873431</v>
      </c>
      <c r="Y71" s="20">
        <f>IF($S71=0,"-",(VLOOKUP(N71,'APP 2885'!$B$10:$G$54,4)*$H71)/($M71+$Q71))</f>
        <v>0.91238186930459719</v>
      </c>
    </row>
    <row r="72" spans="1:25" ht="20.100000000000001" customHeight="1" thickBot="1" x14ac:dyDescent="0.3">
      <c r="A72" s="3" t="s">
        <v>36</v>
      </c>
      <c r="B72" s="3" t="s">
        <v>28</v>
      </c>
      <c r="C72" s="3"/>
      <c r="D72" s="4">
        <v>88</v>
      </c>
      <c r="E72" s="4">
        <v>88</v>
      </c>
      <c r="F72" s="4"/>
      <c r="G72" s="4">
        <v>0</v>
      </c>
      <c r="H72" s="4">
        <f>IF(ISNUMBER(E72),E72*G72,"")</f>
        <v>0</v>
      </c>
      <c r="I72" s="5">
        <v>0</v>
      </c>
      <c r="J72" s="6">
        <f t="shared" si="30"/>
        <v>0</v>
      </c>
      <c r="K72" s="6">
        <f t="shared" si="51"/>
        <v>0</v>
      </c>
      <c r="L72" s="6">
        <f>IF(ISNUMBER(I72),I72*E72,"")</f>
        <v>0</v>
      </c>
      <c r="M72" s="7">
        <f>L72-D72*(J72+K72)</f>
        <v>0</v>
      </c>
      <c r="N72" s="4">
        <v>0</v>
      </c>
      <c r="O72" s="4">
        <f t="shared" si="47"/>
        <v>0</v>
      </c>
      <c r="P72" s="4">
        <f t="shared" si="47"/>
        <v>0</v>
      </c>
      <c r="Q72" s="8">
        <f t="shared" si="52"/>
        <v>0</v>
      </c>
      <c r="R72" s="5">
        <v>250</v>
      </c>
      <c r="S72" s="6">
        <f>IF(ISNUMBER(R72),R72*E72,"")</f>
        <v>22000</v>
      </c>
      <c r="T72" s="9">
        <f>IF(ISERROR(S72/P72),0,S72/P72)</f>
        <v>0</v>
      </c>
      <c r="U72" s="9">
        <f>IF(ISERROR((Q72+S72)/P72),0,(Q72+S72)/P72)</f>
        <v>0</v>
      </c>
      <c r="V72" s="10" t="e">
        <f>IF($S72=0,"-",(VLOOKUP(N72,'APP 2885'!$B$10:$G$54,6)*$H72)/($S72+$Q72))</f>
        <v>#N/A</v>
      </c>
      <c r="W72" s="11">
        <f>IF(ISERROR(RM72/O72),0,M72/O72)</f>
        <v>0</v>
      </c>
      <c r="X72" s="12">
        <f>IF(ISERROR(M72/O72),0,(M72+Q72)/O72)</f>
        <v>0</v>
      </c>
      <c r="Y72" s="10" t="e">
        <f>IF($S72=0,"-",(VLOOKUP(N72,'APP 2885'!$B$10:$G$54,4)*$H72)/($M72+$Q72))</f>
        <v>#N/A</v>
      </c>
    </row>
    <row r="73" spans="1:25" ht="20.100000000000001" customHeight="1" x14ac:dyDescent="0.25">
      <c r="A73" s="13" t="s">
        <v>36</v>
      </c>
      <c r="B73" s="13" t="s">
        <v>30</v>
      </c>
      <c r="C73" s="13"/>
      <c r="D73" s="14">
        <v>21</v>
      </c>
      <c r="E73" s="14">
        <v>21</v>
      </c>
      <c r="F73" s="14"/>
      <c r="G73" s="14">
        <v>0</v>
      </c>
      <c r="H73" s="14">
        <f>IF(ISNUMBER(E73),E73*G73,"")</f>
        <v>0</v>
      </c>
      <c r="I73" s="15">
        <v>0</v>
      </c>
      <c r="J73" s="16">
        <f t="shared" si="30"/>
        <v>0</v>
      </c>
      <c r="K73" s="16">
        <f t="shared" si="51"/>
        <v>0</v>
      </c>
      <c r="L73" s="16">
        <f>IF(ISNUMBER(I73),I73*E73,"")</f>
        <v>0</v>
      </c>
      <c r="M73" s="17">
        <f>L73-D73*(J73+K73)</f>
        <v>0</v>
      </c>
      <c r="N73" s="14">
        <v>0</v>
      </c>
      <c r="O73" s="14">
        <f t="shared" si="47"/>
        <v>0</v>
      </c>
      <c r="P73" s="14">
        <f t="shared" si="47"/>
        <v>0</v>
      </c>
      <c r="Q73" s="18">
        <f t="shared" si="52"/>
        <v>0</v>
      </c>
      <c r="R73" s="15">
        <v>250</v>
      </c>
      <c r="S73" s="16">
        <f>IF(ISNUMBER(R73),R73*E73,"")</f>
        <v>5250</v>
      </c>
      <c r="T73" s="19">
        <f>IF(ISERROR(S73/P73),0,S73/P73)</f>
        <v>0</v>
      </c>
      <c r="U73" s="19">
        <f>IF(ISERROR((Q73+S73)/P73),0,(Q73+S73)/P73)</f>
        <v>0</v>
      </c>
      <c r="V73" s="20" t="e">
        <f>IF($S73=0,"-",(VLOOKUP(N73,'APP 2885'!$B$10:$G$54,6)*$H73)/($S73+$Q73))</f>
        <v>#N/A</v>
      </c>
      <c r="W73" s="21">
        <f>IF(ISERROR(RM73/O73),0,M73/O73)</f>
        <v>0</v>
      </c>
      <c r="X73" s="22">
        <f>IF(ISERROR(M73/O73),0,(M73+Q73)/O73)</f>
        <v>0</v>
      </c>
      <c r="Y73" s="20" t="e">
        <f>IF($S73=0,"-",(VLOOKUP(N73,'APP 2885'!$B$10:$G$54,4)*$H73)/($M73+$Q73))</f>
        <v>#N/A</v>
      </c>
    </row>
    <row r="74" spans="1:25" ht="20.100000000000001" customHeight="1" x14ac:dyDescent="0.25">
      <c r="A74" s="3" t="s">
        <v>36</v>
      </c>
      <c r="B74" s="3" t="s">
        <v>31</v>
      </c>
      <c r="C74" s="3"/>
      <c r="D74" s="4">
        <v>33</v>
      </c>
      <c r="E74" s="4">
        <v>33</v>
      </c>
      <c r="F74" s="4"/>
      <c r="G74" s="4">
        <v>0</v>
      </c>
      <c r="H74" s="4">
        <f>IF(ISNUMBER(E74),E74*G74,"")</f>
        <v>0</v>
      </c>
      <c r="I74" s="5">
        <v>0</v>
      </c>
      <c r="J74" s="6">
        <f t="shared" si="30"/>
        <v>0</v>
      </c>
      <c r="K74" s="6">
        <f t="shared" si="51"/>
        <v>0</v>
      </c>
      <c r="L74" s="6">
        <f>IF(ISNUMBER(I74),I74*E74,"")</f>
        <v>0</v>
      </c>
      <c r="M74" s="7">
        <f>L74-D74*(J74+K74)</f>
        <v>0</v>
      </c>
      <c r="N74" s="4">
        <v>0</v>
      </c>
      <c r="O74" s="4">
        <f t="shared" si="47"/>
        <v>0</v>
      </c>
      <c r="P74" s="4">
        <f t="shared" si="47"/>
        <v>0</v>
      </c>
      <c r="Q74" s="8">
        <f t="shared" si="52"/>
        <v>0</v>
      </c>
      <c r="R74" s="5">
        <v>250</v>
      </c>
      <c r="S74" s="6">
        <f>IF(ISNUMBER(R74),R74*E74,"")</f>
        <v>8250</v>
      </c>
      <c r="T74" s="9">
        <f>IF(ISERROR(S74/P74),0,S74/P74)</f>
        <v>0</v>
      </c>
      <c r="U74" s="9">
        <f>IF(ISERROR((Q74+S74)/P74),0,(Q74+S74)/P74)</f>
        <v>0</v>
      </c>
      <c r="V74" s="10" t="e">
        <f>IF($S74=0,"-",(VLOOKUP(N74,'APP 2885'!$B$10:$G$54,6)*$H74)/($S74+$Q74))</f>
        <v>#N/A</v>
      </c>
      <c r="W74" s="11">
        <f>IF(ISERROR(RM74/O74),0,M74/O74)</f>
        <v>0</v>
      </c>
      <c r="X74" s="12">
        <f>IF(ISERROR(M74/O74),0,(M74+Q74)/O74)</f>
        <v>0</v>
      </c>
      <c r="Y74" s="10" t="e">
        <f>IF($S74=0,"-",(VLOOKUP(N74,'APP 2885'!$B$10:$G$54,4)*$H74)/($M74+$Q74))</f>
        <v>#N/A</v>
      </c>
    </row>
    <row r="75" spans="1:25" ht="20.100000000000001" customHeight="1" thickBot="1" x14ac:dyDescent="0.3">
      <c r="A75" s="13" t="s">
        <v>37</v>
      </c>
      <c r="B75" s="13" t="s">
        <v>28</v>
      </c>
      <c r="C75" s="13"/>
      <c r="D75" s="14">
        <v>16</v>
      </c>
      <c r="E75" s="14">
        <v>16</v>
      </c>
      <c r="F75" s="14"/>
      <c r="G75" s="14">
        <v>0</v>
      </c>
      <c r="H75" s="14">
        <f>IF(ISNUMBER(E75),E75*G75,"")</f>
        <v>0</v>
      </c>
      <c r="I75" s="15">
        <v>0</v>
      </c>
      <c r="J75" s="16">
        <f t="shared" si="30"/>
        <v>0</v>
      </c>
      <c r="K75" s="16">
        <f t="shared" si="51"/>
        <v>0</v>
      </c>
      <c r="L75" s="16">
        <f>IF(ISNUMBER(I75),I75*E75,"")</f>
        <v>0</v>
      </c>
      <c r="M75" s="17">
        <f>L75-D75*(J75+K75)</f>
        <v>0</v>
      </c>
      <c r="N75" s="14">
        <v>0</v>
      </c>
      <c r="O75" s="14">
        <f t="shared" si="47"/>
        <v>0</v>
      </c>
      <c r="P75" s="14">
        <f t="shared" si="47"/>
        <v>0</v>
      </c>
      <c r="Q75" s="18">
        <f t="shared" si="52"/>
        <v>0</v>
      </c>
      <c r="R75" s="15">
        <v>500</v>
      </c>
      <c r="S75" s="16">
        <f>IF(ISNUMBER(R75),R75*E75,"")</f>
        <v>8000</v>
      </c>
      <c r="T75" s="19">
        <f>IF(ISERROR(S75/P75),0,S75/P75)</f>
        <v>0</v>
      </c>
      <c r="U75" s="19">
        <f>IF(ISERROR((Q75+S75)/P75),0,(Q75+S75)/P75)</f>
        <v>0</v>
      </c>
      <c r="V75" s="20" t="e">
        <f>IF($S75=0,"-",(VLOOKUP(N75,'APP 2885'!$B$10:$G$54,6)*$H75)/($S75+$Q75))</f>
        <v>#N/A</v>
      </c>
      <c r="W75" s="21">
        <f>IF(ISERROR(RM75/O75),0,M75/O75)</f>
        <v>0</v>
      </c>
      <c r="X75" s="22">
        <f>IF(ISERROR(M75/O75),0,(M75+Q75)/O75)</f>
        <v>0</v>
      </c>
      <c r="Y75" s="20" t="e">
        <f>IF($S75=0,"-",(VLOOKUP(N75,'APP 2885'!$B$10:$G$54,4)*$H75)/($M75+$Q75))</f>
        <v>#N/A</v>
      </c>
    </row>
    <row r="76" spans="1:25" ht="30" customHeight="1" thickBot="1" x14ac:dyDescent="0.3">
      <c r="A76" s="25" t="s">
        <v>72</v>
      </c>
      <c r="B76" s="26" t="s">
        <v>73</v>
      </c>
      <c r="C76" s="26" t="s">
        <v>73</v>
      </c>
      <c r="D76" s="27">
        <v>3970</v>
      </c>
      <c r="E76" s="28">
        <f>SUM(E5:E71)</f>
        <v>6767</v>
      </c>
      <c r="F76" s="28"/>
      <c r="G76" s="26" t="s">
        <v>73</v>
      </c>
      <c r="H76" s="29">
        <f>SUM(H5:H71)</f>
        <v>383018.06399999995</v>
      </c>
      <c r="I76" s="30">
        <f>SUM(I5:I75)</f>
        <v>40068.75</v>
      </c>
      <c r="J76" s="30">
        <f>SUM(J5:J71)</f>
        <v>7264.6676743212438</v>
      </c>
      <c r="K76" s="30">
        <f>SUM(K5:K71)</f>
        <v>16667.287223284504</v>
      </c>
      <c r="L76" s="30">
        <f>SUM(L5:L71)</f>
        <v>4560760.3554999987</v>
      </c>
      <c r="M76" s="30">
        <f>SUM(M5:M71)</f>
        <v>2765492.6054026168</v>
      </c>
      <c r="N76" s="28">
        <f>SUMPRODUCT(N5:N71,H5:H71)/SUM(H5:H71)</f>
        <v>22.3721769882373</v>
      </c>
      <c r="O76" s="31">
        <f>SUM(O5:O71)</f>
        <v>5053522.9278808897</v>
      </c>
      <c r="P76" s="31">
        <f>O76</f>
        <v>5053522.9278808897</v>
      </c>
      <c r="Q76" s="32">
        <f>B81</f>
        <v>887871.99</v>
      </c>
      <c r="R76" s="26" t="s">
        <v>73</v>
      </c>
      <c r="S76" s="30">
        <f>SUM(S5:S75)</f>
        <v>2315584.75</v>
      </c>
      <c r="T76" s="30">
        <f t="shared" si="43"/>
        <v>0.45821198064119634</v>
      </c>
      <c r="U76" s="30">
        <f t="shared" si="44"/>
        <v>0.63390565071470173</v>
      </c>
      <c r="V76" s="33">
        <f>IF(VALUE(LEFT($S76,11))=0,"-",(VLOOKUP(N76,'APP 2885'!$B$10:$G$54,6)*VALUE(LEFT($H76,7)))/(VALUE(LEFT($S76,11))+$Q76))</f>
        <v>1.783694059630214</v>
      </c>
      <c r="W76" s="30">
        <f t="shared" si="45"/>
        <v>0.54724053791169402</v>
      </c>
      <c r="X76" s="30">
        <f t="shared" si="46"/>
        <v>0.72293420798519936</v>
      </c>
      <c r="Y76" s="33">
        <f>IF($S76=0,"-",(VLOOKUP(N76,'APP 2885'!$B$10:$G$54,4)*$H76)/($M76+$Q76))</f>
        <v>1.3600298676395557</v>
      </c>
    </row>
    <row r="77" spans="1:25" ht="30" customHeight="1" x14ac:dyDescent="0.25">
      <c r="A77" s="34"/>
      <c r="B77" s="35"/>
      <c r="C77" s="35"/>
      <c r="D77" s="35"/>
      <c r="E77" s="35"/>
      <c r="F77" s="49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</row>
    <row r="78" spans="1:25" ht="30" customHeight="1" x14ac:dyDescent="0.25">
      <c r="A78" s="36" t="s">
        <v>74</v>
      </c>
      <c r="B78" s="37">
        <v>4.4299999999999999E-2</v>
      </c>
      <c r="C78" s="35"/>
      <c r="D78" s="35"/>
      <c r="E78" s="35"/>
      <c r="F78" s="49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</row>
    <row r="79" spans="1:25" ht="30" customHeight="1" x14ac:dyDescent="0.25">
      <c r="A79" s="36" t="s">
        <v>75</v>
      </c>
      <c r="B79" s="37">
        <v>0.02</v>
      </c>
      <c r="C79" s="35"/>
      <c r="D79" s="35"/>
      <c r="E79" s="35"/>
      <c r="F79" s="49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</row>
    <row r="80" spans="1:25" ht="30" customHeight="1" x14ac:dyDescent="0.25">
      <c r="A80" s="36" t="s">
        <v>76</v>
      </c>
      <c r="B80" s="37">
        <v>4.4299999999999999E-2</v>
      </c>
      <c r="C80" s="35"/>
      <c r="D80" s="35"/>
      <c r="E80" s="35"/>
      <c r="F80" s="49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</row>
    <row r="81" spans="1:25" ht="30" customHeight="1" x14ac:dyDescent="0.25">
      <c r="A81" s="36" t="s">
        <v>77</v>
      </c>
      <c r="B81" s="38">
        <v>887871.99</v>
      </c>
      <c r="C81" s="35"/>
      <c r="D81" s="35"/>
      <c r="E81" s="35"/>
      <c r="F81" s="49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</row>
    <row r="82" spans="1:25" ht="30" customHeight="1" x14ac:dyDescent="0.25">
      <c r="A82" s="39" t="s">
        <v>73</v>
      </c>
      <c r="B82" s="39" t="s">
        <v>73</v>
      </c>
      <c r="C82" s="35"/>
      <c r="D82" s="35"/>
      <c r="E82" s="35"/>
      <c r="F82" s="49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</row>
  </sheetData>
  <mergeCells count="3">
    <mergeCell ref="B1:Y1"/>
    <mergeCell ref="B2:Y2"/>
    <mergeCell ref="A3:Y3"/>
  </mergeCells>
  <pageMargins left="0" right="0" top="0" bottom="0" header="0" footer="0"/>
  <pageSetup orientation="portrait" r:id="rId1"/>
  <ignoredErrors>
    <ignoredError sqref="S68" formula="1"/>
    <ignoredError sqref="E7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59"/>
  <sheetViews>
    <sheetView workbookViewId="0">
      <pane ySplit="4" topLeftCell="A5" activePane="bottomLeft" state="frozen"/>
      <selection pane="bottomLeft" activeCell="A5" sqref="A5:H5"/>
    </sheetView>
  </sheetViews>
  <sheetFormatPr defaultRowHeight="15" x14ac:dyDescent="0.25"/>
  <cols>
    <col min="1" max="8" width="13.28515625" customWidth="1"/>
  </cols>
  <sheetData>
    <row r="1" spans="1:8" ht="15" customHeight="1" x14ac:dyDescent="0.25">
      <c r="A1" s="60" t="s">
        <v>78</v>
      </c>
      <c r="B1" s="60"/>
      <c r="C1" s="60"/>
      <c r="D1" s="60"/>
      <c r="E1" s="60"/>
      <c r="F1" s="60"/>
      <c r="G1" s="60"/>
      <c r="H1" s="60"/>
    </row>
    <row r="2" spans="1:8" ht="15" customHeight="1" x14ac:dyDescent="0.25">
      <c r="A2" s="60" t="s">
        <v>79</v>
      </c>
      <c r="B2" s="60"/>
      <c r="C2" s="60"/>
      <c r="D2" s="60"/>
      <c r="E2" s="60"/>
      <c r="F2" s="60"/>
      <c r="G2" s="60"/>
      <c r="H2" s="60"/>
    </row>
    <row r="3" spans="1:8" ht="15" customHeight="1" x14ac:dyDescent="0.25">
      <c r="A3" s="60" t="s">
        <v>80</v>
      </c>
      <c r="B3" s="60"/>
      <c r="C3" s="60"/>
      <c r="D3" s="60"/>
      <c r="E3" s="60"/>
      <c r="F3" s="60"/>
      <c r="G3" s="60"/>
      <c r="H3" s="60"/>
    </row>
    <row r="4" spans="1:8" ht="15" customHeight="1" x14ac:dyDescent="0.25">
      <c r="A4" s="60" t="s">
        <v>81</v>
      </c>
      <c r="B4" s="60"/>
      <c r="C4" s="60"/>
      <c r="D4" s="60"/>
      <c r="E4" s="60"/>
      <c r="F4" s="60"/>
      <c r="G4" s="60"/>
      <c r="H4" s="60"/>
    </row>
    <row r="5" spans="1:8" ht="15" customHeight="1" x14ac:dyDescent="0.25">
      <c r="A5" s="61"/>
      <c r="B5" s="61"/>
      <c r="C5" s="61"/>
      <c r="D5" s="61"/>
      <c r="E5" s="61"/>
      <c r="F5" s="61"/>
      <c r="G5" s="61"/>
      <c r="H5" s="61"/>
    </row>
    <row r="6" spans="1:8" ht="60" customHeight="1" x14ac:dyDescent="0.25">
      <c r="A6" s="40"/>
      <c r="B6" s="41" t="s">
        <v>82</v>
      </c>
      <c r="C6" s="41" t="s">
        <v>83</v>
      </c>
      <c r="D6" s="41" t="s">
        <v>84</v>
      </c>
      <c r="E6" s="41" t="s">
        <v>85</v>
      </c>
      <c r="F6" s="41" t="s">
        <v>86</v>
      </c>
      <c r="G6" s="41" t="s">
        <v>87</v>
      </c>
      <c r="H6" s="41" t="s">
        <v>88</v>
      </c>
    </row>
    <row r="7" spans="1:8" ht="15" customHeight="1" x14ac:dyDescent="0.25">
      <c r="A7" s="40"/>
      <c r="B7" s="41"/>
      <c r="C7" s="41"/>
      <c r="D7" s="41"/>
      <c r="E7" s="41"/>
      <c r="F7" s="41"/>
      <c r="G7" s="41"/>
      <c r="H7" s="41"/>
    </row>
    <row r="8" spans="1:8" ht="15" customHeight="1" x14ac:dyDescent="0.25">
      <c r="A8" s="40"/>
      <c r="B8" s="41"/>
      <c r="C8" s="41"/>
      <c r="D8" s="41"/>
      <c r="E8" s="41"/>
      <c r="F8" s="41"/>
      <c r="G8" s="41"/>
      <c r="H8" s="41"/>
    </row>
    <row r="9" spans="1:8" ht="15" customHeight="1" x14ac:dyDescent="0.25">
      <c r="A9" s="40"/>
      <c r="B9" s="41"/>
      <c r="C9" s="41"/>
      <c r="D9" s="41"/>
      <c r="E9" s="41"/>
      <c r="F9" s="41"/>
      <c r="G9" s="41"/>
      <c r="H9" s="41"/>
    </row>
    <row r="10" spans="1:8" ht="15" customHeight="1" x14ac:dyDescent="0.25">
      <c r="A10" s="42">
        <v>2017</v>
      </c>
      <c r="B10" s="42">
        <v>1</v>
      </c>
      <c r="C10" s="43">
        <v>0.506692917477916</v>
      </c>
      <c r="D10" s="43">
        <v>0.52449999999999997</v>
      </c>
      <c r="E10" s="43">
        <v>0.52449999999999997</v>
      </c>
      <c r="F10" s="42" t="s">
        <v>89</v>
      </c>
      <c r="G10" s="44">
        <v>0.55072500000000002</v>
      </c>
      <c r="H10" s="45">
        <v>0.57011051999999995</v>
      </c>
    </row>
    <row r="11" spans="1:8" ht="15" customHeight="1" x14ac:dyDescent="0.25">
      <c r="A11" s="42">
        <v>2018</v>
      </c>
      <c r="B11" s="42">
        <v>2</v>
      </c>
      <c r="C11" s="43">
        <v>0.48302252581501598</v>
      </c>
      <c r="D11" s="43">
        <v>0.51759999999999995</v>
      </c>
      <c r="E11" s="43">
        <v>1.0421</v>
      </c>
      <c r="F11" s="42" t="s">
        <v>89</v>
      </c>
      <c r="G11" s="44">
        <v>1.0942050000000001</v>
      </c>
      <c r="H11" s="45">
        <v>0.57615605137735904</v>
      </c>
    </row>
    <row r="12" spans="1:8" ht="15" customHeight="1" x14ac:dyDescent="0.25">
      <c r="A12" s="42">
        <v>2019</v>
      </c>
      <c r="B12" s="42">
        <v>3</v>
      </c>
      <c r="C12" s="43">
        <v>0.46217550395656798</v>
      </c>
      <c r="D12" s="43">
        <v>0.51270000000000004</v>
      </c>
      <c r="E12" s="43">
        <v>1.5548</v>
      </c>
      <c r="F12" s="42" t="s">
        <v>89</v>
      </c>
      <c r="G12" s="44">
        <v>1.6325400000000001</v>
      </c>
      <c r="H12" s="45">
        <v>0.58293196065410902</v>
      </c>
    </row>
    <row r="13" spans="1:8" ht="15" customHeight="1" x14ac:dyDescent="0.25">
      <c r="A13" s="42">
        <v>2020</v>
      </c>
      <c r="B13" s="42">
        <v>4</v>
      </c>
      <c r="C13" s="43">
        <v>0.441776064560502</v>
      </c>
      <c r="D13" s="43">
        <v>0.50729999999999997</v>
      </c>
      <c r="E13" s="43">
        <v>2.0621</v>
      </c>
      <c r="F13" s="42" t="s">
        <v>89</v>
      </c>
      <c r="G13" s="44">
        <v>2.1652049999999998</v>
      </c>
      <c r="H13" s="45">
        <v>0.58975943021046795</v>
      </c>
    </row>
    <row r="14" spans="1:8" ht="15" customHeight="1" x14ac:dyDescent="0.25">
      <c r="A14" s="46">
        <v>2021</v>
      </c>
      <c r="B14" s="42">
        <v>5</v>
      </c>
      <c r="C14" s="43">
        <v>0.43535705596309598</v>
      </c>
      <c r="D14" s="43">
        <v>0.51759999999999995</v>
      </c>
      <c r="E14" s="43">
        <v>2.5796999999999999</v>
      </c>
      <c r="F14" s="42" t="s">
        <v>90</v>
      </c>
      <c r="G14" s="44">
        <v>2.7731775000000001</v>
      </c>
      <c r="H14" s="45">
        <v>0.61455510299969196</v>
      </c>
    </row>
    <row r="15" spans="1:8" ht="15" customHeight="1" x14ac:dyDescent="0.25">
      <c r="A15" s="42">
        <v>2022</v>
      </c>
      <c r="B15" s="42">
        <v>6</v>
      </c>
      <c r="C15" s="43">
        <v>0.43655277897123201</v>
      </c>
      <c r="D15" s="43">
        <v>0.5373</v>
      </c>
      <c r="E15" s="43">
        <v>3.117</v>
      </c>
      <c r="F15" s="42" t="s">
        <v>90</v>
      </c>
      <c r="G15" s="44">
        <v>3.3507750000000001</v>
      </c>
      <c r="H15" s="45">
        <v>0.629247118316003</v>
      </c>
    </row>
    <row r="16" spans="1:8" ht="15" customHeight="1" x14ac:dyDescent="0.25">
      <c r="A16" s="42">
        <v>2023</v>
      </c>
      <c r="B16" s="42">
        <v>7</v>
      </c>
      <c r="C16" s="43">
        <v>0.41640962145316102</v>
      </c>
      <c r="D16" s="43">
        <v>0.53049999999999997</v>
      </c>
      <c r="E16" s="43">
        <v>3.6475</v>
      </c>
      <c r="F16" s="42" t="s">
        <v>90</v>
      </c>
      <c r="G16" s="44">
        <v>3.9210625000000001</v>
      </c>
      <c r="H16" s="45">
        <v>0.64174689766763904</v>
      </c>
    </row>
    <row r="17" spans="1:8" ht="15" customHeight="1" x14ac:dyDescent="0.25">
      <c r="A17" s="42">
        <v>2024</v>
      </c>
      <c r="B17" s="42">
        <v>8</v>
      </c>
      <c r="C17" s="43">
        <v>0.41561719599766</v>
      </c>
      <c r="D17" s="43">
        <v>0.54810000000000003</v>
      </c>
      <c r="E17" s="43">
        <v>4.1955999999999998</v>
      </c>
      <c r="F17" s="42" t="s">
        <v>90</v>
      </c>
      <c r="G17" s="44">
        <v>4.5102700000000002</v>
      </c>
      <c r="H17" s="45">
        <v>0.65668675188056402</v>
      </c>
    </row>
    <row r="18" spans="1:8" ht="15" customHeight="1" x14ac:dyDescent="0.25">
      <c r="A18" s="42">
        <v>2025</v>
      </c>
      <c r="B18" s="42">
        <v>9</v>
      </c>
      <c r="C18" s="43">
        <v>0.40376293781064299</v>
      </c>
      <c r="D18" s="43">
        <v>0.55120000000000002</v>
      </c>
      <c r="E18" s="43">
        <v>4.7468000000000004</v>
      </c>
      <c r="F18" s="42" t="s">
        <v>90</v>
      </c>
      <c r="G18" s="44">
        <v>5.1028099999999998</v>
      </c>
      <c r="H18" s="45">
        <v>0.671362515855918</v>
      </c>
    </row>
    <row r="19" spans="1:8" ht="15" customHeight="1" x14ac:dyDescent="0.25">
      <c r="A19" s="46">
        <v>2026</v>
      </c>
      <c r="B19" s="42">
        <v>10</v>
      </c>
      <c r="C19" s="43">
        <v>0.39127820142947001</v>
      </c>
      <c r="D19" s="43">
        <v>0.55300000000000005</v>
      </c>
      <c r="E19" s="43">
        <v>5.2998000000000003</v>
      </c>
      <c r="F19" s="42" t="s">
        <v>91</v>
      </c>
      <c r="G19" s="44">
        <v>5.8297800000000004</v>
      </c>
      <c r="H19" s="45">
        <v>0.70168753835864495</v>
      </c>
    </row>
    <row r="20" spans="1:8" ht="15" customHeight="1" x14ac:dyDescent="0.25">
      <c r="A20" s="42">
        <v>2027</v>
      </c>
      <c r="B20" s="42">
        <v>11</v>
      </c>
      <c r="C20" s="43">
        <v>0.38650562335903699</v>
      </c>
      <c r="D20" s="43">
        <v>0.5655</v>
      </c>
      <c r="E20" s="43">
        <v>5.8653000000000004</v>
      </c>
      <c r="F20" s="42" t="s">
        <v>91</v>
      </c>
      <c r="G20" s="44">
        <v>6.4518300000000002</v>
      </c>
      <c r="H20" s="45">
        <v>0.71753017552309395</v>
      </c>
    </row>
    <row r="21" spans="1:8" ht="15" customHeight="1" x14ac:dyDescent="0.25">
      <c r="A21" s="42">
        <v>2028</v>
      </c>
      <c r="B21" s="42">
        <v>12</v>
      </c>
      <c r="C21" s="43">
        <v>0.38791872432986002</v>
      </c>
      <c r="D21" s="43">
        <v>0.58750000000000002</v>
      </c>
      <c r="E21" s="43">
        <v>6.4527999999999999</v>
      </c>
      <c r="F21" s="42" t="s">
        <v>91</v>
      </c>
      <c r="G21" s="44">
        <v>7.0980800000000004</v>
      </c>
      <c r="H21" s="45">
        <v>0.73540219867662504</v>
      </c>
    </row>
    <row r="22" spans="1:8" ht="15" customHeight="1" x14ac:dyDescent="0.25">
      <c r="A22" s="42">
        <v>2029</v>
      </c>
      <c r="B22" s="42">
        <v>13</v>
      </c>
      <c r="C22" s="43">
        <v>0.37595687441032299</v>
      </c>
      <c r="D22" s="43">
        <v>0.58950000000000002</v>
      </c>
      <c r="E22" s="43">
        <v>7.0423</v>
      </c>
      <c r="F22" s="42" t="s">
        <v>91</v>
      </c>
      <c r="G22" s="44">
        <v>7.7465299999999999</v>
      </c>
      <c r="H22" s="45">
        <v>0.75283800222888697</v>
      </c>
    </row>
    <row r="23" spans="1:8" ht="15" customHeight="1" x14ac:dyDescent="0.25">
      <c r="A23" s="42">
        <v>2030</v>
      </c>
      <c r="B23" s="42">
        <v>14</v>
      </c>
      <c r="C23" s="43">
        <v>0.37754185252386102</v>
      </c>
      <c r="D23" s="43">
        <v>0.61280000000000001</v>
      </c>
      <c r="E23" s="43">
        <v>7.6551</v>
      </c>
      <c r="F23" s="42" t="s">
        <v>91</v>
      </c>
      <c r="G23" s="44">
        <v>8.4206099999999999</v>
      </c>
      <c r="H23" s="45">
        <v>0.77211629283704597</v>
      </c>
    </row>
    <row r="24" spans="1:8" ht="15" customHeight="1" x14ac:dyDescent="0.25">
      <c r="A24" s="42">
        <v>2031</v>
      </c>
      <c r="B24" s="42">
        <v>15</v>
      </c>
      <c r="C24" s="43">
        <v>0.37627710978288198</v>
      </c>
      <c r="D24" s="43">
        <v>0.63219999999999998</v>
      </c>
      <c r="E24" s="43">
        <v>8.2873000000000001</v>
      </c>
      <c r="F24" s="42" t="s">
        <v>92</v>
      </c>
      <c r="G24" s="44">
        <v>9.3232125000000003</v>
      </c>
      <c r="H24" s="45">
        <v>0.81064038086745605</v>
      </c>
    </row>
    <row r="25" spans="1:8" ht="15" customHeight="1" x14ac:dyDescent="0.25">
      <c r="A25" s="42">
        <v>2032</v>
      </c>
      <c r="B25" s="42">
        <v>16</v>
      </c>
      <c r="C25" s="43">
        <v>0.36391884754528803</v>
      </c>
      <c r="D25" s="43">
        <v>0.63300000000000001</v>
      </c>
      <c r="E25" s="43">
        <v>8.9202999999999992</v>
      </c>
      <c r="F25" s="42" t="s">
        <v>92</v>
      </c>
      <c r="G25" s="44">
        <v>10.035337500000001</v>
      </c>
      <c r="H25" s="45">
        <v>0.83101695530386399</v>
      </c>
    </row>
    <row r="26" spans="1:8" ht="15" customHeight="1" x14ac:dyDescent="0.25">
      <c r="A26" s="42">
        <v>2033</v>
      </c>
      <c r="B26" s="42">
        <v>17</v>
      </c>
      <c r="C26" s="43">
        <v>0.366788831087001</v>
      </c>
      <c r="D26" s="43">
        <v>0.66039999999999999</v>
      </c>
      <c r="E26" s="43">
        <v>9.5807000000000002</v>
      </c>
      <c r="F26" s="42" t="s">
        <v>92</v>
      </c>
      <c r="G26" s="44">
        <v>10.778287499999999</v>
      </c>
      <c r="H26" s="45">
        <v>0.85329665766642104</v>
      </c>
    </row>
    <row r="27" spans="1:8" ht="15" customHeight="1" x14ac:dyDescent="0.25">
      <c r="A27" s="42">
        <v>2034</v>
      </c>
      <c r="B27" s="42">
        <v>18</v>
      </c>
      <c r="C27" s="43">
        <v>0.35509665531992102</v>
      </c>
      <c r="D27" s="43">
        <v>0.66190000000000004</v>
      </c>
      <c r="E27" s="43">
        <v>10.242599999999999</v>
      </c>
      <c r="F27" s="42" t="s">
        <v>92</v>
      </c>
      <c r="G27" s="44">
        <v>11.522925000000001</v>
      </c>
      <c r="H27" s="45">
        <v>0.87508084147130905</v>
      </c>
    </row>
    <row r="28" spans="1:8" ht="15" customHeight="1" x14ac:dyDescent="0.25">
      <c r="A28" s="42">
        <v>2035</v>
      </c>
      <c r="B28" s="42">
        <v>19</v>
      </c>
      <c r="C28" s="43">
        <v>0.34753485959569602</v>
      </c>
      <c r="D28" s="43">
        <v>0.67059999999999997</v>
      </c>
      <c r="E28" s="43">
        <v>10.9132</v>
      </c>
      <c r="F28" s="42" t="s">
        <v>92</v>
      </c>
      <c r="G28" s="44">
        <v>12.27735</v>
      </c>
      <c r="H28" s="45">
        <v>0.897067740402681</v>
      </c>
    </row>
    <row r="29" spans="1:8" ht="15" customHeight="1" x14ac:dyDescent="0.25">
      <c r="A29" s="46">
        <v>2036</v>
      </c>
      <c r="B29" s="42">
        <v>20</v>
      </c>
      <c r="C29" s="43">
        <v>0.34022516736710201</v>
      </c>
      <c r="D29" s="43">
        <v>0.67959999999999998</v>
      </c>
      <c r="E29" s="43">
        <v>11.5928</v>
      </c>
      <c r="F29" s="42" t="s">
        <v>92</v>
      </c>
      <c r="G29" s="44">
        <v>13.0419</v>
      </c>
      <c r="H29" s="45">
        <v>0.91930355234543903</v>
      </c>
    </row>
    <row r="30" spans="1:8" ht="15" customHeight="1" x14ac:dyDescent="0.25">
      <c r="A30" s="42">
        <v>2037</v>
      </c>
      <c r="B30" s="42">
        <v>21</v>
      </c>
      <c r="C30" s="43">
        <v>0.33189999999999997</v>
      </c>
      <c r="D30" s="43">
        <v>0.68639600000000001</v>
      </c>
      <c r="E30" s="43">
        <v>12.279196000000001</v>
      </c>
      <c r="F30" s="42" t="s">
        <v>93</v>
      </c>
      <c r="G30" s="44">
        <v>14.1210754</v>
      </c>
      <c r="H30" s="45">
        <v>0.96256067436903203</v>
      </c>
    </row>
    <row r="31" spans="1:8" ht="15" customHeight="1" x14ac:dyDescent="0.25">
      <c r="A31" s="42">
        <v>2038</v>
      </c>
      <c r="B31" s="42">
        <v>22</v>
      </c>
      <c r="C31" s="43">
        <v>0.32390000000000002</v>
      </c>
      <c r="D31" s="43">
        <v>0.69325996000000001</v>
      </c>
      <c r="E31" s="43">
        <v>12.97245596</v>
      </c>
      <c r="F31" s="42" t="s">
        <v>93</v>
      </c>
      <c r="G31" s="44">
        <v>14.918324353999999</v>
      </c>
      <c r="H31" s="45">
        <v>0.98552212265613304</v>
      </c>
    </row>
    <row r="32" spans="1:8" ht="15" customHeight="1" x14ac:dyDescent="0.25">
      <c r="A32" s="42">
        <v>2039</v>
      </c>
      <c r="B32" s="42">
        <v>23</v>
      </c>
      <c r="C32" s="43">
        <v>0.316</v>
      </c>
      <c r="D32" s="43">
        <v>0.70019255960000004</v>
      </c>
      <c r="E32" s="43">
        <v>13.672648519599999</v>
      </c>
      <c r="F32" s="42" t="s">
        <v>93</v>
      </c>
      <c r="G32" s="44">
        <v>15.72354579754</v>
      </c>
      <c r="H32" s="45">
        <v>1.0086464310452701</v>
      </c>
    </row>
    <row r="33" spans="1:8" ht="15" customHeight="1" x14ac:dyDescent="0.25">
      <c r="A33" s="42">
        <v>2040</v>
      </c>
      <c r="B33" s="42">
        <v>24</v>
      </c>
      <c r="C33" s="43">
        <v>0.30830000000000002</v>
      </c>
      <c r="D33" s="43">
        <v>0.70719448519600003</v>
      </c>
      <c r="E33" s="43">
        <v>14.379843004795999</v>
      </c>
      <c r="F33" s="42" t="s">
        <v>93</v>
      </c>
      <c r="G33" s="44">
        <v>16.536819455515399</v>
      </c>
      <c r="H33" s="45">
        <v>1.03195880055061</v>
      </c>
    </row>
    <row r="34" spans="1:8" ht="15" customHeight="1" x14ac:dyDescent="0.25">
      <c r="A34" s="42">
        <v>2041</v>
      </c>
      <c r="B34" s="42">
        <v>25</v>
      </c>
      <c r="C34" s="43">
        <v>0.30080000000000001</v>
      </c>
      <c r="D34" s="43">
        <v>0.71426643004795998</v>
      </c>
      <c r="E34" s="43">
        <v>15.094109434844</v>
      </c>
      <c r="F34" s="42" t="s">
        <v>93</v>
      </c>
      <c r="G34" s="44">
        <v>17.3582258500706</v>
      </c>
      <c r="H34" s="45">
        <v>1.0554809412422199</v>
      </c>
    </row>
    <row r="35" spans="1:8" ht="15" customHeight="1" x14ac:dyDescent="0.25">
      <c r="A35" s="42">
        <v>2042</v>
      </c>
      <c r="B35" s="42">
        <v>26</v>
      </c>
      <c r="C35" s="43">
        <v>0.29349999999999998</v>
      </c>
      <c r="D35" s="43">
        <v>0.72140909434844003</v>
      </c>
      <c r="E35" s="43">
        <v>15.815518529192399</v>
      </c>
      <c r="F35" s="42" t="s">
        <v>94</v>
      </c>
      <c r="G35" s="44">
        <v>18.5832342718011</v>
      </c>
      <c r="H35" s="45">
        <v>1.1026933043184499</v>
      </c>
    </row>
    <row r="36" spans="1:8" ht="15" customHeight="1" x14ac:dyDescent="0.25">
      <c r="A36" s="42">
        <v>2043</v>
      </c>
      <c r="B36" s="42">
        <v>27</v>
      </c>
      <c r="C36" s="43">
        <v>0.2863</v>
      </c>
      <c r="D36" s="43">
        <v>0.72862318529192405</v>
      </c>
      <c r="E36" s="43">
        <v>16.544141714484301</v>
      </c>
      <c r="F36" s="42" t="s">
        <v>94</v>
      </c>
      <c r="G36" s="44">
        <v>19.439366514519101</v>
      </c>
      <c r="H36" s="45">
        <v>1.1272110200121499</v>
      </c>
    </row>
    <row r="37" spans="1:8" ht="15" customHeight="1" x14ac:dyDescent="0.25">
      <c r="A37" s="42">
        <v>2044</v>
      </c>
      <c r="B37" s="42">
        <v>28</v>
      </c>
      <c r="C37" s="43">
        <v>0.27929999999999999</v>
      </c>
      <c r="D37" s="43">
        <v>0.73590941714484304</v>
      </c>
      <c r="E37" s="43">
        <v>17.2800511316292</v>
      </c>
      <c r="F37" s="42" t="s">
        <v>94</v>
      </c>
      <c r="G37" s="44">
        <v>20.3040600796643</v>
      </c>
      <c r="H37" s="45">
        <v>1.1519943575740099</v>
      </c>
    </row>
    <row r="38" spans="1:8" ht="15" customHeight="1" x14ac:dyDescent="0.25">
      <c r="A38" s="42">
        <v>2045</v>
      </c>
      <c r="B38" s="42">
        <v>29</v>
      </c>
      <c r="C38" s="43">
        <v>0.27250000000000002</v>
      </c>
      <c r="D38" s="43">
        <v>0.74326851131629201</v>
      </c>
      <c r="E38" s="43">
        <v>18.023319642945498</v>
      </c>
      <c r="F38" s="42" t="s">
        <v>94</v>
      </c>
      <c r="G38" s="44">
        <v>21.177400580460901</v>
      </c>
      <c r="H38" s="45">
        <v>1.1770567561259799</v>
      </c>
    </row>
    <row r="39" spans="1:8" ht="15" customHeight="1" x14ac:dyDescent="0.25">
      <c r="A39" s="46">
        <v>2046</v>
      </c>
      <c r="B39" s="42">
        <v>30</v>
      </c>
      <c r="C39" s="43">
        <v>0.26590000000000003</v>
      </c>
      <c r="D39" s="43">
        <v>0.75070119642945499</v>
      </c>
      <c r="E39" s="43">
        <v>18.774020839374899</v>
      </c>
      <c r="F39" s="42" t="s">
        <v>94</v>
      </c>
      <c r="G39" s="44">
        <v>22.059474486265501</v>
      </c>
      <c r="H39" s="45">
        <v>1.2024103291102399</v>
      </c>
    </row>
    <row r="40" spans="1:8" ht="15" customHeight="1" x14ac:dyDescent="0.25">
      <c r="A40" s="42">
        <v>2047</v>
      </c>
      <c r="B40" s="42">
        <v>31</v>
      </c>
      <c r="C40" s="43">
        <v>0.25940000000000002</v>
      </c>
      <c r="D40" s="43">
        <v>0.75820820839374903</v>
      </c>
      <c r="E40" s="43">
        <v>19.532229047768698</v>
      </c>
      <c r="F40" s="42" t="s">
        <v>95</v>
      </c>
      <c r="G40" s="44">
        <v>23.4386748573224</v>
      </c>
      <c r="H40" s="45">
        <v>1.2541951448828901</v>
      </c>
    </row>
    <row r="41" spans="1:8" ht="15" customHeight="1" x14ac:dyDescent="0.25">
      <c r="A41" s="42">
        <v>2048</v>
      </c>
      <c r="B41" s="42">
        <v>32</v>
      </c>
      <c r="C41" s="43">
        <v>0.25309999999999999</v>
      </c>
      <c r="D41" s="43">
        <v>0.76579029047768699</v>
      </c>
      <c r="E41" s="43">
        <v>20.298019338246299</v>
      </c>
      <c r="F41" s="42" t="s">
        <v>95</v>
      </c>
      <c r="G41" s="44">
        <v>24.357623205895599</v>
      </c>
      <c r="H41" s="45">
        <v>1.2807156499932999</v>
      </c>
    </row>
    <row r="42" spans="1:8" ht="15" customHeight="1" x14ac:dyDescent="0.25">
      <c r="A42" s="42">
        <v>2049</v>
      </c>
      <c r="B42" s="42">
        <v>33</v>
      </c>
      <c r="C42" s="43">
        <v>0.247</v>
      </c>
      <c r="D42" s="43">
        <v>0.77344819338246396</v>
      </c>
      <c r="E42" s="43">
        <v>21.071467531628802</v>
      </c>
      <c r="F42" s="42" t="s">
        <v>95</v>
      </c>
      <c r="G42" s="44">
        <v>25.2857610379546</v>
      </c>
      <c r="H42" s="45">
        <v>1.30756451467569</v>
      </c>
    </row>
    <row r="43" spans="1:8" ht="15" customHeight="1" x14ac:dyDescent="0.25">
      <c r="A43" s="42">
        <v>2050</v>
      </c>
      <c r="B43" s="42">
        <v>34</v>
      </c>
      <c r="C43" s="43">
        <v>0.24099999999999999</v>
      </c>
      <c r="D43" s="43">
        <v>0.78118267531628804</v>
      </c>
      <c r="E43" s="43">
        <v>21.8526502069451</v>
      </c>
      <c r="F43" s="42" t="s">
        <v>95</v>
      </c>
      <c r="G43" s="44">
        <v>26.223180248334099</v>
      </c>
      <c r="H43" s="45">
        <v>1.33475052162326</v>
      </c>
    </row>
    <row r="44" spans="1:8" ht="15" customHeight="1" x14ac:dyDescent="0.25">
      <c r="A44" s="42">
        <v>2051</v>
      </c>
      <c r="B44" s="42">
        <v>35</v>
      </c>
      <c r="C44" s="43">
        <v>0.2351</v>
      </c>
      <c r="D44" s="43">
        <v>0.78899450206945099</v>
      </c>
      <c r="E44" s="43">
        <v>22.6416447090145</v>
      </c>
      <c r="F44" s="42" t="s">
        <v>95</v>
      </c>
      <c r="G44" s="44">
        <v>27.1699736508175</v>
      </c>
      <c r="H44" s="45">
        <v>1.3622818643825101</v>
      </c>
    </row>
    <row r="45" spans="1:8" ht="15" customHeight="1" x14ac:dyDescent="0.25">
      <c r="A45" s="42">
        <v>2052</v>
      </c>
      <c r="B45" s="42">
        <v>36</v>
      </c>
      <c r="C45" s="43">
        <v>0.22939999999999999</v>
      </c>
      <c r="D45" s="43">
        <v>0.79688444709014605</v>
      </c>
      <c r="E45" s="43">
        <v>23.4385291561047</v>
      </c>
      <c r="F45" s="42" t="s">
        <v>95</v>
      </c>
      <c r="G45" s="44">
        <v>28.126234987325599</v>
      </c>
      <c r="H45" s="45">
        <v>1.3901662306967699</v>
      </c>
    </row>
    <row r="46" spans="1:8" ht="15" customHeight="1" x14ac:dyDescent="0.25">
      <c r="A46" s="42">
        <v>2053</v>
      </c>
      <c r="B46" s="42">
        <v>37</v>
      </c>
      <c r="C46" s="43">
        <v>0.2238</v>
      </c>
      <c r="D46" s="43">
        <v>0.80485329156104701</v>
      </c>
      <c r="E46" s="43">
        <v>24.243382447665699</v>
      </c>
      <c r="F46" s="42" t="s">
        <v>95</v>
      </c>
      <c r="G46" s="44">
        <v>29.0920589371989</v>
      </c>
      <c r="H46" s="45">
        <v>1.41841087242749</v>
      </c>
    </row>
    <row r="47" spans="1:8" ht="15" customHeight="1" x14ac:dyDescent="0.25">
      <c r="A47" s="42">
        <v>2054</v>
      </c>
      <c r="B47" s="42">
        <v>38</v>
      </c>
      <c r="C47" s="43">
        <v>0.21829999999999999</v>
      </c>
      <c r="D47" s="43">
        <v>0.81290182447665804</v>
      </c>
      <c r="E47" s="43">
        <v>25.056284272142399</v>
      </c>
      <c r="F47" s="42" t="s">
        <v>95</v>
      </c>
      <c r="G47" s="44">
        <v>30.067541126570902</v>
      </c>
      <c r="H47" s="45">
        <v>1.4470226645295901</v>
      </c>
    </row>
    <row r="48" spans="1:8" ht="15" customHeight="1" x14ac:dyDescent="0.25">
      <c r="A48" s="42">
        <v>2055</v>
      </c>
      <c r="B48" s="42">
        <v>39</v>
      </c>
      <c r="C48" s="43">
        <v>0.21299999999999999</v>
      </c>
      <c r="D48" s="43">
        <v>0.82103084272142401</v>
      </c>
      <c r="E48" s="43">
        <v>25.877315114863801</v>
      </c>
      <c r="F48" s="42" t="s">
        <v>95</v>
      </c>
      <c r="G48" s="44">
        <v>31.052778137836601</v>
      </c>
      <c r="H48" s="45">
        <v>1.4760081550492099</v>
      </c>
    </row>
    <row r="49" spans="1:8" ht="15" customHeight="1" x14ac:dyDescent="0.25">
      <c r="A49" s="46">
        <v>2056</v>
      </c>
      <c r="B49" s="42">
        <v>40</v>
      </c>
      <c r="C49" s="43">
        <v>0.20780000000000001</v>
      </c>
      <c r="D49" s="43">
        <v>0.82924115114863906</v>
      </c>
      <c r="E49" s="43">
        <v>26.706556266012502</v>
      </c>
      <c r="F49" s="42" t="s">
        <v>95</v>
      </c>
      <c r="G49" s="44">
        <v>32.047867519215004</v>
      </c>
      <c r="H49" s="45">
        <v>1.5053736077183399</v>
      </c>
    </row>
    <row r="50" spans="1:8" ht="15" customHeight="1" x14ac:dyDescent="0.25">
      <c r="A50" s="42">
        <v>2057</v>
      </c>
      <c r="B50" s="42">
        <v>41</v>
      </c>
      <c r="C50" s="43">
        <v>0.20280000000000001</v>
      </c>
      <c r="D50" s="43">
        <v>0.83753356266012502</v>
      </c>
      <c r="E50" s="43">
        <v>27.5440898286726</v>
      </c>
      <c r="F50" s="42" t="s">
        <v>95</v>
      </c>
      <c r="G50" s="44">
        <v>33.052907794407098</v>
      </c>
      <c r="H50" s="45">
        <v>1.53512503841349</v>
      </c>
    </row>
    <row r="51" spans="1:8" ht="15" customHeight="1" x14ac:dyDescent="0.25">
      <c r="A51" s="42">
        <v>2058</v>
      </c>
      <c r="B51" s="42">
        <v>42</v>
      </c>
      <c r="C51" s="43">
        <v>0.1978</v>
      </c>
      <c r="D51" s="43">
        <v>0.845908898286726</v>
      </c>
      <c r="E51" s="43">
        <v>28.389998726959298</v>
      </c>
      <c r="F51" s="42" t="s">
        <v>95</v>
      </c>
      <c r="G51" s="44">
        <v>34.067998472351199</v>
      </c>
      <c r="H51" s="45">
        <v>1.5652682465040999</v>
      </c>
    </row>
    <row r="52" spans="1:8" ht="15" customHeight="1" x14ac:dyDescent="0.25">
      <c r="A52" s="42">
        <v>2059</v>
      </c>
      <c r="B52" s="42">
        <v>43</v>
      </c>
      <c r="C52" s="43">
        <v>0.193</v>
      </c>
      <c r="D52" s="43">
        <v>0.85436798726959395</v>
      </c>
      <c r="E52" s="43">
        <v>29.244366714228899</v>
      </c>
      <c r="F52" s="42" t="s">
        <v>95</v>
      </c>
      <c r="G52" s="44">
        <v>35.093240057074702</v>
      </c>
      <c r="H52" s="45">
        <v>1.5958088419255401</v>
      </c>
    </row>
    <row r="53" spans="1:8" ht="15" customHeight="1" x14ac:dyDescent="0.25">
      <c r="A53" s="42">
        <v>2060</v>
      </c>
      <c r="B53" s="42">
        <v>44</v>
      </c>
      <c r="C53" s="43">
        <v>0.1883</v>
      </c>
      <c r="D53" s="43">
        <v>0.86291166714228995</v>
      </c>
      <c r="E53" s="43">
        <v>30.107278381371199</v>
      </c>
      <c r="F53" s="42" t="s">
        <v>95</v>
      </c>
      <c r="G53" s="44">
        <v>36.128734057645403</v>
      </c>
      <c r="H53" s="45">
        <v>1.62675226865943</v>
      </c>
    </row>
    <row r="54" spans="1:8" ht="15" customHeight="1" x14ac:dyDescent="0.25">
      <c r="A54" s="42">
        <v>2061</v>
      </c>
      <c r="B54" s="42">
        <v>45</v>
      </c>
      <c r="C54" s="43">
        <v>0.1837</v>
      </c>
      <c r="D54" s="43">
        <v>0.87154078381371203</v>
      </c>
      <c r="E54" s="43">
        <v>30.978819165184898</v>
      </c>
      <c r="F54" s="42" t="s">
        <v>95</v>
      </c>
      <c r="G54" s="44">
        <v>37.174582998221901</v>
      </c>
      <c r="H54" s="45">
        <v>1.65810382518273</v>
      </c>
    </row>
    <row r="55" spans="1:8" ht="15" customHeight="1" x14ac:dyDescent="0.25">
      <c r="A55" s="59"/>
      <c r="B55" s="59"/>
      <c r="C55" s="59"/>
      <c r="D55" s="59"/>
      <c r="E55" s="59"/>
      <c r="F55" s="59"/>
      <c r="G55" s="59"/>
      <c r="H55" s="59"/>
    </row>
    <row r="56" spans="1:8" ht="15" customHeight="1" x14ac:dyDescent="0.25">
      <c r="A56" s="47"/>
      <c r="B56" s="56" t="s">
        <v>96</v>
      </c>
      <c r="C56" s="56"/>
      <c r="D56" s="56"/>
      <c r="E56" s="48">
        <v>4.4299999999999999E-2</v>
      </c>
      <c r="F56" s="57"/>
      <c r="G56" s="57"/>
      <c r="H56" s="57"/>
    </row>
    <row r="57" spans="1:8" ht="15" customHeight="1" x14ac:dyDescent="0.25">
      <c r="A57" s="47"/>
      <c r="B57" s="56" t="s">
        <v>97</v>
      </c>
      <c r="C57" s="56"/>
      <c r="D57" s="56"/>
      <c r="E57" s="48">
        <v>4.4299999999999999E-2</v>
      </c>
      <c r="F57" s="57"/>
      <c r="G57" s="57"/>
      <c r="H57" s="57"/>
    </row>
    <row r="58" spans="1:8" ht="15" customHeight="1" x14ac:dyDescent="0.25">
      <c r="A58" s="47"/>
      <c r="B58" s="56" t="s">
        <v>98</v>
      </c>
      <c r="C58" s="56"/>
      <c r="D58" s="56"/>
      <c r="E58" s="48">
        <v>4.1700000000000001E-2</v>
      </c>
      <c r="F58" s="57"/>
      <c r="G58" s="57"/>
      <c r="H58" s="57"/>
    </row>
    <row r="59" spans="1:8" ht="15" customHeight="1" x14ac:dyDescent="0.25">
      <c r="A59" s="47"/>
      <c r="B59" s="56" t="s">
        <v>99</v>
      </c>
      <c r="C59" s="56"/>
      <c r="D59" s="56"/>
      <c r="E59" s="48">
        <v>0.02</v>
      </c>
      <c r="F59" s="58" t="s">
        <v>100</v>
      </c>
      <c r="G59" s="58"/>
      <c r="H59" s="58"/>
    </row>
  </sheetData>
  <mergeCells count="14">
    <mergeCell ref="A1:H1"/>
    <mergeCell ref="A2:H2"/>
    <mergeCell ref="A3:H3"/>
    <mergeCell ref="A4:H4"/>
    <mergeCell ref="A5:H5"/>
    <mergeCell ref="B58:D58"/>
    <mergeCell ref="F58:H58"/>
    <mergeCell ref="B59:D59"/>
    <mergeCell ref="F59:H59"/>
    <mergeCell ref="A55:H55"/>
    <mergeCell ref="B56:D56"/>
    <mergeCell ref="F56:H56"/>
    <mergeCell ref="B57:D57"/>
    <mergeCell ref="F57:H57"/>
  </mergeCells>
  <pageMargins left="0" right="0" top="0" bottom="0" header="0" footer="0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7751DFD7E83E34CB21BE4AB19CE8F4B" ma:contentTypeVersion="56" ma:contentTypeDescription="" ma:contentTypeScope="" ma:versionID="61cbe573505b2a41c58c83782add8c4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2019-11-15T08:00:00+00:00</OpenedDate>
    <SignificantOrder xmlns="dc463f71-b30c-4ab2-9473-d307f9d35888">false</SignificantOrder>
    <Date1 xmlns="dc463f71-b30c-4ab2-9473-d307f9d35888">2021-06-01T07:00:00+00:00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190957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A6E2A96-91D9-4A0E-9B3D-8C84E4DD6360}"/>
</file>

<file path=customXml/itemProps2.xml><?xml version="1.0" encoding="utf-8"?>
<ds:datastoreItem xmlns:ds="http://schemas.openxmlformats.org/officeDocument/2006/customXml" ds:itemID="{FD0E8374-563A-42AA-8A9B-94FC8B21EC16}"/>
</file>

<file path=customXml/itemProps3.xml><?xml version="1.0" encoding="utf-8"?>
<ds:datastoreItem xmlns:ds="http://schemas.openxmlformats.org/officeDocument/2006/customXml" ds:itemID="{40C9CFEC-8120-4A55-8507-C4D68541F672}"/>
</file>

<file path=customXml/itemProps4.xml><?xml version="1.0" encoding="utf-8"?>
<ds:datastoreItem xmlns:ds="http://schemas.openxmlformats.org/officeDocument/2006/customXml" ds:itemID="{6F64D1D0-EC7E-4AB5-B14B-DF92A0B03F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Total First Year</vt:lpstr>
      <vt:lpstr>APP 2885</vt:lpstr>
      <vt:lpstr>JR_PAGE_ANCHOR_0_1</vt:lpstr>
      <vt:lpstr>JR_PAGE_ANCHOR_0_2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2021-03-25T17:14:04Z</dcterms:created>
  <dcterms:modified xsi:type="dcterms:W3CDTF">2021-04-29T21:50:14Z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0x0101006E56B4D1795A2E4DB2F0B01679ED314A00B7751DFD7E83E34CB21BE4AB19CE8F4B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