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WUTC\BD Tariff 94\Tip Fee increase Jan 2020\"/>
    </mc:Choice>
  </mc:AlternateContent>
  <bookViews>
    <workbookView xWindow="0" yWindow="0" windowWidth="24000" windowHeight="9720" tabRatio="845" activeTab="2"/>
  </bookViews>
  <sheets>
    <sheet name="BDI_Calculation" sheetId="2" r:id="rId1"/>
    <sheet name="References_BDI" sheetId="7" r:id="rId2"/>
    <sheet name="BDI_RevenueIncrease" sheetId="4" r:id="rId3"/>
    <sheet name="Tonnage Summary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BDI_Calculation!$B$6:$U$114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>#REF!</definedName>
    <definedName name="BDI_Driver_per">#REF!</definedName>
    <definedName name="BDI_Emp_per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>#REF!</definedName>
    <definedName name="BRoom_Driver_per">#REF!</definedName>
    <definedName name="BRoom_Emp_per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>#REF!</definedName>
    <definedName name="Eds_Driver_per">#REF!</definedName>
    <definedName name="Eds_Emp_per">#REF!</definedName>
    <definedName name="Eds_Rev_per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>#REF!</definedName>
    <definedName name="IncomeStmnt">#REF!</definedName>
    <definedName name="Industrial_Ins._Rate">[5]Census!$F$9</definedName>
    <definedName name="INPUT">#REF!</definedName>
    <definedName name="Insurance">#REF!</definedName>
    <definedName name="Interfund_Increase_Factor">[5]Census!$B$14</definedName>
    <definedName name="IS_4C" localSheetId="1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1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>#REF!</definedName>
    <definedName name="Walla_Driver_per">#REF!</definedName>
    <definedName name="Walla_Emp_per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>#REF!</definedName>
    <definedName name="Yak_Driver_per">#REF!</definedName>
    <definedName name="Yak_Emp_per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1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2" l="1"/>
  <c r="K8" i="2"/>
  <c r="K7" i="2"/>
  <c r="K13" i="2"/>
  <c r="K12" i="2"/>
  <c r="K11" i="2"/>
  <c r="K22" i="2" s="1"/>
  <c r="K10" i="2"/>
  <c r="K9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F10" i="4"/>
  <c r="H10" i="4"/>
  <c r="I7" i="2"/>
  <c r="I60" i="2"/>
  <c r="K17" i="2" l="1"/>
  <c r="K23" i="2"/>
  <c r="K20" i="2"/>
  <c r="K21" i="2"/>
  <c r="K18" i="2"/>
  <c r="K19" i="2"/>
  <c r="S18" i="2" l="1"/>
  <c r="S19" i="2"/>
  <c r="S11" i="2"/>
  <c r="S8" i="2"/>
  <c r="D20" i="4" l="1"/>
  <c r="K87" i="2" l="1"/>
  <c r="L87" i="2" s="1"/>
  <c r="K88" i="2"/>
  <c r="L88" i="2" s="1"/>
  <c r="S88" i="2"/>
  <c r="S87" i="2"/>
  <c r="I61" i="2" l="1"/>
  <c r="I62" i="2"/>
  <c r="I63" i="2"/>
  <c r="I64" i="2"/>
  <c r="I8" i="2"/>
  <c r="I9" i="2"/>
  <c r="I10" i="2"/>
  <c r="I11" i="2"/>
  <c r="D21" i="4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S69" i="2"/>
  <c r="S70" i="2"/>
  <c r="S68" i="2"/>
  <c r="K68" i="2"/>
  <c r="L68" i="2" s="1"/>
  <c r="K69" i="2"/>
  <c r="L69" i="2" s="1"/>
  <c r="K70" i="2"/>
  <c r="L70" i="2" s="1"/>
  <c r="S65" i="2"/>
  <c r="S66" i="2"/>
  <c r="S67" i="2"/>
  <c r="K65" i="2"/>
  <c r="L65" i="2" s="1"/>
  <c r="K66" i="2"/>
  <c r="L66" i="2" s="1"/>
  <c r="K67" i="2"/>
  <c r="L67" i="2" s="1"/>
  <c r="K86" i="2" l="1"/>
  <c r="K85" i="2"/>
  <c r="K84" i="2"/>
  <c r="K83" i="2"/>
  <c r="K82" i="2"/>
  <c r="K81" i="2"/>
  <c r="K80" i="2"/>
  <c r="K79" i="2"/>
  <c r="K78" i="2"/>
  <c r="K77" i="2"/>
  <c r="K76" i="2"/>
  <c r="K64" i="2"/>
  <c r="K63" i="2"/>
  <c r="K62" i="2"/>
  <c r="K61" i="2"/>
  <c r="K60" i="2"/>
  <c r="S52" i="2" l="1"/>
  <c r="J54" i="2"/>
  <c r="H54" i="2"/>
  <c r="L52" i="2"/>
  <c r="S48" i="2"/>
  <c r="L48" i="2"/>
  <c r="L45" i="2"/>
  <c r="S45" i="2"/>
  <c r="L19" i="2"/>
  <c r="L18" i="2"/>
  <c r="S86" i="2"/>
  <c r="L86" i="2"/>
  <c r="S85" i="2"/>
  <c r="L85" i="2"/>
  <c r="S84" i="2"/>
  <c r="L84" i="2"/>
  <c r="S83" i="2"/>
  <c r="L83" i="2"/>
  <c r="S82" i="2"/>
  <c r="L82" i="2"/>
  <c r="S81" i="2"/>
  <c r="L81" i="2"/>
  <c r="S80" i="2"/>
  <c r="L80" i="2"/>
  <c r="S79" i="2"/>
  <c r="L79" i="2"/>
  <c r="S78" i="2"/>
  <c r="L78" i="2"/>
  <c r="S77" i="2"/>
  <c r="L77" i="2"/>
  <c r="S76" i="2"/>
  <c r="L76" i="2"/>
  <c r="S64" i="2"/>
  <c r="L64" i="2"/>
  <c r="S63" i="2"/>
  <c r="L63" i="2"/>
  <c r="S62" i="2"/>
  <c r="L62" i="2"/>
  <c r="S61" i="2"/>
  <c r="L61" i="2"/>
  <c r="S60" i="2"/>
  <c r="L60" i="2"/>
  <c r="S49" i="2"/>
  <c r="L49" i="2"/>
  <c r="S44" i="2"/>
  <c r="L44" i="2"/>
  <c r="S41" i="2"/>
  <c r="L41" i="2"/>
  <c r="S40" i="2"/>
  <c r="L40" i="2"/>
  <c r="S37" i="2"/>
  <c r="L37" i="2"/>
  <c r="S36" i="2"/>
  <c r="L36" i="2"/>
  <c r="S33" i="2"/>
  <c r="L33" i="2"/>
  <c r="S32" i="2"/>
  <c r="L32" i="2"/>
  <c r="S29" i="2"/>
  <c r="L29" i="2"/>
  <c r="S28" i="2"/>
  <c r="L28" i="2"/>
  <c r="B10" i="4" l="1"/>
  <c r="D22" i="4" l="1"/>
  <c r="D3" i="9"/>
  <c r="B2" i="9"/>
  <c r="C2" i="9"/>
  <c r="H120" i="2" l="1"/>
  <c r="H121" i="2" s="1"/>
  <c r="B47" i="7"/>
  <c r="B4" i="9"/>
  <c r="D2" i="9"/>
  <c r="D4" i="9" s="1"/>
  <c r="C4" i="9"/>
  <c r="B42" i="7"/>
  <c r="B45" i="7" s="1"/>
  <c r="C41" i="7"/>
  <c r="G40" i="7"/>
  <c r="G43" i="7" s="1"/>
  <c r="G45" i="7" s="1"/>
  <c r="B46" i="7" s="1"/>
  <c r="C40" i="7"/>
  <c r="N3" i="7"/>
  <c r="S3" i="7" s="1"/>
  <c r="P3" i="7"/>
  <c r="Q3" i="7"/>
  <c r="R3" i="7"/>
  <c r="N4" i="7"/>
  <c r="S4" i="7" s="1"/>
  <c r="Q4" i="7"/>
  <c r="R4" i="7"/>
  <c r="N5" i="7"/>
  <c r="S5" i="7" s="1"/>
  <c r="P5" i="7"/>
  <c r="Q5" i="7"/>
  <c r="R5" i="7"/>
  <c r="N6" i="7"/>
  <c r="S6" i="7" s="1"/>
  <c r="P6" i="7"/>
  <c r="Q6" i="7"/>
  <c r="R6" i="7"/>
  <c r="N7" i="7"/>
  <c r="S7" i="7" s="1"/>
  <c r="P7" i="7"/>
  <c r="Q7" i="7"/>
  <c r="R7" i="7"/>
  <c r="N8" i="7"/>
  <c r="S8" i="7" s="1"/>
  <c r="P8" i="7"/>
  <c r="Q8" i="7"/>
  <c r="R8" i="7"/>
  <c r="N9" i="7"/>
  <c r="S9" i="7" s="1"/>
  <c r="P9" i="7"/>
  <c r="Q9" i="7"/>
  <c r="R9" i="7"/>
  <c r="L10" i="4"/>
  <c r="B48" i="7" l="1"/>
  <c r="J10" i="4"/>
  <c r="C42" i="7"/>
  <c r="P4" i="7"/>
  <c r="O9" i="7"/>
  <c r="O8" i="7"/>
  <c r="O7" i="7"/>
  <c r="O6" i="7"/>
  <c r="O5" i="7"/>
  <c r="O4" i="7"/>
  <c r="O3" i="7"/>
  <c r="T9" i="7"/>
  <c r="T8" i="7"/>
  <c r="T7" i="7"/>
  <c r="T6" i="7"/>
  <c r="T5" i="7"/>
  <c r="T4" i="7"/>
  <c r="T3" i="7"/>
  <c r="J8" i="2" l="1"/>
  <c r="L8" i="2" s="1"/>
  <c r="J11" i="2"/>
  <c r="L11" i="2" s="1"/>
  <c r="L38" i="2" l="1"/>
  <c r="L22" i="2"/>
  <c r="L30" i="2"/>
  <c r="L27" i="2"/>
  <c r="L47" i="2"/>
  <c r="L46" i="2"/>
  <c r="L43" i="2"/>
  <c r="L42" i="2"/>
  <c r="L39" i="2"/>
  <c r="L35" i="2"/>
  <c r="L34" i="2"/>
  <c r="L31" i="2"/>
  <c r="L26" i="2"/>
  <c r="L25" i="2"/>
  <c r="L24" i="2"/>
  <c r="L23" i="2"/>
  <c r="L21" i="2"/>
  <c r="L20" i="2"/>
  <c r="H15" i="2" l="1"/>
  <c r="H55" i="2" s="1"/>
  <c r="S12" i="2"/>
  <c r="S9" i="2"/>
  <c r="J9" i="2"/>
  <c r="L9" i="2" s="1"/>
  <c r="L17" i="2"/>
  <c r="L54" i="2" s="1"/>
  <c r="S17" i="2"/>
  <c r="S7" i="2"/>
  <c r="J7" i="2"/>
  <c r="S13" i="2"/>
  <c r="L13" i="2"/>
  <c r="S10" i="2" l="1"/>
  <c r="S15" i="2" s="1"/>
  <c r="F8" i="4" s="1"/>
  <c r="L12" i="2"/>
  <c r="J10" i="2"/>
  <c r="L10" i="2" s="1"/>
  <c r="L7" i="2"/>
  <c r="J15" i="2" l="1"/>
  <c r="J55" i="2" s="1"/>
  <c r="H122" i="2" s="1"/>
  <c r="L15" i="2"/>
  <c r="L55" i="2" s="1"/>
  <c r="H123" i="2" s="1"/>
  <c r="M88" i="2" l="1"/>
  <c r="N88" i="2" s="1"/>
  <c r="O88" i="2" s="1"/>
  <c r="P88" i="2" s="1"/>
  <c r="R88" i="2" s="1"/>
  <c r="W88" i="2" s="1"/>
  <c r="M87" i="2"/>
  <c r="N87" i="2" s="1"/>
  <c r="O87" i="2" s="1"/>
  <c r="P87" i="2" s="1"/>
  <c r="R87" i="2" s="1"/>
  <c r="W87" i="2" s="1"/>
  <c r="M7" i="2"/>
  <c r="N7" i="2" s="1"/>
  <c r="O7" i="2" s="1"/>
  <c r="M112" i="2"/>
  <c r="N112" i="2" s="1"/>
  <c r="O112" i="2" s="1"/>
  <c r="P112" i="2" s="1"/>
  <c r="R112" i="2" s="1"/>
  <c r="W112" i="2" s="1"/>
  <c r="M96" i="2"/>
  <c r="N96" i="2" s="1"/>
  <c r="O96" i="2" s="1"/>
  <c r="P96" i="2" s="1"/>
  <c r="R96" i="2" s="1"/>
  <c r="W96" i="2" s="1"/>
  <c r="M99" i="2"/>
  <c r="N99" i="2" s="1"/>
  <c r="O99" i="2" s="1"/>
  <c r="P99" i="2" s="1"/>
  <c r="R99" i="2" s="1"/>
  <c r="W99" i="2" s="1"/>
  <c r="M110" i="2"/>
  <c r="N110" i="2" s="1"/>
  <c r="O110" i="2" s="1"/>
  <c r="P110" i="2" s="1"/>
  <c r="R110" i="2" s="1"/>
  <c r="W110" i="2" s="1"/>
  <c r="M94" i="2"/>
  <c r="N94" i="2" s="1"/>
  <c r="O94" i="2" s="1"/>
  <c r="P94" i="2" s="1"/>
  <c r="R94" i="2" s="1"/>
  <c r="W94" i="2" s="1"/>
  <c r="M105" i="2"/>
  <c r="N105" i="2" s="1"/>
  <c r="O105" i="2" s="1"/>
  <c r="P105" i="2" s="1"/>
  <c r="R105" i="2" s="1"/>
  <c r="W105" i="2" s="1"/>
  <c r="M89" i="2"/>
  <c r="N89" i="2" s="1"/>
  <c r="O89" i="2" s="1"/>
  <c r="P89" i="2" s="1"/>
  <c r="R89" i="2" s="1"/>
  <c r="W89" i="2" s="1"/>
  <c r="M108" i="2"/>
  <c r="N108" i="2" s="1"/>
  <c r="O108" i="2" s="1"/>
  <c r="P108" i="2" s="1"/>
  <c r="R108" i="2" s="1"/>
  <c r="W108" i="2" s="1"/>
  <c r="M111" i="2"/>
  <c r="N111" i="2" s="1"/>
  <c r="O111" i="2" s="1"/>
  <c r="P111" i="2" s="1"/>
  <c r="R111" i="2" s="1"/>
  <c r="W111" i="2" s="1"/>
  <c r="M95" i="2"/>
  <c r="N95" i="2" s="1"/>
  <c r="O95" i="2" s="1"/>
  <c r="P95" i="2" s="1"/>
  <c r="R95" i="2" s="1"/>
  <c r="W95" i="2" s="1"/>
  <c r="M106" i="2"/>
  <c r="N106" i="2" s="1"/>
  <c r="O106" i="2" s="1"/>
  <c r="P106" i="2" s="1"/>
  <c r="R106" i="2" s="1"/>
  <c r="W106" i="2" s="1"/>
  <c r="M90" i="2"/>
  <c r="N90" i="2" s="1"/>
  <c r="O90" i="2" s="1"/>
  <c r="P90" i="2" s="1"/>
  <c r="R90" i="2" s="1"/>
  <c r="W90" i="2" s="1"/>
  <c r="M101" i="2"/>
  <c r="N101" i="2" s="1"/>
  <c r="O101" i="2" s="1"/>
  <c r="P101" i="2" s="1"/>
  <c r="R101" i="2" s="1"/>
  <c r="W101" i="2" s="1"/>
  <c r="M104" i="2"/>
  <c r="N104" i="2" s="1"/>
  <c r="O104" i="2" s="1"/>
  <c r="P104" i="2" s="1"/>
  <c r="R104" i="2" s="1"/>
  <c r="W104" i="2" s="1"/>
  <c r="M107" i="2"/>
  <c r="N107" i="2" s="1"/>
  <c r="O107" i="2" s="1"/>
  <c r="P107" i="2" s="1"/>
  <c r="R107" i="2" s="1"/>
  <c r="W107" i="2" s="1"/>
  <c r="M91" i="2"/>
  <c r="N91" i="2" s="1"/>
  <c r="O91" i="2" s="1"/>
  <c r="P91" i="2" s="1"/>
  <c r="R91" i="2" s="1"/>
  <c r="W91" i="2" s="1"/>
  <c r="M102" i="2"/>
  <c r="N102" i="2" s="1"/>
  <c r="O102" i="2" s="1"/>
  <c r="P102" i="2" s="1"/>
  <c r="R102" i="2" s="1"/>
  <c r="W102" i="2" s="1"/>
  <c r="M113" i="2"/>
  <c r="N113" i="2" s="1"/>
  <c r="O113" i="2" s="1"/>
  <c r="P113" i="2" s="1"/>
  <c r="R113" i="2" s="1"/>
  <c r="W113" i="2" s="1"/>
  <c r="M97" i="2"/>
  <c r="N97" i="2" s="1"/>
  <c r="O97" i="2" s="1"/>
  <c r="P97" i="2" s="1"/>
  <c r="R97" i="2" s="1"/>
  <c r="W97" i="2" s="1"/>
  <c r="M92" i="2"/>
  <c r="N92" i="2" s="1"/>
  <c r="O92" i="2" s="1"/>
  <c r="P92" i="2" s="1"/>
  <c r="R92" i="2" s="1"/>
  <c r="W92" i="2" s="1"/>
  <c r="M100" i="2"/>
  <c r="N100" i="2" s="1"/>
  <c r="O100" i="2" s="1"/>
  <c r="P100" i="2" s="1"/>
  <c r="R100" i="2" s="1"/>
  <c r="W100" i="2" s="1"/>
  <c r="M103" i="2"/>
  <c r="N103" i="2" s="1"/>
  <c r="O103" i="2" s="1"/>
  <c r="P103" i="2" s="1"/>
  <c r="R103" i="2" s="1"/>
  <c r="W103" i="2" s="1"/>
  <c r="M114" i="2"/>
  <c r="N114" i="2" s="1"/>
  <c r="O114" i="2" s="1"/>
  <c r="P114" i="2" s="1"/>
  <c r="R114" i="2" s="1"/>
  <c r="W114" i="2" s="1"/>
  <c r="M98" i="2"/>
  <c r="N98" i="2" s="1"/>
  <c r="O98" i="2" s="1"/>
  <c r="P98" i="2" s="1"/>
  <c r="R98" i="2" s="1"/>
  <c r="W98" i="2" s="1"/>
  <c r="M109" i="2"/>
  <c r="N109" i="2" s="1"/>
  <c r="O109" i="2" s="1"/>
  <c r="P109" i="2" s="1"/>
  <c r="R109" i="2" s="1"/>
  <c r="W109" i="2" s="1"/>
  <c r="M93" i="2"/>
  <c r="N93" i="2" s="1"/>
  <c r="O93" i="2" s="1"/>
  <c r="P93" i="2" s="1"/>
  <c r="R93" i="2" s="1"/>
  <c r="W93" i="2" s="1"/>
  <c r="M69" i="2"/>
  <c r="N69" i="2" s="1"/>
  <c r="O69" i="2" s="1"/>
  <c r="P69" i="2" s="1"/>
  <c r="R69" i="2" s="1"/>
  <c r="W69" i="2" s="1"/>
  <c r="M70" i="2"/>
  <c r="N70" i="2" s="1"/>
  <c r="O70" i="2" s="1"/>
  <c r="P70" i="2" s="1"/>
  <c r="R70" i="2" s="1"/>
  <c r="W70" i="2" s="1"/>
  <c r="M68" i="2"/>
  <c r="N68" i="2" s="1"/>
  <c r="O68" i="2" s="1"/>
  <c r="P68" i="2" s="1"/>
  <c r="R68" i="2" s="1"/>
  <c r="W68" i="2" s="1"/>
  <c r="M65" i="2"/>
  <c r="N65" i="2" s="1"/>
  <c r="O65" i="2" s="1"/>
  <c r="P65" i="2" s="1"/>
  <c r="R65" i="2" s="1"/>
  <c r="W65" i="2" s="1"/>
  <c r="M67" i="2"/>
  <c r="N67" i="2" s="1"/>
  <c r="O67" i="2" s="1"/>
  <c r="P67" i="2" s="1"/>
  <c r="R67" i="2" s="1"/>
  <c r="W67" i="2" s="1"/>
  <c r="M66" i="2"/>
  <c r="N66" i="2" s="1"/>
  <c r="O66" i="2" s="1"/>
  <c r="P66" i="2" s="1"/>
  <c r="R66" i="2" s="1"/>
  <c r="W66" i="2" s="1"/>
  <c r="M52" i="2"/>
  <c r="M86" i="2"/>
  <c r="N86" i="2" s="1"/>
  <c r="O86" i="2" s="1"/>
  <c r="P86" i="2" s="1"/>
  <c r="R86" i="2" s="1"/>
  <c r="W86" i="2" s="1"/>
  <c r="M45" i="2"/>
  <c r="M48" i="2"/>
  <c r="M19" i="2"/>
  <c r="M18" i="2"/>
  <c r="M11" i="2"/>
  <c r="M8" i="2"/>
  <c r="M62" i="2"/>
  <c r="M61" i="2"/>
  <c r="M41" i="2"/>
  <c r="M28" i="2"/>
  <c r="M37" i="2"/>
  <c r="M79" i="2"/>
  <c r="M64" i="2"/>
  <c r="M49" i="2"/>
  <c r="M60" i="2"/>
  <c r="M81" i="2"/>
  <c r="M40" i="2"/>
  <c r="M29" i="2"/>
  <c r="M36" i="2"/>
  <c r="M78" i="2"/>
  <c r="M83" i="2"/>
  <c r="M76" i="2"/>
  <c r="M63" i="2"/>
  <c r="M85" i="2"/>
  <c r="M44" i="2"/>
  <c r="M82" i="2"/>
  <c r="M33" i="2"/>
  <c r="M80" i="2"/>
  <c r="M32" i="2"/>
  <c r="M84" i="2"/>
  <c r="M77" i="2"/>
  <c r="M39" i="2"/>
  <c r="M21" i="2"/>
  <c r="M20" i="2"/>
  <c r="M25" i="2"/>
  <c r="M38" i="2"/>
  <c r="M26" i="2"/>
  <c r="M27" i="2"/>
  <c r="M47" i="2"/>
  <c r="M34" i="2"/>
  <c r="M24" i="2"/>
  <c r="M42" i="2"/>
  <c r="M46" i="2"/>
  <c r="M30" i="2"/>
  <c r="M23" i="2"/>
  <c r="M35" i="2"/>
  <c r="M31" i="2"/>
  <c r="M43" i="2"/>
  <c r="M22" i="2"/>
  <c r="M12" i="2"/>
  <c r="M10" i="2"/>
  <c r="M17" i="2"/>
  <c r="N17" i="2" s="1"/>
  <c r="O17" i="2" s="1"/>
  <c r="M13" i="2"/>
  <c r="M9" i="2"/>
  <c r="T101" i="2" l="1"/>
  <c r="U101" i="2" s="1"/>
  <c r="T92" i="2"/>
  <c r="U92" i="2" s="1"/>
  <c r="T110" i="2"/>
  <c r="U110" i="2" s="1"/>
  <c r="T97" i="2"/>
  <c r="U97" i="2" s="1"/>
  <c r="T106" i="2"/>
  <c r="U106" i="2" s="1"/>
  <c r="T86" i="2"/>
  <c r="U86" i="2" s="1"/>
  <c r="T113" i="2"/>
  <c r="U113" i="2" s="1"/>
  <c r="T96" i="2"/>
  <c r="U96" i="2" s="1"/>
  <c r="T102" i="2"/>
  <c r="U102" i="2" s="1"/>
  <c r="T112" i="2"/>
  <c r="U112" i="2" s="1"/>
  <c r="T98" i="2"/>
  <c r="U98" i="2" s="1"/>
  <c r="T91" i="2"/>
  <c r="U91" i="2" s="1"/>
  <c r="T108" i="2"/>
  <c r="U108" i="2" s="1"/>
  <c r="T100" i="2"/>
  <c r="U100" i="2" s="1"/>
  <c r="T94" i="2"/>
  <c r="U94" i="2" s="1"/>
  <c r="T90" i="2"/>
  <c r="U90" i="2" s="1"/>
  <c r="T99" i="2"/>
  <c r="U99" i="2" s="1"/>
  <c r="T93" i="2"/>
  <c r="U93" i="2" s="1"/>
  <c r="T95" i="2"/>
  <c r="U95" i="2" s="1"/>
  <c r="T109" i="2"/>
  <c r="U109" i="2" s="1"/>
  <c r="T111" i="2"/>
  <c r="U111" i="2" s="1"/>
  <c r="T114" i="2"/>
  <c r="U114" i="2" s="1"/>
  <c r="T107" i="2"/>
  <c r="U107" i="2" s="1"/>
  <c r="T89" i="2"/>
  <c r="U89" i="2" s="1"/>
  <c r="T87" i="2"/>
  <c r="U87" i="2" s="1"/>
  <c r="T103" i="2"/>
  <c r="U103" i="2" s="1"/>
  <c r="T104" i="2"/>
  <c r="U104" i="2" s="1"/>
  <c r="T105" i="2"/>
  <c r="U105" i="2" s="1"/>
  <c r="T88" i="2"/>
  <c r="U88" i="2" s="1"/>
  <c r="N43" i="2"/>
  <c r="O43" i="2" s="1"/>
  <c r="P43" i="2" s="1"/>
  <c r="R43" i="2" s="1"/>
  <c r="W43" i="2" s="1"/>
  <c r="N34" i="2"/>
  <c r="O34" i="2" s="1"/>
  <c r="P34" i="2" s="1"/>
  <c r="R34" i="2" s="1"/>
  <c r="W34" i="2" s="1"/>
  <c r="N39" i="2"/>
  <c r="O39" i="2" s="1"/>
  <c r="P39" i="2" s="1"/>
  <c r="R39" i="2" s="1"/>
  <c r="W39" i="2" s="1"/>
  <c r="N44" i="2"/>
  <c r="O44" i="2" s="1"/>
  <c r="P44" i="2" s="1"/>
  <c r="R44" i="2" s="1"/>
  <c r="W44" i="2" s="1"/>
  <c r="N40" i="2"/>
  <c r="O40" i="2" s="1"/>
  <c r="P40" i="2" s="1"/>
  <c r="R40" i="2" s="1"/>
  <c r="W40" i="2" s="1"/>
  <c r="N25" i="2"/>
  <c r="O25" i="2" s="1"/>
  <c r="P25" i="2" s="1"/>
  <c r="R25" i="2" s="1"/>
  <c r="W25" i="2" s="1"/>
  <c r="N12" i="2"/>
  <c r="O12" i="2" s="1"/>
  <c r="P12" i="2" s="1"/>
  <c r="R12" i="2" s="1"/>
  <c r="W12" i="2" s="1"/>
  <c r="N35" i="2"/>
  <c r="O35" i="2" s="1"/>
  <c r="P35" i="2" s="1"/>
  <c r="R35" i="2" s="1"/>
  <c r="W35" i="2" s="1"/>
  <c r="N27" i="2"/>
  <c r="O27" i="2" s="1"/>
  <c r="P27" i="2" s="1"/>
  <c r="R27" i="2" s="1"/>
  <c r="W27" i="2" s="1"/>
  <c r="N84" i="2"/>
  <c r="O84" i="2" s="1"/>
  <c r="P84" i="2" s="1"/>
  <c r="R84" i="2" s="1"/>
  <c r="W84" i="2" s="1"/>
  <c r="N63" i="2"/>
  <c r="O63" i="2" s="1"/>
  <c r="P63" i="2" s="1"/>
  <c r="R63" i="2" s="1"/>
  <c r="W63" i="2" s="1"/>
  <c r="N13" i="2"/>
  <c r="O13" i="2" s="1"/>
  <c r="P13" i="2" s="1"/>
  <c r="R13" i="2" s="1"/>
  <c r="W13" i="2" s="1"/>
  <c r="N22" i="2"/>
  <c r="O22" i="2" s="1"/>
  <c r="P22" i="2" s="1"/>
  <c r="R22" i="2" s="1"/>
  <c r="W22" i="2" s="1"/>
  <c r="N23" i="2"/>
  <c r="O23" i="2" s="1"/>
  <c r="P23" i="2" s="1"/>
  <c r="R23" i="2" s="1"/>
  <c r="W23" i="2" s="1"/>
  <c r="N24" i="2"/>
  <c r="O24" i="2" s="1"/>
  <c r="P24" i="2" s="1"/>
  <c r="R24" i="2" s="1"/>
  <c r="W24" i="2" s="1"/>
  <c r="N26" i="2"/>
  <c r="O26" i="2" s="1"/>
  <c r="P26" i="2" s="1"/>
  <c r="R26" i="2" s="1"/>
  <c r="W26" i="2" s="1"/>
  <c r="N21" i="2"/>
  <c r="O21" i="2" s="1"/>
  <c r="P21" i="2" s="1"/>
  <c r="R21" i="2" s="1"/>
  <c r="W21" i="2" s="1"/>
  <c r="N82" i="2"/>
  <c r="O82" i="2" s="1"/>
  <c r="P82" i="2" s="1"/>
  <c r="R82" i="2" s="1"/>
  <c r="W82" i="2" s="1"/>
  <c r="N76" i="2"/>
  <c r="O76" i="2" s="1"/>
  <c r="P76" i="2" s="1"/>
  <c r="R76" i="2" s="1"/>
  <c r="W76" i="2" s="1"/>
  <c r="N29" i="2"/>
  <c r="O29" i="2" s="1"/>
  <c r="P29" i="2" s="1"/>
  <c r="R29" i="2" s="1"/>
  <c r="W29" i="2" s="1"/>
  <c r="N49" i="2"/>
  <c r="O49" i="2" s="1"/>
  <c r="P49" i="2" s="1"/>
  <c r="R49" i="2" s="1"/>
  <c r="W49" i="2" s="1"/>
  <c r="N28" i="2"/>
  <c r="O28" i="2" s="1"/>
  <c r="P28" i="2" s="1"/>
  <c r="R28" i="2" s="1"/>
  <c r="W28" i="2" s="1"/>
  <c r="N8" i="2"/>
  <c r="O8" i="2" s="1"/>
  <c r="N48" i="2"/>
  <c r="O48" i="2" s="1"/>
  <c r="P48" i="2" s="1"/>
  <c r="R48" i="2" s="1"/>
  <c r="W48" i="2" s="1"/>
  <c r="N30" i="2"/>
  <c r="O30" i="2" s="1"/>
  <c r="P30" i="2" s="1"/>
  <c r="R30" i="2" s="1"/>
  <c r="W30" i="2" s="1"/>
  <c r="N38" i="2"/>
  <c r="O38" i="2" s="1"/>
  <c r="P38" i="2" s="1"/>
  <c r="R38" i="2" s="1"/>
  <c r="W38" i="2" s="1"/>
  <c r="N32" i="2"/>
  <c r="O32" i="2" s="1"/>
  <c r="P32" i="2" s="1"/>
  <c r="R32" i="2" s="1"/>
  <c r="W32" i="2" s="1"/>
  <c r="N83" i="2"/>
  <c r="O83" i="2" s="1"/>
  <c r="P83" i="2" s="1"/>
  <c r="R83" i="2" s="1"/>
  <c r="W83" i="2" s="1"/>
  <c r="N64" i="2"/>
  <c r="O64" i="2" s="1"/>
  <c r="P64" i="2" s="1"/>
  <c r="R64" i="2" s="1"/>
  <c r="W64" i="2" s="1"/>
  <c r="N41" i="2"/>
  <c r="O41" i="2" s="1"/>
  <c r="P41" i="2" s="1"/>
  <c r="R41" i="2" s="1"/>
  <c r="W41" i="2" s="1"/>
  <c r="N11" i="2"/>
  <c r="O11" i="2" s="1"/>
  <c r="N45" i="2"/>
  <c r="O45" i="2" s="1"/>
  <c r="P45" i="2" s="1"/>
  <c r="R45" i="2" s="1"/>
  <c r="W45" i="2" s="1"/>
  <c r="N10" i="2"/>
  <c r="O10" i="2" s="1"/>
  <c r="N31" i="2"/>
  <c r="O31" i="2" s="1"/>
  <c r="P31" i="2" s="1"/>
  <c r="R31" i="2" s="1"/>
  <c r="W31" i="2" s="1"/>
  <c r="N46" i="2"/>
  <c r="O46" i="2" s="1"/>
  <c r="P46" i="2" s="1"/>
  <c r="R46" i="2" s="1"/>
  <c r="W46" i="2" s="1"/>
  <c r="N47" i="2"/>
  <c r="O47" i="2" s="1"/>
  <c r="P47" i="2" s="1"/>
  <c r="R47" i="2" s="1"/>
  <c r="W47" i="2" s="1"/>
  <c r="N77" i="2"/>
  <c r="O77" i="2" s="1"/>
  <c r="P77" i="2" s="1"/>
  <c r="R77" i="2" s="1"/>
  <c r="W77" i="2" s="1"/>
  <c r="N80" i="2"/>
  <c r="O80" i="2" s="1"/>
  <c r="P80" i="2" s="1"/>
  <c r="R80" i="2" s="1"/>
  <c r="W80" i="2" s="1"/>
  <c r="N85" i="2"/>
  <c r="O85" i="2" s="1"/>
  <c r="P85" i="2" s="1"/>
  <c r="R85" i="2" s="1"/>
  <c r="W85" i="2" s="1"/>
  <c r="N78" i="2"/>
  <c r="O78" i="2" s="1"/>
  <c r="P78" i="2" s="1"/>
  <c r="R78" i="2" s="1"/>
  <c r="W78" i="2" s="1"/>
  <c r="N81" i="2"/>
  <c r="O81" i="2" s="1"/>
  <c r="P81" i="2" s="1"/>
  <c r="R81" i="2" s="1"/>
  <c r="W81" i="2" s="1"/>
  <c r="N79" i="2"/>
  <c r="O79" i="2" s="1"/>
  <c r="P79" i="2" s="1"/>
  <c r="R79" i="2" s="1"/>
  <c r="W79" i="2" s="1"/>
  <c r="N61" i="2"/>
  <c r="O61" i="2" s="1"/>
  <c r="P61" i="2" s="1"/>
  <c r="R61" i="2" s="1"/>
  <c r="W61" i="2" s="1"/>
  <c r="N18" i="2"/>
  <c r="O18" i="2" s="1"/>
  <c r="P18" i="2" s="1"/>
  <c r="R18" i="2" s="1"/>
  <c r="W18" i="2" s="1"/>
  <c r="N9" i="2"/>
  <c r="O9" i="2" s="1"/>
  <c r="N42" i="2"/>
  <c r="O42" i="2" s="1"/>
  <c r="P42" i="2" s="1"/>
  <c r="R42" i="2" s="1"/>
  <c r="W42" i="2" s="1"/>
  <c r="N20" i="2"/>
  <c r="O20" i="2" s="1"/>
  <c r="P20" i="2" s="1"/>
  <c r="R20" i="2" s="1"/>
  <c r="W20" i="2" s="1"/>
  <c r="N33" i="2"/>
  <c r="O33" i="2" s="1"/>
  <c r="P33" i="2" s="1"/>
  <c r="R33" i="2" s="1"/>
  <c r="W33" i="2" s="1"/>
  <c r="N36" i="2"/>
  <c r="O36" i="2" s="1"/>
  <c r="P36" i="2" s="1"/>
  <c r="R36" i="2" s="1"/>
  <c r="W36" i="2" s="1"/>
  <c r="N60" i="2"/>
  <c r="O60" i="2" s="1"/>
  <c r="P60" i="2" s="1"/>
  <c r="R60" i="2" s="1"/>
  <c r="W60" i="2" s="1"/>
  <c r="N37" i="2"/>
  <c r="O37" i="2" s="1"/>
  <c r="P37" i="2" s="1"/>
  <c r="R37" i="2" s="1"/>
  <c r="W37" i="2" s="1"/>
  <c r="N62" i="2"/>
  <c r="O62" i="2" s="1"/>
  <c r="P62" i="2" s="1"/>
  <c r="R62" i="2" s="1"/>
  <c r="W62" i="2" s="1"/>
  <c r="N19" i="2"/>
  <c r="O19" i="2" s="1"/>
  <c r="P19" i="2" s="1"/>
  <c r="R19" i="2" s="1"/>
  <c r="W19" i="2" s="1"/>
  <c r="N52" i="2"/>
  <c r="O52" i="2" s="1"/>
  <c r="P52" i="2" s="1"/>
  <c r="R52" i="2" s="1"/>
  <c r="W52" i="2" s="1"/>
  <c r="M54" i="2"/>
  <c r="M15" i="2"/>
  <c r="P7" i="2"/>
  <c r="R7" i="2" s="1"/>
  <c r="W7" i="2" s="1"/>
  <c r="P17" i="2"/>
  <c r="R17" i="2" s="1"/>
  <c r="W17" i="2" s="1"/>
  <c r="T64" i="2" l="1"/>
  <c r="U64" i="2" s="1"/>
  <c r="T62" i="2"/>
  <c r="U62" i="2" s="1"/>
  <c r="T83" i="2"/>
  <c r="U83" i="2" s="1"/>
  <c r="T61" i="2"/>
  <c r="U61" i="2" s="1"/>
  <c r="T76" i="2"/>
  <c r="U76" i="2" s="1"/>
  <c r="T63" i="2"/>
  <c r="U63" i="2" s="1"/>
  <c r="T60" i="2"/>
  <c r="U60" i="2" s="1"/>
  <c r="T79" i="2"/>
  <c r="U79" i="2" s="1"/>
  <c r="T82" i="2"/>
  <c r="U82" i="2" s="1"/>
  <c r="T84" i="2"/>
  <c r="U84" i="2" s="1"/>
  <c r="T77" i="2"/>
  <c r="U77" i="2" s="1"/>
  <c r="T18" i="2"/>
  <c r="U18" i="2" s="1"/>
  <c r="T81" i="2"/>
  <c r="U81" i="2" s="1"/>
  <c r="T78" i="2"/>
  <c r="U78" i="2" s="1"/>
  <c r="T80" i="2"/>
  <c r="U80" i="2" s="1"/>
  <c r="T85" i="2"/>
  <c r="U85" i="2" s="1"/>
  <c r="T13" i="2"/>
  <c r="U13" i="2" s="1"/>
  <c r="T37" i="2"/>
  <c r="U37" i="2" s="1"/>
  <c r="T17" i="2"/>
  <c r="U17" i="2" s="1"/>
  <c r="T7" i="2"/>
  <c r="U7" i="2" s="1"/>
  <c r="T33" i="2"/>
  <c r="U33" i="2" s="1"/>
  <c r="T45" i="2"/>
  <c r="U45" i="2" s="1"/>
  <c r="T48" i="2"/>
  <c r="U48" i="2" s="1"/>
  <c r="P11" i="2"/>
  <c r="R11" i="2" s="1"/>
  <c r="W11" i="2" s="1"/>
  <c r="P8" i="2"/>
  <c r="R8" i="2" s="1"/>
  <c r="W8" i="2" s="1"/>
  <c r="T12" i="2"/>
  <c r="U12" i="2" s="1"/>
  <c r="T52" i="2"/>
  <c r="U52" i="2" s="1"/>
  <c r="T41" i="2"/>
  <c r="U41" i="2" s="1"/>
  <c r="T28" i="2"/>
  <c r="U28" i="2" s="1"/>
  <c r="T40" i="2"/>
  <c r="U40" i="2" s="1"/>
  <c r="T32" i="2"/>
  <c r="U32" i="2" s="1"/>
  <c r="P9" i="2"/>
  <c r="R9" i="2" s="1"/>
  <c r="W9" i="2" s="1"/>
  <c r="T29" i="2"/>
  <c r="U29" i="2" s="1"/>
  <c r="T49" i="2"/>
  <c r="U49" i="2" s="1"/>
  <c r="T44" i="2"/>
  <c r="U44" i="2" s="1"/>
  <c r="T36" i="2"/>
  <c r="U36" i="2" s="1"/>
  <c r="P10" i="2"/>
  <c r="R10" i="2" s="1"/>
  <c r="W10" i="2" s="1"/>
  <c r="M55" i="2"/>
  <c r="T19" i="2" l="1"/>
  <c r="U19" i="2" s="1"/>
  <c r="T10" i="2"/>
  <c r="U10" i="2" s="1"/>
  <c r="T11" i="2"/>
  <c r="U11" i="2" s="1"/>
  <c r="T8" i="2"/>
  <c r="U8" i="2" s="1"/>
  <c r="T9" i="2"/>
  <c r="U9" i="2" l="1"/>
  <c r="U15" i="2" s="1"/>
  <c r="T15" i="2"/>
  <c r="H8" i="4" s="1"/>
  <c r="S46" i="2"/>
  <c r="S34" i="2"/>
  <c r="S22" i="2"/>
  <c r="S26" i="2"/>
  <c r="S42" i="2"/>
  <c r="S25" i="2"/>
  <c r="S24" i="2"/>
  <c r="S30" i="2"/>
  <c r="S38" i="2"/>
  <c r="T25" i="2" l="1"/>
  <c r="U25" i="2" s="1"/>
  <c r="T38" i="2"/>
  <c r="U38" i="2" s="1"/>
  <c r="T42" i="2"/>
  <c r="U42" i="2" s="1"/>
  <c r="T30" i="2"/>
  <c r="U30" i="2" s="1"/>
  <c r="T26" i="2"/>
  <c r="U26" i="2" s="1"/>
  <c r="T46" i="2"/>
  <c r="U46" i="2" s="1"/>
  <c r="T34" i="2"/>
  <c r="U34" i="2" s="1"/>
  <c r="J8" i="4"/>
  <c r="L8" i="4"/>
  <c r="T24" i="2"/>
  <c r="U24" i="2" s="1"/>
  <c r="T22" i="2"/>
  <c r="U22" i="2" s="1"/>
  <c r="S20" i="2"/>
  <c r="S35" i="2"/>
  <c r="S23" i="2"/>
  <c r="S47" i="2"/>
  <c r="S31" i="2"/>
  <c r="S39" i="2"/>
  <c r="S43" i="2"/>
  <c r="S27" i="2"/>
  <c r="T43" i="2" l="1"/>
  <c r="U43" i="2" s="1"/>
  <c r="T39" i="2"/>
  <c r="U39" i="2" s="1"/>
  <c r="T35" i="2"/>
  <c r="U35" i="2" s="1"/>
  <c r="T31" i="2"/>
  <c r="U31" i="2" s="1"/>
  <c r="T20" i="2"/>
  <c r="U20" i="2" s="1"/>
  <c r="T27" i="2"/>
  <c r="U27" i="2" s="1"/>
  <c r="T47" i="2"/>
  <c r="U47" i="2" s="1"/>
  <c r="T23" i="2"/>
  <c r="U23" i="2" s="1"/>
  <c r="S21" i="2"/>
  <c r="T21" i="2" l="1"/>
  <c r="S54" i="2"/>
  <c r="T54" i="2" l="1"/>
  <c r="H9" i="4" s="1"/>
  <c r="U21" i="2"/>
  <c r="U54" i="2" s="1"/>
  <c r="U55" i="2" s="1"/>
  <c r="S55" i="2"/>
  <c r="F9" i="4"/>
  <c r="B53" i="7" l="1"/>
  <c r="B54" i="7" s="1"/>
  <c r="B57" i="7"/>
  <c r="B58" i="7" s="1"/>
  <c r="T55" i="2"/>
  <c r="F11" i="4"/>
  <c r="L9" i="4"/>
  <c r="J9" i="4"/>
  <c r="H11" i="4"/>
  <c r="L11" i="4" l="1"/>
  <c r="C58" i="7"/>
  <c r="J11" i="4"/>
</calcChain>
</file>

<file path=xl/comments1.xml><?xml version="1.0" encoding="utf-8"?>
<comments xmlns="http://schemas.openxmlformats.org/spreadsheetml/2006/main">
  <authors>
    <author>Sevall, Scott (UTC)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This is yearly customers.</t>
        </r>
      </text>
    </comment>
  </commentList>
</comments>
</file>

<file path=xl/sharedStrings.xml><?xml version="1.0" encoding="utf-8"?>
<sst xmlns="http://schemas.openxmlformats.org/spreadsheetml/2006/main" count="472" uniqueCount="261">
  <si>
    <t>Basin Disposal, Inc.</t>
  </si>
  <si>
    <t>Calculated Revenue Increase</t>
  </si>
  <si>
    <t>As a result of increased disposal fees.</t>
  </si>
  <si>
    <t>Current</t>
  </si>
  <si>
    <t xml:space="preserve">Proposed </t>
  </si>
  <si>
    <t>Increase</t>
  </si>
  <si>
    <t>Revenue</t>
  </si>
  <si>
    <t>Dollars</t>
  </si>
  <si>
    <t>Percentage</t>
  </si>
  <si>
    <t>Residential - from calculation worksheet</t>
  </si>
  <si>
    <t xml:space="preserve">Commercial </t>
  </si>
  <si>
    <t>Disposal Rate Per Ton</t>
  </si>
  <si>
    <t>Per Ton</t>
  </si>
  <si>
    <t xml:space="preserve">Current Rate </t>
  </si>
  <si>
    <t>New Rate per ton</t>
  </si>
  <si>
    <t>Supercan 90</t>
  </si>
  <si>
    <t>RES_96GAL</t>
  </si>
  <si>
    <t>8 yd container</t>
  </si>
  <si>
    <t>FEL_8.0YD</t>
  </si>
  <si>
    <t>TEMP_8.0YD_FEL</t>
  </si>
  <si>
    <t>6 yd container</t>
  </si>
  <si>
    <t>FEL_6.0YD</t>
  </si>
  <si>
    <t>TEMP_6.0YD_FEL</t>
  </si>
  <si>
    <t>4 yd container</t>
  </si>
  <si>
    <t>FEL_4.0YD</t>
  </si>
  <si>
    <t>TEMP_4.0YD_FEL</t>
  </si>
  <si>
    <t>1.5 yd container</t>
  </si>
  <si>
    <t>FEL_1.5YD</t>
  </si>
  <si>
    <t>3 yd container</t>
  </si>
  <si>
    <t>FEL_3.0YD</t>
  </si>
  <si>
    <t>TEMP_3.0YD_FEL</t>
  </si>
  <si>
    <t>2 yd container</t>
  </si>
  <si>
    <t>FEL_2.0YD</t>
  </si>
  <si>
    <t>TEMP_2.0YD_FEL</t>
  </si>
  <si>
    <t>1 yd container</t>
  </si>
  <si>
    <t>FEL_1.0YD</t>
  </si>
  <si>
    <t>TEMP_1.5YD_FEL</t>
  </si>
  <si>
    <t>Extras</t>
  </si>
  <si>
    <t>Yards</t>
  </si>
  <si>
    <t>RES_EXTRA_YDS</t>
  </si>
  <si>
    <t>RES_EXTRA_BAG/BOX/MISC</t>
  </si>
  <si>
    <t>Supercan 60</t>
  </si>
  <si>
    <t>RES_64GAL</t>
  </si>
  <si>
    <t>35 gallon Can</t>
  </si>
  <si>
    <t>RES_32GAL</t>
  </si>
  <si>
    <t>RES_32GAL_1XMONTH</t>
  </si>
  <si>
    <t>RES_300GAL</t>
  </si>
  <si>
    <t>COM_EXTRA_YARDS</t>
  </si>
  <si>
    <t>FEL_8.0YD_SPEC_PICK_UP</t>
  </si>
  <si>
    <t>FEL_6.0YD_SPEC_PICK_UP</t>
  </si>
  <si>
    <t>FEL_4.0YD_SPEC_PICK_UP</t>
  </si>
  <si>
    <t>FEL_3.0YD_SPEC_PICK_UP</t>
  </si>
  <si>
    <t>FEL_2.0YD_SPEC_PICK_UP</t>
  </si>
  <si>
    <t>FEL_1.5YD_SPEC_PICK_UP</t>
  </si>
  <si>
    <t>1.25 yd container</t>
  </si>
  <si>
    <t>FEL_1.25YD</t>
  </si>
  <si>
    <t>6 yd packer/compactor</t>
  </si>
  <si>
    <t>COMP_6.0YD_1X</t>
  </si>
  <si>
    <t>4 yd packer/compactor</t>
  </si>
  <si>
    <t>3 yd packer/compactor</t>
  </si>
  <si>
    <t>2 yd packer/compactor</t>
  </si>
  <si>
    <t>COM_96GAL</t>
  </si>
  <si>
    <t>COM_64GAL</t>
  </si>
  <si>
    <t>Cans</t>
  </si>
  <si>
    <t>COM_32GAL</t>
  </si>
  <si>
    <t>COM_32GAL_SPEC_PICK_UP</t>
  </si>
  <si>
    <t>COM_300GAL</t>
  </si>
  <si>
    <t>COM_220GAL</t>
  </si>
  <si>
    <t>COM_200GAL</t>
  </si>
  <si>
    <t>MeeksProduct</t>
  </si>
  <si>
    <t>CoreProduct</t>
  </si>
  <si>
    <t>* not on meeks - calculated by staff</t>
  </si>
  <si>
    <t>?????</t>
  </si>
  <si>
    <t>RES_ RECYCLE_CART</t>
  </si>
  <si>
    <t>*</t>
  </si>
  <si>
    <t>Commercial</t>
  </si>
  <si>
    <t>FEL_CDBD</t>
  </si>
  <si>
    <t>8 yd packer/compactor</t>
  </si>
  <si>
    <t>5 yd packer/compactor</t>
  </si>
  <si>
    <t>1.5 yd packer/compactor</t>
  </si>
  <si>
    <t>1 yd packer/compactor</t>
  </si>
  <si>
    <t>Residential</t>
  </si>
  <si>
    <t>Tip Service Cross Reference</t>
  </si>
  <si>
    <t>Once a month</t>
  </si>
  <si>
    <t>Monthly (MG)</t>
  </si>
  <si>
    <t>6 cans</t>
  </si>
  <si>
    <t>Every Other Week (EOWG)</t>
  </si>
  <si>
    <t>5 cans</t>
  </si>
  <si>
    <t>Weekly Pickup (WG)</t>
  </si>
  <si>
    <t>4 cans</t>
  </si>
  <si>
    <t>2 Times per Week</t>
  </si>
  <si>
    <t>3 cans</t>
  </si>
  <si>
    <t>3 Times per Week</t>
  </si>
  <si>
    <t>2 cans</t>
  </si>
  <si>
    <t>4 Times per Week</t>
  </si>
  <si>
    <t>1 can</t>
  </si>
  <si>
    <t>5 Times per Week</t>
  </si>
  <si>
    <t>20 gal minican</t>
  </si>
  <si>
    <t>7 units</t>
  </si>
  <si>
    <t>6 units</t>
  </si>
  <si>
    <t>5 units</t>
  </si>
  <si>
    <t>4 units</t>
  </si>
  <si>
    <t>3 units</t>
  </si>
  <si>
    <t>2 units</t>
  </si>
  <si>
    <t>1 units</t>
  </si>
  <si>
    <t>Pickups:</t>
  </si>
  <si>
    <t>Staff Calculation</t>
  </si>
  <si>
    <t>Pounds Per Pickup</t>
  </si>
  <si>
    <t>Original Meeks</t>
  </si>
  <si>
    <t>Meeks_Description</t>
  </si>
  <si>
    <t>Service Type</t>
  </si>
  <si>
    <t>Monthly Factor</t>
  </si>
  <si>
    <t>Meeks Weights</t>
  </si>
  <si>
    <t>Per Pound</t>
  </si>
  <si>
    <t>Gross Up Factors</t>
  </si>
  <si>
    <t>B&amp;O tax</t>
  </si>
  <si>
    <t>WUTC fees</t>
  </si>
  <si>
    <t>Bad Debts</t>
  </si>
  <si>
    <t>Total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</si>
  <si>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</si>
  <si>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</si>
  <si>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</si>
  <si>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</si>
  <si>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</si>
  <si>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</si>
  <si>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</si>
  <si>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</si>
  <si>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</si>
  <si>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</si>
  <si>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</si>
  <si>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</si>
  <si>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CBLLC Transfer Station (Pasco)</t>
  </si>
  <si>
    <t>BDI</t>
  </si>
  <si>
    <t>EDS</t>
  </si>
  <si>
    <t>Packer</t>
  </si>
  <si>
    <t>Roll off</t>
  </si>
  <si>
    <t>Roll - Off - Tonnage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</si>
  <si>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</si>
  <si>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</si>
  <si>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</si>
  <si>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</si>
  <si>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</si>
  <si>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</si>
  <si>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</si>
  <si>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</si>
  <si>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</si>
  <si>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</si>
  <si>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</si>
  <si>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</si>
  <si>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</si>
  <si>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</si>
  <si>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Customer Owned</t>
  </si>
  <si>
    <t>Ed's Internal Service Code</t>
  </si>
  <si>
    <t>Pickup Frequency</t>
  </si>
  <si>
    <t>1 96 Gallon Weekly</t>
  </si>
  <si>
    <t>1 64 Gallon Weekly</t>
  </si>
  <si>
    <t>Meeks Description</t>
  </si>
  <si>
    <t>RES_EXTRA</t>
  </si>
  <si>
    <t>No Current Customers</t>
  </si>
  <si>
    <t>1 Can WG</t>
  </si>
  <si>
    <t>2 Cans WG</t>
  </si>
  <si>
    <t>3 Cans WG</t>
  </si>
  <si>
    <t>4 Cans WG</t>
  </si>
  <si>
    <t>5 Cans WG</t>
  </si>
  <si>
    <t>6 Cans WG</t>
  </si>
  <si>
    <t>1 Can MG</t>
  </si>
  <si>
    <t>Add'l Cubic Yards</t>
  </si>
  <si>
    <t>Container Svc - 64 gal 1st p/u</t>
  </si>
  <si>
    <t>Container Svc - 64 gal Add'tl p/u</t>
  </si>
  <si>
    <t>Container Svc - 64 gal Spc'l p/u</t>
  </si>
  <si>
    <t>Container Svc - 96 gal 1st p/u</t>
  </si>
  <si>
    <t>Container Svc - 96 gal Add'tl p/u</t>
  </si>
  <si>
    <t>Container Svc - 96 gal Spc'l p/u</t>
  </si>
  <si>
    <t>Container Svc - 300 gal 1st p/u</t>
  </si>
  <si>
    <t>Container Svc - 300 gal Add'tl p/u</t>
  </si>
  <si>
    <t>Container Svc - 300 gal Spc'l p/u</t>
  </si>
  <si>
    <t>Container Svc - 300 gal 1st p/u 1xMonth</t>
  </si>
  <si>
    <t>Container Svc - 300 gal Add'tl p/u EOW</t>
  </si>
  <si>
    <t>Container Svc - 1.0 Yd 1st p/u</t>
  </si>
  <si>
    <t>Container Svc - 1.0 Yd Add'tl p/u</t>
  </si>
  <si>
    <t>Container Svc - 1.0 Yd  Temp</t>
  </si>
  <si>
    <t>Container Svc - 1.0 Yd  Spc'l p/u</t>
  </si>
  <si>
    <t>Container Svc - 1.5 Yd 1st p/u</t>
  </si>
  <si>
    <t>Container Svc - 1.5 Yd Add'tl p/u</t>
  </si>
  <si>
    <t>Container Svc - 1.5Yd  Spc'l p/u</t>
  </si>
  <si>
    <t>Container Svc - 1.5Yd Temp</t>
  </si>
  <si>
    <t>Container Svc - 1.5Yd EOW</t>
  </si>
  <si>
    <t>Container Svc - 2.0 Yd 1st p/u</t>
  </si>
  <si>
    <t>Container Svc - 2.0 Yd Add'tl p/u</t>
  </si>
  <si>
    <t>Container Svc - 2.0 Yd  Spc'l p/u</t>
  </si>
  <si>
    <t>Container Svc - 2.0 Yd  Temp</t>
  </si>
  <si>
    <t>Container Svc - 2.0 Yd 2xWk</t>
  </si>
  <si>
    <t>Container Svc - 2.0 Yd EOW</t>
  </si>
  <si>
    <t>Container Svc - 3.0 Yd 1st p/u</t>
  </si>
  <si>
    <t>Container Svc - 3.0 Yd Add'tl p/u</t>
  </si>
  <si>
    <t>Container Svc - 3.0 Yd  Temp</t>
  </si>
  <si>
    <t>Container Svc - 3.0 Yd  Spc'l p/u</t>
  </si>
  <si>
    <t>Container Svc - 3.0 Yd EOW</t>
  </si>
  <si>
    <t>Container Svc - 4.0 Yd 1st p/u</t>
  </si>
  <si>
    <t>Container Svc - 4.0 Yd Add'tl p/u</t>
  </si>
  <si>
    <t>Container Svc - 4.0 Yd  Spc'l p/u</t>
  </si>
  <si>
    <t>Container Svc - 6.0 YD 1st p/u</t>
  </si>
  <si>
    <t>Container Svc - 6.0 YD Add'tl p/u</t>
  </si>
  <si>
    <t>Container Svc - 8.0 YD 1st p/u</t>
  </si>
  <si>
    <t>Container Svc - 8.0 YD Add'tl p/u</t>
  </si>
  <si>
    <t>Adjustment Factor Calculation</t>
  </si>
  <si>
    <t>Total Tonnage</t>
  </si>
  <si>
    <t>Total Pounds</t>
  </si>
  <si>
    <t>Total Pick Ups</t>
  </si>
  <si>
    <t>Adjustment factor</t>
  </si>
  <si>
    <t>22-A</t>
  </si>
  <si>
    <t>23-A</t>
  </si>
  <si>
    <t>1 300 Gallon Weekly</t>
  </si>
  <si>
    <t>Extra can or unit</t>
  </si>
  <si>
    <t>Container Svc - 6.0 Yd  Spc'l p/u</t>
  </si>
  <si>
    <t>Comm'l Cans</t>
  </si>
  <si>
    <t>Class</t>
  </si>
  <si>
    <t>Index</t>
  </si>
  <si>
    <t>Bulky Material (add'l yds)</t>
  </si>
  <si>
    <t>Loos Material (add'l yds comp load)</t>
  </si>
  <si>
    <t>Loose Material (1-4yds comp load)</t>
  </si>
  <si>
    <t>Container Svc - 1.5Yd Compact 1st p/u</t>
  </si>
  <si>
    <t>Container Svc - 1.5Yd Compact Add'tl p/u</t>
  </si>
  <si>
    <t>Container Svc - 1.5Yd Compact Spc'l p/u</t>
  </si>
  <si>
    <t>Container Svc - 2Yd Compact 1st p/u</t>
  </si>
  <si>
    <t>Container Svc - 2Yd Compact Add'tl p/u</t>
  </si>
  <si>
    <t>Container Svc - 2Yd Compact Spc'l p/u</t>
  </si>
  <si>
    <t>Container Svc - 3Yd Compact 1st p/u</t>
  </si>
  <si>
    <t>Container Svc - 3Yd Compact Add'tl p/u</t>
  </si>
  <si>
    <t>Container Svc - 3Yd Compact Spc'l p/u</t>
  </si>
  <si>
    <t>Container Svc - 4Yd Compact 1st p/u</t>
  </si>
  <si>
    <t>Container Svc - 4Yd Compact Add'tl p/u</t>
  </si>
  <si>
    <t>Container Svc - 4Yd Compact Spc'l p/u</t>
  </si>
  <si>
    <t>Container Svc - 6Yd Compact 1st p/u</t>
  </si>
  <si>
    <t>Container Svc - 6Yd Compact Add'tl p/u</t>
  </si>
  <si>
    <t>Container Svc - 6Yd Compact Spc'l p/u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</si>
  <si>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</si>
  <si>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</si>
  <si>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</si>
  <si>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</si>
  <si>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</si>
  <si>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</si>
  <si>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</si>
  <si>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</si>
  <si>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</si>
  <si>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</si>
  <si>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</si>
  <si>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Extra 32gal Service</t>
  </si>
  <si>
    <t>Extra 64gal Service</t>
  </si>
  <si>
    <t>Extra 96gal Service</t>
  </si>
  <si>
    <t>Columbia Basin, LLC Transfer Station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</si>
  <si>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</si>
  <si>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</si>
  <si>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BASIN DISPOSAL, INC. G-118</t>
  </si>
  <si>
    <t>Prepared by Dave Atwell, BASIN Disposal Pricing Manager</t>
  </si>
  <si>
    <t>32gal can/unit - Each Scheduled Pickup</t>
  </si>
  <si>
    <t>32gal can/unit - Special Pickup</t>
  </si>
  <si>
    <t>Container Svc - 4.0 Yd Temp</t>
  </si>
  <si>
    <t>Container Svc - 6.0 YD Temp</t>
  </si>
  <si>
    <t>Container Svc - 8.0 YD Temp</t>
  </si>
  <si>
    <t>Container Svc - 8.0 YD  Spc'l p/u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</si>
</sst>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&quot;$&quot;#,##0.00"/>
    <numFmt numFmtId="172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4" fillId="0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44" fontId="0" fillId="2" borderId="0" xfId="2" applyFont="1" applyFill="1"/>
    <xf numFmtId="44" fontId="0" fillId="2" borderId="1" xfId="2" applyFont="1" applyFill="1" applyBorder="1"/>
    <xf numFmtId="0" fontId="0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/>
    <xf numFmtId="165" fontId="0" fillId="3" borderId="0" xfId="1" applyNumberFormat="1" applyFont="1" applyFill="1"/>
    <xf numFmtId="43" fontId="0" fillId="0" borderId="0" xfId="0" applyNumberFormat="1" applyFont="1"/>
    <xf numFmtId="0" fontId="0" fillId="3" borderId="0" xfId="0" applyFont="1" applyFill="1" applyAlignment="1">
      <alignment horizontal="left" indent="1"/>
    </xf>
    <xf numFmtId="0" fontId="0" fillId="4" borderId="0" xfId="0" applyFill="1"/>
    <xf numFmtId="165" fontId="0" fillId="5" borderId="0" xfId="1" applyNumberFormat="1" applyFont="1" applyFill="1"/>
    <xf numFmtId="43" fontId="0" fillId="0" borderId="0" xfId="1" applyFont="1"/>
    <xf numFmtId="0" fontId="0" fillId="0" borderId="0" xfId="0" applyFont="1"/>
    <xf numFmtId="2" fontId="0" fillId="0" borderId="0" xfId="0" applyNumberForma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4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8" borderId="0" xfId="2" applyFont="1" applyFill="1"/>
    <xf numFmtId="166" fontId="0" fillId="8" borderId="0" xfId="2" applyNumberFormat="1" applyFont="1" applyFill="1"/>
    <xf numFmtId="167" fontId="0" fillId="0" borderId="0" xfId="1" applyNumberFormat="1" applyFont="1"/>
    <xf numFmtId="44" fontId="0" fillId="8" borderId="1" xfId="2" applyFont="1" applyFill="1" applyBorder="1"/>
    <xf numFmtId="166" fontId="0" fillId="8" borderId="1" xfId="2" applyNumberFormat="1" applyFont="1" applyFill="1" applyBorder="1"/>
    <xf numFmtId="167" fontId="0" fillId="0" borderId="0" xfId="1" applyNumberFormat="1" applyFont="1" applyBorder="1"/>
    <xf numFmtId="168" fontId="0" fillId="8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7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5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2" xfId="0" applyFont="1" applyBorder="1"/>
    <xf numFmtId="0" fontId="0" fillId="7" borderId="3" xfId="0" applyFont="1" applyFill="1" applyBorder="1" applyAlignment="1">
      <alignment horizontal="center"/>
    </xf>
    <xf numFmtId="0" fontId="0" fillId="0" borderId="4" xfId="0" applyFont="1" applyBorder="1"/>
    <xf numFmtId="44" fontId="0" fillId="0" borderId="5" xfId="2" applyFont="1" applyBorder="1"/>
    <xf numFmtId="0" fontId="0" fillId="0" borderId="5" xfId="0" applyFont="1" applyBorder="1"/>
    <xf numFmtId="0" fontId="4" fillId="0" borderId="4" xfId="0" applyFont="1" applyBorder="1"/>
    <xf numFmtId="0" fontId="0" fillId="7" borderId="6" xfId="0" applyFont="1" applyFill="1" applyBorder="1" applyAlignment="1">
      <alignment horizontal="center"/>
    </xf>
    <xf numFmtId="44" fontId="5" fillId="0" borderId="5" xfId="2" applyFont="1" applyBorder="1"/>
    <xf numFmtId="0" fontId="0" fillId="0" borderId="7" xfId="0" applyFont="1" applyBorder="1" applyAlignment="1">
      <alignment horizontal="left"/>
    </xf>
    <xf numFmtId="44" fontId="0" fillId="0" borderId="8" xfId="2" applyFont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5" applyFont="1" applyBorder="1"/>
    <xf numFmtId="3" fontId="7" fillId="0" borderId="0" xfId="6" applyNumberFormat="1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0" xfId="0" applyFill="1"/>
    <xf numFmtId="43" fontId="0" fillId="0" borderId="0" xfId="0" applyNumberFormat="1"/>
    <xf numFmtId="0" fontId="0" fillId="0" borderId="0" xfId="0" applyFont="1" applyFill="1" applyBorder="1" applyAlignment="1">
      <alignment vertical="center" textRotation="90"/>
    </xf>
    <xf numFmtId="3" fontId="4" fillId="7" borderId="1" xfId="0" applyNumberFormat="1" applyFont="1" applyFill="1" applyBorder="1" applyAlignment="1">
      <alignment horizontal="right"/>
    </xf>
    <xf numFmtId="171" fontId="4" fillId="7" borderId="1" xfId="0" applyNumberFormat="1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7" fillId="0" borderId="0" xfId="5" applyFont="1" applyFill="1" applyBorder="1"/>
    <xf numFmtId="3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Border="1"/>
    <xf numFmtId="165" fontId="4" fillId="0" borderId="1" xfId="1" applyNumberFormat="1" applyFont="1" applyBorder="1" applyAlignment="1">
      <alignment horizontal="center"/>
    </xf>
    <xf numFmtId="165" fontId="0" fillId="8" borderId="0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172" fontId="0" fillId="0" borderId="0" xfId="0" applyNumberFormat="1"/>
    <xf numFmtId="171" fontId="0" fillId="0" borderId="0" xfId="0" applyNumberFormat="1"/>
    <xf numFmtId="44" fontId="0" fillId="9" borderId="9" xfId="2" applyFont="1" applyFill="1" applyBorder="1"/>
    <xf numFmtId="44" fontId="7" fillId="10" borderId="0" xfId="7" applyFont="1" applyFill="1"/>
    <xf numFmtId="44" fontId="0" fillId="9" borderId="0" xfId="2" applyFont="1" applyFill="1" applyBorder="1"/>
    <xf numFmtId="44" fontId="0" fillId="11" borderId="0" xfId="2" applyFont="1" applyFill="1" applyBorder="1"/>
    <xf numFmtId="0" fontId="0" fillId="0" borderId="12" xfId="0" applyBorder="1"/>
    <xf numFmtId="0" fontId="8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9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7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urrency" xfId="2" builtinId="4"/>
    <cellStyle name="Currency 2" xfId="7"/>
    <cellStyle name="Normal" xfId="0" builtinId="0"/>
    <cellStyle name="Normal 105" xfId="6"/>
    <cellStyle name="Normal_Murrey's Jan-Dec 2012" xfId="5"/>
    <cellStyle name="Normal_Price ou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/EDS%20Tariff%20110/Tariff%205_TipFeeIncrease_Jan2019/EDS-Rate%20Calculations%20Jan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BDI-EDS_Filing_DEC2017/WorkingDocuments/Tonnage/BDI-EDS_Tonnage_31JULY2017%20(WB%20Edit%2029Aug2017)(DAEdit%2003Oct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CityRateCases/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S_Calculation"/>
      <sheetName val="References_EDS"/>
      <sheetName val="EDS_RevenueIncrease"/>
      <sheetName val="Tonnage Summary"/>
    </sheetNames>
    <sheetDataSet>
      <sheetData sheetId="0"/>
      <sheetData sheetId="1">
        <row r="42">
          <cell r="C42">
            <v>1.3750000000000012E-3</v>
          </cell>
        </row>
        <row r="45">
          <cell r="G45">
            <v>0.98099999999999998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123"/>
  <sheetViews>
    <sheetView zoomScale="70" zoomScaleNormal="70" workbookViewId="0">
      <pane xSplit="4" ySplit="9" topLeftCell="E10" activePane="bottomRight" state="frozen"/>
      <selection pane="topRight" activeCell="D1" sqref="D1"/>
      <selection pane="bottomLeft" activeCell="A2" sqref="A2"/>
      <selection pane="bottomRight" activeCell="I19" sqref="I19"/>
    </sheetView>
  </sheetViews>
  <sheetFormatPr defaultRowHeight="15" x14ac:dyDescent="0.25"/>
  <cols>
    <col min="2" max="2" width="24.140625" bestFit="1" customWidth="1"/>
    <col min="3" max="3" width="17.7109375" bestFit="1" customWidth="1"/>
    <col min="4" max="4" width="19.28515625" bestFit="1" customWidth="1"/>
    <col min="5" max="5" width="11.5703125" bestFit="1" customWidth="1"/>
    <col min="6" max="6" width="5.7109375" bestFit="1" customWidth="1"/>
    <col min="7" max="7" width="36.28515625" bestFit="1" customWidth="1"/>
    <col min="8" max="8" width="16.85546875" customWidth="1"/>
    <col min="9" max="9" width="10.7109375" customWidth="1"/>
    <col min="10" max="10" width="11.7109375" customWidth="1"/>
    <col min="11" max="11" width="9" customWidth="1"/>
    <col min="12" max="12" width="25.7109375" customWidth="1"/>
    <col min="13" max="13" width="18" customWidth="1"/>
    <col min="14" max="15" width="14.5703125" customWidth="1"/>
    <col min="16" max="16" width="15.42578125" customWidth="1"/>
    <col min="17" max="17" width="17.5703125" bestFit="1" customWidth="1"/>
    <col min="18" max="18" width="19.5703125" bestFit="1" customWidth="1"/>
    <col min="19" max="19" width="18.7109375" bestFit="1" customWidth="1"/>
    <col min="20" max="20" width="20.5703125" bestFit="1" customWidth="1"/>
    <col min="21" max="21" width="17.28515625" customWidth="1"/>
    <col min="23" max="23" width="12" bestFit="1" customWidth="1"/>
    <col min="24" max="25" width="11.140625" bestFit="1" customWidth="1"/>
    <col min="26" max="26" width="11.5703125" bestFit="1" customWidth="1"/>
    <col min="27" max="28" width="12" bestFit="1" customWidth="1"/>
  </cols>
  <sheetData>
    <row r="1" spans="1:23" ht="26.25" x14ac:dyDescent="0.4">
      <c r="A1" s="103" t="s">
        <v>253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3" ht="26.25" x14ac:dyDescent="0.4">
      <c r="A2" t="s">
        <v>254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3" ht="26.25" x14ac:dyDescent="0.4">
      <c r="A3" t="s">
        <v>251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3" ht="26.25" x14ac:dyDescent="0.4">
      <c r="A4" t="s">
        <v>252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3" x14ac:dyDescent="0.25">
      <c r="F5" s="1"/>
    </row>
    <row r="6" spans="1:23" ht="45" x14ac:dyDescent="0.25">
      <c r="A6" t="s">
        <v>217</v>
      </c>
      <c r="B6" s="70" t="s">
        <v>152</v>
      </c>
      <c r="C6" s="70" t="s">
        <v>156</v>
      </c>
      <c r="D6" s="70" t="s">
        <v>153</v>
      </c>
      <c r="E6" s="29" t="s">
        <v>216</v>
      </c>
      <c r="F6" s="57" t="s">
        <v>137</v>
      </c>
      <c r="G6" s="58" t="s">
        <v>138</v>
      </c>
      <c r="H6" s="57" t="s">
        <v>139</v>
      </c>
      <c r="I6" s="57" t="s">
        <v>140</v>
      </c>
      <c r="J6" s="29" t="s">
        <v>141</v>
      </c>
      <c r="K6" s="57" t="s">
        <v>112</v>
      </c>
      <c r="L6" s="57" t="s">
        <v>142</v>
      </c>
      <c r="M6" s="59" t="s">
        <v>143</v>
      </c>
      <c r="N6" s="60" t="s">
        <v>5</v>
      </c>
      <c r="O6" s="57" t="s">
        <v>144</v>
      </c>
      <c r="P6" s="57" t="s">
        <v>145</v>
      </c>
      <c r="Q6" s="57" t="s">
        <v>146</v>
      </c>
      <c r="R6" s="57" t="s">
        <v>147</v>
      </c>
      <c r="S6" s="57" t="s">
        <v>148</v>
      </c>
      <c r="T6" s="57" t="s">
        <v>149</v>
      </c>
      <c r="U6" s="57" t="s">
        <v>150</v>
      </c>
    </row>
    <row r="7" spans="1:23" x14ac:dyDescent="0.25">
      <c r="A7">
        <v>1</v>
      </c>
      <c r="B7" t="s">
        <v>45</v>
      </c>
      <c r="C7" t="s">
        <v>43</v>
      </c>
      <c r="D7" t="s">
        <v>84</v>
      </c>
      <c r="E7" s="100" t="s">
        <v>81</v>
      </c>
      <c r="F7" s="61" t="s">
        <v>210</v>
      </c>
      <c r="G7" s="62" t="s">
        <v>165</v>
      </c>
      <c r="H7" s="2">
        <v>12</v>
      </c>
      <c r="I7" s="19">
        <f>INDEX(References_BDI!$M$2:$T$9,MATCH($D7,References_BDI!$M$2:$M$9,0),MATCH(LEFT($G7,1)&amp;" units",References_BDI!$M$2:$T$2,0))</f>
        <v>1</v>
      </c>
      <c r="J7" s="2">
        <f>+H7*I7</f>
        <v>12</v>
      </c>
      <c r="K7">
        <f>References_BDI!$C$4</f>
        <v>34</v>
      </c>
      <c r="L7" s="71">
        <f t="shared" ref="L7:L13" si="0">+K7*J7</f>
        <v>408</v>
      </c>
      <c r="M7" s="71">
        <f>+L7*$H$123</f>
        <v>327.333087500658</v>
      </c>
      <c r="N7" s="89">
        <f>+M7*References_BDI!$C$42</f>
        <v>0.48445296950097338</v>
      </c>
      <c r="O7" s="89">
        <f>+N7/References_BDI!$G$45</f>
        <v>0.49439021277780731</v>
      </c>
      <c r="P7" s="89">
        <f>IFERROR(O7/J7,0)</f>
        <v>4.119918439815061E-2</v>
      </c>
      <c r="Q7" s="91">
        <v>9.0500000000000007</v>
      </c>
      <c r="R7" s="90">
        <f t="shared" ref="R7:R13" si="1">P7+Q7</f>
        <v>9.0911991843981514</v>
      </c>
      <c r="S7" s="89">
        <f>+Q7*H7</f>
        <v>108.60000000000001</v>
      </c>
      <c r="T7" s="89">
        <f>+R7*H7</f>
        <v>109.09439021277782</v>
      </c>
      <c r="U7" s="93">
        <f>+T7-S7</f>
        <v>0.49439021277781592</v>
      </c>
      <c r="W7" t="str">
        <f>IF(R7&lt;10,TEXT(R7,"$0.00")&amp;" (A)",IF(R7&lt;100,TEXT(R7,"$00.00")&amp;" (A)",TEXT(R7,"$000.00")&amp;" (A)"))</f>
        <v>$9.09 (A)</v>
      </c>
    </row>
    <row r="8" spans="1:23" x14ac:dyDescent="0.25">
      <c r="A8">
        <v>2</v>
      </c>
      <c r="B8" t="s">
        <v>44</v>
      </c>
      <c r="C8" t="s">
        <v>43</v>
      </c>
      <c r="D8" t="s">
        <v>88</v>
      </c>
      <c r="E8" s="101"/>
      <c r="F8" s="61" t="s">
        <v>210</v>
      </c>
      <c r="G8" s="62" t="s">
        <v>159</v>
      </c>
      <c r="H8" s="2">
        <v>156</v>
      </c>
      <c r="I8" s="19">
        <f>INDEX(References_BDI!$M$2:$T$9,MATCH($D8,References_BDI!$M$2:$M$9,0),MATCH(LEFT($G8,1)&amp;" units",References_BDI!$M$2:$T$2,0))</f>
        <v>4.333333333333333</v>
      </c>
      <c r="J8" s="2">
        <f>+H8*I8</f>
        <v>676</v>
      </c>
      <c r="K8">
        <f>References_BDI!$C$4</f>
        <v>34</v>
      </c>
      <c r="L8" s="71">
        <f t="shared" si="0"/>
        <v>22984</v>
      </c>
      <c r="M8" s="71">
        <f t="shared" ref="M8:M13" si="2">+L8*$H$123</f>
        <v>18439.763929203735</v>
      </c>
      <c r="N8" s="89">
        <f>+M8*References_BDI!$C$42</f>
        <v>27.290850615221505</v>
      </c>
      <c r="O8" s="89">
        <f>+N8/References_BDI!$G$45</f>
        <v>27.850648653149815</v>
      </c>
      <c r="P8" s="89">
        <f>IFERROR(O8/J8,0)*4.33</f>
        <v>0.17839246844399217</v>
      </c>
      <c r="Q8" s="91">
        <v>19.239999999999998</v>
      </c>
      <c r="R8" s="92">
        <f t="shared" si="1"/>
        <v>19.41839246844399</v>
      </c>
      <c r="S8" s="89">
        <f>+Q8*H8</f>
        <v>3001.4399999999996</v>
      </c>
      <c r="T8" s="89">
        <f>+R8*H8</f>
        <v>3029.2692250772625</v>
      </c>
      <c r="U8" s="93">
        <f t="shared" ref="U8:U13" si="3">+T8-S8</f>
        <v>27.82922507726289</v>
      </c>
      <c r="W8" t="str">
        <f t="shared" ref="W8:W13" si="4">IF(R8&lt;10,TEXT(R8,"$0.00")&amp;" (A)",IF(R8&lt;100,TEXT(R8,"$00.00")&amp;" (A)",TEXT(R8,"$000.00")&amp;" (A)"))</f>
        <v>$19.42 (A)</v>
      </c>
    </row>
    <row r="9" spans="1:23" x14ac:dyDescent="0.25">
      <c r="A9">
        <v>3</v>
      </c>
      <c r="B9" t="s">
        <v>42</v>
      </c>
      <c r="C9" t="s">
        <v>41</v>
      </c>
      <c r="D9" t="s">
        <v>88</v>
      </c>
      <c r="E9" s="101"/>
      <c r="F9" s="61" t="s">
        <v>210</v>
      </c>
      <c r="G9" s="62" t="s">
        <v>155</v>
      </c>
      <c r="H9" s="2">
        <v>7228</v>
      </c>
      <c r="I9" s="19">
        <f>INDEX(References_BDI!$M$2:$T$9,MATCH($D9,References_BDI!$M$2:$M$9,0),MATCH(LEFT($G9,1)&amp;" units",References_BDI!$M$2:$T$2,0))</f>
        <v>4.333333333333333</v>
      </c>
      <c r="J9" s="2">
        <f>+H9*I9</f>
        <v>31321.333333333332</v>
      </c>
      <c r="K9">
        <f>References_BDI!$C$11</f>
        <v>47</v>
      </c>
      <c r="L9" s="71">
        <f t="shared" si="0"/>
        <v>1472102.6666666665</v>
      </c>
      <c r="M9" s="71">
        <f t="shared" si="2"/>
        <v>1181048.8014655684</v>
      </c>
      <c r="N9" s="89">
        <f>+M9*References_BDI!$C$42</f>
        <v>1747.9522261690397</v>
      </c>
      <c r="O9" s="89">
        <f>+N9/References_BDI!$G$45</f>
        <v>1783.8067416767421</v>
      </c>
      <c r="P9" s="89">
        <f>IFERROR(O9/J9,0)*4.33</f>
        <v>0.24660135343728323</v>
      </c>
      <c r="Q9" s="91">
        <v>18.57</v>
      </c>
      <c r="R9" s="92">
        <f t="shared" si="1"/>
        <v>18.816601353437285</v>
      </c>
      <c r="S9" s="89">
        <f>+Q9*H9</f>
        <v>134223.96</v>
      </c>
      <c r="T9" s="89">
        <f>+R9*H9</f>
        <v>136006.39458264469</v>
      </c>
      <c r="U9" s="93">
        <f t="shared" si="3"/>
        <v>1782.4345826446952</v>
      </c>
      <c r="W9" t="str">
        <f t="shared" si="4"/>
        <v>$18.82 (A)</v>
      </c>
    </row>
    <row r="10" spans="1:23" ht="15" customHeight="1" x14ac:dyDescent="0.25">
      <c r="A10">
        <v>4</v>
      </c>
      <c r="B10" t="s">
        <v>16</v>
      </c>
      <c r="C10" t="s">
        <v>15</v>
      </c>
      <c r="D10" t="s">
        <v>88</v>
      </c>
      <c r="E10" s="101"/>
      <c r="F10" s="61" t="s">
        <v>210</v>
      </c>
      <c r="G10" s="62" t="s">
        <v>154</v>
      </c>
      <c r="H10" s="2">
        <v>55760</v>
      </c>
      <c r="I10" s="19">
        <f>INDEX(References_BDI!$M$2:$T$9,MATCH($D10,References_BDI!$M$2:$M$9,0),MATCH(LEFT($G10,1)&amp;" units",References_BDI!$M$2:$T$2,0))</f>
        <v>4.333333333333333</v>
      </c>
      <c r="J10" s="2">
        <f>+H10*I10</f>
        <v>241626.66666666666</v>
      </c>
      <c r="K10">
        <f>References_BDI!$C$12</f>
        <v>68</v>
      </c>
      <c r="L10" s="71">
        <f t="shared" si="0"/>
        <v>16430613.333333332</v>
      </c>
      <c r="M10" s="71">
        <f t="shared" si="2"/>
        <v>13182067.137082053</v>
      </c>
      <c r="N10" s="89">
        <f>+M10*References_BDI!$C$42</f>
        <v>19509.459362881422</v>
      </c>
      <c r="O10" s="89">
        <f>+N10/References_BDI!$G$45</f>
        <v>19909.643191020943</v>
      </c>
      <c r="P10" s="89">
        <f>IFERROR(O10/J10,0)*4.33</f>
        <v>0.35678493688798429</v>
      </c>
      <c r="Q10" s="91">
        <v>23.46</v>
      </c>
      <c r="R10" s="92">
        <f t="shared" si="1"/>
        <v>23.816784936887984</v>
      </c>
      <c r="S10" s="89">
        <f>+Q10*H10</f>
        <v>1308129.6000000001</v>
      </c>
      <c r="T10" s="89">
        <f>+R10*H10</f>
        <v>1328023.928080874</v>
      </c>
      <c r="U10" s="93">
        <f t="shared" si="3"/>
        <v>19894.328080873936</v>
      </c>
      <c r="W10" t="str">
        <f t="shared" si="4"/>
        <v>$23.82 (A)</v>
      </c>
    </row>
    <row r="11" spans="1:23" ht="15" customHeight="1" x14ac:dyDescent="0.25">
      <c r="A11">
        <v>5</v>
      </c>
      <c r="B11" t="s">
        <v>46</v>
      </c>
      <c r="C11" t="s">
        <v>26</v>
      </c>
      <c r="D11" t="s">
        <v>88</v>
      </c>
      <c r="E11" s="101"/>
      <c r="F11" s="61" t="s">
        <v>210</v>
      </c>
      <c r="G11" s="62" t="s">
        <v>212</v>
      </c>
      <c r="H11" s="2">
        <v>8</v>
      </c>
      <c r="I11" s="19">
        <f>INDEX(References_BDI!$M$2:$T$9,MATCH($D11,References_BDI!$M$2:$M$9,0),MATCH(LEFT($G11,1)&amp;" units",References_BDI!$M$2:$T$2,0))</f>
        <v>4.333333333333333</v>
      </c>
      <c r="J11" s="2">
        <f>+H11*I11</f>
        <v>34.666666666666664</v>
      </c>
      <c r="K11">
        <f>References_BDI!$C$16</f>
        <v>175</v>
      </c>
      <c r="L11" s="71">
        <f t="shared" si="0"/>
        <v>6066.6666666666661</v>
      </c>
      <c r="M11" s="71">
        <f t="shared" si="2"/>
        <v>4867.2076736208946</v>
      </c>
      <c r="N11" s="89">
        <f>+M11*References_BDI!$C$42</f>
        <v>7.2034673569589174</v>
      </c>
      <c r="O11" s="89">
        <f>+N11/References_BDI!$G$45</f>
        <v>7.3512270200621668</v>
      </c>
      <c r="P11" s="89">
        <f>IFERROR(O11/J11,0)*4.33</f>
        <v>0.9181965287558419</v>
      </c>
      <c r="Q11" s="91">
        <v>87.78</v>
      </c>
      <c r="R11" s="92">
        <f t="shared" si="1"/>
        <v>88.698196528755844</v>
      </c>
      <c r="S11" s="89">
        <f>+Q11*H11</f>
        <v>702.24</v>
      </c>
      <c r="T11" s="89">
        <f>+R11*H11</f>
        <v>709.58557223004675</v>
      </c>
      <c r="U11" s="93">
        <f t="shared" si="3"/>
        <v>7.3455722300467414</v>
      </c>
      <c r="W11" t="str">
        <f t="shared" si="4"/>
        <v>$88.70 (A)</v>
      </c>
    </row>
    <row r="12" spans="1:23" x14ac:dyDescent="0.25">
      <c r="A12">
        <v>6</v>
      </c>
      <c r="B12" t="s">
        <v>157</v>
      </c>
      <c r="C12" t="s">
        <v>37</v>
      </c>
      <c r="E12" s="101"/>
      <c r="F12" s="61" t="s">
        <v>211</v>
      </c>
      <c r="G12" s="62" t="s">
        <v>213</v>
      </c>
      <c r="J12" s="2">
        <v>1774</v>
      </c>
      <c r="K12">
        <f>References_BDI!$C$14</f>
        <v>34</v>
      </c>
      <c r="L12" s="71">
        <f t="shared" si="0"/>
        <v>60316</v>
      </c>
      <c r="M12" s="71">
        <f t="shared" si="2"/>
        <v>48390.741435513941</v>
      </c>
      <c r="N12" s="89">
        <f>+M12*References_BDI!$C$42</f>
        <v>71.618297324560572</v>
      </c>
      <c r="O12" s="89">
        <f>+N12/References_BDI!$G$45</f>
        <v>73.087353122319186</v>
      </c>
      <c r="P12" s="89">
        <f>IFERROR(O12/J12,0)</f>
        <v>4.119918439815061E-2</v>
      </c>
      <c r="Q12" s="91">
        <v>3.3</v>
      </c>
      <c r="R12" s="92">
        <f t="shared" si="1"/>
        <v>3.3411991843981506</v>
      </c>
      <c r="S12" s="89">
        <f>+Q12*J12</f>
        <v>5854.2</v>
      </c>
      <c r="T12" s="89">
        <f>+R12*J12</f>
        <v>5927.2873531223195</v>
      </c>
      <c r="U12" s="93">
        <f t="shared" si="3"/>
        <v>73.087353122319655</v>
      </c>
      <c r="W12" t="str">
        <f t="shared" si="4"/>
        <v>$3.34 (A)</v>
      </c>
    </row>
    <row r="13" spans="1:23" x14ac:dyDescent="0.25">
      <c r="A13">
        <v>7</v>
      </c>
      <c r="B13" t="s">
        <v>39</v>
      </c>
      <c r="C13" t="s">
        <v>38</v>
      </c>
      <c r="E13" s="101"/>
      <c r="F13" s="61">
        <v>24</v>
      </c>
      <c r="G13" s="62" t="s">
        <v>166</v>
      </c>
      <c r="J13" s="2">
        <v>6</v>
      </c>
      <c r="K13">
        <f>References_BDI!$C$31</f>
        <v>125</v>
      </c>
      <c r="L13" s="71">
        <f t="shared" si="0"/>
        <v>750</v>
      </c>
      <c r="M13" s="71">
        <f t="shared" si="2"/>
        <v>601.71523437620954</v>
      </c>
      <c r="N13" s="89">
        <f>+M13*References_BDI!$C$42</f>
        <v>0.89053854687678935</v>
      </c>
      <c r="O13" s="89">
        <f>+N13/References_BDI!$G$45</f>
        <v>0.90880553819449883</v>
      </c>
      <c r="P13" s="89">
        <f>IFERROR(O13/J13,0)</f>
        <v>0.15146758969908314</v>
      </c>
      <c r="Q13" s="91">
        <v>15.69</v>
      </c>
      <c r="R13" s="92">
        <f t="shared" si="1"/>
        <v>15.841467589699082</v>
      </c>
      <c r="S13" s="89">
        <f>+Q13*J13</f>
        <v>94.14</v>
      </c>
      <c r="T13" s="89">
        <f>+R13*J13</f>
        <v>95.0488055381945</v>
      </c>
      <c r="U13" s="93">
        <f t="shared" si="3"/>
        <v>0.90880553819449972</v>
      </c>
      <c r="W13" t="str">
        <f t="shared" si="4"/>
        <v>$15.84 (A)</v>
      </c>
    </row>
    <row r="14" spans="1:23" x14ac:dyDescent="0.25">
      <c r="A14">
        <v>8</v>
      </c>
      <c r="E14" s="72"/>
      <c r="F14" s="63"/>
      <c r="G14" s="64"/>
    </row>
    <row r="15" spans="1:23" x14ac:dyDescent="0.25">
      <c r="A15">
        <v>9</v>
      </c>
      <c r="B15" s="73"/>
      <c r="C15" s="73"/>
      <c r="D15" s="73"/>
      <c r="E15" s="73"/>
      <c r="F15" s="73"/>
      <c r="G15" s="73" t="s">
        <v>118</v>
      </c>
      <c r="H15" s="73">
        <f>SUM(H7:H13)</f>
        <v>63164</v>
      </c>
      <c r="I15" s="73"/>
      <c r="J15" s="73">
        <f>SUM(J7:J13)</f>
        <v>275450.66666666669</v>
      </c>
      <c r="K15" s="73"/>
      <c r="L15" s="73">
        <f>SUM(L7:L13)</f>
        <v>17993240.666666668</v>
      </c>
      <c r="M15" s="73">
        <f>SUM(M7:M13)</f>
        <v>14435742.699907837</v>
      </c>
      <c r="N15" s="73"/>
      <c r="O15" s="73"/>
      <c r="P15" s="73"/>
      <c r="Q15" s="73"/>
      <c r="R15" s="73"/>
      <c r="S15" s="74">
        <f t="shared" ref="S15:U15" si="5">SUM(S7:S13)</f>
        <v>1452114.18</v>
      </c>
      <c r="T15" s="74">
        <f t="shared" si="5"/>
        <v>1473900.6080096993</v>
      </c>
      <c r="U15" s="74">
        <f t="shared" si="5"/>
        <v>21786.42800969923</v>
      </c>
    </row>
    <row r="16" spans="1:23" x14ac:dyDescent="0.25">
      <c r="A16">
        <v>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0"/>
      <c r="U16" s="80"/>
      <c r="V16" s="81"/>
      <c r="W16" s="81"/>
    </row>
    <row r="17" spans="1:23" ht="60.75" x14ac:dyDescent="0.25">
      <c r="A17">
        <v>11</v>
      </c>
      <c r="B17" t="s">
        <v>47</v>
      </c>
      <c r="C17" t="s">
        <v>38</v>
      </c>
      <c r="E17" s="72" t="s">
        <v>75</v>
      </c>
      <c r="F17" s="61">
        <v>24</v>
      </c>
      <c r="G17" s="62" t="s">
        <v>166</v>
      </c>
      <c r="J17" s="2">
        <v>214</v>
      </c>
      <c r="K17" s="2">
        <f>$K$13</f>
        <v>125</v>
      </c>
      <c r="L17" s="71">
        <f t="shared" ref="L17:L49" si="6">+K17*J17</f>
        <v>26750</v>
      </c>
      <c r="M17" s="71">
        <f t="shared" ref="M17:M49" si="7">+L17*$H$123</f>
        <v>21461.176692751473</v>
      </c>
      <c r="N17" s="89">
        <f>+M17*References_BDI!$C$42</f>
        <v>31.76254150527215</v>
      </c>
      <c r="O17" s="89">
        <f>+N17/References_BDI!$G$45</f>
        <v>32.414064195603785</v>
      </c>
      <c r="P17" s="89">
        <f t="shared" ref="P17:P49" si="8">IFERROR(O17/J17,0)</f>
        <v>0.15146758969908311</v>
      </c>
      <c r="Q17" s="91">
        <v>15.69</v>
      </c>
      <c r="R17" s="92">
        <f t="shared" ref="R17:R49" si="9">P17+Q17</f>
        <v>15.841467589699082</v>
      </c>
      <c r="S17" s="89">
        <f t="shared" ref="S17:S49" si="10">+Q17*J17</f>
        <v>3357.66</v>
      </c>
      <c r="T17" s="89">
        <f t="shared" ref="T17:T49" si="11">+R17*J17</f>
        <v>3390.0740641956036</v>
      </c>
      <c r="U17" s="93">
        <f t="shared" ref="U17:U49" si="12">+T17-S17</f>
        <v>32.414064195603714</v>
      </c>
      <c r="W17" t="str">
        <f t="shared" ref="W17:W49" si="13">IF(R17&lt;10,TEXT(R17,"$0.00")&amp;" (A)",IF(R17&lt;100,TEXT(R17,"$00.00")&amp;" (A)",TEXT(R17,"$000.00")&amp;" (A)"))</f>
        <v>$15.84 (A)</v>
      </c>
    </row>
    <row r="18" spans="1:23" x14ac:dyDescent="0.25">
      <c r="A18">
        <v>12</v>
      </c>
      <c r="B18" t="s">
        <v>62</v>
      </c>
      <c r="C18" t="s">
        <v>41</v>
      </c>
      <c r="F18">
        <v>31</v>
      </c>
      <c r="G18" t="s">
        <v>167</v>
      </c>
      <c r="J18" s="2">
        <v>1442</v>
      </c>
      <c r="K18">
        <f>$K$9</f>
        <v>47</v>
      </c>
      <c r="L18" s="71">
        <f t="shared" si="6"/>
        <v>67774</v>
      </c>
      <c r="M18" s="71">
        <f t="shared" si="7"/>
        <v>54374.197726150967</v>
      </c>
      <c r="N18" s="89">
        <f>+M18*References_BDI!$C$42</f>
        <v>80.473812634703364</v>
      </c>
      <c r="O18" s="89">
        <f>+N18/References_BDI!$G$45</f>
        <v>82.124515394125282</v>
      </c>
      <c r="P18" s="89">
        <f t="shared" si="8"/>
        <v>5.695181372685526E-2</v>
      </c>
      <c r="Q18" s="91">
        <v>4.29</v>
      </c>
      <c r="R18" s="92">
        <f t="shared" si="9"/>
        <v>4.3469518137268555</v>
      </c>
      <c r="S18" s="89">
        <f t="shared" si="10"/>
        <v>6186.18</v>
      </c>
      <c r="T18" s="89">
        <f t="shared" si="11"/>
        <v>6268.3045153941257</v>
      </c>
      <c r="U18" s="93">
        <f t="shared" si="12"/>
        <v>82.12451539412541</v>
      </c>
      <c r="W18" t="str">
        <f t="shared" si="13"/>
        <v>$4.35 (A)</v>
      </c>
    </row>
    <row r="19" spans="1:23" s="81" customFormat="1" x14ac:dyDescent="0.25">
      <c r="A19">
        <v>13</v>
      </c>
      <c r="B19" t="s">
        <v>62</v>
      </c>
      <c r="C19" t="s">
        <v>41</v>
      </c>
      <c r="D19"/>
      <c r="E19"/>
      <c r="F19">
        <v>31</v>
      </c>
      <c r="G19" t="s">
        <v>168</v>
      </c>
      <c r="H19"/>
      <c r="I19"/>
      <c r="J19" s="2">
        <v>4762</v>
      </c>
      <c r="K19">
        <f>$K$9</f>
        <v>47</v>
      </c>
      <c r="L19" s="71">
        <f t="shared" si="6"/>
        <v>223814</v>
      </c>
      <c r="M19" s="71">
        <f t="shared" si="7"/>
        <v>179563.0579555693</v>
      </c>
      <c r="N19" s="89">
        <f>+M19*References_BDI!$C$42</f>
        <v>265.75332577424234</v>
      </c>
      <c r="O19" s="89">
        <f>+N19/References_BDI!$G$45</f>
        <v>271.20453696728475</v>
      </c>
      <c r="P19" s="89">
        <f t="shared" si="8"/>
        <v>5.695181372685526E-2</v>
      </c>
      <c r="Q19" s="91">
        <v>4.29</v>
      </c>
      <c r="R19" s="92">
        <f t="shared" si="9"/>
        <v>4.3469518137268555</v>
      </c>
      <c r="S19" s="89">
        <f t="shared" si="10"/>
        <v>20428.98</v>
      </c>
      <c r="T19" s="89">
        <f t="shared" si="11"/>
        <v>20700.184536967285</v>
      </c>
      <c r="U19" s="93">
        <f t="shared" si="12"/>
        <v>271.20453696728509</v>
      </c>
      <c r="V19"/>
      <c r="W19" t="str">
        <f t="shared" si="13"/>
        <v>$4.35 (A)</v>
      </c>
    </row>
    <row r="20" spans="1:23" ht="19.5" customHeight="1" x14ac:dyDescent="0.25">
      <c r="A20">
        <v>14</v>
      </c>
      <c r="B20" t="s">
        <v>61</v>
      </c>
      <c r="C20" t="s">
        <v>15</v>
      </c>
      <c r="E20" s="72"/>
      <c r="F20" s="61">
        <v>31</v>
      </c>
      <c r="G20" s="65" t="s">
        <v>170</v>
      </c>
      <c r="J20" s="2">
        <v>3163</v>
      </c>
      <c r="K20">
        <f>$K$10</f>
        <v>68</v>
      </c>
      <c r="L20" s="71">
        <f t="shared" si="6"/>
        <v>215084</v>
      </c>
      <c r="M20" s="71">
        <f t="shared" si="7"/>
        <v>172559.09262743022</v>
      </c>
      <c r="N20" s="89">
        <f>+M20*References_BDI!$C$42</f>
        <v>255.38745708859651</v>
      </c>
      <c r="O20" s="89">
        <f>+N20/References_BDI!$G$45</f>
        <v>260.62604050270079</v>
      </c>
      <c r="P20" s="89">
        <f t="shared" si="8"/>
        <v>8.2398368796301233E-2</v>
      </c>
      <c r="Q20" s="91">
        <v>5.42</v>
      </c>
      <c r="R20" s="92">
        <f t="shared" si="9"/>
        <v>5.5023983687963014</v>
      </c>
      <c r="S20" s="89">
        <f t="shared" si="10"/>
        <v>17143.46</v>
      </c>
      <c r="T20" s="89">
        <f t="shared" si="11"/>
        <v>17404.086040502702</v>
      </c>
      <c r="U20" s="93">
        <f t="shared" si="12"/>
        <v>260.62604050270238</v>
      </c>
      <c r="W20" t="str">
        <f t="shared" si="13"/>
        <v>$5.50 (A)</v>
      </c>
    </row>
    <row r="21" spans="1:23" ht="19.5" customHeight="1" x14ac:dyDescent="0.25">
      <c r="A21">
        <v>15</v>
      </c>
      <c r="B21" t="s">
        <v>61</v>
      </c>
      <c r="C21" t="s">
        <v>15</v>
      </c>
      <c r="E21" s="72"/>
      <c r="F21" s="61">
        <v>31</v>
      </c>
      <c r="G21" s="66" t="s">
        <v>171</v>
      </c>
      <c r="J21" s="2">
        <v>10280</v>
      </c>
      <c r="K21">
        <f>$K$10</f>
        <v>68</v>
      </c>
      <c r="L21" s="71">
        <f t="shared" si="6"/>
        <v>699040</v>
      </c>
      <c r="M21" s="71">
        <f t="shared" si="7"/>
        <v>560830.68991779408</v>
      </c>
      <c r="N21" s="89">
        <f>+M21*References_BDI!$C$42</f>
        <v>830.02942107833451</v>
      </c>
      <c r="O21" s="89">
        <f>+N21/References_BDI!$G$45</f>
        <v>847.05523122597663</v>
      </c>
      <c r="P21" s="89">
        <f t="shared" si="8"/>
        <v>8.2398368796301233E-2</v>
      </c>
      <c r="Q21" s="91">
        <v>5.42</v>
      </c>
      <c r="R21" s="92">
        <f t="shared" si="9"/>
        <v>5.5023983687963014</v>
      </c>
      <c r="S21" s="89">
        <f t="shared" si="10"/>
        <v>55717.599999999999</v>
      </c>
      <c r="T21" s="89">
        <f t="shared" si="11"/>
        <v>56564.655231225981</v>
      </c>
      <c r="U21" s="93">
        <f t="shared" si="12"/>
        <v>847.05523122598242</v>
      </c>
      <c r="W21" t="str">
        <f t="shared" si="13"/>
        <v>$5.50 (A)</v>
      </c>
    </row>
    <row r="22" spans="1:23" ht="19.5" customHeight="1" x14ac:dyDescent="0.25">
      <c r="A22">
        <v>16</v>
      </c>
      <c r="B22" t="s">
        <v>66</v>
      </c>
      <c r="C22" t="s">
        <v>26</v>
      </c>
      <c r="E22" s="72"/>
      <c r="F22" s="61">
        <v>31</v>
      </c>
      <c r="G22" t="s">
        <v>173</v>
      </c>
      <c r="J22" s="2">
        <v>595</v>
      </c>
      <c r="K22">
        <f>$K$11</f>
        <v>175</v>
      </c>
      <c r="L22" s="71">
        <f t="shared" si="6"/>
        <v>104125</v>
      </c>
      <c r="M22" s="71">
        <f t="shared" si="7"/>
        <v>83538.131705897089</v>
      </c>
      <c r="N22" s="89">
        <f>+M22*References_BDI!$C$42</f>
        <v>123.63643492472758</v>
      </c>
      <c r="O22" s="89">
        <f>+N22/References_BDI!$G$45</f>
        <v>126.17250221933624</v>
      </c>
      <c r="P22" s="89">
        <f t="shared" si="8"/>
        <v>0.21205462557871638</v>
      </c>
      <c r="Q22" s="91">
        <v>20.25</v>
      </c>
      <c r="R22" s="92">
        <f t="shared" si="9"/>
        <v>20.462054625578716</v>
      </c>
      <c r="S22" s="89">
        <f t="shared" si="10"/>
        <v>12048.75</v>
      </c>
      <c r="T22" s="89">
        <f t="shared" si="11"/>
        <v>12174.922502219337</v>
      </c>
      <c r="U22" s="93">
        <f t="shared" si="12"/>
        <v>126.17250221933682</v>
      </c>
      <c r="W22" t="str">
        <f t="shared" si="13"/>
        <v>$20.46 (A)</v>
      </c>
    </row>
    <row r="23" spans="1:23" x14ac:dyDescent="0.25">
      <c r="A23">
        <v>17</v>
      </c>
      <c r="B23" t="s">
        <v>66</v>
      </c>
      <c r="C23" t="s">
        <v>26</v>
      </c>
      <c r="E23" s="72"/>
      <c r="F23" s="61">
        <v>31</v>
      </c>
      <c r="G23" t="s">
        <v>174</v>
      </c>
      <c r="J23" s="2">
        <v>1449</v>
      </c>
      <c r="K23">
        <f>$K$11</f>
        <v>175</v>
      </c>
      <c r="L23" s="71">
        <f t="shared" si="6"/>
        <v>253575</v>
      </c>
      <c r="M23" s="71">
        <f t="shared" si="7"/>
        <v>203439.92074259644</v>
      </c>
      <c r="N23" s="89">
        <f>+M23*References_BDI!$C$42</f>
        <v>301.09108269904249</v>
      </c>
      <c r="O23" s="89">
        <f>+N23/References_BDI!$G$45</f>
        <v>307.26715246356002</v>
      </c>
      <c r="P23" s="89">
        <f t="shared" si="8"/>
        <v>0.21205462557871638</v>
      </c>
      <c r="Q23" s="91">
        <v>20.25</v>
      </c>
      <c r="R23" s="92">
        <f t="shared" si="9"/>
        <v>20.462054625578716</v>
      </c>
      <c r="S23" s="89">
        <f t="shared" si="10"/>
        <v>29342.25</v>
      </c>
      <c r="T23" s="89">
        <f t="shared" si="11"/>
        <v>29649.517152463559</v>
      </c>
      <c r="U23" s="93">
        <f t="shared" si="12"/>
        <v>307.26715246355889</v>
      </c>
      <c r="W23" t="str">
        <f t="shared" si="13"/>
        <v>$20.46 (A)</v>
      </c>
    </row>
    <row r="24" spans="1:23" x14ac:dyDescent="0.25">
      <c r="A24">
        <v>18</v>
      </c>
      <c r="B24" t="s">
        <v>35</v>
      </c>
      <c r="C24" t="s">
        <v>34</v>
      </c>
      <c r="E24" s="72"/>
      <c r="F24" s="61">
        <v>32</v>
      </c>
      <c r="G24" t="s">
        <v>178</v>
      </c>
      <c r="J24" s="2">
        <v>58</v>
      </c>
      <c r="K24">
        <f>References_BDI!$C$16</f>
        <v>175</v>
      </c>
      <c r="L24" s="71">
        <f t="shared" si="6"/>
        <v>10150</v>
      </c>
      <c r="M24" s="71">
        <f t="shared" si="7"/>
        <v>8143.2128385580363</v>
      </c>
      <c r="N24" s="89">
        <f>+M24*References_BDI!$C$42</f>
        <v>12.051955001065883</v>
      </c>
      <c r="O24" s="89">
        <f>+N24/References_BDI!$G$45</f>
        <v>12.299168283565551</v>
      </c>
      <c r="P24" s="89">
        <f t="shared" si="8"/>
        <v>0.2120546255787164</v>
      </c>
      <c r="Q24" s="91">
        <v>17.28</v>
      </c>
      <c r="R24" s="92">
        <f t="shared" si="9"/>
        <v>17.492054625578717</v>
      </c>
      <c r="S24" s="89">
        <f t="shared" si="10"/>
        <v>1002.24</v>
      </c>
      <c r="T24" s="89">
        <f t="shared" si="11"/>
        <v>1014.5391682835656</v>
      </c>
      <c r="U24" s="93">
        <f t="shared" si="12"/>
        <v>12.299168283565564</v>
      </c>
      <c r="W24" t="str">
        <f t="shared" si="13"/>
        <v>$17.49 (A)</v>
      </c>
    </row>
    <row r="25" spans="1:23" x14ac:dyDescent="0.25">
      <c r="A25">
        <v>19</v>
      </c>
      <c r="B25" t="s">
        <v>35</v>
      </c>
      <c r="C25" t="s">
        <v>34</v>
      </c>
      <c r="E25" s="72"/>
      <c r="F25" s="61">
        <v>32</v>
      </c>
      <c r="G25" t="s">
        <v>179</v>
      </c>
      <c r="J25" s="2">
        <v>186</v>
      </c>
      <c r="K25">
        <f>References_BDI!$C$16</f>
        <v>175</v>
      </c>
      <c r="L25" s="71">
        <f t="shared" si="6"/>
        <v>32550</v>
      </c>
      <c r="M25" s="71">
        <f t="shared" si="7"/>
        <v>26114.441171927494</v>
      </c>
      <c r="N25" s="89">
        <f>+M25*References_BDI!$C$42</f>
        <v>38.649372934452657</v>
      </c>
      <c r="O25" s="89">
        <f>+N25/References_BDI!$G$45</f>
        <v>39.442160357641249</v>
      </c>
      <c r="P25" s="89">
        <f t="shared" si="8"/>
        <v>0.2120546255787164</v>
      </c>
      <c r="Q25" s="91">
        <v>17.28</v>
      </c>
      <c r="R25" s="92">
        <f t="shared" si="9"/>
        <v>17.492054625578717</v>
      </c>
      <c r="S25" s="89">
        <f t="shared" si="10"/>
        <v>3214.0800000000004</v>
      </c>
      <c r="T25" s="89">
        <f t="shared" si="11"/>
        <v>3253.5221603576415</v>
      </c>
      <c r="U25" s="93">
        <f t="shared" si="12"/>
        <v>39.442160357641114</v>
      </c>
      <c r="W25" t="str">
        <f t="shared" si="13"/>
        <v>$17.49 (A)</v>
      </c>
    </row>
    <row r="26" spans="1:23" x14ac:dyDescent="0.25">
      <c r="A26">
        <v>20</v>
      </c>
      <c r="B26" t="s">
        <v>27</v>
      </c>
      <c r="C26" t="s">
        <v>26</v>
      </c>
      <c r="E26" s="72"/>
      <c r="F26" s="61">
        <v>32</v>
      </c>
      <c r="G26" t="s">
        <v>182</v>
      </c>
      <c r="J26" s="2">
        <v>1536</v>
      </c>
      <c r="K26">
        <f>References_BDI!$C$17</f>
        <v>250</v>
      </c>
      <c r="L26" s="71">
        <f t="shared" si="6"/>
        <v>384000</v>
      </c>
      <c r="M26" s="71">
        <f t="shared" si="7"/>
        <v>308078.20000061928</v>
      </c>
      <c r="N26" s="89">
        <f>+M26*References_BDI!$C$42</f>
        <v>455.95573600091615</v>
      </c>
      <c r="O26" s="89">
        <f>+N26/References_BDI!$G$45</f>
        <v>465.3084355555834</v>
      </c>
      <c r="P26" s="89">
        <f t="shared" si="8"/>
        <v>0.30293517939816628</v>
      </c>
      <c r="Q26" s="91">
        <v>22.14</v>
      </c>
      <c r="R26" s="92">
        <f t="shared" si="9"/>
        <v>22.442935179398166</v>
      </c>
      <c r="S26" s="89">
        <f t="shared" si="10"/>
        <v>34007.040000000001</v>
      </c>
      <c r="T26" s="89">
        <f t="shared" si="11"/>
        <v>34472.348435555585</v>
      </c>
      <c r="U26" s="93">
        <f t="shared" si="12"/>
        <v>465.30843555558386</v>
      </c>
      <c r="W26" t="str">
        <f t="shared" si="13"/>
        <v>$22.44 (A)</v>
      </c>
    </row>
    <row r="27" spans="1:23" x14ac:dyDescent="0.25">
      <c r="A27">
        <v>21</v>
      </c>
      <c r="B27" t="s">
        <v>27</v>
      </c>
      <c r="C27" t="s">
        <v>26</v>
      </c>
      <c r="E27" s="72"/>
      <c r="F27" s="61">
        <v>32</v>
      </c>
      <c r="G27" t="s">
        <v>183</v>
      </c>
      <c r="J27" s="2">
        <v>4241</v>
      </c>
      <c r="K27">
        <f>References_BDI!$C$17</f>
        <v>250</v>
      </c>
      <c r="L27" s="71">
        <f t="shared" si="6"/>
        <v>1060250</v>
      </c>
      <c r="M27" s="71">
        <f t="shared" si="7"/>
        <v>850624.76966316823</v>
      </c>
      <c r="N27" s="89">
        <f>+M27*References_BDI!$C$42</f>
        <v>1258.9246591014878</v>
      </c>
      <c r="O27" s="89">
        <f>+N27/References_BDI!$G$45</f>
        <v>1284.748095827623</v>
      </c>
      <c r="P27" s="89">
        <f t="shared" si="8"/>
        <v>0.30293517939816622</v>
      </c>
      <c r="Q27" s="91">
        <v>22.14</v>
      </c>
      <c r="R27" s="92">
        <f t="shared" si="9"/>
        <v>22.442935179398166</v>
      </c>
      <c r="S27" s="89">
        <f t="shared" si="10"/>
        <v>93895.74</v>
      </c>
      <c r="T27" s="89">
        <f t="shared" si="11"/>
        <v>95180.488095827619</v>
      </c>
      <c r="U27" s="93">
        <f t="shared" si="12"/>
        <v>1284.7480958276137</v>
      </c>
      <c r="W27" t="str">
        <f t="shared" si="13"/>
        <v>$22.44 (A)</v>
      </c>
    </row>
    <row r="28" spans="1:23" x14ac:dyDescent="0.25">
      <c r="A28">
        <v>22</v>
      </c>
      <c r="B28" t="s">
        <v>36</v>
      </c>
      <c r="C28" t="s">
        <v>26</v>
      </c>
      <c r="E28" s="72"/>
      <c r="F28" s="61">
        <v>32</v>
      </c>
      <c r="G28" t="s">
        <v>185</v>
      </c>
      <c r="J28" s="2">
        <v>24</v>
      </c>
      <c r="K28">
        <f>References_BDI!$C$17</f>
        <v>250</v>
      </c>
      <c r="L28" s="71">
        <f t="shared" si="6"/>
        <v>6000</v>
      </c>
      <c r="M28" s="71">
        <f t="shared" si="7"/>
        <v>4813.7218750096763</v>
      </c>
      <c r="N28" s="89">
        <f>+M28*References_BDI!$C$42</f>
        <v>7.1243083750143148</v>
      </c>
      <c r="O28" s="89">
        <f>+N28/References_BDI!$G$45</f>
        <v>7.2704443055559906</v>
      </c>
      <c r="P28" s="89">
        <f t="shared" si="8"/>
        <v>0.30293517939816628</v>
      </c>
      <c r="Q28" s="91">
        <v>37.93</v>
      </c>
      <c r="R28" s="92">
        <f t="shared" si="9"/>
        <v>38.232935179398169</v>
      </c>
      <c r="S28" s="89">
        <f t="shared" si="10"/>
        <v>910.31999999999994</v>
      </c>
      <c r="T28" s="89">
        <f t="shared" si="11"/>
        <v>917.59044430555605</v>
      </c>
      <c r="U28" s="93">
        <f t="shared" si="12"/>
        <v>7.2704443055561114</v>
      </c>
      <c r="W28" t="str">
        <f t="shared" si="13"/>
        <v>$38.23 (A)</v>
      </c>
    </row>
    <row r="29" spans="1:23" x14ac:dyDescent="0.25">
      <c r="A29">
        <v>23</v>
      </c>
      <c r="B29" t="s">
        <v>53</v>
      </c>
      <c r="C29" t="s">
        <v>26</v>
      </c>
      <c r="E29" s="72"/>
      <c r="F29" s="61">
        <v>32</v>
      </c>
      <c r="G29" t="s">
        <v>184</v>
      </c>
      <c r="J29" s="2">
        <v>6</v>
      </c>
      <c r="K29">
        <f>References_BDI!$C$17</f>
        <v>250</v>
      </c>
      <c r="L29" s="71">
        <f t="shared" si="6"/>
        <v>1500</v>
      </c>
      <c r="M29" s="71">
        <f t="shared" si="7"/>
        <v>1203.4304687524191</v>
      </c>
      <c r="N29" s="89">
        <f>+M29*References_BDI!$C$42</f>
        <v>1.7810770937535787</v>
      </c>
      <c r="O29" s="89">
        <f>+N29/References_BDI!$G$45</f>
        <v>1.8176110763889977</v>
      </c>
      <c r="P29" s="89">
        <f t="shared" si="8"/>
        <v>0.30293517939816628</v>
      </c>
      <c r="Q29" s="91">
        <v>48.42</v>
      </c>
      <c r="R29" s="92">
        <f t="shared" si="9"/>
        <v>48.722935179398171</v>
      </c>
      <c r="S29" s="89">
        <f t="shared" si="10"/>
        <v>290.52</v>
      </c>
      <c r="T29" s="89">
        <f t="shared" si="11"/>
        <v>292.33761107638901</v>
      </c>
      <c r="U29" s="93">
        <f t="shared" si="12"/>
        <v>1.8176110763890279</v>
      </c>
      <c r="W29" t="str">
        <f t="shared" si="13"/>
        <v>$48.72 (A)</v>
      </c>
    </row>
    <row r="30" spans="1:23" x14ac:dyDescent="0.25">
      <c r="A30">
        <v>24</v>
      </c>
      <c r="B30" t="s">
        <v>32</v>
      </c>
      <c r="C30" t="s">
        <v>31</v>
      </c>
      <c r="E30" s="72"/>
      <c r="F30" s="61">
        <v>32</v>
      </c>
      <c r="G30" t="s">
        <v>187</v>
      </c>
      <c r="J30" s="2">
        <v>1206</v>
      </c>
      <c r="K30">
        <f>References_BDI!$C$18</f>
        <v>324</v>
      </c>
      <c r="L30" s="71">
        <f t="shared" si="6"/>
        <v>390744</v>
      </c>
      <c r="M30" s="71">
        <f t="shared" si="7"/>
        <v>313488.82338813017</v>
      </c>
      <c r="N30" s="89">
        <f>+M30*References_BDI!$C$42</f>
        <v>463.96345861443223</v>
      </c>
      <c r="O30" s="89">
        <f>+N30/References_BDI!$G$45</f>
        <v>473.48041495502832</v>
      </c>
      <c r="P30" s="89">
        <f t="shared" si="8"/>
        <v>0.39260399250002348</v>
      </c>
      <c r="Q30" s="91">
        <v>26</v>
      </c>
      <c r="R30" s="92">
        <f t="shared" si="9"/>
        <v>26.392603992500025</v>
      </c>
      <c r="S30" s="89">
        <f t="shared" si="10"/>
        <v>31356</v>
      </c>
      <c r="T30" s="89">
        <f t="shared" si="11"/>
        <v>31829.480414955029</v>
      </c>
      <c r="U30" s="93">
        <f t="shared" si="12"/>
        <v>473.48041495502912</v>
      </c>
      <c r="W30" t="str">
        <f t="shared" si="13"/>
        <v>$26.39 (A)</v>
      </c>
    </row>
    <row r="31" spans="1:23" x14ac:dyDescent="0.25">
      <c r="A31">
        <v>25</v>
      </c>
      <c r="B31" t="s">
        <v>32</v>
      </c>
      <c r="C31" t="s">
        <v>31</v>
      </c>
      <c r="E31" s="72"/>
      <c r="F31" s="61">
        <v>32</v>
      </c>
      <c r="G31" t="s">
        <v>188</v>
      </c>
      <c r="J31" s="2">
        <v>3041</v>
      </c>
      <c r="K31">
        <f>References_BDI!$C$18</f>
        <v>324</v>
      </c>
      <c r="L31" s="71">
        <f t="shared" si="6"/>
        <v>985284</v>
      </c>
      <c r="M31" s="71">
        <f t="shared" si="7"/>
        <v>790480.52398283896</v>
      </c>
      <c r="N31" s="89">
        <f>+M31*References_BDI!$C$42</f>
        <v>1169.9111754946007</v>
      </c>
      <c r="O31" s="89">
        <f>+N31/References_BDI!$G$45</f>
        <v>1193.9087411925714</v>
      </c>
      <c r="P31" s="89">
        <f t="shared" si="8"/>
        <v>0.39260399250002348</v>
      </c>
      <c r="Q31" s="91">
        <v>26</v>
      </c>
      <c r="R31" s="92">
        <f t="shared" si="9"/>
        <v>26.392603992500025</v>
      </c>
      <c r="S31" s="89">
        <f t="shared" si="10"/>
        <v>79066</v>
      </c>
      <c r="T31" s="89">
        <f t="shared" si="11"/>
        <v>80259.908741192572</v>
      </c>
      <c r="U31" s="93">
        <f t="shared" si="12"/>
        <v>1193.9087411925721</v>
      </c>
      <c r="W31" t="str">
        <f t="shared" si="13"/>
        <v>$26.39 (A)</v>
      </c>
    </row>
    <row r="32" spans="1:23" x14ac:dyDescent="0.25">
      <c r="A32">
        <v>26</v>
      </c>
      <c r="B32" t="s">
        <v>33</v>
      </c>
      <c r="C32" t="s">
        <v>31</v>
      </c>
      <c r="E32" s="72"/>
      <c r="F32" s="61">
        <v>32</v>
      </c>
      <c r="G32" t="s">
        <v>190</v>
      </c>
      <c r="J32" s="2">
        <v>23</v>
      </c>
      <c r="K32">
        <f>References_BDI!$C$18</f>
        <v>324</v>
      </c>
      <c r="L32" s="71">
        <f t="shared" si="6"/>
        <v>7452</v>
      </c>
      <c r="M32" s="71">
        <f t="shared" si="7"/>
        <v>5978.6425687620185</v>
      </c>
      <c r="N32" s="89">
        <f>+M32*References_BDI!$C$42</f>
        <v>8.84839100176778</v>
      </c>
      <c r="O32" s="89">
        <f>+N32/References_BDI!$G$45</f>
        <v>9.0298918275005402</v>
      </c>
      <c r="P32" s="89">
        <f t="shared" si="8"/>
        <v>0.39260399250002348</v>
      </c>
      <c r="Q32" s="91">
        <v>38.01</v>
      </c>
      <c r="R32" s="92">
        <f t="shared" si="9"/>
        <v>38.402603992500019</v>
      </c>
      <c r="S32" s="89">
        <f t="shared" si="10"/>
        <v>874.2299999999999</v>
      </c>
      <c r="T32" s="89">
        <f t="shared" si="11"/>
        <v>883.2598918275005</v>
      </c>
      <c r="U32" s="93">
        <f t="shared" si="12"/>
        <v>9.0298918275005917</v>
      </c>
      <c r="W32" t="str">
        <f t="shared" si="13"/>
        <v>$38.40 (A)</v>
      </c>
    </row>
    <row r="33" spans="1:23" x14ac:dyDescent="0.25">
      <c r="A33">
        <v>27</v>
      </c>
      <c r="B33" t="s">
        <v>52</v>
      </c>
      <c r="C33" t="s">
        <v>31</v>
      </c>
      <c r="E33" s="72"/>
      <c r="F33" s="61">
        <v>32</v>
      </c>
      <c r="G33" t="s">
        <v>189</v>
      </c>
      <c r="J33" s="2">
        <v>3</v>
      </c>
      <c r="K33">
        <f>References_BDI!$C$18</f>
        <v>324</v>
      </c>
      <c r="L33" s="71">
        <f t="shared" si="6"/>
        <v>972</v>
      </c>
      <c r="M33" s="71">
        <f t="shared" si="7"/>
        <v>779.82294375156755</v>
      </c>
      <c r="N33" s="89">
        <f>+M33*References_BDI!$C$42</f>
        <v>1.1541379567523189</v>
      </c>
      <c r="O33" s="89">
        <f>+N33/References_BDI!$G$45</f>
        <v>1.1778119775000704</v>
      </c>
      <c r="P33" s="89">
        <f t="shared" si="8"/>
        <v>0.39260399250002348</v>
      </c>
      <c r="Q33" s="91">
        <v>48.5</v>
      </c>
      <c r="R33" s="92">
        <f t="shared" si="9"/>
        <v>48.892603992500021</v>
      </c>
      <c r="S33" s="89">
        <f t="shared" si="10"/>
        <v>145.5</v>
      </c>
      <c r="T33" s="89">
        <f t="shared" si="11"/>
        <v>146.67781197750006</v>
      </c>
      <c r="U33" s="93">
        <f t="shared" si="12"/>
        <v>1.1778119775000562</v>
      </c>
      <c r="W33" t="str">
        <f t="shared" si="13"/>
        <v>$48.89 (A)</v>
      </c>
    </row>
    <row r="34" spans="1:23" x14ac:dyDescent="0.25">
      <c r="A34">
        <v>28</v>
      </c>
      <c r="B34" t="s">
        <v>29</v>
      </c>
      <c r="C34" t="s">
        <v>28</v>
      </c>
      <c r="E34" s="72"/>
      <c r="F34" s="61">
        <v>32</v>
      </c>
      <c r="G34" t="s">
        <v>193</v>
      </c>
      <c r="J34" s="2">
        <v>1130</v>
      </c>
      <c r="K34">
        <f>References_BDI!$C$19</f>
        <v>473</v>
      </c>
      <c r="L34" s="71">
        <f t="shared" si="6"/>
        <v>534490</v>
      </c>
      <c r="M34" s="71">
        <f t="shared" si="7"/>
        <v>428814.36749565369</v>
      </c>
      <c r="N34" s="89">
        <f>+M34*References_BDI!$C$42</f>
        <v>634.64526389356683</v>
      </c>
      <c r="O34" s="89">
        <f>+N34/References_BDI!$G$45</f>
        <v>647.66329614610356</v>
      </c>
      <c r="P34" s="89">
        <f t="shared" si="8"/>
        <v>0.57315335942133061</v>
      </c>
      <c r="Q34" s="91">
        <v>31.24</v>
      </c>
      <c r="R34" s="92">
        <f t="shared" si="9"/>
        <v>31.813153359421328</v>
      </c>
      <c r="S34" s="89">
        <f t="shared" si="10"/>
        <v>35301.199999999997</v>
      </c>
      <c r="T34" s="89">
        <f t="shared" si="11"/>
        <v>35948.863296146097</v>
      </c>
      <c r="U34" s="93">
        <f t="shared" si="12"/>
        <v>647.66329614610004</v>
      </c>
      <c r="W34" t="str">
        <f t="shared" si="13"/>
        <v>$31.81 (A)</v>
      </c>
    </row>
    <row r="35" spans="1:23" x14ac:dyDescent="0.25">
      <c r="A35">
        <v>29</v>
      </c>
      <c r="B35" t="s">
        <v>29</v>
      </c>
      <c r="C35" t="s">
        <v>28</v>
      </c>
      <c r="E35" s="72"/>
      <c r="F35" s="61">
        <v>32</v>
      </c>
      <c r="G35" t="s">
        <v>194</v>
      </c>
      <c r="J35" s="2">
        <v>3090</v>
      </c>
      <c r="K35">
        <f>References_BDI!$C$19</f>
        <v>473</v>
      </c>
      <c r="L35" s="71">
        <f t="shared" si="6"/>
        <v>1461570</v>
      </c>
      <c r="M35" s="71">
        <f t="shared" si="7"/>
        <v>1172598.5801429821</v>
      </c>
      <c r="N35" s="89">
        <f>+M35*References_BDI!$C$42</f>
        <v>1735.4458986116119</v>
      </c>
      <c r="O35" s="89">
        <f>+N35/References_BDI!$G$45</f>
        <v>1771.0438806119114</v>
      </c>
      <c r="P35" s="89">
        <f t="shared" si="8"/>
        <v>0.5731533594213305</v>
      </c>
      <c r="Q35" s="91">
        <v>31.24</v>
      </c>
      <c r="R35" s="92">
        <f t="shared" si="9"/>
        <v>31.813153359421328</v>
      </c>
      <c r="S35" s="89">
        <f t="shared" si="10"/>
        <v>96531.599999999991</v>
      </c>
      <c r="T35" s="89">
        <f t="shared" si="11"/>
        <v>98302.643880611897</v>
      </c>
      <c r="U35" s="93">
        <f t="shared" si="12"/>
        <v>1771.0438806119055</v>
      </c>
      <c r="W35" t="str">
        <f t="shared" si="13"/>
        <v>$31.81 (A)</v>
      </c>
    </row>
    <row r="36" spans="1:23" x14ac:dyDescent="0.25">
      <c r="A36">
        <v>30</v>
      </c>
      <c r="B36" t="s">
        <v>30</v>
      </c>
      <c r="C36" t="s">
        <v>28</v>
      </c>
      <c r="E36" s="72"/>
      <c r="F36" s="61">
        <v>32</v>
      </c>
      <c r="G36" t="s">
        <v>195</v>
      </c>
      <c r="J36" s="2">
        <v>21</v>
      </c>
      <c r="K36">
        <f>References_BDI!$C$19</f>
        <v>473</v>
      </c>
      <c r="L36" s="71">
        <f t="shared" si="6"/>
        <v>9933</v>
      </c>
      <c r="M36" s="71">
        <f t="shared" si="7"/>
        <v>7969.1165640785193</v>
      </c>
      <c r="N36" s="89">
        <f>+M36*References_BDI!$C$42</f>
        <v>11.794292514836197</v>
      </c>
      <c r="O36" s="89">
        <f>+N36/References_BDI!$G$45</f>
        <v>12.036220547847941</v>
      </c>
      <c r="P36" s="89">
        <f t="shared" si="8"/>
        <v>0.5731533594213305</v>
      </c>
      <c r="Q36" s="91">
        <v>43.24</v>
      </c>
      <c r="R36" s="92">
        <f t="shared" si="9"/>
        <v>43.813153359421335</v>
      </c>
      <c r="S36" s="89">
        <f t="shared" si="10"/>
        <v>908.04000000000008</v>
      </c>
      <c r="T36" s="89">
        <f t="shared" si="11"/>
        <v>920.07622054784804</v>
      </c>
      <c r="U36" s="93">
        <f t="shared" si="12"/>
        <v>12.036220547847961</v>
      </c>
      <c r="W36" t="str">
        <f t="shared" si="13"/>
        <v>$43.81 (A)</v>
      </c>
    </row>
    <row r="37" spans="1:23" x14ac:dyDescent="0.25">
      <c r="A37">
        <v>31</v>
      </c>
      <c r="B37" t="s">
        <v>51</v>
      </c>
      <c r="C37" t="s">
        <v>28</v>
      </c>
      <c r="E37" s="72"/>
      <c r="F37" s="61">
        <v>32</v>
      </c>
      <c r="G37" t="s">
        <v>196</v>
      </c>
      <c r="J37" s="2">
        <v>5</v>
      </c>
      <c r="K37">
        <f>References_BDI!$C$19</f>
        <v>473</v>
      </c>
      <c r="L37" s="71">
        <f t="shared" si="6"/>
        <v>2365</v>
      </c>
      <c r="M37" s="71">
        <f t="shared" si="7"/>
        <v>1897.4087057329807</v>
      </c>
      <c r="N37" s="89">
        <f>+M37*References_BDI!$C$42</f>
        <v>2.8081648844848091</v>
      </c>
      <c r="O37" s="89">
        <f>+N37/References_BDI!$G$45</f>
        <v>2.8657667971066529</v>
      </c>
      <c r="P37" s="89">
        <f t="shared" si="8"/>
        <v>0.57315335942133061</v>
      </c>
      <c r="Q37" s="91">
        <v>53.73</v>
      </c>
      <c r="R37" s="92">
        <f t="shared" si="9"/>
        <v>54.30315335942133</v>
      </c>
      <c r="S37" s="89">
        <f t="shared" si="10"/>
        <v>268.64999999999998</v>
      </c>
      <c r="T37" s="89">
        <f t="shared" si="11"/>
        <v>271.51576679710666</v>
      </c>
      <c r="U37" s="93">
        <f t="shared" si="12"/>
        <v>2.8657667971066871</v>
      </c>
      <c r="W37" t="str">
        <f t="shared" si="13"/>
        <v>$54.30 (A)</v>
      </c>
    </row>
    <row r="38" spans="1:23" x14ac:dyDescent="0.25">
      <c r="A38">
        <v>32</v>
      </c>
      <c r="B38" t="s">
        <v>24</v>
      </c>
      <c r="C38" t="s">
        <v>23</v>
      </c>
      <c r="E38" s="72"/>
      <c r="F38" s="61">
        <v>32</v>
      </c>
      <c r="G38" t="s">
        <v>198</v>
      </c>
      <c r="J38" s="2">
        <v>1411</v>
      </c>
      <c r="K38">
        <f>References_BDI!$C$20</f>
        <v>613</v>
      </c>
      <c r="L38" s="71">
        <f t="shared" si="6"/>
        <v>864943</v>
      </c>
      <c r="M38" s="71">
        <f t="shared" si="7"/>
        <v>693932.50662274915</v>
      </c>
      <c r="N38" s="89">
        <f>+M38*References_BDI!$C$42</f>
        <v>1027.0201098016678</v>
      </c>
      <c r="O38" s="89">
        <f>+N38/References_BDI!$G$45</f>
        <v>1048.0866514967524</v>
      </c>
      <c r="P38" s="89">
        <f t="shared" si="8"/>
        <v>0.74279705988430367</v>
      </c>
      <c r="Q38" s="91">
        <v>36.47</v>
      </c>
      <c r="R38" s="92">
        <f t="shared" si="9"/>
        <v>37.212797059884302</v>
      </c>
      <c r="S38" s="89">
        <f t="shared" si="10"/>
        <v>51459.17</v>
      </c>
      <c r="T38" s="89">
        <f t="shared" si="11"/>
        <v>52507.256651496748</v>
      </c>
      <c r="U38" s="93">
        <f t="shared" si="12"/>
        <v>1048.0866514967493</v>
      </c>
      <c r="W38" t="str">
        <f t="shared" si="13"/>
        <v>$37.21 (A)</v>
      </c>
    </row>
    <row r="39" spans="1:23" x14ac:dyDescent="0.25">
      <c r="A39">
        <v>33</v>
      </c>
      <c r="B39" t="s">
        <v>24</v>
      </c>
      <c r="C39" t="s">
        <v>23</v>
      </c>
      <c r="E39" s="72"/>
      <c r="F39" s="61">
        <v>32</v>
      </c>
      <c r="G39" t="s">
        <v>199</v>
      </c>
      <c r="J39" s="2">
        <v>3644</v>
      </c>
      <c r="K39">
        <f>References_BDI!$C$20</f>
        <v>613</v>
      </c>
      <c r="L39" s="71">
        <f t="shared" si="6"/>
        <v>2233772</v>
      </c>
      <c r="M39" s="71">
        <f t="shared" si="7"/>
        <v>1792126.1900306859</v>
      </c>
      <c r="N39" s="89">
        <f>+M39*References_BDI!$C$42</f>
        <v>2652.3467612454128</v>
      </c>
      <c r="O39" s="89">
        <f>+N39/References_BDI!$G$45</f>
        <v>2706.7524862184027</v>
      </c>
      <c r="P39" s="89">
        <f t="shared" si="8"/>
        <v>0.74279705988430367</v>
      </c>
      <c r="Q39" s="91">
        <v>36.47</v>
      </c>
      <c r="R39" s="92">
        <f t="shared" si="9"/>
        <v>37.212797059884302</v>
      </c>
      <c r="S39" s="89">
        <f t="shared" si="10"/>
        <v>132896.68</v>
      </c>
      <c r="T39" s="89">
        <f t="shared" si="11"/>
        <v>135603.4324862184</v>
      </c>
      <c r="U39" s="93">
        <f t="shared" si="12"/>
        <v>2706.7524862184073</v>
      </c>
      <c r="W39" t="str">
        <f t="shared" si="13"/>
        <v>$37.21 (A)</v>
      </c>
    </row>
    <row r="40" spans="1:23" x14ac:dyDescent="0.25">
      <c r="A40">
        <v>34</v>
      </c>
      <c r="B40" t="s">
        <v>25</v>
      </c>
      <c r="C40" t="s">
        <v>23</v>
      </c>
      <c r="E40" s="72"/>
      <c r="F40" s="61">
        <v>32</v>
      </c>
      <c r="G40" t="s">
        <v>257</v>
      </c>
      <c r="J40" s="2">
        <v>39</v>
      </c>
      <c r="K40">
        <f>References_BDI!$C$20</f>
        <v>613</v>
      </c>
      <c r="L40" s="71">
        <f t="shared" si="6"/>
        <v>23907</v>
      </c>
      <c r="M40" s="71">
        <f t="shared" si="7"/>
        <v>19180.274810976054</v>
      </c>
      <c r="N40" s="89">
        <f>+M40*References_BDI!$C$42</f>
        <v>28.386806720244536</v>
      </c>
      <c r="O40" s="89">
        <f>+N40/References_BDI!$G$45</f>
        <v>28.969085335487843</v>
      </c>
      <c r="P40" s="89">
        <f t="shared" si="8"/>
        <v>0.74279705988430367</v>
      </c>
      <c r="Q40" s="91">
        <v>48.46</v>
      </c>
      <c r="R40" s="92">
        <f t="shared" si="9"/>
        <v>49.202797059884304</v>
      </c>
      <c r="S40" s="89">
        <f t="shared" si="10"/>
        <v>1889.94</v>
      </c>
      <c r="T40" s="89">
        <f t="shared" si="11"/>
        <v>1918.9090853354878</v>
      </c>
      <c r="U40" s="93">
        <f t="shared" si="12"/>
        <v>28.969085335487762</v>
      </c>
      <c r="W40" t="str">
        <f t="shared" si="13"/>
        <v>$49.20 (A)</v>
      </c>
    </row>
    <row r="41" spans="1:23" x14ac:dyDescent="0.25">
      <c r="A41">
        <v>35</v>
      </c>
      <c r="B41" t="s">
        <v>50</v>
      </c>
      <c r="C41" t="s">
        <v>23</v>
      </c>
      <c r="E41" s="72"/>
      <c r="F41" s="61">
        <v>32</v>
      </c>
      <c r="G41" t="s">
        <v>200</v>
      </c>
      <c r="J41" s="2">
        <v>10</v>
      </c>
      <c r="K41">
        <f>References_BDI!$C$20</f>
        <v>613</v>
      </c>
      <c r="L41" s="71">
        <f t="shared" si="6"/>
        <v>6130</v>
      </c>
      <c r="M41" s="71">
        <f t="shared" si="7"/>
        <v>4918.019182301553</v>
      </c>
      <c r="N41" s="89">
        <f>+M41*References_BDI!$C$42</f>
        <v>7.2786683898062918</v>
      </c>
      <c r="O41" s="89">
        <f>+N41/References_BDI!$G$45</f>
        <v>7.4279705988430367</v>
      </c>
      <c r="P41" s="89">
        <f t="shared" si="8"/>
        <v>0.74279705988430367</v>
      </c>
      <c r="Q41" s="91">
        <v>58.96</v>
      </c>
      <c r="R41" s="92">
        <f t="shared" si="9"/>
        <v>59.702797059884304</v>
      </c>
      <c r="S41" s="89">
        <f t="shared" si="10"/>
        <v>589.6</v>
      </c>
      <c r="T41" s="89">
        <f t="shared" si="11"/>
        <v>597.02797059884301</v>
      </c>
      <c r="U41" s="93">
        <f t="shared" si="12"/>
        <v>7.4279705988429896</v>
      </c>
      <c r="W41" t="str">
        <f t="shared" si="13"/>
        <v>$59.70 (A)</v>
      </c>
    </row>
    <row r="42" spans="1:23" x14ac:dyDescent="0.25">
      <c r="A42">
        <v>36</v>
      </c>
      <c r="B42" t="s">
        <v>21</v>
      </c>
      <c r="C42" t="s">
        <v>20</v>
      </c>
      <c r="E42" s="72"/>
      <c r="F42" s="61">
        <v>32</v>
      </c>
      <c r="G42" t="s">
        <v>201</v>
      </c>
      <c r="J42" s="2">
        <v>909</v>
      </c>
      <c r="K42">
        <f>References_BDI!$C$21</f>
        <v>840</v>
      </c>
      <c r="L42" s="71">
        <f t="shared" si="6"/>
        <v>763560</v>
      </c>
      <c r="M42" s="71">
        <f t="shared" si="7"/>
        <v>612594.24581373145</v>
      </c>
      <c r="N42" s="89">
        <f>+M42*References_BDI!$C$42</f>
        <v>906.63948380432169</v>
      </c>
      <c r="O42" s="89">
        <f>+N42/References_BDI!$G$45</f>
        <v>925.23674232505527</v>
      </c>
      <c r="P42" s="89">
        <f t="shared" si="8"/>
        <v>1.0178622027778386</v>
      </c>
      <c r="Q42" s="91">
        <v>43.31</v>
      </c>
      <c r="R42" s="92">
        <f t="shared" si="9"/>
        <v>44.327862202777844</v>
      </c>
      <c r="S42" s="89">
        <f t="shared" si="10"/>
        <v>39368.79</v>
      </c>
      <c r="T42" s="89">
        <f t="shared" si="11"/>
        <v>40294.026742325063</v>
      </c>
      <c r="U42" s="93">
        <f t="shared" si="12"/>
        <v>925.23674232506164</v>
      </c>
      <c r="W42" t="str">
        <f t="shared" si="13"/>
        <v>$44.33 (A)</v>
      </c>
    </row>
    <row r="43" spans="1:23" x14ac:dyDescent="0.25">
      <c r="A43">
        <v>37</v>
      </c>
      <c r="B43" t="s">
        <v>21</v>
      </c>
      <c r="C43" t="s">
        <v>20</v>
      </c>
      <c r="E43" s="72"/>
      <c r="F43" s="61">
        <v>32</v>
      </c>
      <c r="G43" t="s">
        <v>202</v>
      </c>
      <c r="J43" s="2">
        <v>2648</v>
      </c>
      <c r="K43">
        <f>References_BDI!$C$21</f>
        <v>840</v>
      </c>
      <c r="L43" s="71">
        <f t="shared" si="6"/>
        <v>2224320</v>
      </c>
      <c r="M43" s="71">
        <f t="shared" si="7"/>
        <v>1784542.9735035873</v>
      </c>
      <c r="N43" s="89">
        <f>+M43*References_BDI!$C$42</f>
        <v>2641.1236007853067</v>
      </c>
      <c r="O43" s="89">
        <f>+N43/References_BDI!$G$45</f>
        <v>2695.2991129557167</v>
      </c>
      <c r="P43" s="89">
        <f t="shared" si="8"/>
        <v>1.0178622027778386</v>
      </c>
      <c r="Q43" s="91">
        <v>43.31</v>
      </c>
      <c r="R43" s="92">
        <f t="shared" si="9"/>
        <v>44.327862202777844</v>
      </c>
      <c r="S43" s="89">
        <f t="shared" si="10"/>
        <v>114684.88</v>
      </c>
      <c r="T43" s="89">
        <f t="shared" si="11"/>
        <v>117380.17911295572</v>
      </c>
      <c r="U43" s="93">
        <f t="shared" si="12"/>
        <v>2695.2991129557195</v>
      </c>
      <c r="W43" t="str">
        <f t="shared" si="13"/>
        <v>$44.33 (A)</v>
      </c>
    </row>
    <row r="44" spans="1:23" x14ac:dyDescent="0.25">
      <c r="A44">
        <v>38</v>
      </c>
      <c r="B44" t="s">
        <v>22</v>
      </c>
      <c r="C44" t="s">
        <v>20</v>
      </c>
      <c r="E44" s="72"/>
      <c r="F44" s="61">
        <v>32</v>
      </c>
      <c r="G44" t="s">
        <v>258</v>
      </c>
      <c r="J44" s="2">
        <v>70</v>
      </c>
      <c r="K44">
        <f>References_BDI!$C$21</f>
        <v>840</v>
      </c>
      <c r="L44" s="71">
        <f t="shared" si="6"/>
        <v>58800</v>
      </c>
      <c r="M44" s="71">
        <f t="shared" si="7"/>
        <v>47174.474375094826</v>
      </c>
      <c r="N44" s="89">
        <f>+M44*References_BDI!$C$42</f>
        <v>69.818222075140284</v>
      </c>
      <c r="O44" s="89">
        <f>+N44/References_BDI!$G$45</f>
        <v>71.250354194448704</v>
      </c>
      <c r="P44" s="89">
        <f t="shared" si="8"/>
        <v>1.0178622027778386</v>
      </c>
      <c r="Q44" s="91">
        <v>55.32</v>
      </c>
      <c r="R44" s="92">
        <f t="shared" si="9"/>
        <v>56.337862202777842</v>
      </c>
      <c r="S44" s="89">
        <f t="shared" si="10"/>
        <v>3872.4</v>
      </c>
      <c r="T44" s="89">
        <f t="shared" si="11"/>
        <v>3943.6503541944489</v>
      </c>
      <c r="U44" s="93">
        <f t="shared" si="12"/>
        <v>71.250354194448846</v>
      </c>
      <c r="W44" t="str">
        <f t="shared" si="13"/>
        <v>$56.34 (A)</v>
      </c>
    </row>
    <row r="45" spans="1:23" x14ac:dyDescent="0.25">
      <c r="A45">
        <v>39</v>
      </c>
      <c r="B45" t="s">
        <v>49</v>
      </c>
      <c r="C45" t="s">
        <v>20</v>
      </c>
      <c r="E45" s="72"/>
      <c r="F45" s="61">
        <v>32</v>
      </c>
      <c r="G45" t="s">
        <v>214</v>
      </c>
      <c r="J45" s="2">
        <v>1</v>
      </c>
      <c r="K45">
        <f>References_BDI!$C$21</f>
        <v>840</v>
      </c>
      <c r="L45" s="71">
        <f t="shared" si="6"/>
        <v>840</v>
      </c>
      <c r="M45" s="71">
        <f t="shared" si="7"/>
        <v>673.92106250135475</v>
      </c>
      <c r="N45" s="89">
        <f>+M45*References_BDI!$C$42</f>
        <v>0.99740317250200416</v>
      </c>
      <c r="O45" s="89">
        <f>+N45/References_BDI!$G$45</f>
        <v>1.0178622027778388</v>
      </c>
      <c r="P45" s="89">
        <f t="shared" si="8"/>
        <v>1.0178622027778388</v>
      </c>
      <c r="Q45" s="91">
        <v>65.81</v>
      </c>
      <c r="R45" s="92">
        <f t="shared" ref="R45" si="14">P45+Q45</f>
        <v>66.827862202777837</v>
      </c>
      <c r="S45" s="89">
        <f t="shared" si="10"/>
        <v>65.81</v>
      </c>
      <c r="T45" s="89">
        <f t="shared" si="11"/>
        <v>66.827862202777837</v>
      </c>
      <c r="U45" s="93">
        <f t="shared" si="12"/>
        <v>1.0178622027778346</v>
      </c>
      <c r="W45" t="str">
        <f t="shared" si="13"/>
        <v>$66.83 (A)</v>
      </c>
    </row>
    <row r="46" spans="1:23" x14ac:dyDescent="0.25">
      <c r="A46">
        <v>40</v>
      </c>
      <c r="B46" t="s">
        <v>18</v>
      </c>
      <c r="C46" t="s">
        <v>17</v>
      </c>
      <c r="E46" s="72"/>
      <c r="F46" s="61">
        <v>32</v>
      </c>
      <c r="G46" t="s">
        <v>203</v>
      </c>
      <c r="J46" s="2">
        <v>607</v>
      </c>
      <c r="K46">
        <f>References_BDI!$C$22</f>
        <v>980</v>
      </c>
      <c r="L46" s="71">
        <f t="shared" si="6"/>
        <v>594860</v>
      </c>
      <c r="M46" s="71">
        <f t="shared" si="7"/>
        <v>477248.4324280427</v>
      </c>
      <c r="N46" s="89">
        <f>+M46*References_BDI!$C$42</f>
        <v>706.32767999350256</v>
      </c>
      <c r="O46" s="89">
        <f>+N46/References_BDI!$G$45</f>
        <v>720.81608326717276</v>
      </c>
      <c r="P46" s="89">
        <f t="shared" si="8"/>
        <v>1.1875059032408117</v>
      </c>
      <c r="Q46" s="91">
        <v>53.04</v>
      </c>
      <c r="R46" s="92">
        <f t="shared" si="9"/>
        <v>54.227505903240811</v>
      </c>
      <c r="S46" s="89">
        <f t="shared" si="10"/>
        <v>32195.279999999999</v>
      </c>
      <c r="T46" s="89">
        <f t="shared" si="11"/>
        <v>32916.09608326717</v>
      </c>
      <c r="U46" s="93">
        <f t="shared" si="12"/>
        <v>720.81608326717105</v>
      </c>
      <c r="W46" t="str">
        <f t="shared" si="13"/>
        <v>$54.23 (A)</v>
      </c>
    </row>
    <row r="47" spans="1:23" x14ac:dyDescent="0.25">
      <c r="A47">
        <v>41</v>
      </c>
      <c r="B47" t="s">
        <v>18</v>
      </c>
      <c r="C47" t="s">
        <v>17</v>
      </c>
      <c r="E47" s="72"/>
      <c r="F47" s="61">
        <v>32</v>
      </c>
      <c r="G47" t="s">
        <v>204</v>
      </c>
      <c r="J47" s="2">
        <v>1978</v>
      </c>
      <c r="K47">
        <f>References_BDI!$C$22</f>
        <v>980</v>
      </c>
      <c r="L47" s="71">
        <f t="shared" si="6"/>
        <v>1938440</v>
      </c>
      <c r="M47" s="71">
        <f t="shared" si="7"/>
        <v>1555185.1718989594</v>
      </c>
      <c r="N47" s="89">
        <f>+M47*References_BDI!$C$42</f>
        <v>2301.6740544104578</v>
      </c>
      <c r="O47" s="89">
        <f>+N47/References_BDI!$G$45</f>
        <v>2348.8866766103251</v>
      </c>
      <c r="P47" s="89">
        <f t="shared" si="8"/>
        <v>1.1875059032408115</v>
      </c>
      <c r="Q47" s="91">
        <v>53.04</v>
      </c>
      <c r="R47" s="92">
        <f t="shared" si="9"/>
        <v>54.227505903240811</v>
      </c>
      <c r="S47" s="89">
        <f t="shared" si="10"/>
        <v>104913.12</v>
      </c>
      <c r="T47" s="89">
        <f t="shared" si="11"/>
        <v>107262.00667661033</v>
      </c>
      <c r="U47" s="93">
        <f t="shared" si="12"/>
        <v>2348.8866766103311</v>
      </c>
      <c r="W47" t="str">
        <f t="shared" si="13"/>
        <v>$54.23 (A)</v>
      </c>
    </row>
    <row r="48" spans="1:23" x14ac:dyDescent="0.25">
      <c r="A48">
        <v>42</v>
      </c>
      <c r="B48" t="s">
        <v>19</v>
      </c>
      <c r="C48" t="s">
        <v>17</v>
      </c>
      <c r="E48" s="72"/>
      <c r="F48" s="61">
        <v>32</v>
      </c>
      <c r="G48" t="s">
        <v>259</v>
      </c>
      <c r="J48" s="2">
        <v>53</v>
      </c>
      <c r="K48">
        <f>References_BDI!$C$22</f>
        <v>980</v>
      </c>
      <c r="L48" s="71">
        <f t="shared" si="6"/>
        <v>51940</v>
      </c>
      <c r="M48" s="71">
        <f t="shared" si="7"/>
        <v>41670.785698000429</v>
      </c>
      <c r="N48" s="89">
        <f>+M48*References_BDI!$C$42</f>
        <v>61.672762833040579</v>
      </c>
      <c r="O48" s="89">
        <f>+N48/References_BDI!$G$45</f>
        <v>62.937812871763015</v>
      </c>
      <c r="P48" s="89">
        <f t="shared" si="8"/>
        <v>1.1875059032408115</v>
      </c>
      <c r="Q48" s="91">
        <v>64.790000000000006</v>
      </c>
      <c r="R48" s="92">
        <f t="shared" ref="R48" si="15">P48+Q48</f>
        <v>65.977505903240811</v>
      </c>
      <c r="S48" s="89">
        <f t="shared" si="10"/>
        <v>3433.8700000000003</v>
      </c>
      <c r="T48" s="89">
        <f t="shared" si="11"/>
        <v>3496.807812871763</v>
      </c>
      <c r="U48" s="93">
        <f t="shared" si="12"/>
        <v>62.937812871762617</v>
      </c>
      <c r="W48" t="str">
        <f t="shared" si="13"/>
        <v>$65.98 (A)</v>
      </c>
    </row>
    <row r="49" spans="1:23" x14ac:dyDescent="0.25">
      <c r="A49">
        <v>43</v>
      </c>
      <c r="B49" t="s">
        <v>48</v>
      </c>
      <c r="C49" t="s">
        <v>17</v>
      </c>
      <c r="E49" s="72"/>
      <c r="F49" s="61">
        <v>32</v>
      </c>
      <c r="G49" t="s">
        <v>260</v>
      </c>
      <c r="J49" s="2">
        <v>6</v>
      </c>
      <c r="K49">
        <f>References_BDI!$C$22</f>
        <v>980</v>
      </c>
      <c r="L49" s="71">
        <f t="shared" si="6"/>
        <v>5880</v>
      </c>
      <c r="M49" s="71">
        <f t="shared" si="7"/>
        <v>4717.4474375094833</v>
      </c>
      <c r="N49" s="89">
        <f>+M49*References_BDI!$C$42</f>
        <v>6.9818222075140293</v>
      </c>
      <c r="O49" s="89">
        <f>+N49/References_BDI!$G$45</f>
        <v>7.1250354194448713</v>
      </c>
      <c r="P49" s="89">
        <f t="shared" si="8"/>
        <v>1.187505903240812</v>
      </c>
      <c r="Q49" s="91">
        <v>75.53</v>
      </c>
      <c r="R49" s="92">
        <f t="shared" si="9"/>
        <v>76.71750590324082</v>
      </c>
      <c r="S49" s="89">
        <f t="shared" si="10"/>
        <v>453.18</v>
      </c>
      <c r="T49" s="89">
        <f t="shared" si="11"/>
        <v>460.30503541944495</v>
      </c>
      <c r="U49" s="93">
        <f t="shared" si="12"/>
        <v>7.1250354194449415</v>
      </c>
      <c r="W49" t="str">
        <f t="shared" si="13"/>
        <v>$76.72 (A)</v>
      </c>
    </row>
    <row r="50" spans="1:23" x14ac:dyDescent="0.25">
      <c r="A50">
        <v>44</v>
      </c>
      <c r="E50" s="72"/>
      <c r="F50" s="61"/>
      <c r="L50" s="71"/>
      <c r="M50" s="71"/>
      <c r="N50" s="89"/>
      <c r="O50" s="89"/>
      <c r="P50" s="89"/>
      <c r="Q50" s="89"/>
      <c r="R50" s="92"/>
      <c r="S50" s="89"/>
      <c r="T50" s="89"/>
      <c r="U50" s="93"/>
    </row>
    <row r="51" spans="1:23" x14ac:dyDescent="0.25">
      <c r="A51">
        <v>45</v>
      </c>
      <c r="E51" s="72"/>
      <c r="F51" s="61"/>
      <c r="G51" s="95" t="s">
        <v>151</v>
      </c>
      <c r="L51" s="71"/>
      <c r="M51" s="71"/>
      <c r="N51" s="89"/>
      <c r="O51" s="89"/>
      <c r="P51" s="89"/>
      <c r="Q51" s="89"/>
      <c r="R51" s="92"/>
      <c r="S51" s="89"/>
      <c r="T51" s="89"/>
      <c r="U51" s="93"/>
    </row>
    <row r="52" spans="1:23" x14ac:dyDescent="0.25">
      <c r="A52">
        <v>46</v>
      </c>
      <c r="B52" t="s">
        <v>65</v>
      </c>
      <c r="C52" t="s">
        <v>43</v>
      </c>
      <c r="E52" s="72"/>
      <c r="F52" s="61"/>
      <c r="G52" t="s">
        <v>215</v>
      </c>
      <c r="J52">
        <v>3880</v>
      </c>
      <c r="K52">
        <f>References_BDI!C15</f>
        <v>29</v>
      </c>
      <c r="L52" s="71">
        <f>+K52*J52</f>
        <v>112520</v>
      </c>
      <c r="M52" s="71">
        <f>+L52*$H$123</f>
        <v>90273.330896014799</v>
      </c>
      <c r="N52" s="89">
        <f>+M52*References_BDI!$C$42</f>
        <v>133.60452972610179</v>
      </c>
      <c r="O52" s="89">
        <f>+N52/References_BDI!$G$45</f>
        <v>136.34506554352669</v>
      </c>
      <c r="P52" s="89">
        <f>IFERROR(O52/J52,0)</f>
        <v>3.5140480810187287E-2</v>
      </c>
      <c r="Q52" s="91">
        <v>3.03</v>
      </c>
      <c r="R52" s="92">
        <f t="shared" ref="R52" si="16">P52+Q52</f>
        <v>3.0651404808101872</v>
      </c>
      <c r="S52" s="89">
        <f>+Q52*J52</f>
        <v>11756.4</v>
      </c>
      <c r="T52" s="89">
        <f>+R52*J52</f>
        <v>11892.745065543526</v>
      </c>
      <c r="U52" s="93">
        <f t="shared" ref="U52" si="17">+T52-S52</f>
        <v>136.34506554352629</v>
      </c>
      <c r="W52" t="str">
        <f t="shared" ref="W52" si="18">IF(R52&lt;10,TEXT(R52,"$0.00")&amp;" (A)",IF(R52&lt;100,TEXT(R52,"$00.00")&amp;" (A)",TEXT(R52,"$000.00")&amp;" (A)"))</f>
        <v>$3.07 (A)</v>
      </c>
    </row>
    <row r="53" spans="1:23" x14ac:dyDescent="0.25">
      <c r="A53">
        <v>47</v>
      </c>
      <c r="F53" s="61"/>
      <c r="L53" s="71"/>
    </row>
    <row r="54" spans="1:23" x14ac:dyDescent="0.25">
      <c r="A54">
        <v>48</v>
      </c>
      <c r="B54" s="73"/>
      <c r="C54" s="73"/>
      <c r="D54" s="73"/>
      <c r="E54" s="73"/>
      <c r="F54" s="73"/>
      <c r="G54" s="73" t="s">
        <v>118</v>
      </c>
      <c r="H54" s="73">
        <f>SUM(H17:H52)</f>
        <v>0</v>
      </c>
      <c r="I54" s="73"/>
      <c r="J54" s="73">
        <f>SUM(J17:J52)</f>
        <v>51731</v>
      </c>
      <c r="K54" s="73"/>
      <c r="L54" s="73">
        <f>SUM(L17:L52)</f>
        <v>15357334</v>
      </c>
      <c r="M54" s="73">
        <f>SUM(M17:M52)</f>
        <v>12320989.102938309</v>
      </c>
      <c r="N54" s="73"/>
      <c r="O54" s="73"/>
      <c r="P54" s="73"/>
      <c r="Q54" s="73"/>
      <c r="R54" s="73"/>
      <c r="S54" s="74">
        <f>SUM(S17:S52)</f>
        <v>1019575.16</v>
      </c>
      <c r="T54" s="74">
        <f>SUM(T17:T52)</f>
        <v>1038184.2669214702</v>
      </c>
      <c r="U54" s="74">
        <f>SUM(U17:U52)</f>
        <v>18609.106921470237</v>
      </c>
      <c r="W54" s="89"/>
    </row>
    <row r="55" spans="1:23" x14ac:dyDescent="0.25">
      <c r="A55">
        <v>49</v>
      </c>
      <c r="F55" s="61"/>
      <c r="H55" s="2">
        <f>+H54+H15</f>
        <v>63164</v>
      </c>
      <c r="J55" s="2">
        <f>+J54+J15</f>
        <v>327181.66666666669</v>
      </c>
      <c r="L55" s="2">
        <f>+L54+L15</f>
        <v>33350574.666666668</v>
      </c>
      <c r="M55" s="2">
        <f>+M54+M15</f>
        <v>26756731.802846149</v>
      </c>
      <c r="S55" s="88">
        <f>+S54+S15</f>
        <v>2471689.34</v>
      </c>
      <c r="T55" s="88">
        <f>+T54+T15</f>
        <v>2512084.8749311697</v>
      </c>
      <c r="U55" s="88">
        <f>+U54+U15</f>
        <v>40395.534931169466</v>
      </c>
      <c r="W55" s="89"/>
    </row>
    <row r="56" spans="1:23" x14ac:dyDescent="0.25">
      <c r="A56">
        <v>50</v>
      </c>
      <c r="F56" s="61"/>
      <c r="L56" s="71"/>
    </row>
    <row r="57" spans="1:23" x14ac:dyDescent="0.25">
      <c r="A57">
        <v>51</v>
      </c>
      <c r="F57" s="61"/>
      <c r="L57" s="71"/>
    </row>
    <row r="58" spans="1:23" x14ac:dyDescent="0.25">
      <c r="A58">
        <v>52</v>
      </c>
      <c r="F58" s="61"/>
      <c r="L58" s="71"/>
    </row>
    <row r="59" spans="1:23" x14ac:dyDescent="0.25">
      <c r="A59">
        <v>53</v>
      </c>
      <c r="B59" s="75"/>
      <c r="C59" s="75"/>
      <c r="D59" s="75"/>
      <c r="E59" s="75"/>
      <c r="F59" s="76"/>
      <c r="G59" s="77" t="s">
        <v>158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3" x14ac:dyDescent="0.25">
      <c r="A60">
        <v>54</v>
      </c>
      <c r="C60" t="s">
        <v>93</v>
      </c>
      <c r="D60" t="s">
        <v>88</v>
      </c>
      <c r="E60" s="98"/>
      <c r="F60" s="61" t="s">
        <v>210</v>
      </c>
      <c r="G60" s="65" t="s">
        <v>160</v>
      </c>
      <c r="H60">
        <v>0</v>
      </c>
      <c r="I60" s="19">
        <f>INDEX(References_BDI!$M$2:$T$9,MATCH($D60,References_BDI!$M$2:$M$9,0),MATCH(LEFT($G60,1)&amp;" units",References_BDI!$M$2:$T$2,0))</f>
        <v>8.6666666666666661</v>
      </c>
      <c r="J60" s="71">
        <v>52</v>
      </c>
      <c r="K60">
        <f>INDEX(References_BDI!$D:$D,MATCH(C60,References_BDI!B:B,0))</f>
        <v>38.2194</v>
      </c>
      <c r="L60" s="71">
        <f t="shared" ref="L60:L70" si="19">+K60*J60</f>
        <v>1987.4087999999999</v>
      </c>
      <c r="M60" s="71">
        <f t="shared" ref="M60:M70" si="20">+L60*$H$123</f>
        <v>1594.472202524455</v>
      </c>
      <c r="N60" s="89">
        <f>+M60*References_BDI!$C$42</f>
        <v>2.3598188597361913</v>
      </c>
      <c r="O60" s="89">
        <f>+N60/References_BDI!$G$45</f>
        <v>2.4082241654619772</v>
      </c>
      <c r="P60" s="89">
        <f t="shared" ref="P60:P70" si="21">IFERROR(O60/J60,0)</f>
        <v>4.6312003181961096E-2</v>
      </c>
      <c r="Q60" s="91">
        <v>23.238798794100248</v>
      </c>
      <c r="R60" s="92">
        <f t="shared" ref="R60:R64" si="22">P60+Q60</f>
        <v>23.285110797282208</v>
      </c>
      <c r="S60" s="89">
        <f t="shared" ref="S60:S70" si="23">+Q60*H60</f>
        <v>0</v>
      </c>
      <c r="T60" s="89">
        <f>+R60*H60</f>
        <v>0</v>
      </c>
      <c r="U60" s="93">
        <f t="shared" ref="U60:U64" si="24">+T60-S60</f>
        <v>0</v>
      </c>
      <c r="W60" t="str">
        <f t="shared" ref="W60:W70" si="25">IF(R60&lt;10,TEXT(R60,"$0.00")&amp;" (A)",IF(R60&lt;100,TEXT(R60,"$00.00")&amp;" (A)",TEXT(R60,"$000.00")&amp;" (A)"))</f>
        <v>$23.29 (A)</v>
      </c>
    </row>
    <row r="61" spans="1:23" x14ac:dyDescent="0.25">
      <c r="A61">
        <v>55</v>
      </c>
      <c r="C61" t="s">
        <v>91</v>
      </c>
      <c r="D61" t="s">
        <v>88</v>
      </c>
      <c r="E61" s="98"/>
      <c r="F61" s="61" t="s">
        <v>210</v>
      </c>
      <c r="G61" s="65" t="s">
        <v>161</v>
      </c>
      <c r="H61">
        <v>0</v>
      </c>
      <c r="I61" s="19">
        <f>INDEX(References_BDI!$M$2:$T$9,MATCH($D61,References_BDI!$M$2:$M$9,0),MATCH(LEFT($G61,1)&amp;" units",References_BDI!$M$2:$T$2,0))</f>
        <v>13</v>
      </c>
      <c r="J61" s="71">
        <v>52</v>
      </c>
      <c r="K61">
        <f>INDEX(References_BDI!$D:$D,MATCH(C61,References_BDI!B:B,0))</f>
        <v>57.703800000000008</v>
      </c>
      <c r="L61" s="71">
        <f t="shared" si="19"/>
        <v>3000.5976000000005</v>
      </c>
      <c r="M61" s="71">
        <f t="shared" si="20"/>
        <v>2407.3403842035896</v>
      </c>
      <c r="N61" s="89">
        <f>+M61*References_BDI!$C$42</f>
        <v>3.5628637686213094</v>
      </c>
      <c r="O61" s="89">
        <f>+N61/References_BDI!$G$45</f>
        <v>3.6359462890308292</v>
      </c>
      <c r="P61" s="89">
        <f t="shared" si="21"/>
        <v>6.9922044019823631E-2</v>
      </c>
      <c r="Q61" s="91">
        <v>28.225637395014104</v>
      </c>
      <c r="R61" s="92">
        <f t="shared" si="22"/>
        <v>28.295559439033926</v>
      </c>
      <c r="S61" s="89">
        <f t="shared" si="23"/>
        <v>0</v>
      </c>
      <c r="T61" s="89">
        <f>+R61*H61</f>
        <v>0</v>
      </c>
      <c r="U61" s="93">
        <f t="shared" si="24"/>
        <v>0</v>
      </c>
      <c r="W61" t="str">
        <f t="shared" si="25"/>
        <v>$28.30 (A)</v>
      </c>
    </row>
    <row r="62" spans="1:23" x14ac:dyDescent="0.25">
      <c r="A62">
        <v>56</v>
      </c>
      <c r="C62" t="s">
        <v>89</v>
      </c>
      <c r="D62" t="s">
        <v>88</v>
      </c>
      <c r="E62" s="98"/>
      <c r="F62" s="61" t="s">
        <v>210</v>
      </c>
      <c r="G62" s="65" t="s">
        <v>162</v>
      </c>
      <c r="H62">
        <v>0</v>
      </c>
      <c r="I62" s="19">
        <f>INDEX(References_BDI!$M$2:$T$9,MATCH($D62,References_BDI!$M$2:$M$9,0),MATCH(LEFT($G62,1)&amp;" units",References_BDI!$M$2:$T$2,0))</f>
        <v>17.333333333333332</v>
      </c>
      <c r="J62" s="71">
        <v>52</v>
      </c>
      <c r="K62">
        <f>INDEX(References_BDI!$D:$D,MATCH(C62,References_BDI!B:B,0))</f>
        <v>72.691800000000001</v>
      </c>
      <c r="L62" s="71">
        <f t="shared" si="19"/>
        <v>3779.9736000000003</v>
      </c>
      <c r="M62" s="71">
        <f t="shared" si="20"/>
        <v>3032.6236008798464</v>
      </c>
      <c r="N62" s="89">
        <f>+M62*References_BDI!$C$42</f>
        <v>4.4882829293021684</v>
      </c>
      <c r="O62" s="89">
        <f>+N62/References_BDI!$G$45</f>
        <v>4.5803479225453296</v>
      </c>
      <c r="P62" s="89">
        <f t="shared" si="21"/>
        <v>8.8083613895102497E-2</v>
      </c>
      <c r="Q62" s="91">
        <v>33.443205549563217</v>
      </c>
      <c r="R62" s="92">
        <f t="shared" si="22"/>
        <v>33.531289163458318</v>
      </c>
      <c r="S62" s="89">
        <f t="shared" si="23"/>
        <v>0</v>
      </c>
      <c r="T62" s="89">
        <f>+R62*H62</f>
        <v>0</v>
      </c>
      <c r="U62" s="93">
        <f t="shared" si="24"/>
        <v>0</v>
      </c>
      <c r="W62" t="str">
        <f t="shared" si="25"/>
        <v>$33.53 (A)</v>
      </c>
    </row>
    <row r="63" spans="1:23" x14ac:dyDescent="0.25">
      <c r="A63">
        <v>57</v>
      </c>
      <c r="C63" t="s">
        <v>87</v>
      </c>
      <c r="D63" t="s">
        <v>88</v>
      </c>
      <c r="E63" s="98"/>
      <c r="F63" s="61" t="s">
        <v>210</v>
      </c>
      <c r="G63" s="65" t="s">
        <v>163</v>
      </c>
      <c r="H63">
        <v>0</v>
      </c>
      <c r="I63" s="19">
        <f>INDEX(References_BDI!$M$2:$T$9,MATCH($D63,References_BDI!$M$2:$M$9,0),MATCH(LEFT($G63,1)&amp;" units",References_BDI!$M$2:$T$2,0))</f>
        <v>21.666666666666664</v>
      </c>
      <c r="J63" s="71">
        <v>52</v>
      </c>
      <c r="K63">
        <f>INDEX(References_BDI!$D:$D,MATCH(C63,References_BDI!B:B,0))</f>
        <v>87.679800000000014</v>
      </c>
      <c r="L63" s="71">
        <f t="shared" si="19"/>
        <v>4559.3496000000005</v>
      </c>
      <c r="M63" s="71">
        <f t="shared" si="20"/>
        <v>3657.9068175561033</v>
      </c>
      <c r="N63" s="89">
        <f>+M63*References_BDI!$C$42</f>
        <v>5.4137020899830279</v>
      </c>
      <c r="O63" s="89">
        <f>+N63/References_BDI!$G$45</f>
        <v>5.524749556059831</v>
      </c>
      <c r="P63" s="89">
        <f t="shared" si="21"/>
        <v>0.10624518377038136</v>
      </c>
      <c r="Q63" s="91">
        <v>43.150773704112339</v>
      </c>
      <c r="R63" s="92">
        <f t="shared" si="22"/>
        <v>43.257018887882722</v>
      </c>
      <c r="S63" s="89">
        <f t="shared" si="23"/>
        <v>0</v>
      </c>
      <c r="T63" s="89">
        <f>+R63*H63</f>
        <v>0</v>
      </c>
      <c r="U63" s="93">
        <f t="shared" si="24"/>
        <v>0</v>
      </c>
      <c r="W63" t="str">
        <f t="shared" si="25"/>
        <v>$43.26 (A)</v>
      </c>
    </row>
    <row r="64" spans="1:23" x14ac:dyDescent="0.25">
      <c r="A64">
        <v>58</v>
      </c>
      <c r="C64" t="s">
        <v>85</v>
      </c>
      <c r="D64" t="s">
        <v>88</v>
      </c>
      <c r="E64" s="98"/>
      <c r="F64" s="61" t="s">
        <v>210</v>
      </c>
      <c r="G64" s="65" t="s">
        <v>164</v>
      </c>
      <c r="H64">
        <v>0</v>
      </c>
      <c r="I64" s="19">
        <f>INDEX(References_BDI!$M$2:$T$9,MATCH($D64,References_BDI!$M$2:$M$9,0),MATCH(LEFT($G64,1)&amp;" units",References_BDI!$M$2:$T$2,0))</f>
        <v>26</v>
      </c>
      <c r="J64" s="71">
        <v>52</v>
      </c>
      <c r="K64">
        <f>INDEX(References_BDI!$D:$D,MATCH(C64,References_BDI!B:B,0))</f>
        <v>117.65580000000001</v>
      </c>
      <c r="L64" s="71">
        <f t="shared" si="19"/>
        <v>6118.1016000000009</v>
      </c>
      <c r="M64" s="71">
        <f t="shared" si="20"/>
        <v>4908.473250908618</v>
      </c>
      <c r="N64" s="89">
        <f>+M64*References_BDI!$C$42</f>
        <v>7.2645404113447478</v>
      </c>
      <c r="O64" s="89">
        <f>+N64/References_BDI!$G$45</f>
        <v>7.4135528230888337</v>
      </c>
      <c r="P64" s="89">
        <f t="shared" si="21"/>
        <v>0.14256832352093912</v>
      </c>
      <c r="Q64" s="91">
        <v>49.285910013210575</v>
      </c>
      <c r="R64" s="92">
        <f t="shared" si="22"/>
        <v>49.428478336731516</v>
      </c>
      <c r="S64" s="89">
        <f t="shared" si="23"/>
        <v>0</v>
      </c>
      <c r="T64" s="89">
        <f>+R64*H64</f>
        <v>0</v>
      </c>
      <c r="U64" s="93">
        <f t="shared" si="24"/>
        <v>0</v>
      </c>
      <c r="W64" t="str">
        <f t="shared" si="25"/>
        <v>$49.43 (A)</v>
      </c>
    </row>
    <row r="65" spans="1:23" x14ac:dyDescent="0.25">
      <c r="A65">
        <v>59</v>
      </c>
      <c r="C65" t="s">
        <v>43</v>
      </c>
      <c r="E65" s="97"/>
      <c r="F65" s="1" t="s">
        <v>211</v>
      </c>
      <c r="G65" s="78" t="s">
        <v>247</v>
      </c>
      <c r="I65" s="19"/>
      <c r="J65" s="71">
        <v>52</v>
      </c>
      <c r="K65">
        <f>INDEX(References_BDI!$D:$D,MATCH(C65,References_BDI!B:B,0))</f>
        <v>27.727800000000002</v>
      </c>
      <c r="L65" s="71">
        <f t="shared" si="19"/>
        <v>1441.8456000000001</v>
      </c>
      <c r="M65" s="71">
        <f t="shared" si="20"/>
        <v>1156.7739508510754</v>
      </c>
      <c r="N65" s="89">
        <f>+M65*References_BDI!$C$42</f>
        <v>1.7120254472595899</v>
      </c>
      <c r="O65" s="89">
        <f>+N65/References_BDI!$G$45</f>
        <v>1.7471430220018267</v>
      </c>
      <c r="P65" s="89">
        <f t="shared" si="21"/>
        <v>3.35989042692659E-2</v>
      </c>
      <c r="Q65" s="91">
        <v>3.3</v>
      </c>
      <c r="R65" s="92">
        <f t="shared" ref="R65:R70" si="26">P65+Q65</f>
        <v>3.3335989042692655</v>
      </c>
      <c r="S65" s="89">
        <f t="shared" si="23"/>
        <v>0</v>
      </c>
      <c r="T65" s="89"/>
      <c r="U65" s="93"/>
      <c r="W65" t="str">
        <f t="shared" si="25"/>
        <v>$3.33 (A)</v>
      </c>
    </row>
    <row r="66" spans="1:23" x14ac:dyDescent="0.25">
      <c r="A66">
        <v>60</v>
      </c>
      <c r="C66" t="s">
        <v>41</v>
      </c>
      <c r="E66" s="97"/>
      <c r="F66" s="1" t="s">
        <v>211</v>
      </c>
      <c r="G66" s="78" t="s">
        <v>248</v>
      </c>
      <c r="I66" s="19"/>
      <c r="J66" s="71">
        <v>52</v>
      </c>
      <c r="K66">
        <f>INDEX(References_BDI!$D:$D,MATCH(C66,References_BDI!B:B,0))</f>
        <v>32.5</v>
      </c>
      <c r="L66" s="71">
        <f t="shared" si="19"/>
        <v>1690</v>
      </c>
      <c r="M66" s="71">
        <f t="shared" si="20"/>
        <v>1355.8649947943923</v>
      </c>
      <c r="N66" s="89">
        <f>+M66*References_BDI!$C$42</f>
        <v>2.0066801922956987</v>
      </c>
      <c r="O66" s="89">
        <f>+N66/References_BDI!$G$45</f>
        <v>2.0478418127316038</v>
      </c>
      <c r="P66" s="89">
        <f t="shared" si="21"/>
        <v>3.9381573321761613E-2</v>
      </c>
      <c r="Q66" s="91">
        <v>18.32</v>
      </c>
      <c r="R66" s="92">
        <f t="shared" si="26"/>
        <v>18.359381573321762</v>
      </c>
      <c r="S66" s="89">
        <f t="shared" si="23"/>
        <v>0</v>
      </c>
      <c r="T66" s="89"/>
      <c r="U66" s="93"/>
      <c r="W66" t="str">
        <f t="shared" si="25"/>
        <v>$18.36 (A)</v>
      </c>
    </row>
    <row r="67" spans="1:23" x14ac:dyDescent="0.25">
      <c r="A67">
        <v>61</v>
      </c>
      <c r="C67" t="s">
        <v>15</v>
      </c>
      <c r="E67" s="97"/>
      <c r="F67" s="1" t="s">
        <v>211</v>
      </c>
      <c r="G67" s="78" t="s">
        <v>249</v>
      </c>
      <c r="I67" s="19"/>
      <c r="J67" s="71">
        <v>52</v>
      </c>
      <c r="K67">
        <f>INDEX(References_BDI!$D:$D,MATCH(C67,References_BDI!B:B,0))</f>
        <v>54</v>
      </c>
      <c r="L67" s="71">
        <f t="shared" si="19"/>
        <v>2808</v>
      </c>
      <c r="M67" s="71">
        <f t="shared" si="20"/>
        <v>2252.8218375045285</v>
      </c>
      <c r="N67" s="89">
        <f>+M67*References_BDI!$C$42</f>
        <v>3.3341763195066991</v>
      </c>
      <c r="O67" s="89">
        <f>+N67/References_BDI!$G$45</f>
        <v>3.4025679350002034</v>
      </c>
      <c r="P67" s="89">
        <f t="shared" si="21"/>
        <v>6.5433998750003913E-2</v>
      </c>
      <c r="Q67" s="91">
        <v>23.11</v>
      </c>
      <c r="R67" s="92">
        <f t="shared" si="26"/>
        <v>23.175433998750002</v>
      </c>
      <c r="S67" s="89">
        <f t="shared" si="23"/>
        <v>0</v>
      </c>
      <c r="T67" s="89"/>
      <c r="U67" s="93"/>
      <c r="W67" t="str">
        <f t="shared" si="25"/>
        <v>$23.18 (A)</v>
      </c>
    </row>
    <row r="68" spans="1:23" x14ac:dyDescent="0.25">
      <c r="A68">
        <v>62</v>
      </c>
      <c r="C68" t="s">
        <v>38</v>
      </c>
      <c r="E68" s="97"/>
      <c r="F68" s="1">
        <v>24</v>
      </c>
      <c r="G68" s="62" t="s">
        <v>218</v>
      </c>
      <c r="I68" s="19"/>
      <c r="J68" s="71">
        <v>52</v>
      </c>
      <c r="K68">
        <f>INDEX(References_BDI!$D:$D,MATCH(C68,References_BDI!B:B,0))</f>
        <v>93.675000000000011</v>
      </c>
      <c r="L68" s="71">
        <f t="shared" si="19"/>
        <v>4871.1000000000004</v>
      </c>
      <c r="M68" s="71">
        <f t="shared" si="20"/>
        <v>3908.0201042266062</v>
      </c>
      <c r="N68" s="89">
        <f>+M68*References_BDI!$C$42</f>
        <v>5.7838697542553721</v>
      </c>
      <c r="O68" s="89">
        <f>+N68/References_BDI!$G$45</f>
        <v>5.902510209465631</v>
      </c>
      <c r="P68" s="89">
        <f t="shared" si="21"/>
        <v>0.1135098117204929</v>
      </c>
      <c r="Q68" s="91">
        <v>15.69</v>
      </c>
      <c r="R68" s="92">
        <f t="shared" si="26"/>
        <v>15.803509811720492</v>
      </c>
      <c r="S68" s="89">
        <f t="shared" si="23"/>
        <v>0</v>
      </c>
      <c r="T68" s="89"/>
      <c r="U68" s="93"/>
      <c r="W68" t="str">
        <f t="shared" si="25"/>
        <v>$15.80 (A)</v>
      </c>
    </row>
    <row r="69" spans="1:23" x14ac:dyDescent="0.25">
      <c r="A69">
        <v>63</v>
      </c>
      <c r="C69" t="s">
        <v>38</v>
      </c>
      <c r="E69" s="97"/>
      <c r="F69" s="1">
        <v>24</v>
      </c>
      <c r="G69" s="78" t="s">
        <v>220</v>
      </c>
      <c r="I69" s="19"/>
      <c r="J69" s="71">
        <v>52</v>
      </c>
      <c r="K69">
        <f>INDEX(References_BDI!$D:$D,MATCH(C69,References_BDI!B:B,0))</f>
        <v>93.675000000000011</v>
      </c>
      <c r="L69" s="71">
        <f t="shared" si="19"/>
        <v>4871.1000000000004</v>
      </c>
      <c r="M69" s="71">
        <f t="shared" si="20"/>
        <v>3908.0201042266062</v>
      </c>
      <c r="N69" s="89">
        <f>+M69*References_BDI!$C$42</f>
        <v>5.7838697542553721</v>
      </c>
      <c r="O69" s="89">
        <f>+N69/References_BDI!$G$45</f>
        <v>5.902510209465631</v>
      </c>
      <c r="P69" s="89">
        <f t="shared" si="21"/>
        <v>0.1135098117204929</v>
      </c>
      <c r="Q69" s="91">
        <v>15.69</v>
      </c>
      <c r="R69" s="92">
        <f t="shared" si="26"/>
        <v>15.803509811720492</v>
      </c>
      <c r="S69" s="89">
        <f t="shared" si="23"/>
        <v>0</v>
      </c>
      <c r="T69" s="89"/>
      <c r="U69" s="93"/>
      <c r="W69" t="str">
        <f t="shared" si="25"/>
        <v>$15.80 (A)</v>
      </c>
    </row>
    <row r="70" spans="1:23" x14ac:dyDescent="0.25">
      <c r="A70">
        <v>64</v>
      </c>
      <c r="C70" t="s">
        <v>38</v>
      </c>
      <c r="E70" s="97"/>
      <c r="F70" s="1">
        <v>24</v>
      </c>
      <c r="G70" s="78" t="s">
        <v>219</v>
      </c>
      <c r="I70" s="19"/>
      <c r="J70" s="71">
        <v>52</v>
      </c>
      <c r="K70">
        <f>INDEX(References_BDI!$D:$D,MATCH(C70,References_BDI!B:B,0))</f>
        <v>93.675000000000011</v>
      </c>
      <c r="L70" s="71">
        <f t="shared" si="19"/>
        <v>4871.1000000000004</v>
      </c>
      <c r="M70" s="71">
        <f t="shared" si="20"/>
        <v>3908.0201042266062</v>
      </c>
      <c r="N70" s="89">
        <f>+M70*References_BDI!$C$42</f>
        <v>5.7838697542553721</v>
      </c>
      <c r="O70" s="89">
        <f>+N70/References_BDI!$G$45</f>
        <v>5.902510209465631</v>
      </c>
      <c r="P70" s="89">
        <f t="shared" si="21"/>
        <v>0.1135098117204929</v>
      </c>
      <c r="Q70" s="91">
        <v>15.69</v>
      </c>
      <c r="R70" s="92">
        <f t="shared" si="26"/>
        <v>15.803509811720492</v>
      </c>
      <c r="S70" s="89">
        <f t="shared" si="23"/>
        <v>0</v>
      </c>
      <c r="T70" s="89"/>
      <c r="U70" s="93"/>
      <c r="W70" t="str">
        <f t="shared" si="25"/>
        <v>$15.80 (A)</v>
      </c>
    </row>
    <row r="71" spans="1:23" x14ac:dyDescent="0.25">
      <c r="A71">
        <v>65</v>
      </c>
    </row>
    <row r="72" spans="1:23" x14ac:dyDescent="0.25">
      <c r="A72">
        <v>66</v>
      </c>
    </row>
    <row r="73" spans="1:23" x14ac:dyDescent="0.25">
      <c r="A73">
        <v>67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pans="1:23" x14ac:dyDescent="0.25">
      <c r="A74">
        <v>68</v>
      </c>
      <c r="J74" s="71"/>
      <c r="L74" s="71"/>
      <c r="M74" s="71"/>
      <c r="N74" s="89"/>
      <c r="O74" s="89"/>
      <c r="P74" s="89"/>
      <c r="Q74" s="91"/>
      <c r="R74" s="92"/>
      <c r="S74" s="89"/>
      <c r="T74" s="89"/>
      <c r="U74" s="93"/>
    </row>
    <row r="75" spans="1:23" x14ac:dyDescent="0.25">
      <c r="A75">
        <v>69</v>
      </c>
      <c r="J75" s="71"/>
      <c r="L75" s="71"/>
      <c r="M75" s="71"/>
      <c r="N75" s="89"/>
      <c r="O75" s="89"/>
      <c r="P75" s="89"/>
      <c r="Q75" s="91"/>
      <c r="R75" s="92"/>
      <c r="S75" s="89"/>
      <c r="T75" s="89"/>
      <c r="U75" s="93"/>
    </row>
    <row r="76" spans="1:23" x14ac:dyDescent="0.25">
      <c r="A76">
        <v>70</v>
      </c>
      <c r="C76" t="s">
        <v>41</v>
      </c>
      <c r="E76" s="63" t="s">
        <v>75</v>
      </c>
      <c r="F76">
        <v>31</v>
      </c>
      <c r="G76" t="s">
        <v>169</v>
      </c>
      <c r="J76" s="71">
        <v>52</v>
      </c>
      <c r="K76">
        <f>INDEX(References_BDI!$D:$D,MATCH(C76,References_BDI!B:B,0))</f>
        <v>32.5</v>
      </c>
      <c r="L76" s="71">
        <f t="shared" ref="L76:L114" si="27">+K76*J76</f>
        <v>1690</v>
      </c>
      <c r="M76" s="71">
        <f t="shared" ref="M76:M86" si="28">+L76*$H$123</f>
        <v>1355.8649947943923</v>
      </c>
      <c r="N76" s="89">
        <f>+M76*References_BDI!$C$42</f>
        <v>2.0066801922956987</v>
      </c>
      <c r="O76" s="89">
        <f>+N76/References_BDI!$G$45</f>
        <v>2.0478418127316038</v>
      </c>
      <c r="P76" s="89">
        <f t="shared" ref="P76:P114" si="29">IFERROR(O76/J76,0)</f>
        <v>3.9381573321761613E-2</v>
      </c>
      <c r="Q76" s="91">
        <v>14.29</v>
      </c>
      <c r="R76" s="92">
        <f t="shared" ref="R76:R88" si="30">P76+Q76</f>
        <v>14.329381573321761</v>
      </c>
      <c r="S76" s="89">
        <f t="shared" ref="S76:S114" si="31">+Q76*H76</f>
        <v>0</v>
      </c>
      <c r="T76" s="89">
        <f t="shared" ref="T76:T114" si="32">+R76*H76</f>
        <v>0</v>
      </c>
      <c r="U76" s="93">
        <f t="shared" ref="U76:U88" si="33">+T76-S76</f>
        <v>0</v>
      </c>
      <c r="W76" t="str">
        <f t="shared" ref="W76:W114" si="34">IF(R76&lt;10,TEXT(R76,"$0.00")&amp;" (A)",IF(R76&lt;100,TEXT(R76,"$00.00")&amp;" (A)",TEXT(R76,"$000.00")&amp;" (A)"))</f>
        <v>$14.33 (A)</v>
      </c>
    </row>
    <row r="77" spans="1:23" x14ac:dyDescent="0.25">
      <c r="A77">
        <v>71</v>
      </c>
      <c r="C77" t="s">
        <v>15</v>
      </c>
      <c r="F77">
        <v>31</v>
      </c>
      <c r="G77" t="s">
        <v>172</v>
      </c>
      <c r="J77" s="71">
        <v>52</v>
      </c>
      <c r="K77">
        <f>INDEX(References_BDI!$D:$D,MATCH(C77,References_BDI!B:B,0))</f>
        <v>54</v>
      </c>
      <c r="L77" s="71">
        <f t="shared" si="27"/>
        <v>2808</v>
      </c>
      <c r="M77" s="71">
        <f t="shared" si="28"/>
        <v>2252.8218375045285</v>
      </c>
      <c r="N77" s="89">
        <f>+M77*References_BDI!$C$42</f>
        <v>3.3341763195066991</v>
      </c>
      <c r="O77" s="89">
        <f>+N77/References_BDI!$G$45</f>
        <v>3.4025679350002034</v>
      </c>
      <c r="P77" s="89">
        <f t="shared" si="29"/>
        <v>6.5433998750003913E-2</v>
      </c>
      <c r="Q77" s="91">
        <v>15.42</v>
      </c>
      <c r="R77" s="92">
        <f t="shared" si="30"/>
        <v>15.485433998750004</v>
      </c>
      <c r="S77" s="89">
        <f t="shared" si="31"/>
        <v>0</v>
      </c>
      <c r="T77" s="89">
        <f t="shared" si="32"/>
        <v>0</v>
      </c>
      <c r="U77" s="93">
        <f t="shared" si="33"/>
        <v>0</v>
      </c>
      <c r="W77" t="str">
        <f t="shared" si="34"/>
        <v>$15.49 (A)</v>
      </c>
    </row>
    <row r="78" spans="1:23" x14ac:dyDescent="0.25">
      <c r="A78">
        <v>72</v>
      </c>
      <c r="C78" t="s">
        <v>26</v>
      </c>
      <c r="F78">
        <v>31</v>
      </c>
      <c r="G78" t="s">
        <v>176</v>
      </c>
      <c r="J78" s="71">
        <v>52</v>
      </c>
      <c r="K78">
        <f>INDEX(References_BDI!$D:$D,MATCH(C78,References_BDI!B:B,0))</f>
        <v>187.35000000000002</v>
      </c>
      <c r="L78" s="71">
        <f t="shared" si="27"/>
        <v>9742.2000000000007</v>
      </c>
      <c r="M78" s="71">
        <f t="shared" si="28"/>
        <v>7816.0402084532125</v>
      </c>
      <c r="N78" s="89">
        <f>+M78*References_BDI!$C$42</f>
        <v>11.567739508510744</v>
      </c>
      <c r="O78" s="89">
        <f>+N78/References_BDI!$G$45</f>
        <v>11.805020418931262</v>
      </c>
      <c r="P78" s="89">
        <f t="shared" si="29"/>
        <v>0.22701962344098581</v>
      </c>
      <c r="Q78" s="91">
        <v>20.25</v>
      </c>
      <c r="R78" s="92">
        <f t="shared" si="30"/>
        <v>20.477019623440984</v>
      </c>
      <c r="S78" s="89">
        <f t="shared" si="31"/>
        <v>0</v>
      </c>
      <c r="T78" s="89">
        <f t="shared" si="32"/>
        <v>0</v>
      </c>
      <c r="U78" s="93">
        <f t="shared" si="33"/>
        <v>0</v>
      </c>
      <c r="W78" t="str">
        <f t="shared" si="34"/>
        <v>$20.48 (A)</v>
      </c>
    </row>
    <row r="79" spans="1:23" x14ac:dyDescent="0.25">
      <c r="A79">
        <v>73</v>
      </c>
      <c r="C79" t="s">
        <v>26</v>
      </c>
      <c r="F79">
        <v>31</v>
      </c>
      <c r="G79" t="s">
        <v>177</v>
      </c>
      <c r="J79" s="71">
        <v>52</v>
      </c>
      <c r="K79">
        <f>INDEX(References_BDI!$D:$D,MATCH(C79,References_BDI!B:B,0))</f>
        <v>187.35000000000002</v>
      </c>
      <c r="L79" s="71">
        <f t="shared" si="27"/>
        <v>9742.2000000000007</v>
      </c>
      <c r="M79" s="71">
        <f t="shared" si="28"/>
        <v>7816.0402084532125</v>
      </c>
      <c r="N79" s="89">
        <f>+M79*References_BDI!$C$42</f>
        <v>11.567739508510744</v>
      </c>
      <c r="O79" s="89">
        <f>+N79/References_BDI!$G$45</f>
        <v>11.805020418931262</v>
      </c>
      <c r="P79" s="89">
        <f t="shared" si="29"/>
        <v>0.22701962344098581</v>
      </c>
      <c r="Q79" s="91">
        <v>20.25</v>
      </c>
      <c r="R79" s="92">
        <f t="shared" si="30"/>
        <v>20.477019623440984</v>
      </c>
      <c r="S79" s="89">
        <f t="shared" si="31"/>
        <v>0</v>
      </c>
      <c r="T79" s="89">
        <f t="shared" si="32"/>
        <v>0</v>
      </c>
      <c r="U79" s="93">
        <f t="shared" si="33"/>
        <v>0</v>
      </c>
      <c r="W79" t="str">
        <f t="shared" si="34"/>
        <v>$20.48 (A)</v>
      </c>
    </row>
    <row r="80" spans="1:23" x14ac:dyDescent="0.25">
      <c r="A80">
        <v>74</v>
      </c>
      <c r="C80" t="s">
        <v>26</v>
      </c>
      <c r="F80">
        <v>31</v>
      </c>
      <c r="G80" t="s">
        <v>175</v>
      </c>
      <c r="J80" s="71">
        <v>52</v>
      </c>
      <c r="K80">
        <f>INDEX(References_BDI!$D:$D,MATCH(C80,References_BDI!B:B,0))</f>
        <v>187.35000000000002</v>
      </c>
      <c r="L80" s="71">
        <f t="shared" si="27"/>
        <v>9742.2000000000007</v>
      </c>
      <c r="M80" s="71">
        <f t="shared" si="28"/>
        <v>7816.0402084532125</v>
      </c>
      <c r="N80" s="89">
        <f>+M80*References_BDI!$C$42</f>
        <v>11.567739508510744</v>
      </c>
      <c r="O80" s="89">
        <f>+N80/References_BDI!$G$45</f>
        <v>11.805020418931262</v>
      </c>
      <c r="P80" s="89">
        <f t="shared" si="29"/>
        <v>0.22701962344098581</v>
      </c>
      <c r="Q80" s="91">
        <v>30.25</v>
      </c>
      <c r="R80" s="92">
        <f t="shared" si="30"/>
        <v>30.477019623440984</v>
      </c>
      <c r="S80" s="89">
        <f t="shared" si="31"/>
        <v>0</v>
      </c>
      <c r="T80" s="89">
        <f t="shared" si="32"/>
        <v>0</v>
      </c>
      <c r="U80" s="93">
        <f t="shared" si="33"/>
        <v>0</v>
      </c>
      <c r="W80" t="str">
        <f t="shared" si="34"/>
        <v>$30.48 (A)</v>
      </c>
    </row>
    <row r="81" spans="1:23" x14ac:dyDescent="0.25">
      <c r="A81">
        <v>75</v>
      </c>
      <c r="C81" t="s">
        <v>34</v>
      </c>
      <c r="F81">
        <v>32</v>
      </c>
      <c r="G81" t="s">
        <v>180</v>
      </c>
      <c r="J81" s="71">
        <v>52</v>
      </c>
      <c r="K81">
        <f>INDEX(References_BDI!$D:$D,MATCH(C81,References_BDI!B:B,0))</f>
        <v>131.14500000000001</v>
      </c>
      <c r="L81" s="71">
        <f t="shared" si="27"/>
        <v>6819.5400000000009</v>
      </c>
      <c r="M81" s="71">
        <f t="shared" si="28"/>
        <v>5471.2281459172491</v>
      </c>
      <c r="N81" s="89">
        <f>+M81*References_BDI!$C$42</f>
        <v>8.0974176559575213</v>
      </c>
      <c r="O81" s="89">
        <f>+N81/References_BDI!$G$45</f>
        <v>8.2635142932518839</v>
      </c>
      <c r="P81" s="89">
        <f t="shared" si="29"/>
        <v>0.15891373640869008</v>
      </c>
      <c r="Q81" s="91">
        <v>24.977171551107272</v>
      </c>
      <c r="R81" s="92">
        <f t="shared" si="30"/>
        <v>25.136085287515961</v>
      </c>
      <c r="S81" s="89">
        <f t="shared" si="31"/>
        <v>0</v>
      </c>
      <c r="T81" s="89">
        <f t="shared" si="32"/>
        <v>0</v>
      </c>
      <c r="U81" s="93">
        <f t="shared" si="33"/>
        <v>0</v>
      </c>
      <c r="W81" t="str">
        <f t="shared" si="34"/>
        <v>$25.14 (A)</v>
      </c>
    </row>
    <row r="82" spans="1:23" x14ac:dyDescent="0.25">
      <c r="A82">
        <v>76</v>
      </c>
      <c r="C82" t="s">
        <v>34</v>
      </c>
      <c r="F82">
        <v>32</v>
      </c>
      <c r="G82" t="s">
        <v>181</v>
      </c>
      <c r="J82" s="71">
        <v>52</v>
      </c>
      <c r="K82">
        <f>INDEX(References_BDI!$D:$D,MATCH(C82,References_BDI!B:B,0))</f>
        <v>131.14500000000001</v>
      </c>
      <c r="L82" s="71">
        <f t="shared" si="27"/>
        <v>6819.5400000000009</v>
      </c>
      <c r="M82" s="71">
        <f t="shared" si="28"/>
        <v>5471.2281459172491</v>
      </c>
      <c r="N82" s="89">
        <f>+M82*References_BDI!$C$42</f>
        <v>8.0974176559575213</v>
      </c>
      <c r="O82" s="89">
        <f>+N82/References_BDI!$G$45</f>
        <v>8.2635142932518839</v>
      </c>
      <c r="P82" s="89">
        <f t="shared" si="29"/>
        <v>0.15891373640869008</v>
      </c>
      <c r="Q82" s="91">
        <v>39.77364828192048</v>
      </c>
      <c r="R82" s="92">
        <f t="shared" si="30"/>
        <v>39.932562018329172</v>
      </c>
      <c r="S82" s="89">
        <f t="shared" si="31"/>
        <v>0</v>
      </c>
      <c r="T82" s="89">
        <f t="shared" si="32"/>
        <v>0</v>
      </c>
      <c r="U82" s="93">
        <f t="shared" si="33"/>
        <v>0</v>
      </c>
      <c r="W82" t="str">
        <f t="shared" si="34"/>
        <v>$39.93 (A)</v>
      </c>
    </row>
    <row r="83" spans="1:23" x14ac:dyDescent="0.25">
      <c r="A83">
        <v>77</v>
      </c>
      <c r="C83" t="s">
        <v>26</v>
      </c>
      <c r="F83">
        <v>32</v>
      </c>
      <c r="G83" t="s">
        <v>186</v>
      </c>
      <c r="J83" s="71">
        <v>52</v>
      </c>
      <c r="K83">
        <f>INDEX(References_BDI!$D:$D,MATCH(C83,References_BDI!B:B,0))</f>
        <v>187.35000000000002</v>
      </c>
      <c r="L83" s="71">
        <f t="shared" si="27"/>
        <v>9742.2000000000007</v>
      </c>
      <c r="M83" s="71">
        <f t="shared" si="28"/>
        <v>7816.0402084532125</v>
      </c>
      <c r="N83" s="89">
        <f>+M83*References_BDI!$C$42</f>
        <v>11.567739508510744</v>
      </c>
      <c r="O83" s="89">
        <f>+N83/References_BDI!$G$45</f>
        <v>11.805020418931262</v>
      </c>
      <c r="P83" s="89">
        <f t="shared" si="29"/>
        <v>0.22701962344098581</v>
      </c>
      <c r="Q83" s="91">
        <v>22.470448684992501</v>
      </c>
      <c r="R83" s="92">
        <f t="shared" si="30"/>
        <v>22.697468308433486</v>
      </c>
      <c r="S83" s="89">
        <f t="shared" si="31"/>
        <v>0</v>
      </c>
      <c r="T83" s="89">
        <f t="shared" si="32"/>
        <v>0</v>
      </c>
      <c r="U83" s="93">
        <f t="shared" si="33"/>
        <v>0</v>
      </c>
      <c r="W83" t="str">
        <f t="shared" si="34"/>
        <v>$22.70 (A)</v>
      </c>
    </row>
    <row r="84" spans="1:23" x14ac:dyDescent="0.25">
      <c r="A84">
        <v>78</v>
      </c>
      <c r="C84" t="s">
        <v>31</v>
      </c>
      <c r="F84">
        <v>32</v>
      </c>
      <c r="G84" t="s">
        <v>191</v>
      </c>
      <c r="J84" s="71">
        <v>52</v>
      </c>
      <c r="K84">
        <f>INDEX(References_BDI!$D:$D,MATCH(C84,References_BDI!B:B,0))</f>
        <v>242.80560000000003</v>
      </c>
      <c r="L84" s="71">
        <f t="shared" si="27"/>
        <v>12625.891200000002</v>
      </c>
      <c r="M84" s="71">
        <f t="shared" si="28"/>
        <v>10129.588110155364</v>
      </c>
      <c r="N84" s="89">
        <f>+M84*References_BDI!$C$42</f>
        <v>14.991790403029926</v>
      </c>
      <c r="O84" s="89">
        <f>+N84/References_BDI!$G$45</f>
        <v>15.299306462934918</v>
      </c>
      <c r="P84" s="89">
        <f t="shared" si="29"/>
        <v>0.29421743197951766</v>
      </c>
      <c r="Q84" s="91">
        <v>28.800171211394009</v>
      </c>
      <c r="R84" s="92">
        <f t="shared" si="30"/>
        <v>29.094388643373527</v>
      </c>
      <c r="S84" s="89">
        <f t="shared" si="31"/>
        <v>0</v>
      </c>
      <c r="T84" s="89">
        <f t="shared" si="32"/>
        <v>0</v>
      </c>
      <c r="U84" s="93">
        <f t="shared" si="33"/>
        <v>0</v>
      </c>
      <c r="W84" t="str">
        <f t="shared" si="34"/>
        <v>$29.09 (A)</v>
      </c>
    </row>
    <row r="85" spans="1:23" x14ac:dyDescent="0.25">
      <c r="A85">
        <v>79</v>
      </c>
      <c r="C85" t="s">
        <v>31</v>
      </c>
      <c r="F85">
        <v>32</v>
      </c>
      <c r="G85" t="s">
        <v>192</v>
      </c>
      <c r="J85" s="71">
        <v>52</v>
      </c>
      <c r="K85">
        <f>INDEX(References_BDI!$D:$D,MATCH(C85,References_BDI!B:B,0))</f>
        <v>242.80560000000003</v>
      </c>
      <c r="L85" s="71">
        <f t="shared" si="27"/>
        <v>12625.891200000002</v>
      </c>
      <c r="M85" s="71">
        <f t="shared" si="28"/>
        <v>10129.588110155364</v>
      </c>
      <c r="N85" s="89">
        <f>+M85*References_BDI!$C$42</f>
        <v>14.991790403029926</v>
      </c>
      <c r="O85" s="89">
        <f>+N85/References_BDI!$G$45</f>
        <v>15.299306462934918</v>
      </c>
      <c r="P85" s="89">
        <f t="shared" si="29"/>
        <v>0.29421743197951766</v>
      </c>
      <c r="Q85" s="91">
        <v>26.429265055850447</v>
      </c>
      <c r="R85" s="92">
        <f t="shared" si="30"/>
        <v>26.723482487829965</v>
      </c>
      <c r="S85" s="89">
        <f t="shared" si="31"/>
        <v>0</v>
      </c>
      <c r="T85" s="89">
        <f t="shared" si="32"/>
        <v>0</v>
      </c>
      <c r="U85" s="93">
        <f t="shared" si="33"/>
        <v>0</v>
      </c>
      <c r="W85" t="str">
        <f t="shared" si="34"/>
        <v>$26.72 (A)</v>
      </c>
    </row>
    <row r="86" spans="1:23" x14ac:dyDescent="0.25">
      <c r="A86">
        <v>80</v>
      </c>
      <c r="C86" t="s">
        <v>28</v>
      </c>
      <c r="F86">
        <v>32</v>
      </c>
      <c r="G86" t="s">
        <v>197</v>
      </c>
      <c r="J86" s="71">
        <v>52</v>
      </c>
      <c r="K86">
        <f>INDEX(References_BDI!$D:$D,MATCH(C86,References_BDI!B:B,0))</f>
        <v>354.46620000000001</v>
      </c>
      <c r="L86" s="71">
        <f t="shared" si="27"/>
        <v>18432.242399999999</v>
      </c>
      <c r="M86" s="71">
        <f t="shared" si="28"/>
        <v>14787.948074393476</v>
      </c>
      <c r="N86" s="89">
        <f>+M86*References_BDI!$C$42</f>
        <v>21.886163150102327</v>
      </c>
      <c r="O86" s="89">
        <f>+N86/References_BDI!$G$45</f>
        <v>22.335098632617949</v>
      </c>
      <c r="P86" s="89">
        <f t="shared" si="29"/>
        <v>0.42952112755034516</v>
      </c>
      <c r="Q86" s="91">
        <v>31.861041954490418</v>
      </c>
      <c r="R86" s="92">
        <f t="shared" si="30"/>
        <v>32.290563082040762</v>
      </c>
      <c r="S86" s="89">
        <f t="shared" si="31"/>
        <v>0</v>
      </c>
      <c r="T86" s="89">
        <f t="shared" si="32"/>
        <v>0</v>
      </c>
      <c r="U86" s="93">
        <f t="shared" si="33"/>
        <v>0</v>
      </c>
      <c r="W86" t="str">
        <f t="shared" si="34"/>
        <v>$32.29 (A)</v>
      </c>
    </row>
    <row r="87" spans="1:23" x14ac:dyDescent="0.25">
      <c r="A87">
        <v>81</v>
      </c>
      <c r="C87" t="s">
        <v>95</v>
      </c>
      <c r="F87" s="1">
        <v>33</v>
      </c>
      <c r="G87" t="s">
        <v>255</v>
      </c>
      <c r="J87" s="71">
        <v>52</v>
      </c>
      <c r="K87">
        <f>INDEX(References_BDI!$D:$D,MATCH(C87,References_BDI!B:B,0))</f>
        <v>25.479600000000001</v>
      </c>
      <c r="L87" s="71">
        <f t="shared" si="27"/>
        <v>1324.9392</v>
      </c>
      <c r="M87" s="71">
        <f t="shared" ref="M87:M88" si="35">+L87*$H$123</f>
        <v>1062.9814683496368</v>
      </c>
      <c r="N87" s="89">
        <f>+M87*[15]References_EDS!$C$42</f>
        <v>1.4615995189807518</v>
      </c>
      <c r="O87" s="89">
        <f>+N87/[15]References_EDS!$G$45</f>
        <v>1.4899077665451088</v>
      </c>
      <c r="P87" s="89">
        <f t="shared" si="29"/>
        <v>2.8652072433559786E-2</v>
      </c>
      <c r="Q87" s="91">
        <v>3.198276737553885</v>
      </c>
      <c r="R87" s="92">
        <f t="shared" si="30"/>
        <v>3.2269288099874447</v>
      </c>
      <c r="S87" s="89">
        <f t="shared" si="31"/>
        <v>0</v>
      </c>
      <c r="T87" s="89">
        <f t="shared" si="32"/>
        <v>0</v>
      </c>
      <c r="U87" s="93">
        <f t="shared" si="33"/>
        <v>0</v>
      </c>
      <c r="W87" t="str">
        <f t="shared" si="34"/>
        <v>$3.23 (A)</v>
      </c>
    </row>
    <row r="88" spans="1:23" x14ac:dyDescent="0.25">
      <c r="A88">
        <v>82</v>
      </c>
      <c r="C88" t="s">
        <v>95</v>
      </c>
      <c r="F88" s="1">
        <v>33</v>
      </c>
      <c r="G88" t="s">
        <v>256</v>
      </c>
      <c r="J88" s="71">
        <v>52</v>
      </c>
      <c r="K88">
        <f>INDEX(References_BDI!$D:$D,MATCH(C88,References_BDI!B:B,0))</f>
        <v>25.479600000000001</v>
      </c>
      <c r="L88" s="71">
        <f t="shared" si="27"/>
        <v>1324.9392</v>
      </c>
      <c r="M88" s="71">
        <f t="shared" si="35"/>
        <v>1062.9814683496368</v>
      </c>
      <c r="N88" s="89">
        <f>+M88*[15]References_EDS!$C$42</f>
        <v>1.4615995189807518</v>
      </c>
      <c r="O88" s="89">
        <f>+N88/[15]References_EDS!$G$45</f>
        <v>1.4899077665451088</v>
      </c>
      <c r="P88" s="89">
        <f t="shared" si="29"/>
        <v>2.8652072433559786E-2</v>
      </c>
      <c r="Q88" s="91">
        <v>13.058276737553884</v>
      </c>
      <c r="R88" s="92">
        <f t="shared" si="30"/>
        <v>13.086928809987445</v>
      </c>
      <c r="S88" s="89">
        <f t="shared" si="31"/>
        <v>0</v>
      </c>
      <c r="T88" s="89">
        <f t="shared" si="32"/>
        <v>0</v>
      </c>
      <c r="U88" s="93">
        <f t="shared" si="33"/>
        <v>0</v>
      </c>
      <c r="W88" t="str">
        <f t="shared" si="34"/>
        <v>$13.09 (A)</v>
      </c>
    </row>
    <row r="89" spans="1:23" x14ac:dyDescent="0.25">
      <c r="A89">
        <v>83</v>
      </c>
      <c r="C89" s="12" t="s">
        <v>79</v>
      </c>
      <c r="E89" s="96"/>
      <c r="F89" s="1">
        <v>34</v>
      </c>
      <c r="G89" t="s">
        <v>221</v>
      </c>
      <c r="J89" s="71">
        <v>52</v>
      </c>
      <c r="K89">
        <f>INDEX(References_BDI!$D:$D,MATCH(C89,References_BDI!B:B,0))</f>
        <v>516.33660000000009</v>
      </c>
      <c r="L89" s="71">
        <f t="shared" si="27"/>
        <v>26849.503200000006</v>
      </c>
      <c r="M89" s="71">
        <f t="shared" ref="M89:M114" si="36">+L89*$H$123</f>
        <v>21541.006814497057</v>
      </c>
      <c r="N89" s="89">
        <f>+M89*References_BDI!$C$42</f>
        <v>31.880690085455615</v>
      </c>
      <c r="O89" s="89">
        <f>+N89/References_BDI!$G$45</f>
        <v>32.534636274574567</v>
      </c>
      <c r="P89" s="89">
        <f t="shared" si="29"/>
        <v>0.62566608220335707</v>
      </c>
      <c r="Q89" s="91">
        <v>28.775666828665486</v>
      </c>
      <c r="R89" s="92">
        <f t="shared" ref="R89:R114" si="37">P89+Q89</f>
        <v>29.401332910868842</v>
      </c>
      <c r="S89" s="89">
        <f t="shared" si="31"/>
        <v>0</v>
      </c>
      <c r="T89" s="89">
        <f t="shared" si="32"/>
        <v>0</v>
      </c>
      <c r="U89" s="93">
        <f t="shared" ref="U89:U114" si="38">+T89-S89</f>
        <v>0</v>
      </c>
      <c r="W89" t="str">
        <f t="shared" si="34"/>
        <v>$29.40 (A)</v>
      </c>
    </row>
    <row r="90" spans="1:23" x14ac:dyDescent="0.25">
      <c r="A90">
        <v>84</v>
      </c>
      <c r="C90" s="12" t="s">
        <v>79</v>
      </c>
      <c r="E90" s="96"/>
      <c r="F90" s="1">
        <v>34</v>
      </c>
      <c r="G90" t="s">
        <v>222</v>
      </c>
      <c r="J90" s="71">
        <v>52</v>
      </c>
      <c r="K90">
        <f>INDEX(References_BDI!$D:$D,MATCH(C90,References_BDI!B:B,0))</f>
        <v>516.33660000000009</v>
      </c>
      <c r="L90" s="71">
        <f t="shared" si="27"/>
        <v>26849.503200000006</v>
      </c>
      <c r="M90" s="71">
        <f t="shared" si="36"/>
        <v>21541.006814497057</v>
      </c>
      <c r="N90" s="89">
        <f>+M90*References_BDI!$C$42</f>
        <v>31.880690085455615</v>
      </c>
      <c r="O90" s="89">
        <f>+N90/References_BDI!$G$45</f>
        <v>32.534636274574567</v>
      </c>
      <c r="P90" s="89">
        <f t="shared" si="29"/>
        <v>0.62566608220335707</v>
      </c>
      <c r="Q90" s="91">
        <v>28.775666828665486</v>
      </c>
      <c r="R90" s="92">
        <f t="shared" si="37"/>
        <v>29.401332910868842</v>
      </c>
      <c r="S90" s="89">
        <f t="shared" si="31"/>
        <v>0</v>
      </c>
      <c r="T90" s="89">
        <f t="shared" si="32"/>
        <v>0</v>
      </c>
      <c r="U90" s="93">
        <f t="shared" si="38"/>
        <v>0</v>
      </c>
      <c r="W90" t="str">
        <f t="shared" si="34"/>
        <v>$29.40 (A)</v>
      </c>
    </row>
    <row r="91" spans="1:23" x14ac:dyDescent="0.25">
      <c r="A91">
        <v>85</v>
      </c>
      <c r="C91" s="12" t="s">
        <v>79</v>
      </c>
      <c r="E91" s="96"/>
      <c r="F91" s="1">
        <v>34</v>
      </c>
      <c r="G91" t="s">
        <v>223</v>
      </c>
      <c r="J91" s="71">
        <v>52</v>
      </c>
      <c r="K91">
        <f>INDEX(References_BDI!$D:$D,MATCH(C91,References_BDI!B:B,0))</f>
        <v>516.33660000000009</v>
      </c>
      <c r="L91" s="71">
        <f t="shared" si="27"/>
        <v>26849.503200000006</v>
      </c>
      <c r="M91" s="71">
        <f t="shared" si="36"/>
        <v>21541.006814497057</v>
      </c>
      <c r="N91" s="89">
        <f>+M91*References_BDI!$C$42</f>
        <v>31.880690085455615</v>
      </c>
      <c r="O91" s="89">
        <f>+N91/References_BDI!$G$45</f>
        <v>32.534636274574567</v>
      </c>
      <c r="P91" s="89">
        <f t="shared" si="29"/>
        <v>0.62566608220335707</v>
      </c>
      <c r="Q91" s="91">
        <v>49.255666828665483</v>
      </c>
      <c r="R91" s="92">
        <f t="shared" si="37"/>
        <v>49.881332910868842</v>
      </c>
      <c r="S91" s="89">
        <f t="shared" si="31"/>
        <v>0</v>
      </c>
      <c r="T91" s="89">
        <f t="shared" si="32"/>
        <v>0</v>
      </c>
      <c r="U91" s="93">
        <f t="shared" si="38"/>
        <v>0</v>
      </c>
      <c r="W91" t="str">
        <f t="shared" si="34"/>
        <v>$49.88 (A)</v>
      </c>
    </row>
    <row r="92" spans="1:23" x14ac:dyDescent="0.25">
      <c r="A92">
        <v>86</v>
      </c>
      <c r="C92" s="12" t="s">
        <v>60</v>
      </c>
      <c r="E92" s="96"/>
      <c r="F92" s="1">
        <v>34</v>
      </c>
      <c r="G92" t="s">
        <v>224</v>
      </c>
      <c r="J92" s="71">
        <v>52</v>
      </c>
      <c r="K92">
        <f>INDEX(References_BDI!$D:$D,MATCH(C92,References_BDI!B:B,0))</f>
        <v>668.46480000000008</v>
      </c>
      <c r="L92" s="71">
        <f t="shared" si="27"/>
        <v>34760.169600000001</v>
      </c>
      <c r="M92" s="71">
        <f t="shared" si="36"/>
        <v>27887.631463761059</v>
      </c>
      <c r="N92" s="89">
        <f>+M92*References_BDI!$C$42</f>
        <v>41.273694566366331</v>
      </c>
      <c r="O92" s="89">
        <f>+N92/References_BDI!$G$45</f>
        <v>42.120312854746743</v>
      </c>
      <c r="P92" s="89">
        <f t="shared" si="29"/>
        <v>0.81000601643743741</v>
      </c>
      <c r="Q92" s="91">
        <v>40.244201467590152</v>
      </c>
      <c r="R92" s="92">
        <f t="shared" si="37"/>
        <v>41.054207484027586</v>
      </c>
      <c r="S92" s="89">
        <f t="shared" si="31"/>
        <v>0</v>
      </c>
      <c r="T92" s="89">
        <f t="shared" si="32"/>
        <v>0</v>
      </c>
      <c r="U92" s="93">
        <f t="shared" si="38"/>
        <v>0</v>
      </c>
      <c r="W92" t="str">
        <f t="shared" si="34"/>
        <v>$41.05 (A)</v>
      </c>
    </row>
    <row r="93" spans="1:23" x14ac:dyDescent="0.25">
      <c r="A93">
        <v>87</v>
      </c>
      <c r="C93" s="12" t="s">
        <v>60</v>
      </c>
      <c r="E93" s="96"/>
      <c r="F93" s="1">
        <v>34</v>
      </c>
      <c r="G93" t="s">
        <v>225</v>
      </c>
      <c r="J93" s="71">
        <v>52</v>
      </c>
      <c r="K93">
        <f>INDEX(References_BDI!$D:$D,MATCH(C93,References_BDI!B:B,0))</f>
        <v>668.46480000000008</v>
      </c>
      <c r="L93" s="71">
        <f t="shared" si="27"/>
        <v>34760.169600000001</v>
      </c>
      <c r="M93" s="71">
        <f t="shared" si="36"/>
        <v>27887.631463761059</v>
      </c>
      <c r="N93" s="89">
        <f>+M93*References_BDI!$C$42</f>
        <v>41.273694566366331</v>
      </c>
      <c r="O93" s="89">
        <f>+N93/References_BDI!$G$45</f>
        <v>42.120312854746743</v>
      </c>
      <c r="P93" s="89">
        <f t="shared" si="29"/>
        <v>0.81000601643743741</v>
      </c>
      <c r="Q93" s="91">
        <v>40.244201467590152</v>
      </c>
      <c r="R93" s="92">
        <f t="shared" si="37"/>
        <v>41.054207484027586</v>
      </c>
      <c r="S93" s="89">
        <f t="shared" si="31"/>
        <v>0</v>
      </c>
      <c r="T93" s="89">
        <f t="shared" si="32"/>
        <v>0</v>
      </c>
      <c r="U93" s="93">
        <f t="shared" si="38"/>
        <v>0</v>
      </c>
      <c r="W93" t="str">
        <f t="shared" si="34"/>
        <v>$41.05 (A)</v>
      </c>
    </row>
    <row r="94" spans="1:23" x14ac:dyDescent="0.25">
      <c r="A94">
        <v>88</v>
      </c>
      <c r="C94" s="12" t="s">
        <v>60</v>
      </c>
      <c r="E94" s="96"/>
      <c r="F94" s="1">
        <v>34</v>
      </c>
      <c r="G94" t="s">
        <v>226</v>
      </c>
      <c r="J94" s="71">
        <v>52</v>
      </c>
      <c r="K94">
        <f>INDEX(References_BDI!$D:$D,MATCH(C94,References_BDI!B:B,0))</f>
        <v>668.46480000000008</v>
      </c>
      <c r="L94" s="71">
        <f t="shared" si="27"/>
        <v>34760.169600000001</v>
      </c>
      <c r="M94" s="71">
        <f t="shared" si="36"/>
        <v>27887.631463761059</v>
      </c>
      <c r="N94" s="89">
        <f>+M94*References_BDI!$C$42</f>
        <v>41.273694566366331</v>
      </c>
      <c r="O94" s="89">
        <f>+N94/References_BDI!$G$45</f>
        <v>42.120312854746743</v>
      </c>
      <c r="P94" s="89">
        <f t="shared" si="29"/>
        <v>0.81000601643743741</v>
      </c>
      <c r="Q94" s="91">
        <v>67.434201467590157</v>
      </c>
      <c r="R94" s="92">
        <f t="shared" si="37"/>
        <v>68.244207484027598</v>
      </c>
      <c r="S94" s="89">
        <f t="shared" si="31"/>
        <v>0</v>
      </c>
      <c r="T94" s="89">
        <f t="shared" si="32"/>
        <v>0</v>
      </c>
      <c r="U94" s="93">
        <f t="shared" si="38"/>
        <v>0</v>
      </c>
      <c r="W94" t="str">
        <f t="shared" si="34"/>
        <v>$68.24 (A)</v>
      </c>
    </row>
    <row r="95" spans="1:23" x14ac:dyDescent="0.25">
      <c r="A95">
        <v>89</v>
      </c>
      <c r="C95" s="12" t="s">
        <v>59</v>
      </c>
      <c r="E95" s="96"/>
      <c r="F95" s="1">
        <v>34</v>
      </c>
      <c r="G95" t="s">
        <v>227</v>
      </c>
      <c r="J95" s="71">
        <v>52</v>
      </c>
      <c r="K95">
        <f>INDEX(References_BDI!$D:$D,MATCH(C95,References_BDI!B:B,0))</f>
        <v>974.96940000000006</v>
      </c>
      <c r="L95" s="71">
        <f t="shared" si="27"/>
        <v>50698.408800000005</v>
      </c>
      <c r="M95" s="71">
        <f t="shared" si="36"/>
        <v>40674.673244790516</v>
      </c>
      <c r="N95" s="89">
        <f>+M95*References_BDI!$C$42</f>
        <v>60.198516402289911</v>
      </c>
      <c r="O95" s="89">
        <f>+N95/References_BDI!$G$45</f>
        <v>61.433326260118292</v>
      </c>
      <c r="P95" s="89">
        <f t="shared" si="29"/>
        <v>1.1814101203868903</v>
      </c>
      <c r="Q95" s="91">
        <v>52.724648104635406</v>
      </c>
      <c r="R95" s="92">
        <f t="shared" si="37"/>
        <v>53.906058225022299</v>
      </c>
      <c r="S95" s="89">
        <f t="shared" si="31"/>
        <v>0</v>
      </c>
      <c r="T95" s="89">
        <f t="shared" si="32"/>
        <v>0</v>
      </c>
      <c r="U95" s="93">
        <f t="shared" si="38"/>
        <v>0</v>
      </c>
      <c r="W95" t="str">
        <f t="shared" si="34"/>
        <v>$53.91 (A)</v>
      </c>
    </row>
    <row r="96" spans="1:23" x14ac:dyDescent="0.25">
      <c r="A96">
        <v>90</v>
      </c>
      <c r="C96" s="12" t="s">
        <v>59</v>
      </c>
      <c r="E96" s="96"/>
      <c r="F96" s="1">
        <v>34</v>
      </c>
      <c r="G96" t="s">
        <v>228</v>
      </c>
      <c r="J96" s="71">
        <v>52</v>
      </c>
      <c r="K96">
        <f>INDEX(References_BDI!$D:$D,MATCH(C96,References_BDI!B:B,0))</f>
        <v>974.96940000000006</v>
      </c>
      <c r="L96" s="71">
        <f t="shared" si="27"/>
        <v>50698.408800000005</v>
      </c>
      <c r="M96" s="71">
        <f t="shared" si="36"/>
        <v>40674.673244790516</v>
      </c>
      <c r="N96" s="89">
        <f>+M96*References_BDI!$C$42</f>
        <v>60.198516402289911</v>
      </c>
      <c r="O96" s="89">
        <f>+N96/References_BDI!$G$45</f>
        <v>61.433326260118292</v>
      </c>
      <c r="P96" s="89">
        <f t="shared" si="29"/>
        <v>1.1814101203868903</v>
      </c>
      <c r="Q96" s="91">
        <v>52.724648104635406</v>
      </c>
      <c r="R96" s="92">
        <f t="shared" si="37"/>
        <v>53.906058225022299</v>
      </c>
      <c r="S96" s="89">
        <f t="shared" si="31"/>
        <v>0</v>
      </c>
      <c r="T96" s="89">
        <f t="shared" si="32"/>
        <v>0</v>
      </c>
      <c r="U96" s="93">
        <f t="shared" si="38"/>
        <v>0</v>
      </c>
      <c r="W96" t="str">
        <f t="shared" si="34"/>
        <v>$53.91 (A)</v>
      </c>
    </row>
    <row r="97" spans="1:23" x14ac:dyDescent="0.25">
      <c r="A97">
        <v>91</v>
      </c>
      <c r="C97" s="12" t="s">
        <v>59</v>
      </c>
      <c r="E97" s="96"/>
      <c r="F97" s="1">
        <v>34</v>
      </c>
      <c r="G97" t="s">
        <v>229</v>
      </c>
      <c r="J97" s="71">
        <v>52</v>
      </c>
      <c r="K97">
        <f>INDEX(References_BDI!$D:$D,MATCH(C97,References_BDI!B:B,0))</f>
        <v>974.96940000000006</v>
      </c>
      <c r="L97" s="71">
        <f t="shared" si="27"/>
        <v>50698.408800000005</v>
      </c>
      <c r="M97" s="71">
        <f t="shared" si="36"/>
        <v>40674.673244790516</v>
      </c>
      <c r="N97" s="89">
        <f>+M97*References_BDI!$C$42</f>
        <v>60.198516402289911</v>
      </c>
      <c r="O97" s="89">
        <f>+N97/References_BDI!$G$45</f>
        <v>61.433326260118292</v>
      </c>
      <c r="P97" s="89">
        <f t="shared" si="29"/>
        <v>1.1814101203868903</v>
      </c>
      <c r="Q97" s="91">
        <v>87.494648104635417</v>
      </c>
      <c r="R97" s="92">
        <f t="shared" si="37"/>
        <v>88.676058225022302</v>
      </c>
      <c r="S97" s="89">
        <f t="shared" si="31"/>
        <v>0</v>
      </c>
      <c r="T97" s="89">
        <f t="shared" si="32"/>
        <v>0</v>
      </c>
      <c r="U97" s="93">
        <f t="shared" si="38"/>
        <v>0</v>
      </c>
      <c r="W97" t="str">
        <f t="shared" si="34"/>
        <v>$88.68 (A)</v>
      </c>
    </row>
    <row r="98" spans="1:23" x14ac:dyDescent="0.25">
      <c r="A98">
        <v>92</v>
      </c>
      <c r="C98" s="12" t="s">
        <v>58</v>
      </c>
      <c r="E98" s="96"/>
      <c r="F98" s="1">
        <v>34</v>
      </c>
      <c r="G98" t="s">
        <v>230</v>
      </c>
      <c r="J98" s="71">
        <v>52</v>
      </c>
      <c r="K98">
        <f>INDEX(References_BDI!$D:$D,MATCH(C98,References_BDI!B:B,0))</f>
        <v>1263.4884000000002</v>
      </c>
      <c r="L98" s="71">
        <f t="shared" si="27"/>
        <v>65701.396800000017</v>
      </c>
      <c r="M98" s="71">
        <f t="shared" si="36"/>
        <v>52711.375165808473</v>
      </c>
      <c r="N98" s="89">
        <f>+M98*References_BDI!$C$42</f>
        <v>78.012835245396474</v>
      </c>
      <c r="O98" s="89">
        <f>+N98/References_BDI!$G$45</f>
        <v>79.613057705272453</v>
      </c>
      <c r="P98" s="89">
        <f t="shared" si="29"/>
        <v>1.5310203404860088</v>
      </c>
      <c r="Q98" s="91">
        <v>76.448075868113222</v>
      </c>
      <c r="R98" s="92">
        <f t="shared" si="37"/>
        <v>77.979096208599231</v>
      </c>
      <c r="S98" s="89">
        <f t="shared" si="31"/>
        <v>0</v>
      </c>
      <c r="T98" s="89">
        <f t="shared" si="32"/>
        <v>0</v>
      </c>
      <c r="U98" s="93">
        <f t="shared" si="38"/>
        <v>0</v>
      </c>
      <c r="W98" t="str">
        <f t="shared" si="34"/>
        <v>$77.98 (A)</v>
      </c>
    </row>
    <row r="99" spans="1:23" x14ac:dyDescent="0.25">
      <c r="A99">
        <v>93</v>
      </c>
      <c r="C99" s="12" t="s">
        <v>58</v>
      </c>
      <c r="E99" s="96"/>
      <c r="F99" s="1">
        <v>34</v>
      </c>
      <c r="G99" t="s">
        <v>231</v>
      </c>
      <c r="J99" s="71">
        <v>52</v>
      </c>
      <c r="K99">
        <f>INDEX(References_BDI!$D:$D,MATCH(C99,References_BDI!B:B,0))</f>
        <v>1263.4884000000002</v>
      </c>
      <c r="L99" s="71">
        <f t="shared" si="27"/>
        <v>65701.396800000017</v>
      </c>
      <c r="M99" s="71">
        <f t="shared" si="36"/>
        <v>52711.375165808473</v>
      </c>
      <c r="N99" s="89">
        <f>+M99*References_BDI!$C$42</f>
        <v>78.012835245396474</v>
      </c>
      <c r="O99" s="89">
        <f>+N99/References_BDI!$G$45</f>
        <v>79.613057705272453</v>
      </c>
      <c r="P99" s="89">
        <f t="shared" si="29"/>
        <v>1.5310203404860088</v>
      </c>
      <c r="Q99" s="91">
        <v>76.448075868113222</v>
      </c>
      <c r="R99" s="92">
        <f t="shared" si="37"/>
        <v>77.979096208599231</v>
      </c>
      <c r="S99" s="89">
        <f t="shared" si="31"/>
        <v>0</v>
      </c>
      <c r="T99" s="89">
        <f t="shared" si="32"/>
        <v>0</v>
      </c>
      <c r="U99" s="93">
        <f t="shared" si="38"/>
        <v>0</v>
      </c>
      <c r="W99" t="str">
        <f t="shared" si="34"/>
        <v>$77.98 (A)</v>
      </c>
    </row>
    <row r="100" spans="1:23" x14ac:dyDescent="0.25">
      <c r="A100">
        <v>94</v>
      </c>
      <c r="C100" s="12" t="s">
        <v>58</v>
      </c>
      <c r="E100" s="96"/>
      <c r="F100" s="1">
        <v>34</v>
      </c>
      <c r="G100" t="s">
        <v>232</v>
      </c>
      <c r="J100" s="71">
        <v>52</v>
      </c>
      <c r="K100">
        <f>INDEX(References_BDI!$D:$D,MATCH(C100,References_BDI!B:B,0))</f>
        <v>1263.4884000000002</v>
      </c>
      <c r="L100" s="71">
        <f t="shared" si="27"/>
        <v>65701.396800000017</v>
      </c>
      <c r="M100" s="71">
        <f t="shared" si="36"/>
        <v>52711.375165808473</v>
      </c>
      <c r="N100" s="89">
        <f>+M100*References_BDI!$C$42</f>
        <v>78.012835245396474</v>
      </c>
      <c r="O100" s="89">
        <f>+N100/References_BDI!$G$45</f>
        <v>79.613057705272453</v>
      </c>
      <c r="P100" s="89">
        <f t="shared" si="29"/>
        <v>1.5310203404860088</v>
      </c>
      <c r="Q100" s="91">
        <v>111.52807586811322</v>
      </c>
      <c r="R100" s="92">
        <f t="shared" si="37"/>
        <v>113.05909620859923</v>
      </c>
      <c r="S100" s="89">
        <f t="shared" si="31"/>
        <v>0</v>
      </c>
      <c r="T100" s="89">
        <f t="shared" si="32"/>
        <v>0</v>
      </c>
      <c r="U100" s="93">
        <f t="shared" si="38"/>
        <v>0</v>
      </c>
      <c r="W100" t="str">
        <f t="shared" si="34"/>
        <v>$113.06 (A)</v>
      </c>
    </row>
    <row r="101" spans="1:23" x14ac:dyDescent="0.25">
      <c r="A101">
        <v>95</v>
      </c>
      <c r="C101" s="12" t="s">
        <v>56</v>
      </c>
      <c r="E101" s="96"/>
      <c r="F101" s="1">
        <v>34</v>
      </c>
      <c r="G101" t="s">
        <v>233</v>
      </c>
      <c r="J101" s="71">
        <v>52</v>
      </c>
      <c r="K101">
        <f>INDEX(References_BDI!$D:$D,MATCH(C101,References_BDI!B:B,0))</f>
        <v>1731.1140000000003</v>
      </c>
      <c r="L101" s="71">
        <f t="shared" si="27"/>
        <v>90017.928000000014</v>
      </c>
      <c r="M101" s="71">
        <f t="shared" si="36"/>
        <v>72220.211526107683</v>
      </c>
      <c r="N101" s="89">
        <f>+M101*References_BDI!$C$42</f>
        <v>106.88591305863928</v>
      </c>
      <c r="O101" s="89">
        <f>+N101/References_BDI!$G$45</f>
        <v>109.07838867092487</v>
      </c>
      <c r="P101" s="89">
        <f t="shared" si="29"/>
        <v>2.097661320594709</v>
      </c>
      <c r="Q101" s="91">
        <v>95.77056658086687</v>
      </c>
      <c r="R101" s="92">
        <f t="shared" si="37"/>
        <v>97.86822790146158</v>
      </c>
      <c r="S101" s="89">
        <f t="shared" si="31"/>
        <v>0</v>
      </c>
      <c r="T101" s="89">
        <f t="shared" si="32"/>
        <v>0</v>
      </c>
      <c r="U101" s="93">
        <f t="shared" si="38"/>
        <v>0</v>
      </c>
      <c r="W101" t="str">
        <f t="shared" si="34"/>
        <v>$97.87 (A)</v>
      </c>
    </row>
    <row r="102" spans="1:23" x14ac:dyDescent="0.25">
      <c r="A102">
        <v>96</v>
      </c>
      <c r="C102" s="12" t="s">
        <v>56</v>
      </c>
      <c r="E102" s="96"/>
      <c r="F102" s="1">
        <v>34</v>
      </c>
      <c r="G102" t="s">
        <v>234</v>
      </c>
      <c r="J102" s="71">
        <v>52</v>
      </c>
      <c r="K102">
        <f>INDEX(References_BDI!$D:$D,MATCH(C102,References_BDI!B:B,0))</f>
        <v>1731.1140000000003</v>
      </c>
      <c r="L102" s="71">
        <f t="shared" si="27"/>
        <v>90017.928000000014</v>
      </c>
      <c r="M102" s="71">
        <f t="shared" si="36"/>
        <v>72220.211526107683</v>
      </c>
      <c r="N102" s="89">
        <f>+M102*References_BDI!$C$42</f>
        <v>106.88591305863928</v>
      </c>
      <c r="O102" s="89">
        <f>+N102/References_BDI!$G$45</f>
        <v>109.07838867092487</v>
      </c>
      <c r="P102" s="89">
        <f t="shared" si="29"/>
        <v>2.097661320594709</v>
      </c>
      <c r="Q102" s="91">
        <v>95.77056658086687</v>
      </c>
      <c r="R102" s="92">
        <f t="shared" si="37"/>
        <v>97.86822790146158</v>
      </c>
      <c r="S102" s="89">
        <f t="shared" si="31"/>
        <v>0</v>
      </c>
      <c r="T102" s="89">
        <f t="shared" si="32"/>
        <v>0</v>
      </c>
      <c r="U102" s="93">
        <f t="shared" si="38"/>
        <v>0</v>
      </c>
      <c r="W102" t="str">
        <f t="shared" si="34"/>
        <v>$97.87 (A)</v>
      </c>
    </row>
    <row r="103" spans="1:23" x14ac:dyDescent="0.25">
      <c r="A103">
        <v>97</v>
      </c>
      <c r="C103" s="12" t="s">
        <v>56</v>
      </c>
      <c r="E103" s="96"/>
      <c r="F103" s="1">
        <v>34</v>
      </c>
      <c r="G103" t="s">
        <v>235</v>
      </c>
      <c r="J103" s="71">
        <v>52</v>
      </c>
      <c r="K103">
        <f>INDEX(References_BDI!$D:$D,MATCH(C103,References_BDI!B:B,0))</f>
        <v>1731.1140000000003</v>
      </c>
      <c r="L103" s="71">
        <f t="shared" si="27"/>
        <v>90017.928000000014</v>
      </c>
      <c r="M103" s="71">
        <f t="shared" si="36"/>
        <v>72220.211526107683</v>
      </c>
      <c r="N103" s="89">
        <f>+M103*References_BDI!$C$42</f>
        <v>106.88591305863928</v>
      </c>
      <c r="O103" s="89">
        <f>+N103/References_BDI!$G$45</f>
        <v>109.07838867092487</v>
      </c>
      <c r="P103" s="89">
        <f t="shared" si="29"/>
        <v>2.097661320594709</v>
      </c>
      <c r="Q103" s="91">
        <v>137.57056658086688</v>
      </c>
      <c r="R103" s="92">
        <f t="shared" si="37"/>
        <v>139.66822790146159</v>
      </c>
      <c r="S103" s="89">
        <f t="shared" si="31"/>
        <v>0</v>
      </c>
      <c r="T103" s="89">
        <f t="shared" si="32"/>
        <v>0</v>
      </c>
      <c r="U103" s="93">
        <f t="shared" si="38"/>
        <v>0</v>
      </c>
      <c r="W103" t="str">
        <f t="shared" si="34"/>
        <v>$139.67 (A)</v>
      </c>
    </row>
    <row r="104" spans="1:23" x14ac:dyDescent="0.25">
      <c r="A104">
        <v>98</v>
      </c>
      <c r="C104" s="12" t="s">
        <v>77</v>
      </c>
      <c r="E104" s="96"/>
      <c r="F104" s="1">
        <v>34</v>
      </c>
      <c r="G104" t="s">
        <v>236</v>
      </c>
      <c r="J104" s="71">
        <v>52</v>
      </c>
      <c r="K104">
        <f>INDEX(References_BDI!$D:$D,MATCH(C104,References_BDI!B:B,0))</f>
        <v>2098.3200000000002</v>
      </c>
      <c r="L104" s="71">
        <f t="shared" si="27"/>
        <v>109112.64000000001</v>
      </c>
      <c r="M104" s="71">
        <f t="shared" si="36"/>
        <v>87539.650334675986</v>
      </c>
      <c r="N104" s="89">
        <f>+M104*References_BDI!$C$42</f>
        <v>129.55868249532034</v>
      </c>
      <c r="O104" s="89">
        <f>+N104/References_BDI!$G$45</f>
        <v>132.21622869203014</v>
      </c>
      <c r="P104" s="89">
        <f t="shared" si="29"/>
        <v>2.5426197825390413</v>
      </c>
      <c r="Q104" s="91">
        <v>139.59220191620227</v>
      </c>
      <c r="R104" s="92">
        <f t="shared" si="37"/>
        <v>142.13482169874132</v>
      </c>
      <c r="S104" s="89">
        <f t="shared" si="31"/>
        <v>0</v>
      </c>
      <c r="T104" s="89">
        <f t="shared" si="32"/>
        <v>0</v>
      </c>
      <c r="U104" s="93">
        <f t="shared" si="38"/>
        <v>0</v>
      </c>
      <c r="W104" t="str">
        <f t="shared" si="34"/>
        <v>$142.13 (A)</v>
      </c>
    </row>
    <row r="105" spans="1:23" x14ac:dyDescent="0.25">
      <c r="A105">
        <v>99</v>
      </c>
      <c r="C105" s="12" t="s">
        <v>77</v>
      </c>
      <c r="E105" s="96"/>
      <c r="F105" s="1">
        <v>34</v>
      </c>
      <c r="G105" t="s">
        <v>237</v>
      </c>
      <c r="J105" s="71">
        <v>52</v>
      </c>
      <c r="K105">
        <f>INDEX(References_BDI!$D:$D,MATCH(C105,References_BDI!B:B,0))</f>
        <v>2098.3200000000002</v>
      </c>
      <c r="L105" s="71">
        <f t="shared" si="27"/>
        <v>109112.64000000001</v>
      </c>
      <c r="M105" s="71">
        <f t="shared" si="36"/>
        <v>87539.650334675986</v>
      </c>
      <c r="N105" s="89">
        <f>+M105*References_BDI!$C$42</f>
        <v>129.55868249532034</v>
      </c>
      <c r="O105" s="89">
        <f>+N105/References_BDI!$G$45</f>
        <v>132.21622869203014</v>
      </c>
      <c r="P105" s="89">
        <f t="shared" si="29"/>
        <v>2.5426197825390413</v>
      </c>
      <c r="Q105" s="91">
        <v>139.59220191620227</v>
      </c>
      <c r="R105" s="92">
        <f t="shared" si="37"/>
        <v>142.13482169874132</v>
      </c>
      <c r="S105" s="89">
        <f t="shared" si="31"/>
        <v>0</v>
      </c>
      <c r="T105" s="89">
        <f t="shared" si="32"/>
        <v>0</v>
      </c>
      <c r="U105" s="93">
        <f t="shared" si="38"/>
        <v>0</v>
      </c>
      <c r="W105" t="str">
        <f t="shared" si="34"/>
        <v>$142.13 (A)</v>
      </c>
    </row>
    <row r="106" spans="1:23" x14ac:dyDescent="0.25">
      <c r="A106">
        <v>100</v>
      </c>
      <c r="C106" s="12" t="s">
        <v>77</v>
      </c>
      <c r="F106" s="1">
        <v>34</v>
      </c>
      <c r="G106" t="s">
        <v>238</v>
      </c>
      <c r="J106" s="71">
        <v>52</v>
      </c>
      <c r="K106">
        <f>INDEX(References_BDI!$D:$D,MATCH(C106,References_BDI!B:B,0))</f>
        <v>2098.3200000000002</v>
      </c>
      <c r="L106" s="71">
        <f t="shared" si="27"/>
        <v>109112.64000000001</v>
      </c>
      <c r="M106" s="71">
        <f t="shared" si="36"/>
        <v>87539.650334675986</v>
      </c>
      <c r="N106" s="89">
        <f>+M106*References_BDI!$C$42</f>
        <v>129.55868249532034</v>
      </c>
      <c r="O106" s="89">
        <f>+N106/References_BDI!$G$45</f>
        <v>132.21622869203014</v>
      </c>
      <c r="P106" s="89">
        <f t="shared" si="29"/>
        <v>2.5426197825390413</v>
      </c>
      <c r="Q106" s="91">
        <v>159.48220191620229</v>
      </c>
      <c r="R106" s="92">
        <f t="shared" si="37"/>
        <v>162.02482169874133</v>
      </c>
      <c r="S106" s="89">
        <f t="shared" si="31"/>
        <v>0</v>
      </c>
      <c r="T106" s="89">
        <f t="shared" si="32"/>
        <v>0</v>
      </c>
      <c r="U106" s="93">
        <f t="shared" si="38"/>
        <v>0</v>
      </c>
      <c r="W106" t="str">
        <f t="shared" si="34"/>
        <v>$162.02 (A)</v>
      </c>
    </row>
    <row r="107" spans="1:23" x14ac:dyDescent="0.25">
      <c r="A107">
        <v>101</v>
      </c>
      <c r="C107" s="12" t="s">
        <v>60</v>
      </c>
      <c r="E107" s="96"/>
      <c r="F107" s="1">
        <v>35</v>
      </c>
      <c r="G107" t="s">
        <v>239</v>
      </c>
      <c r="J107" s="71">
        <v>52</v>
      </c>
      <c r="K107">
        <f>INDEX(References_BDI!$D:$D,MATCH(C107,References_BDI!B:B,0))</f>
        <v>668.46480000000008</v>
      </c>
      <c r="L107" s="71">
        <f t="shared" si="27"/>
        <v>34760.169600000001</v>
      </c>
      <c r="M107" s="71">
        <f t="shared" si="36"/>
        <v>27887.631463761059</v>
      </c>
      <c r="N107" s="89">
        <f>+M107*References_BDI!$C$42</f>
        <v>41.273694566366331</v>
      </c>
      <c r="O107" s="89">
        <f>+N107/References_BDI!$G$45</f>
        <v>42.120312854746743</v>
      </c>
      <c r="P107" s="89">
        <f t="shared" si="29"/>
        <v>0.81000601643743741</v>
      </c>
      <c r="Q107" s="91">
        <v>55.014201467590148</v>
      </c>
      <c r="R107" s="92">
        <f t="shared" si="37"/>
        <v>55.824207484027582</v>
      </c>
      <c r="S107" s="89">
        <f t="shared" si="31"/>
        <v>0</v>
      </c>
      <c r="T107" s="89">
        <f t="shared" si="32"/>
        <v>0</v>
      </c>
      <c r="U107" s="93">
        <f t="shared" si="38"/>
        <v>0</v>
      </c>
      <c r="W107" t="str">
        <f t="shared" si="34"/>
        <v>$55.82 (A)</v>
      </c>
    </row>
    <row r="108" spans="1:23" x14ac:dyDescent="0.25">
      <c r="A108">
        <v>102</v>
      </c>
      <c r="C108" s="12" t="s">
        <v>60</v>
      </c>
      <c r="E108" s="96"/>
      <c r="F108" s="1">
        <v>35</v>
      </c>
      <c r="G108" t="s">
        <v>240</v>
      </c>
      <c r="J108" s="71">
        <v>52</v>
      </c>
      <c r="K108">
        <f>INDEX(References_BDI!$D:$D,MATCH(C108,References_BDI!B:B,0))</f>
        <v>668.46480000000008</v>
      </c>
      <c r="L108" s="71">
        <f t="shared" si="27"/>
        <v>34760.169600000001</v>
      </c>
      <c r="M108" s="71">
        <f t="shared" si="36"/>
        <v>27887.631463761059</v>
      </c>
      <c r="N108" s="89">
        <f>+M108*References_BDI!$C$42</f>
        <v>41.273694566366331</v>
      </c>
      <c r="O108" s="89">
        <f>+N108/References_BDI!$G$45</f>
        <v>42.120312854746743</v>
      </c>
      <c r="P108" s="89">
        <f t="shared" si="29"/>
        <v>0.81000601643743741</v>
      </c>
      <c r="Q108" s="91">
        <v>78.764201467590155</v>
      </c>
      <c r="R108" s="92">
        <f t="shared" si="37"/>
        <v>79.574207484027596</v>
      </c>
      <c r="S108" s="89">
        <f t="shared" si="31"/>
        <v>0</v>
      </c>
      <c r="T108" s="89">
        <f t="shared" si="32"/>
        <v>0</v>
      </c>
      <c r="U108" s="93">
        <f t="shared" si="38"/>
        <v>0</v>
      </c>
      <c r="W108" t="str">
        <f t="shared" si="34"/>
        <v>$79.57 (A)</v>
      </c>
    </row>
    <row r="109" spans="1:23" x14ac:dyDescent="0.25">
      <c r="A109">
        <v>103</v>
      </c>
      <c r="C109" s="12" t="s">
        <v>59</v>
      </c>
      <c r="E109" s="96"/>
      <c r="F109" s="1">
        <v>35</v>
      </c>
      <c r="G109" t="s">
        <v>241</v>
      </c>
      <c r="J109" s="71">
        <v>52</v>
      </c>
      <c r="K109">
        <f>INDEX(References_BDI!$D:$D,MATCH(C109,References_BDI!B:B,0))</f>
        <v>974.96940000000006</v>
      </c>
      <c r="L109" s="71">
        <f t="shared" si="27"/>
        <v>50698.408800000005</v>
      </c>
      <c r="M109" s="71">
        <f t="shared" si="36"/>
        <v>40674.673244790516</v>
      </c>
      <c r="N109" s="89">
        <f>+M109*References_BDI!$C$42</f>
        <v>60.198516402289911</v>
      </c>
      <c r="O109" s="89">
        <f>+N109/References_BDI!$G$45</f>
        <v>61.433326260118292</v>
      </c>
      <c r="P109" s="89">
        <f t="shared" si="29"/>
        <v>1.1814101203868903</v>
      </c>
      <c r="Q109" s="91">
        <v>77.284648104635409</v>
      </c>
      <c r="R109" s="92">
        <f t="shared" si="37"/>
        <v>78.466058225022294</v>
      </c>
      <c r="S109" s="89">
        <f t="shared" si="31"/>
        <v>0</v>
      </c>
      <c r="T109" s="89">
        <f t="shared" si="32"/>
        <v>0</v>
      </c>
      <c r="U109" s="93">
        <f t="shared" si="38"/>
        <v>0</v>
      </c>
      <c r="W109" t="str">
        <f t="shared" si="34"/>
        <v>$78.47 (A)</v>
      </c>
    </row>
    <row r="110" spans="1:23" x14ac:dyDescent="0.25">
      <c r="A110">
        <v>104</v>
      </c>
      <c r="C110" s="12" t="s">
        <v>59</v>
      </c>
      <c r="E110" s="96"/>
      <c r="F110" s="1">
        <v>35</v>
      </c>
      <c r="G110" t="s">
        <v>242</v>
      </c>
      <c r="J110" s="71">
        <v>52</v>
      </c>
      <c r="K110">
        <f>INDEX(References_BDI!$D:$D,MATCH(C110,References_BDI!B:B,0))</f>
        <v>974.96940000000006</v>
      </c>
      <c r="L110" s="71">
        <f t="shared" si="27"/>
        <v>50698.408800000005</v>
      </c>
      <c r="M110" s="71">
        <f t="shared" si="36"/>
        <v>40674.673244790516</v>
      </c>
      <c r="N110" s="89">
        <f>+M110*References_BDI!$C$42</f>
        <v>60.198516402289911</v>
      </c>
      <c r="O110" s="89">
        <f>+N110/References_BDI!$G$45</f>
        <v>61.433326260118292</v>
      </c>
      <c r="P110" s="89">
        <f t="shared" si="29"/>
        <v>1.1814101203868903</v>
      </c>
      <c r="Q110" s="91">
        <v>100.09464810463541</v>
      </c>
      <c r="R110" s="92">
        <f t="shared" si="37"/>
        <v>101.2760582250223</v>
      </c>
      <c r="S110" s="89">
        <f t="shared" si="31"/>
        <v>0</v>
      </c>
      <c r="T110" s="89">
        <f t="shared" si="32"/>
        <v>0</v>
      </c>
      <c r="U110" s="93">
        <f t="shared" si="38"/>
        <v>0</v>
      </c>
      <c r="W110" t="str">
        <f t="shared" si="34"/>
        <v>$101.28 (A)</v>
      </c>
    </row>
    <row r="111" spans="1:23" x14ac:dyDescent="0.25">
      <c r="A111">
        <v>105</v>
      </c>
      <c r="C111" s="12" t="s">
        <v>58</v>
      </c>
      <c r="E111" s="96"/>
      <c r="F111" s="1">
        <v>35</v>
      </c>
      <c r="G111" t="s">
        <v>243</v>
      </c>
      <c r="J111" s="71">
        <v>52</v>
      </c>
      <c r="K111">
        <f>INDEX(References_BDI!$D:$D,MATCH(C111,References_BDI!B:B,0))</f>
        <v>1263.4884000000002</v>
      </c>
      <c r="L111" s="71">
        <f t="shared" si="27"/>
        <v>65701.396800000017</v>
      </c>
      <c r="M111" s="71">
        <f t="shared" si="36"/>
        <v>52711.375165808473</v>
      </c>
      <c r="N111" s="89">
        <f>+M111*References_BDI!$C$42</f>
        <v>78.012835245396474</v>
      </c>
      <c r="O111" s="89">
        <f>+N111/References_BDI!$G$45</f>
        <v>79.613057705272453</v>
      </c>
      <c r="P111" s="89">
        <f t="shared" si="29"/>
        <v>1.5310203404860088</v>
      </c>
      <c r="Q111" s="91">
        <v>106.55807586811322</v>
      </c>
      <c r="R111" s="92">
        <f t="shared" si="37"/>
        <v>108.08909620859923</v>
      </c>
      <c r="S111" s="89">
        <f t="shared" si="31"/>
        <v>0</v>
      </c>
      <c r="T111" s="89">
        <f t="shared" si="32"/>
        <v>0</v>
      </c>
      <c r="U111" s="93">
        <f t="shared" si="38"/>
        <v>0</v>
      </c>
      <c r="W111" t="str">
        <f t="shared" si="34"/>
        <v>$108.09 (A)</v>
      </c>
    </row>
    <row r="112" spans="1:23" x14ac:dyDescent="0.25">
      <c r="A112">
        <v>106</v>
      </c>
      <c r="C112" s="12" t="s">
        <v>58</v>
      </c>
      <c r="E112" s="96"/>
      <c r="F112" s="1">
        <v>35</v>
      </c>
      <c r="G112" t="s">
        <v>244</v>
      </c>
      <c r="J112" s="71">
        <v>52</v>
      </c>
      <c r="K112">
        <f>INDEX(References_BDI!$D:$D,MATCH(C112,References_BDI!B:B,0))</f>
        <v>1263.4884000000002</v>
      </c>
      <c r="L112" s="71">
        <f t="shared" si="27"/>
        <v>65701.396800000017</v>
      </c>
      <c r="M112" s="71">
        <f t="shared" si="36"/>
        <v>52711.375165808473</v>
      </c>
      <c r="N112" s="89">
        <f>+M112*References_BDI!$C$42</f>
        <v>78.012835245396474</v>
      </c>
      <c r="O112" s="89">
        <f>+N112/References_BDI!$G$45</f>
        <v>79.613057705272453</v>
      </c>
      <c r="P112" s="89">
        <f t="shared" si="29"/>
        <v>1.5310203404860088</v>
      </c>
      <c r="Q112" s="91">
        <v>130.32807586811322</v>
      </c>
      <c r="R112" s="92">
        <f t="shared" si="37"/>
        <v>131.85909620859923</v>
      </c>
      <c r="S112" s="89">
        <f t="shared" si="31"/>
        <v>0</v>
      </c>
      <c r="T112" s="89">
        <f t="shared" si="32"/>
        <v>0</v>
      </c>
      <c r="U112" s="93">
        <f t="shared" si="38"/>
        <v>0</v>
      </c>
      <c r="W112" t="str">
        <f t="shared" si="34"/>
        <v>$131.86 (A)</v>
      </c>
    </row>
    <row r="113" spans="1:23" x14ac:dyDescent="0.25">
      <c r="A113">
        <v>107</v>
      </c>
      <c r="C113" s="12" t="s">
        <v>56</v>
      </c>
      <c r="E113" s="96"/>
      <c r="F113" s="1">
        <v>35</v>
      </c>
      <c r="G113" t="s">
        <v>245</v>
      </c>
      <c r="J113" s="71">
        <v>52</v>
      </c>
      <c r="K113">
        <f>INDEX(References_BDI!$D:$D,MATCH(C113,References_BDI!B:B,0))</f>
        <v>1731.1140000000003</v>
      </c>
      <c r="L113" s="71">
        <f t="shared" si="27"/>
        <v>90017.928000000014</v>
      </c>
      <c r="M113" s="71">
        <f t="shared" si="36"/>
        <v>72220.211526107683</v>
      </c>
      <c r="N113" s="89">
        <f>+M113*References_BDI!$C$42</f>
        <v>106.88591305863928</v>
      </c>
      <c r="O113" s="89">
        <f>+N113/References_BDI!$G$45</f>
        <v>109.07838867092487</v>
      </c>
      <c r="P113" s="89">
        <f t="shared" si="29"/>
        <v>2.097661320594709</v>
      </c>
      <c r="Q113" s="91">
        <v>137.05056658086687</v>
      </c>
      <c r="R113" s="92">
        <f t="shared" si="37"/>
        <v>139.14822790146158</v>
      </c>
      <c r="S113" s="89">
        <f t="shared" si="31"/>
        <v>0</v>
      </c>
      <c r="T113" s="89">
        <f t="shared" si="32"/>
        <v>0</v>
      </c>
      <c r="U113" s="93">
        <f t="shared" si="38"/>
        <v>0</v>
      </c>
      <c r="W113" t="str">
        <f t="shared" si="34"/>
        <v>$139.15 (A)</v>
      </c>
    </row>
    <row r="114" spans="1:23" x14ac:dyDescent="0.25">
      <c r="A114">
        <v>108</v>
      </c>
      <c r="C114" s="12" t="s">
        <v>56</v>
      </c>
      <c r="E114" s="96"/>
      <c r="F114" s="1">
        <v>35</v>
      </c>
      <c r="G114" t="s">
        <v>246</v>
      </c>
      <c r="J114" s="71">
        <v>52</v>
      </c>
      <c r="K114">
        <f>INDEX(References_BDI!$D:$D,MATCH(C114,References_BDI!B:B,0))</f>
        <v>1731.1140000000003</v>
      </c>
      <c r="L114" s="71">
        <f t="shared" si="27"/>
        <v>90017.928000000014</v>
      </c>
      <c r="M114" s="71">
        <f t="shared" si="36"/>
        <v>72220.211526107683</v>
      </c>
      <c r="N114" s="89">
        <f>+M114*References_BDI!$C$42</f>
        <v>106.88591305863928</v>
      </c>
      <c r="O114" s="89">
        <f>+N114/References_BDI!$G$45</f>
        <v>109.07838867092487</v>
      </c>
      <c r="P114" s="89">
        <f t="shared" si="29"/>
        <v>2.097661320594709</v>
      </c>
      <c r="Q114" s="91">
        <v>160.82056658086688</v>
      </c>
      <c r="R114" s="92">
        <f t="shared" si="37"/>
        <v>162.91822790146159</v>
      </c>
      <c r="S114" s="89">
        <f t="shared" si="31"/>
        <v>0</v>
      </c>
      <c r="T114" s="89">
        <f t="shared" si="32"/>
        <v>0</v>
      </c>
      <c r="U114" s="93">
        <f t="shared" si="38"/>
        <v>0</v>
      </c>
      <c r="W114" t="str">
        <f t="shared" si="34"/>
        <v>$162.92 (A)</v>
      </c>
    </row>
    <row r="118" spans="1:23" x14ac:dyDescent="0.25">
      <c r="G118" s="102" t="s">
        <v>205</v>
      </c>
      <c r="H118" s="102"/>
    </row>
    <row r="119" spans="1:23" x14ac:dyDescent="0.25">
      <c r="G119" s="82"/>
      <c r="H119" s="83" t="s">
        <v>118</v>
      </c>
    </row>
    <row r="120" spans="1:23" x14ac:dyDescent="0.25">
      <c r="G120" s="82" t="s">
        <v>206</v>
      </c>
      <c r="H120" s="84">
        <f>'Tonnage Summary'!B2</f>
        <v>13378.365901423074</v>
      </c>
    </row>
    <row r="121" spans="1:23" x14ac:dyDescent="0.25">
      <c r="G121" s="82" t="s">
        <v>207</v>
      </c>
      <c r="H121" s="85">
        <f>+H120*2000</f>
        <v>26756731.802846149</v>
      </c>
      <c r="I121" s="2"/>
    </row>
    <row r="122" spans="1:23" x14ac:dyDescent="0.25">
      <c r="G122" s="82" t="s">
        <v>208</v>
      </c>
      <c r="H122" s="85">
        <f>J55</f>
        <v>327181.66666666669</v>
      </c>
    </row>
    <row r="123" spans="1:23" x14ac:dyDescent="0.25">
      <c r="G123" s="86" t="s">
        <v>209</v>
      </c>
      <c r="H123" s="87">
        <f>+H121/L55</f>
        <v>0.8022869791682794</v>
      </c>
    </row>
  </sheetData>
  <autoFilter ref="B6:U114"/>
  <mergeCells count="3">
    <mergeCell ref="E7:E13"/>
    <mergeCell ref="G118:H118"/>
    <mergeCell ref="A1:U1"/>
  </mergeCells>
  <dataValidations disablePrompts="1" count="1">
    <dataValidation type="list" allowBlank="1" showInputMessage="1" showErrorMessage="1" sqref="D7:D58 D60:D72 D74:D86 D89:D123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[15]References_EDS!#REF!</xm:f>
          </x14:formula1>
          <xm:sqref>D87:D88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T58"/>
  <sheetViews>
    <sheetView topLeftCell="A36" zoomScale="85" zoomScaleNormal="85" workbookViewId="0">
      <selection activeCell="B48" sqref="B48"/>
    </sheetView>
  </sheetViews>
  <sheetFormatPr defaultRowHeight="15" x14ac:dyDescent="0.25"/>
  <cols>
    <col min="1" max="1" width="37.140625" bestFit="1" customWidth="1"/>
    <col min="2" max="2" width="24.28515625" bestFit="1" customWidth="1"/>
    <col min="3" max="3" width="13.140625" customWidth="1"/>
    <col min="4" max="4" width="11" customWidth="1"/>
    <col min="5" max="5" width="11.140625" customWidth="1"/>
    <col min="6" max="6" width="14.28515625" customWidth="1"/>
    <col min="7" max="7" width="42.140625" bestFit="1" customWidth="1"/>
    <col min="8" max="8" width="12.42578125" bestFit="1" customWidth="1"/>
    <col min="13" max="13" width="25.85546875" bestFit="1" customWidth="1"/>
    <col min="14" max="14" width="22.7109375" bestFit="1" customWidth="1"/>
  </cols>
  <sheetData>
    <row r="1" spans="1:20" s="24" customFormat="1" x14ac:dyDescent="0.25">
      <c r="B1" s="24" t="s">
        <v>112</v>
      </c>
      <c r="G1" s="28"/>
      <c r="M1" s="104" t="s">
        <v>111</v>
      </c>
      <c r="N1" s="104"/>
      <c r="O1" s="104"/>
      <c r="P1" s="104"/>
      <c r="Q1" s="104"/>
      <c r="R1" s="104"/>
      <c r="S1" s="104"/>
      <c r="T1" s="104"/>
    </row>
    <row r="2" spans="1:20" s="24" customFormat="1" ht="30" x14ac:dyDescent="0.25">
      <c r="A2" s="24" t="s">
        <v>110</v>
      </c>
      <c r="B2" s="24" t="s">
        <v>109</v>
      </c>
      <c r="C2" s="24" t="s">
        <v>108</v>
      </c>
      <c r="D2" s="24" t="s">
        <v>107</v>
      </c>
      <c r="E2" s="24" t="s">
        <v>106</v>
      </c>
      <c r="M2" s="27" t="s">
        <v>105</v>
      </c>
      <c r="N2" s="25" t="s">
        <v>104</v>
      </c>
      <c r="O2" s="25" t="s">
        <v>103</v>
      </c>
      <c r="P2" s="25" t="s">
        <v>102</v>
      </c>
      <c r="Q2" s="26" t="s">
        <v>101</v>
      </c>
      <c r="R2" s="26" t="s">
        <v>100</v>
      </c>
      <c r="S2" s="26" t="s">
        <v>99</v>
      </c>
      <c r="T2" s="25" t="s">
        <v>98</v>
      </c>
    </row>
    <row r="3" spans="1:20" x14ac:dyDescent="0.25">
      <c r="A3" t="s">
        <v>81</v>
      </c>
      <c r="B3" s="12" t="s">
        <v>97</v>
      </c>
      <c r="C3" s="12">
        <v>20</v>
      </c>
      <c r="D3" s="14">
        <v>14.988000000000001</v>
      </c>
      <c r="E3" s="15"/>
      <c r="L3" s="21">
        <v>5</v>
      </c>
      <c r="M3" s="20" t="s">
        <v>96</v>
      </c>
      <c r="N3" s="19">
        <f>52*5/12</f>
        <v>21.666666666666668</v>
      </c>
      <c r="O3" s="22">
        <f>$N$3*2</f>
        <v>43.333333333333336</v>
      </c>
      <c r="P3" s="22">
        <f>$N$3*3</f>
        <v>65</v>
      </c>
      <c r="Q3" s="22">
        <f>$N$3*4</f>
        <v>86.666666666666671</v>
      </c>
      <c r="R3" s="22">
        <f>$N$3*5</f>
        <v>108.33333333333334</v>
      </c>
      <c r="S3" s="22">
        <f>$N$3*6</f>
        <v>130</v>
      </c>
      <c r="T3" s="22">
        <f>$N$3*7</f>
        <v>151.66666666666669</v>
      </c>
    </row>
    <row r="4" spans="1:20" x14ac:dyDescent="0.25">
      <c r="A4" t="s">
        <v>81</v>
      </c>
      <c r="B4" s="12" t="s">
        <v>95</v>
      </c>
      <c r="C4" s="12">
        <v>34</v>
      </c>
      <c r="D4" s="14">
        <v>25.479600000000001</v>
      </c>
      <c r="E4" s="15"/>
      <c r="L4" s="21">
        <v>4</v>
      </c>
      <c r="M4" s="20" t="s">
        <v>94</v>
      </c>
      <c r="N4" s="19">
        <f>52*4/12</f>
        <v>17.333333333333332</v>
      </c>
      <c r="O4" s="22">
        <f>$N$4*2</f>
        <v>34.666666666666664</v>
      </c>
      <c r="P4" s="22">
        <f>$N$4*3</f>
        <v>52</v>
      </c>
      <c r="Q4" s="22">
        <f>$N$4*4</f>
        <v>69.333333333333329</v>
      </c>
      <c r="R4" s="22">
        <f>$N$4*5</f>
        <v>86.666666666666657</v>
      </c>
      <c r="S4" s="22">
        <f>$N$4*6</f>
        <v>104</v>
      </c>
      <c r="T4" s="22">
        <f>$N$4*7</f>
        <v>121.33333333333333</v>
      </c>
    </row>
    <row r="5" spans="1:20" x14ac:dyDescent="0.25">
      <c r="A5" t="s">
        <v>81</v>
      </c>
      <c r="B5" s="12" t="s">
        <v>93</v>
      </c>
      <c r="C5" s="12">
        <v>51</v>
      </c>
      <c r="D5" s="14">
        <v>38.2194</v>
      </c>
      <c r="E5" s="15"/>
      <c r="H5" s="23"/>
      <c r="L5" s="21">
        <v>3</v>
      </c>
      <c r="M5" s="20" t="s">
        <v>92</v>
      </c>
      <c r="N5" s="19">
        <f>52*3/12</f>
        <v>13</v>
      </c>
      <c r="O5" s="22">
        <f>$N$5*2</f>
        <v>26</v>
      </c>
      <c r="P5" s="22">
        <f>$N$5*3</f>
        <v>39</v>
      </c>
      <c r="Q5" s="22">
        <f>$N$5*4</f>
        <v>52</v>
      </c>
      <c r="R5" s="22">
        <f>$N$5*5</f>
        <v>65</v>
      </c>
      <c r="S5" s="22">
        <f>$N$5*6</f>
        <v>78</v>
      </c>
      <c r="T5" s="22">
        <f>$N$5*7</f>
        <v>91</v>
      </c>
    </row>
    <row r="6" spans="1:20" x14ac:dyDescent="0.25">
      <c r="A6" t="s">
        <v>81</v>
      </c>
      <c r="B6" s="12" t="s">
        <v>91</v>
      </c>
      <c r="C6" s="12">
        <v>77</v>
      </c>
      <c r="D6" s="14">
        <v>57.703800000000008</v>
      </c>
      <c r="E6" s="15"/>
      <c r="L6" s="21">
        <v>2</v>
      </c>
      <c r="M6" s="20" t="s">
        <v>90</v>
      </c>
      <c r="N6" s="19">
        <f>52*2/12</f>
        <v>8.6666666666666661</v>
      </c>
      <c r="O6" s="15">
        <f>$N$6*2</f>
        <v>17.333333333333332</v>
      </c>
      <c r="P6" s="15">
        <f>$N$6*3</f>
        <v>26</v>
      </c>
      <c r="Q6" s="15">
        <f>$N$6*4</f>
        <v>34.666666666666664</v>
      </c>
      <c r="R6" s="15">
        <f>$N$6*5</f>
        <v>43.333333333333329</v>
      </c>
      <c r="S6" s="15">
        <f>$N$6*6</f>
        <v>52</v>
      </c>
      <c r="T6" s="15">
        <f>$N$6*7</f>
        <v>60.666666666666664</v>
      </c>
    </row>
    <row r="7" spans="1:20" x14ac:dyDescent="0.25">
      <c r="A7" t="s">
        <v>81</v>
      </c>
      <c r="B7" s="12" t="s">
        <v>89</v>
      </c>
      <c r="C7" s="12">
        <v>97</v>
      </c>
      <c r="D7" s="14">
        <v>72.691800000000001</v>
      </c>
      <c r="E7" s="15"/>
      <c r="L7" s="21">
        <v>1</v>
      </c>
      <c r="M7" s="20" t="s">
        <v>88</v>
      </c>
      <c r="N7" s="19">
        <f>52/12</f>
        <v>4.333333333333333</v>
      </c>
      <c r="O7" s="15">
        <f>$N$7*2</f>
        <v>8.6666666666666661</v>
      </c>
      <c r="P7" s="15">
        <f>$N$7*3</f>
        <v>13</v>
      </c>
      <c r="Q7" s="15">
        <f>$N$7*4</f>
        <v>17.333333333333332</v>
      </c>
      <c r="R7" s="15">
        <f>$N$7*5</f>
        <v>21.666666666666664</v>
      </c>
      <c r="S7" s="15">
        <f>$N$7*6</f>
        <v>26</v>
      </c>
      <c r="T7" s="15">
        <f>$N$7*7</f>
        <v>30.333333333333332</v>
      </c>
    </row>
    <row r="8" spans="1:20" x14ac:dyDescent="0.25">
      <c r="A8" t="s">
        <v>81</v>
      </c>
      <c r="B8" s="12" t="s">
        <v>87</v>
      </c>
      <c r="C8" s="12">
        <v>117</v>
      </c>
      <c r="D8" s="14">
        <v>87.679800000000014</v>
      </c>
      <c r="E8" s="15"/>
      <c r="L8" s="21">
        <v>0.5</v>
      </c>
      <c r="M8" s="20" t="s">
        <v>86</v>
      </c>
      <c r="N8" s="19">
        <f>26/12</f>
        <v>2.1666666666666665</v>
      </c>
      <c r="O8" s="15">
        <f>$N$8*2</f>
        <v>4.333333333333333</v>
      </c>
      <c r="P8" s="15">
        <f>$N$8*3</f>
        <v>6.5</v>
      </c>
      <c r="Q8" s="15">
        <f>$N$8*4</f>
        <v>8.6666666666666661</v>
      </c>
      <c r="R8" s="15">
        <f>$N$8*5</f>
        <v>10.833333333333332</v>
      </c>
      <c r="S8" s="15">
        <f>$N$8*6</f>
        <v>13</v>
      </c>
      <c r="T8" s="15">
        <f>$N$8*7</f>
        <v>15.166666666666666</v>
      </c>
    </row>
    <row r="9" spans="1:20" x14ac:dyDescent="0.25">
      <c r="A9" t="s">
        <v>81</v>
      </c>
      <c r="B9" s="12" t="s">
        <v>85</v>
      </c>
      <c r="C9" s="12">
        <v>157</v>
      </c>
      <c r="D9" s="14">
        <v>117.65580000000001</v>
      </c>
      <c r="E9" s="15"/>
      <c r="L9" s="21">
        <v>8.3333333333333329E-2</v>
      </c>
      <c r="M9" s="20" t="s">
        <v>84</v>
      </c>
      <c r="N9" s="19">
        <f>12/12</f>
        <v>1</v>
      </c>
      <c r="O9" s="15">
        <f>$N$9*2</f>
        <v>2</v>
      </c>
      <c r="P9" s="15">
        <f>$N$9*3</f>
        <v>3</v>
      </c>
      <c r="Q9" s="15">
        <f>$N$9*4</f>
        <v>4</v>
      </c>
      <c r="R9" s="15">
        <f>$N$9*5</f>
        <v>5</v>
      </c>
      <c r="S9" s="15">
        <f>$N$9*6</f>
        <v>6</v>
      </c>
      <c r="T9" s="15">
        <f>$N$9*7</f>
        <v>7</v>
      </c>
    </row>
    <row r="10" spans="1:20" x14ac:dyDescent="0.25">
      <c r="A10" t="s">
        <v>81</v>
      </c>
      <c r="B10" s="12" t="s">
        <v>43</v>
      </c>
      <c r="C10" s="12">
        <v>37</v>
      </c>
      <c r="D10" s="14">
        <v>27.727800000000002</v>
      </c>
      <c r="E10" s="15" t="s">
        <v>74</v>
      </c>
    </row>
    <row r="11" spans="1:20" x14ac:dyDescent="0.25">
      <c r="A11" t="s">
        <v>81</v>
      </c>
      <c r="B11" s="12" t="s">
        <v>41</v>
      </c>
      <c r="C11" s="12">
        <v>47</v>
      </c>
      <c r="D11" s="18">
        <v>32.5</v>
      </c>
      <c r="E11" s="15"/>
    </row>
    <row r="12" spans="1:20" x14ac:dyDescent="0.25">
      <c r="A12" t="s">
        <v>81</v>
      </c>
      <c r="B12" s="12" t="s">
        <v>15</v>
      </c>
      <c r="C12" s="12">
        <v>68</v>
      </c>
      <c r="D12" s="18">
        <v>54</v>
      </c>
      <c r="E12" s="15"/>
    </row>
    <row r="13" spans="1:20" x14ac:dyDescent="0.25">
      <c r="A13" t="s">
        <v>81</v>
      </c>
      <c r="B13" s="12" t="s">
        <v>83</v>
      </c>
      <c r="C13" s="12">
        <v>34</v>
      </c>
      <c r="D13" s="14">
        <v>25.479600000000001</v>
      </c>
      <c r="E13" s="15"/>
      <c r="M13" s="105" t="s">
        <v>82</v>
      </c>
      <c r="N13" s="105"/>
    </row>
    <row r="14" spans="1:20" x14ac:dyDescent="0.25">
      <c r="A14" t="s">
        <v>81</v>
      </c>
      <c r="B14" s="12" t="s">
        <v>37</v>
      </c>
      <c r="C14" s="12">
        <v>34</v>
      </c>
      <c r="D14" s="18">
        <v>20</v>
      </c>
      <c r="E14" s="15"/>
      <c r="M14" s="17" t="s">
        <v>70</v>
      </c>
      <c r="N14" s="17" t="s">
        <v>69</v>
      </c>
    </row>
    <row r="15" spans="1:20" x14ac:dyDescent="0.25">
      <c r="A15" t="s">
        <v>75</v>
      </c>
      <c r="B15" s="12" t="s">
        <v>63</v>
      </c>
      <c r="C15" s="12">
        <v>29</v>
      </c>
      <c r="D15" s="14">
        <v>21.732600000000001</v>
      </c>
      <c r="E15" s="15"/>
      <c r="M15" t="s">
        <v>68</v>
      </c>
      <c r="N15" s="16" t="s">
        <v>34</v>
      </c>
    </row>
    <row r="16" spans="1:20" x14ac:dyDescent="0.25">
      <c r="A16" t="s">
        <v>75</v>
      </c>
      <c r="B16" s="12" t="s">
        <v>34</v>
      </c>
      <c r="C16" s="12">
        <v>175</v>
      </c>
      <c r="D16" s="14">
        <v>131.14500000000001</v>
      </c>
      <c r="E16" s="15"/>
      <c r="M16" t="s">
        <v>67</v>
      </c>
      <c r="N16" s="16" t="s">
        <v>34</v>
      </c>
    </row>
    <row r="17" spans="1:14" x14ac:dyDescent="0.25">
      <c r="A17" t="s">
        <v>75</v>
      </c>
      <c r="B17" s="12" t="s">
        <v>26</v>
      </c>
      <c r="C17" s="12">
        <v>250</v>
      </c>
      <c r="D17" s="14">
        <v>187.35000000000002</v>
      </c>
      <c r="E17" s="15"/>
      <c r="M17" t="s">
        <v>66</v>
      </c>
      <c r="N17" s="16" t="s">
        <v>26</v>
      </c>
    </row>
    <row r="18" spans="1:14" x14ac:dyDescent="0.25">
      <c r="A18" t="s">
        <v>75</v>
      </c>
      <c r="B18" s="12" t="s">
        <v>31</v>
      </c>
      <c r="C18" s="12">
        <v>324</v>
      </c>
      <c r="D18" s="14">
        <v>242.80560000000003</v>
      </c>
      <c r="E18" s="15"/>
      <c r="M18" t="s">
        <v>64</v>
      </c>
      <c r="N18" s="12" t="s">
        <v>63</v>
      </c>
    </row>
    <row r="19" spans="1:14" x14ac:dyDescent="0.25">
      <c r="A19" t="s">
        <v>75</v>
      </c>
      <c r="B19" s="12" t="s">
        <v>28</v>
      </c>
      <c r="C19" s="12">
        <v>473</v>
      </c>
      <c r="D19" s="14">
        <v>354.46620000000001</v>
      </c>
      <c r="E19" s="15"/>
      <c r="M19" t="s">
        <v>62</v>
      </c>
      <c r="N19" s="12" t="s">
        <v>41</v>
      </c>
    </row>
    <row r="20" spans="1:14" x14ac:dyDescent="0.25">
      <c r="A20" t="s">
        <v>75</v>
      </c>
      <c r="B20" s="12" t="s">
        <v>23</v>
      </c>
      <c r="C20" s="12">
        <v>613</v>
      </c>
      <c r="D20" s="14">
        <v>459.38220000000007</v>
      </c>
      <c r="E20" s="15"/>
      <c r="M20" t="s">
        <v>61</v>
      </c>
      <c r="N20" s="12" t="s">
        <v>15</v>
      </c>
    </row>
    <row r="21" spans="1:14" x14ac:dyDescent="0.25">
      <c r="A21" t="s">
        <v>75</v>
      </c>
      <c r="B21" s="12" t="s">
        <v>20</v>
      </c>
      <c r="C21" s="12">
        <v>840</v>
      </c>
      <c r="D21" s="14">
        <v>629.49600000000009</v>
      </c>
      <c r="E21" s="15"/>
      <c r="M21" t="s">
        <v>47</v>
      </c>
      <c r="N21" s="12" t="s">
        <v>38</v>
      </c>
    </row>
    <row r="22" spans="1:14" x14ac:dyDescent="0.25">
      <c r="A22" t="s">
        <v>75</v>
      </c>
      <c r="B22" s="12" t="s">
        <v>17</v>
      </c>
      <c r="C22" s="12">
        <v>980</v>
      </c>
      <c r="D22" s="14">
        <v>734.41200000000003</v>
      </c>
      <c r="E22" s="15"/>
      <c r="M22" t="s">
        <v>57</v>
      </c>
      <c r="N22" s="12" t="s">
        <v>56</v>
      </c>
    </row>
    <row r="23" spans="1:14" x14ac:dyDescent="0.25">
      <c r="A23" t="s">
        <v>75</v>
      </c>
      <c r="B23" s="12" t="s">
        <v>80</v>
      </c>
      <c r="C23" s="12">
        <v>482</v>
      </c>
      <c r="D23" s="14">
        <v>361.21080000000001</v>
      </c>
      <c r="E23" s="15" t="s">
        <v>74</v>
      </c>
      <c r="M23" t="s">
        <v>35</v>
      </c>
      <c r="N23" s="12" t="s">
        <v>34</v>
      </c>
    </row>
    <row r="24" spans="1:14" x14ac:dyDescent="0.25">
      <c r="A24" t="s">
        <v>75</v>
      </c>
      <c r="B24" s="12" t="s">
        <v>79</v>
      </c>
      <c r="C24" s="12">
        <v>689</v>
      </c>
      <c r="D24" s="14">
        <v>516.33660000000009</v>
      </c>
      <c r="E24" s="15" t="s">
        <v>74</v>
      </c>
      <c r="M24" t="s">
        <v>55</v>
      </c>
      <c r="N24" s="16" t="s">
        <v>34</v>
      </c>
    </row>
    <row r="25" spans="1:14" x14ac:dyDescent="0.25">
      <c r="A25" t="s">
        <v>75</v>
      </c>
      <c r="B25" s="12" t="s">
        <v>60</v>
      </c>
      <c r="C25" s="12">
        <v>892</v>
      </c>
      <c r="D25" s="14">
        <v>668.46480000000008</v>
      </c>
      <c r="E25" s="15" t="s">
        <v>74</v>
      </c>
      <c r="M25" t="s">
        <v>27</v>
      </c>
      <c r="N25" s="12" t="s">
        <v>26</v>
      </c>
    </row>
    <row r="26" spans="1:14" x14ac:dyDescent="0.25">
      <c r="A26" t="s">
        <v>75</v>
      </c>
      <c r="B26" s="12" t="s">
        <v>59</v>
      </c>
      <c r="C26" s="12">
        <v>1301</v>
      </c>
      <c r="D26" s="14">
        <v>974.96940000000006</v>
      </c>
      <c r="E26" s="15"/>
      <c r="M26" t="s">
        <v>32</v>
      </c>
      <c r="N26" s="12" t="s">
        <v>31</v>
      </c>
    </row>
    <row r="27" spans="1:14" x14ac:dyDescent="0.25">
      <c r="A27" t="s">
        <v>75</v>
      </c>
      <c r="B27" s="12" t="s">
        <v>58</v>
      </c>
      <c r="C27" s="12">
        <v>1686</v>
      </c>
      <c r="D27" s="14">
        <v>1263.4884000000002</v>
      </c>
      <c r="E27" s="15"/>
      <c r="M27" t="s">
        <v>29</v>
      </c>
      <c r="N27" s="12" t="s">
        <v>28</v>
      </c>
    </row>
    <row r="28" spans="1:14" x14ac:dyDescent="0.25">
      <c r="A28" t="s">
        <v>75</v>
      </c>
      <c r="B28" s="12" t="s">
        <v>78</v>
      </c>
      <c r="C28" s="12">
        <v>2046</v>
      </c>
      <c r="D28" s="14">
        <v>1533.2724000000001</v>
      </c>
      <c r="E28" s="15"/>
      <c r="M28" t="s">
        <v>24</v>
      </c>
      <c r="N28" s="12" t="s">
        <v>23</v>
      </c>
    </row>
    <row r="29" spans="1:14" x14ac:dyDescent="0.25">
      <c r="A29" t="s">
        <v>75</v>
      </c>
      <c r="B29" s="12" t="s">
        <v>56</v>
      </c>
      <c r="C29" s="12">
        <v>2310</v>
      </c>
      <c r="D29" s="14">
        <v>1731.1140000000003</v>
      </c>
      <c r="E29" s="15"/>
      <c r="M29" t="s">
        <v>21</v>
      </c>
      <c r="N29" s="12" t="s">
        <v>20</v>
      </c>
    </row>
    <row r="30" spans="1:14" x14ac:dyDescent="0.25">
      <c r="A30" t="s">
        <v>75</v>
      </c>
      <c r="B30" s="12" t="s">
        <v>77</v>
      </c>
      <c r="C30" s="12">
        <v>2800</v>
      </c>
      <c r="D30" s="14">
        <v>2098.3200000000002</v>
      </c>
      <c r="E30" s="15" t="s">
        <v>74</v>
      </c>
      <c r="M30" t="s">
        <v>18</v>
      </c>
      <c r="N30" s="12" t="s">
        <v>17</v>
      </c>
    </row>
    <row r="31" spans="1:14" x14ac:dyDescent="0.25">
      <c r="A31" t="s">
        <v>75</v>
      </c>
      <c r="B31" s="12" t="s">
        <v>38</v>
      </c>
      <c r="C31" s="12">
        <v>125</v>
      </c>
      <c r="D31" s="14">
        <v>93.675000000000011</v>
      </c>
      <c r="M31" t="s">
        <v>76</v>
      </c>
      <c r="N31" s="12" t="s">
        <v>72</v>
      </c>
    </row>
    <row r="32" spans="1:14" x14ac:dyDescent="0.25">
      <c r="A32" t="s">
        <v>75</v>
      </c>
      <c r="B32" s="12" t="s">
        <v>54</v>
      </c>
      <c r="C32" s="12">
        <v>206.25</v>
      </c>
      <c r="D32" s="14">
        <v>154.56375000000003</v>
      </c>
      <c r="E32" s="13" t="s">
        <v>74</v>
      </c>
      <c r="M32" t="s">
        <v>73</v>
      </c>
      <c r="N32" s="12" t="s">
        <v>72</v>
      </c>
    </row>
    <row r="33" spans="1:14" x14ac:dyDescent="0.25">
      <c r="M33" t="s">
        <v>44</v>
      </c>
      <c r="N33" s="12" t="s">
        <v>43</v>
      </c>
    </row>
    <row r="34" spans="1:14" x14ac:dyDescent="0.25">
      <c r="D34" s="13" t="s">
        <v>71</v>
      </c>
      <c r="M34" t="s">
        <v>42</v>
      </c>
      <c r="N34" s="12" t="s">
        <v>41</v>
      </c>
    </row>
    <row r="35" spans="1:14" x14ac:dyDescent="0.25">
      <c r="M35" t="s">
        <v>16</v>
      </c>
      <c r="N35" s="12" t="s">
        <v>15</v>
      </c>
    </row>
    <row r="36" spans="1:14" x14ac:dyDescent="0.25">
      <c r="M36" t="s">
        <v>40</v>
      </c>
      <c r="N36" s="12" t="s">
        <v>37</v>
      </c>
    </row>
    <row r="39" spans="1:14" x14ac:dyDescent="0.25">
      <c r="A39" s="29" t="s">
        <v>131</v>
      </c>
      <c r="B39" s="30" t="s">
        <v>12</v>
      </c>
      <c r="C39" s="30" t="s">
        <v>113</v>
      </c>
      <c r="D39" s="20"/>
      <c r="E39" s="20"/>
      <c r="F39" s="106" t="s">
        <v>114</v>
      </c>
      <c r="G39" s="106"/>
      <c r="H39" s="20"/>
      <c r="I39" s="20"/>
    </row>
    <row r="40" spans="1:14" x14ac:dyDescent="0.25">
      <c r="A40" s="31" t="s">
        <v>13</v>
      </c>
      <c r="B40" s="32">
        <v>49</v>
      </c>
      <c r="C40" s="33">
        <f>B40/2000</f>
        <v>2.4500000000000001E-2</v>
      </c>
      <c r="D40" s="20"/>
      <c r="E40" s="20"/>
      <c r="F40" s="20" t="s">
        <v>115</v>
      </c>
      <c r="G40" s="34">
        <f>0.015</f>
        <v>1.4999999999999999E-2</v>
      </c>
      <c r="H40" s="20"/>
      <c r="I40" s="20"/>
    </row>
    <row r="41" spans="1:14" x14ac:dyDescent="0.25">
      <c r="A41" s="31" t="s">
        <v>14</v>
      </c>
      <c r="B41" s="35">
        <v>51.96</v>
      </c>
      <c r="C41" s="36">
        <f>B41/2000</f>
        <v>2.598E-2</v>
      </c>
      <c r="D41" s="20"/>
      <c r="E41" s="20"/>
      <c r="F41" s="20" t="s">
        <v>116</v>
      </c>
      <c r="G41" s="37">
        <v>5.1000000000000004E-3</v>
      </c>
      <c r="H41" s="20"/>
      <c r="I41" s="20"/>
    </row>
    <row r="42" spans="1:14" x14ac:dyDescent="0.25">
      <c r="A42" s="12" t="s">
        <v>5</v>
      </c>
      <c r="B42" s="32">
        <f>B41-B40</f>
        <v>2.9600000000000009</v>
      </c>
      <c r="C42" s="38">
        <f>C41-C40</f>
        <v>1.4799999999999987E-3</v>
      </c>
      <c r="D42" s="20"/>
      <c r="E42" s="20"/>
      <c r="F42" s="20" t="s">
        <v>117</v>
      </c>
      <c r="G42" s="39"/>
      <c r="H42" s="20"/>
      <c r="I42" s="20"/>
    </row>
    <row r="43" spans="1:14" x14ac:dyDescent="0.25">
      <c r="A43" s="20"/>
      <c r="B43" s="20"/>
      <c r="C43" s="20"/>
      <c r="D43" s="20"/>
      <c r="E43" s="20"/>
      <c r="F43" s="20" t="s">
        <v>118</v>
      </c>
      <c r="G43" s="40">
        <f>SUM(G40:G42)</f>
        <v>2.01E-2</v>
      </c>
      <c r="H43" s="20"/>
      <c r="I43" s="20"/>
    </row>
    <row r="44" spans="1:14" x14ac:dyDescent="0.25">
      <c r="A44" s="20"/>
      <c r="B44" s="41" t="s">
        <v>119</v>
      </c>
      <c r="C44" s="20"/>
      <c r="D44" s="20"/>
      <c r="E44" s="20"/>
      <c r="F44" s="20"/>
      <c r="G44" s="20"/>
      <c r="H44" s="20"/>
      <c r="I44" s="20"/>
    </row>
    <row r="45" spans="1:14" x14ac:dyDescent="0.25">
      <c r="A45" s="20" t="s">
        <v>120</v>
      </c>
      <c r="B45" s="42">
        <f>B42</f>
        <v>2.9600000000000009</v>
      </c>
      <c r="C45" s="20"/>
      <c r="D45" s="20"/>
      <c r="E45" s="20"/>
      <c r="F45" s="20" t="s">
        <v>121</v>
      </c>
      <c r="G45" s="43">
        <f>1-G43</f>
        <v>0.97989999999999999</v>
      </c>
      <c r="H45" s="20"/>
      <c r="I45" s="20"/>
    </row>
    <row r="46" spans="1:14" x14ac:dyDescent="0.25">
      <c r="A46" s="20" t="s">
        <v>122</v>
      </c>
      <c r="B46" s="42">
        <f>B45/$G$45</f>
        <v>3.0207163996326165</v>
      </c>
      <c r="C46" s="20"/>
      <c r="D46" s="20"/>
      <c r="E46" s="20"/>
      <c r="F46" s="20"/>
      <c r="G46" s="20"/>
      <c r="H46" s="20"/>
      <c r="I46" s="20"/>
    </row>
    <row r="47" spans="1:14" x14ac:dyDescent="0.25">
      <c r="A47" s="20" t="s">
        <v>123</v>
      </c>
      <c r="B47" s="44">
        <f>'Tonnage Summary'!B2</f>
        <v>13378.365901423074</v>
      </c>
      <c r="C47" s="20"/>
      <c r="D47" s="20"/>
      <c r="E47" s="20"/>
      <c r="F47" s="20"/>
      <c r="G47" s="20"/>
      <c r="H47" s="20"/>
      <c r="I47" s="20"/>
    </row>
    <row r="48" spans="1:14" x14ac:dyDescent="0.25">
      <c r="A48" s="45" t="s">
        <v>124</v>
      </c>
      <c r="B48" s="46">
        <f>B46*B47</f>
        <v>40412.249278714473</v>
      </c>
      <c r="C48" s="20"/>
      <c r="D48" s="20"/>
      <c r="E48" s="20"/>
      <c r="F48" s="20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.75" thickBot="1" x14ac:dyDescent="0.3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47" t="s">
        <v>125</v>
      </c>
      <c r="B52" s="48" t="s">
        <v>126</v>
      </c>
      <c r="C52" s="20"/>
      <c r="D52" s="42"/>
      <c r="E52" s="20"/>
      <c r="F52" s="20"/>
      <c r="G52" s="20"/>
      <c r="H52" s="20"/>
      <c r="I52" s="20"/>
    </row>
    <row r="53" spans="1:9" x14ac:dyDescent="0.25">
      <c r="A53" s="49" t="s">
        <v>127</v>
      </c>
      <c r="B53" s="50">
        <f>BDI_Calculation!U55</f>
        <v>40395.534931169466</v>
      </c>
      <c r="C53" s="20"/>
      <c r="D53" s="20"/>
      <c r="E53" s="20"/>
      <c r="F53" s="20"/>
      <c r="G53" s="20"/>
      <c r="H53" s="20"/>
      <c r="I53" s="20"/>
    </row>
    <row r="54" spans="1:9" x14ac:dyDescent="0.25">
      <c r="A54" s="49" t="s">
        <v>128</v>
      </c>
      <c r="B54" s="50">
        <f>B53-B48</f>
        <v>-16.714347545006603</v>
      </c>
      <c r="C54" s="20"/>
      <c r="D54" s="20"/>
      <c r="E54" s="20"/>
      <c r="F54" s="20"/>
      <c r="G54" s="20"/>
      <c r="H54" s="20"/>
      <c r="I54" s="20"/>
    </row>
    <row r="55" spans="1:9" x14ac:dyDescent="0.25">
      <c r="A55" s="49"/>
      <c r="B55" s="51"/>
      <c r="C55" s="20"/>
      <c r="D55" s="20"/>
      <c r="E55" s="20"/>
      <c r="F55" s="20"/>
      <c r="G55" s="20"/>
      <c r="H55" s="20"/>
      <c r="I55" s="20"/>
    </row>
    <row r="56" spans="1:9" x14ac:dyDescent="0.25">
      <c r="A56" s="52" t="s">
        <v>129</v>
      </c>
      <c r="B56" s="53" t="s">
        <v>126</v>
      </c>
      <c r="C56" s="20"/>
      <c r="D56" s="20"/>
      <c r="E56" s="20"/>
      <c r="F56" s="20"/>
      <c r="G56" s="20"/>
      <c r="H56" s="20"/>
      <c r="I56" s="20"/>
    </row>
    <row r="57" spans="1:9" x14ac:dyDescent="0.25">
      <c r="A57" s="49" t="s">
        <v>130</v>
      </c>
      <c r="B57" s="54">
        <f>BDI_Calculation!U55</f>
        <v>40395.534931169466</v>
      </c>
      <c r="C57" s="20"/>
      <c r="D57" s="20"/>
      <c r="E57" s="20"/>
      <c r="F57" s="20"/>
      <c r="G57" s="20"/>
      <c r="H57" s="20"/>
      <c r="I57" s="20"/>
    </row>
    <row r="58" spans="1:9" ht="15.75" thickBot="1" x14ac:dyDescent="0.3">
      <c r="A58" s="55" t="s">
        <v>128</v>
      </c>
      <c r="B58" s="56">
        <f>B57-B48</f>
        <v>-16.714347545006603</v>
      </c>
      <c r="C58" s="42">
        <f>B54-B58</f>
        <v>0</v>
      </c>
      <c r="D58" s="20"/>
      <c r="E58" s="20"/>
      <c r="F58" s="20"/>
      <c r="G58" s="20"/>
      <c r="H58" s="20"/>
      <c r="I58" s="20"/>
    </row>
  </sheetData>
  <mergeCells count="3">
    <mergeCell ref="M1:T1"/>
    <mergeCell ref="M13:N13"/>
    <mergeCell ref="F39:G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tabSelected="1" workbookViewId="0">
      <selection activeCell="F9" sqref="F9"/>
    </sheetView>
  </sheetViews>
  <sheetFormatPr defaultRowHeight="15" x14ac:dyDescent="0.25"/>
  <cols>
    <col min="1" max="1" width="22" customWidth="1"/>
    <col min="7" max="7" width="2.28515625" customWidth="1"/>
    <col min="9" max="9" width="2.28515625" customWidth="1"/>
    <col min="11" max="11" width="2.28515625" customWidth="1"/>
  </cols>
  <sheetData>
    <row r="1" spans="1:12" ht="18.75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x14ac:dyDescent="0.3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.75" x14ac:dyDescent="0.3">
      <c r="A3" s="108">
        <v>43831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8.75" x14ac:dyDescent="0.3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x14ac:dyDescent="0.25">
      <c r="F6" s="1" t="s">
        <v>3</v>
      </c>
      <c r="G6" s="1"/>
      <c r="H6" s="1" t="s">
        <v>4</v>
      </c>
      <c r="I6" s="1"/>
      <c r="J6" s="1" t="s">
        <v>5</v>
      </c>
      <c r="L6" s="1" t="s">
        <v>5</v>
      </c>
    </row>
    <row r="7" spans="1:12" x14ac:dyDescent="0.25">
      <c r="F7" s="1" t="s">
        <v>6</v>
      </c>
      <c r="G7" s="1"/>
      <c r="H7" s="1" t="s">
        <v>6</v>
      </c>
      <c r="I7" s="1"/>
      <c r="J7" s="1" t="s">
        <v>7</v>
      </c>
      <c r="L7" s="1" t="s">
        <v>8</v>
      </c>
    </row>
    <row r="8" spans="1:12" x14ac:dyDescent="0.25">
      <c r="A8" t="s">
        <v>9</v>
      </c>
      <c r="F8" s="2">
        <f>BDI_Calculation!S15</f>
        <v>1452114.18</v>
      </c>
      <c r="H8" s="2">
        <f>BDI_Calculation!T15</f>
        <v>1473900.6080096993</v>
      </c>
      <c r="J8" s="2">
        <f>+H8-F8</f>
        <v>21786.428009699332</v>
      </c>
      <c r="L8" s="3">
        <f>+H8/F8-1</f>
        <v>1.5003247203122294E-2</v>
      </c>
    </row>
    <row r="9" spans="1:12" x14ac:dyDescent="0.25">
      <c r="A9" t="s">
        <v>10</v>
      </c>
      <c r="F9" s="2">
        <f>BDI_Calculation!S54</f>
        <v>1019575.16</v>
      </c>
      <c r="H9" s="2">
        <f>BDI_Calculation!T54</f>
        <v>1038184.2669214702</v>
      </c>
      <c r="J9" s="2">
        <f>+H9-F9</f>
        <v>18609.106921470142</v>
      </c>
      <c r="L9" s="3">
        <f>+H9/F9-1</f>
        <v>1.825182453588825E-2</v>
      </c>
    </row>
    <row r="10" spans="1:12" x14ac:dyDescent="0.25">
      <c r="A10" t="s">
        <v>136</v>
      </c>
      <c r="B10" s="2">
        <f>'Tonnage Summary'!$B$3</f>
        <v>21385.176175121844</v>
      </c>
      <c r="F10" s="4">
        <f>'Tonnage Summary'!$B$3*D20</f>
        <v>1047873.6325809703</v>
      </c>
      <c r="G10" s="2"/>
      <c r="H10" s="4">
        <f>'Tonnage Summary'!$B$3*D21</f>
        <v>1111173.754059331</v>
      </c>
      <c r="J10" s="4">
        <f>+H10-F10</f>
        <v>63300.121478360728</v>
      </c>
      <c r="L10" s="5">
        <f>+H10/F10-1</f>
        <v>6.0408163265306181E-2</v>
      </c>
    </row>
    <row r="11" spans="1:12" x14ac:dyDescent="0.25">
      <c r="F11" s="2">
        <f>SUM(F8:F10)</f>
        <v>3519562.9725809703</v>
      </c>
      <c r="G11" s="2"/>
      <c r="H11" s="2">
        <f>SUM(H8:H10)</f>
        <v>3623258.6289905007</v>
      </c>
      <c r="I11" s="2"/>
      <c r="J11" s="2">
        <f>SUM(J8:J10)</f>
        <v>103695.6564095302</v>
      </c>
      <c r="L11" s="3">
        <f>+H11/F11-1</f>
        <v>2.9462651248853167E-2</v>
      </c>
    </row>
    <row r="17" spans="1:4" x14ac:dyDescent="0.25">
      <c r="A17" t="s">
        <v>11</v>
      </c>
    </row>
    <row r="19" spans="1:4" x14ac:dyDescent="0.25">
      <c r="A19" s="6" t="s">
        <v>250</v>
      </c>
      <c r="D19" s="7" t="s">
        <v>12</v>
      </c>
    </row>
    <row r="20" spans="1:4" x14ac:dyDescent="0.25">
      <c r="A20" s="8" t="s">
        <v>13</v>
      </c>
      <c r="D20" s="9">
        <f>References_BDI!B40</f>
        <v>49</v>
      </c>
    </row>
    <row r="21" spans="1:4" x14ac:dyDescent="0.25">
      <c r="A21" s="8" t="s">
        <v>14</v>
      </c>
      <c r="D21" s="10">
        <f>References_BDI!B41</f>
        <v>51.96</v>
      </c>
    </row>
    <row r="22" spans="1:4" x14ac:dyDescent="0.25">
      <c r="A22" s="11" t="s">
        <v>5</v>
      </c>
      <c r="D22" s="9">
        <f>D21-D20</f>
        <v>2.9600000000000009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"/>
  <sheetViews>
    <sheetView workbookViewId="0">
      <selection activeCell="G15" sqref="G15"/>
    </sheetView>
  </sheetViews>
  <sheetFormatPr defaultRowHeight="15" x14ac:dyDescent="0.25"/>
  <cols>
    <col min="1" max="1" width="12.5703125" customWidth="1"/>
  </cols>
  <sheetData>
    <row r="1" spans="1:4" x14ac:dyDescent="0.25">
      <c r="B1" s="68" t="s">
        <v>132</v>
      </c>
      <c r="C1" s="68" t="s">
        <v>133</v>
      </c>
      <c r="D1" s="68" t="s">
        <v>118</v>
      </c>
    </row>
    <row r="2" spans="1:4" x14ac:dyDescent="0.25">
      <c r="A2" s="67" t="s">
        <v>134</v>
      </c>
      <c r="B2" s="69">
        <f>+[16]UnitAllocation!$E$2+[16]UnitAllocation!$F$2+[16]UnitAllocation!$G$2+[16]UnitAllocation!$I$2</f>
        <v>13378.365901423074</v>
      </c>
      <c r="C2" s="69">
        <f>+[16]UnitAllocation!$H$2</f>
        <v>7321.8417845646463</v>
      </c>
      <c r="D2" s="69">
        <f>SUM(B2:C2)</f>
        <v>20700.20768598772</v>
      </c>
    </row>
    <row r="3" spans="1:4" x14ac:dyDescent="0.25">
      <c r="A3" s="67" t="s">
        <v>135</v>
      </c>
      <c r="B3" s="69">
        <v>21385.176175121844</v>
      </c>
      <c r="C3" s="69">
        <v>2984.2135544971202</v>
      </c>
      <c r="D3" s="69">
        <f>SUM(B3:C3)</f>
        <v>24369.389729618964</v>
      </c>
    </row>
    <row r="4" spans="1:4" x14ac:dyDescent="0.25">
      <c r="A4" s="67" t="s">
        <v>118</v>
      </c>
      <c r="B4" s="69">
        <f>SUM(B2:B3)</f>
        <v>34763.542076544916</v>
      </c>
      <c r="C4" s="69">
        <f>SUM(C2:C3)</f>
        <v>10306.055339061766</v>
      </c>
      <c r="D4" s="69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5DC5C0DCEC446B1C2C5D6C08FE0CF" ma:contentTypeVersion="48" ma:contentTypeDescription="" ma:contentTypeScope="" ma:versionID="b31794367fbcb83ebd00b5523c47ee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190911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46E30-9F95-4C20-A8ED-87977206C153}"/>
</file>

<file path=customXml/itemProps2.xml><?xml version="1.0" encoding="utf-8"?>
<ds:datastoreItem xmlns:ds="http://schemas.openxmlformats.org/officeDocument/2006/customXml" ds:itemID="{1C12F445-4392-4F7C-B552-6C4E6B45531E}"/>
</file>

<file path=customXml/itemProps3.xml><?xml version="1.0" encoding="utf-8"?>
<ds:datastoreItem xmlns:ds="http://schemas.openxmlformats.org/officeDocument/2006/customXml" ds:itemID="{EA191A19-BF4A-45AB-8D10-6F212F01E0CB}">
  <ds:schemaRefs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c463f71-b30c-4ab2-9473-d307f9d3588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7F71FB8-CD16-4C85-AC16-8EB0ECEBC2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BDI_Calculation</vt:lpstr>
      <vt:lpstr>References_BDI</vt:lpstr>
      <vt:lpstr>BDI_RevenueIncrease</vt:lpstr>
      <vt:lpstr>Tonnage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Dave Atwell</cp:lastModifiedBy>
  <dcterms:created xsi:type="dcterms:W3CDTF">2018-10-09T22:34:20Z</dcterms:created>
  <dcterms:modified xsi:type="dcterms:W3CDTF">2019-11-01T17:38:29Z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0x0101006E56B4D1795A2E4DB2F0B01679ED314A00C105DC5C0DCEC446B1C2C5D6C08FE0CF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