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comments12.xml" ContentType="application/vnd.openxmlformats-officedocument.spreadsheetml.comment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omments11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4.xml" ContentType="application/vnd.openxmlformats-officedocument.spreadsheetml.comment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omments7.xml" ContentType="application/vnd.openxmlformats-officedocument.spreadsheetml.comments+xml"/>
  <Override PartName="/xl/comments10.xml" ContentType="application/vnd.openxmlformats-officedocument.spreadsheetml.comments+xml"/>
  <Override PartName="/xl/comments9.xml" ContentType="application/vnd.openxmlformats-officedocument.spreadsheetml.comments+xml"/>
  <Override PartName="/xl/comments8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ecoupling Mechanisms\Tariff Filings\2018 Def WA Sch 75-175\Original work papers\"/>
    </mc:Choice>
  </mc:AlternateContent>
  <bookViews>
    <workbookView xWindow="0" yWindow="0" windowWidth="20160" windowHeight="10872" firstSheet="6" activeTab="8"/>
  </bookViews>
  <sheets>
    <sheet name="UE-150204 Decoupling Base" sheetId="38" r:id="rId1"/>
    <sheet name="TY Normalized Usage by Month" sheetId="20" r:id="rId2"/>
    <sheet name="Attachment 4, Page 1" sheetId="15" r:id="rId3"/>
    <sheet name="Attachment 4, Page 2" sheetId="16" r:id="rId4"/>
    <sheet name="Attachment 4, Page 3" sheetId="18" r:id="rId5"/>
    <sheet name="Acerno_Cache_XXXXX" sheetId="36" state="veryHidden" r:id="rId6"/>
    <sheet name="Attachment 4, Page 4" sheetId="23" r:id="rId7"/>
    <sheet name="EDWA 3% test" sheetId="41" r:id="rId8"/>
    <sheet name="Deferral Calc" sheetId="24" r:id="rId9"/>
    <sheet name="December Base Rate Revenue" sheetId="37" r:id="rId10"/>
    <sheet name="November Base Rate Revenue" sheetId="35" r:id="rId11"/>
    <sheet name="October Base Rate Revenue" sheetId="34" r:id="rId12"/>
    <sheet name="September Base Rate Revenue" sheetId="33" r:id="rId13"/>
    <sheet name="August Base Rate Revenue" sheetId="32" r:id="rId14"/>
    <sheet name="July Base Rate Revenue" sheetId="31" r:id="rId15"/>
    <sheet name="June Base Rate Revenue" sheetId="30" r:id="rId16"/>
    <sheet name="May Base Rate Revenue" sheetId="29" r:id="rId17"/>
    <sheet name="Apr Base Rate Revenue" sheetId="28" r:id="rId18"/>
    <sheet name="Mar Base Rate Revenue" sheetId="27" r:id="rId19"/>
    <sheet name="Feb Base Rate Revenue" sheetId="26" r:id="rId20"/>
    <sheet name="Jan Base Rate Revenue" sheetId="25" r:id="rId21"/>
  </sheets>
  <externalReferences>
    <externalReference r:id="rId22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localSheetId="8" hidden="1">#REF!</definedName>
    <definedName name="__123Graph_D" localSheetId="19" hidden="1">#REF!</definedName>
    <definedName name="__123Graph_D" hidden="1">#REF!</definedName>
    <definedName name="__123Graph_ECURRENT" localSheetId="8" hidden="1">[1]ConsolidatingPL!#REF!</definedName>
    <definedName name="__123Graph_ECURRENT" localSheetId="19" hidden="1">[1]ConsolidatingPL!#REF!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Key1" localSheetId="8" hidden="1">#REF!</definedName>
    <definedName name="_Key1" localSheetId="19" hidden="1">#REF!</definedName>
    <definedName name="_Key1" hidden="1">#REF!</definedName>
    <definedName name="_Key2" localSheetId="8" hidden="1">#REF!</definedName>
    <definedName name="_Key2" localSheetId="19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localSheetId="8" hidden="1">#REF!</definedName>
    <definedName name="_Sort" localSheetId="19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0017DGUEDPCFJUPUZOOLJCS2B" localSheetId="8" hidden="1">#REF!</definedName>
    <definedName name="BEx0017DGUEDPCFJUPUZOOLJCS2B" localSheetId="19" hidden="1">#REF!</definedName>
    <definedName name="BEx0017DGUEDPCFJUPUZOOLJCS2B" hidden="1">#REF!</definedName>
    <definedName name="BEx001CNWHJ5RULCSFM36ZCGJ1UH" localSheetId="8" hidden="1">#REF!</definedName>
    <definedName name="BEx001CNWHJ5RULCSFM36ZCGJ1UH" localSheetId="19" hidden="1">#REF!</definedName>
    <definedName name="BEx001CNWHJ5RULCSFM36ZCGJ1UH" hidden="1">#REF!</definedName>
    <definedName name="BEx004791UAJIJSN57OT7YBLNP82" localSheetId="8" hidden="1">#REF!</definedName>
    <definedName name="BEx004791UAJIJSN57OT7YBLNP82" localSheetId="19" hidden="1">#REF!</definedName>
    <definedName name="BEx004791UAJIJSN57OT7YBLNP82" hidden="1">#REF!</definedName>
    <definedName name="BEx008P2NVFDLBHL7IZ5WTMVOQ1F" localSheetId="8" hidden="1">#REF!</definedName>
    <definedName name="BEx008P2NVFDLBHL7IZ5WTMVOQ1F" localSheetId="19" hidden="1">#REF!</definedName>
    <definedName name="BEx008P2NVFDLBHL7IZ5WTMVOQ1F" hidden="1">#REF!</definedName>
    <definedName name="BEx009G00IN0JUIAQ4WE9NHTMQE2" localSheetId="8" hidden="1">#REF!</definedName>
    <definedName name="BEx009G00IN0JUIAQ4WE9NHTMQE2" localSheetId="19" hidden="1">#REF!</definedName>
    <definedName name="BEx009G00IN0JUIAQ4WE9NHTMQE2" hidden="1">#REF!</definedName>
    <definedName name="BEx00DXTY2JDVGWQKV8H7FG4SV30" localSheetId="8" hidden="1">#REF!</definedName>
    <definedName name="BEx00DXTY2JDVGWQKV8H7FG4SV30" localSheetId="19" hidden="1">#REF!</definedName>
    <definedName name="BEx00DXTY2JDVGWQKV8H7FG4SV30" hidden="1">#REF!</definedName>
    <definedName name="BEx00GHLTYRH5N2S6P78YW1CD30N" localSheetId="8" hidden="1">#REF!</definedName>
    <definedName name="BEx00GHLTYRH5N2S6P78YW1CD30N" localSheetId="19" hidden="1">#REF!</definedName>
    <definedName name="BEx00GHLTYRH5N2S6P78YW1CD30N" hidden="1">#REF!</definedName>
    <definedName name="BEx00JC31DY11L45SEU4B10BIN6W" localSheetId="8" hidden="1">#REF!</definedName>
    <definedName name="BEx00JC31DY11L45SEU4B10BIN6W" localSheetId="19" hidden="1">#REF!</definedName>
    <definedName name="BEx00JC31DY11L45SEU4B10BIN6W" hidden="1">#REF!</definedName>
    <definedName name="BEx00KZHZBHP3TDV1YMX4B19B95O" localSheetId="8" hidden="1">#REF!</definedName>
    <definedName name="BEx00KZHZBHP3TDV1YMX4B19B95O" localSheetId="19" hidden="1">#REF!</definedName>
    <definedName name="BEx00KZHZBHP3TDV1YMX4B19B95O" hidden="1">#REF!</definedName>
    <definedName name="BEx00P11V7HA4MS6XYY3P4BPVXML" localSheetId="8" hidden="1">#REF!</definedName>
    <definedName name="BEx00P11V7HA4MS6XYY3P4BPVXML" localSheetId="19" hidden="1">#REF!</definedName>
    <definedName name="BEx00P11V7HA4MS6XYY3P4BPVXML" hidden="1">#REF!</definedName>
    <definedName name="BEx00PBV7V99V7M3LDYUTF31MUFJ" localSheetId="8" hidden="1">#REF!</definedName>
    <definedName name="BEx00PBV7V99V7M3LDYUTF31MUFJ" localSheetId="19" hidden="1">#REF!</definedName>
    <definedName name="BEx00PBV7V99V7M3LDYUTF31MUFJ" hidden="1">#REF!</definedName>
    <definedName name="BEx00SMIQJ55EVB7T24CORX0JWQO" localSheetId="8" hidden="1">#REF!</definedName>
    <definedName name="BEx00SMIQJ55EVB7T24CORX0JWQO" localSheetId="19" hidden="1">#REF!</definedName>
    <definedName name="BEx00SMIQJ55EVB7T24CORX0JWQO" hidden="1">#REF!</definedName>
    <definedName name="BEx010V7DB7O7Z9NHSX27HZK4H76" localSheetId="8" hidden="1">#REF!</definedName>
    <definedName name="BEx010V7DB7O7Z9NHSX27HZK4H76" localSheetId="19" hidden="1">#REF!</definedName>
    <definedName name="BEx010V7DB7O7Z9NHSX27HZK4H76" hidden="1">#REF!</definedName>
    <definedName name="BEx012IKS6YVHG9KTG2FAKRSMYLU" localSheetId="8" hidden="1">#REF!</definedName>
    <definedName name="BEx012IKS6YVHG9KTG2FAKRSMYLU" localSheetId="19" hidden="1">#REF!</definedName>
    <definedName name="BEx012IKS6YVHG9KTG2FAKRSMYLU" hidden="1">#REF!</definedName>
    <definedName name="BEx01HY6E3GJ66ABU5ABN26V6Q13" localSheetId="8" hidden="1">#REF!</definedName>
    <definedName name="BEx01HY6E3GJ66ABU5ABN26V6Q13" localSheetId="19" hidden="1">#REF!</definedName>
    <definedName name="BEx01HY6E3GJ66ABU5ABN26V6Q13" hidden="1">#REF!</definedName>
    <definedName name="BEx01PW5YQKEGAR8JDDI5OARYXDF" localSheetId="8" hidden="1">#REF!</definedName>
    <definedName name="BEx01PW5YQKEGAR8JDDI5OARYXDF" localSheetId="19" hidden="1">#REF!</definedName>
    <definedName name="BEx01PW5YQKEGAR8JDDI5OARYXDF" hidden="1">#REF!</definedName>
    <definedName name="BEx01QCB2ERCAYYOFDP3OQRWUU60" localSheetId="8" hidden="1">#REF!</definedName>
    <definedName name="BEx01QCB2ERCAYYOFDP3OQRWUU60" localSheetId="19" hidden="1">#REF!</definedName>
    <definedName name="BEx01QCB2ERCAYYOFDP3OQRWUU60" hidden="1">#REF!</definedName>
    <definedName name="BEx01U37NQSMTGJRU8EGTJORBJ6H" localSheetId="8" hidden="1">#REF!</definedName>
    <definedName name="BEx01U37NQSMTGJRU8EGTJORBJ6H" localSheetId="19" hidden="1">#REF!</definedName>
    <definedName name="BEx01U37NQSMTGJRU8EGTJORBJ6H" hidden="1">#REF!</definedName>
    <definedName name="BEx01XJ94SHJ1YQ7ORPW0RQGKI2H" localSheetId="8" hidden="1">#REF!</definedName>
    <definedName name="BEx01XJ94SHJ1YQ7ORPW0RQGKI2H" localSheetId="19" hidden="1">#REF!</definedName>
    <definedName name="BEx01XJ94SHJ1YQ7ORPW0RQGKI2H" hidden="1">#REF!</definedName>
    <definedName name="BEx028BOZCS2MQO9MODVS6F7NCA3" localSheetId="8" hidden="1">#REF!</definedName>
    <definedName name="BEx028BOZCS2MQO9MODVS6F7NCA3" localSheetId="19" hidden="1">#REF!</definedName>
    <definedName name="BEx028BOZCS2MQO9MODVS6F7NCA3" hidden="1">#REF!</definedName>
    <definedName name="BEx02DPUYNH76938V8GVORY8LRY1" localSheetId="8" hidden="1">#REF!</definedName>
    <definedName name="BEx02DPUYNH76938V8GVORY8LRY1" localSheetId="19" hidden="1">#REF!</definedName>
    <definedName name="BEx02DPUYNH76938V8GVORY8LRY1" hidden="1">#REF!</definedName>
    <definedName name="BEx02PEP6DY4K1JGB0HHS3B6QOGZ" localSheetId="8" hidden="1">#REF!</definedName>
    <definedName name="BEx02PEP6DY4K1JGB0HHS3B6QOGZ" localSheetId="19" hidden="1">#REF!</definedName>
    <definedName name="BEx02PEP6DY4K1JGB0HHS3B6QOGZ" hidden="1">#REF!</definedName>
    <definedName name="BEx02Q08R9G839Q4RFGG9026C7PX" localSheetId="8" hidden="1">#REF!</definedName>
    <definedName name="BEx02Q08R9G839Q4RFGG9026C7PX" localSheetId="19" hidden="1">#REF!</definedName>
    <definedName name="BEx02Q08R9G839Q4RFGG9026C7PX" hidden="1">#REF!</definedName>
    <definedName name="BEx02SEL3Z1QWGAHXDPUA9WLTTPS" localSheetId="8" hidden="1">#REF!</definedName>
    <definedName name="BEx02SEL3Z1QWGAHXDPUA9WLTTPS" localSheetId="19" hidden="1">#REF!</definedName>
    <definedName name="BEx02SEL3Z1QWGAHXDPUA9WLTTPS" hidden="1">#REF!</definedName>
    <definedName name="BEx02Y3KJZH5BGDM9QEZ1PVVI114" localSheetId="8" hidden="1">#REF!</definedName>
    <definedName name="BEx02Y3KJZH5BGDM9QEZ1PVVI114" localSheetId="19" hidden="1">#REF!</definedName>
    <definedName name="BEx02Y3KJZH5BGDM9QEZ1PVVI114" hidden="1">#REF!</definedName>
    <definedName name="BEx0313GRLLASDTVPW5DHTXHE74M" localSheetId="8" hidden="1">#REF!</definedName>
    <definedName name="BEx0313GRLLASDTVPW5DHTXHE74M" localSheetId="19" hidden="1">#REF!</definedName>
    <definedName name="BEx0313GRLLASDTVPW5DHTXHE74M" hidden="1">#REF!</definedName>
    <definedName name="BEx1F0SOZ3H5XUHXD7O01TCR8T6J" localSheetId="8" hidden="1">#REF!</definedName>
    <definedName name="BEx1F0SOZ3H5XUHXD7O01TCR8T6J" localSheetId="19" hidden="1">#REF!</definedName>
    <definedName name="BEx1F0SOZ3H5XUHXD7O01TCR8T6J" hidden="1">#REF!</definedName>
    <definedName name="BEx1F9HL824UCNCVZ2U62J4KZCX8" localSheetId="8" hidden="1">#REF!</definedName>
    <definedName name="BEx1F9HL824UCNCVZ2U62J4KZCX8" localSheetId="19" hidden="1">#REF!</definedName>
    <definedName name="BEx1F9HL824UCNCVZ2U62J4KZCX8" hidden="1">#REF!</definedName>
    <definedName name="BEx1FEVSJKTI1Q1Z874QZVFSJSVA" localSheetId="8" hidden="1">#REF!</definedName>
    <definedName name="BEx1FEVSJKTI1Q1Z874QZVFSJSVA" localSheetId="19" hidden="1">#REF!</definedName>
    <definedName name="BEx1FEVSJKTI1Q1Z874QZVFSJSVA" hidden="1">#REF!</definedName>
    <definedName name="BEx1FGDRUHHLI1GBHELT4PK0LY4V" localSheetId="8" hidden="1">#REF!</definedName>
    <definedName name="BEx1FGDRUHHLI1GBHELT4PK0LY4V" localSheetId="19" hidden="1">#REF!</definedName>
    <definedName name="BEx1FGDRUHHLI1GBHELT4PK0LY4V" hidden="1">#REF!</definedName>
    <definedName name="BEx1FJZ7GKO99IYTP6GGGF7EUL3Z" localSheetId="8" hidden="1">#REF!</definedName>
    <definedName name="BEx1FJZ7GKO99IYTP6GGGF7EUL3Z" localSheetId="19" hidden="1">#REF!</definedName>
    <definedName name="BEx1FJZ7GKO99IYTP6GGGF7EUL3Z" hidden="1">#REF!</definedName>
    <definedName name="BEx1FPDH0YKYQXDHUTFIQLIF34J8" localSheetId="8" hidden="1">#REF!</definedName>
    <definedName name="BEx1FPDH0YKYQXDHUTFIQLIF34J8" localSheetId="19" hidden="1">#REF!</definedName>
    <definedName name="BEx1FPDH0YKYQXDHUTFIQLIF34J8" hidden="1">#REF!</definedName>
    <definedName name="BEx1FQ9SZAGL2HEKRB046EOQDWOX" localSheetId="8" hidden="1">#REF!</definedName>
    <definedName name="BEx1FQ9SZAGL2HEKRB046EOQDWOX" localSheetId="19" hidden="1">#REF!</definedName>
    <definedName name="BEx1FQ9SZAGL2HEKRB046EOQDWOX" hidden="1">#REF!</definedName>
    <definedName name="BEx1FZV2CM77TBH1R6YYV9P06KA2" localSheetId="8" hidden="1">#REF!</definedName>
    <definedName name="BEx1FZV2CM77TBH1R6YYV9P06KA2" localSheetId="19" hidden="1">#REF!</definedName>
    <definedName name="BEx1FZV2CM77TBH1R6YYV9P06KA2" hidden="1">#REF!</definedName>
    <definedName name="BEx1G59AY8195JTUM6P18VXUFJ3E" localSheetId="8" hidden="1">#REF!</definedName>
    <definedName name="BEx1G59AY8195JTUM6P18VXUFJ3E" localSheetId="19" hidden="1">#REF!</definedName>
    <definedName name="BEx1G59AY8195JTUM6P18VXUFJ3E" hidden="1">#REF!</definedName>
    <definedName name="BEx1GKUDMCV60BOZT0SENCT0MD8L" localSheetId="8" hidden="1">#REF!</definedName>
    <definedName name="BEx1GKUDMCV60BOZT0SENCT0MD8L" localSheetId="19" hidden="1">#REF!</definedName>
    <definedName name="BEx1GKUDMCV60BOZT0SENCT0MD8L" hidden="1">#REF!</definedName>
    <definedName name="BEx1GUVQ5L0JCX3E4SROI4WBYVTO" localSheetId="8" hidden="1">#REF!</definedName>
    <definedName name="BEx1GUVQ5L0JCX3E4SROI4WBYVTO" localSheetId="19" hidden="1">#REF!</definedName>
    <definedName name="BEx1GUVQ5L0JCX3E4SROI4WBYVTO" hidden="1">#REF!</definedName>
    <definedName name="BEx1GVMRHFXUP6XYYY9NR12PV5TF" localSheetId="8" hidden="1">#REF!</definedName>
    <definedName name="BEx1GVMRHFXUP6XYYY9NR12PV5TF" localSheetId="19" hidden="1">#REF!</definedName>
    <definedName name="BEx1GVMRHFXUP6XYYY9NR12PV5TF" hidden="1">#REF!</definedName>
    <definedName name="BEx1H6KIT7BHUH6MDDWC935V9N47" localSheetId="8" hidden="1">#REF!</definedName>
    <definedName name="BEx1H6KIT7BHUH6MDDWC935V9N47" localSheetId="19" hidden="1">#REF!</definedName>
    <definedName name="BEx1H6KIT7BHUH6MDDWC935V9N47" hidden="1">#REF!</definedName>
    <definedName name="BEx1HA60AI3STEJQZAQ0RA3Q3AZV" localSheetId="8" hidden="1">#REF!</definedName>
    <definedName name="BEx1HA60AI3STEJQZAQ0RA3Q3AZV" localSheetId="19" hidden="1">#REF!</definedName>
    <definedName name="BEx1HA60AI3STEJQZAQ0RA3Q3AZV" hidden="1">#REF!</definedName>
    <definedName name="BEx1HB2DBVO5N6V2WX7BEHUFYTFU" localSheetId="8" hidden="1">#REF!</definedName>
    <definedName name="BEx1HB2DBVO5N6V2WX7BEHUFYTFU" localSheetId="19" hidden="1">#REF!</definedName>
    <definedName name="BEx1HB2DBVO5N6V2WX7BEHUFYTFU" hidden="1">#REF!</definedName>
    <definedName name="BEx1HDGOOJ3SKHYMWUZJ1P0RQZ9N" localSheetId="8" hidden="1">#REF!</definedName>
    <definedName name="BEx1HDGOOJ3SKHYMWUZJ1P0RQZ9N" localSheetId="19" hidden="1">#REF!</definedName>
    <definedName name="BEx1HDGOOJ3SKHYMWUZJ1P0RQZ9N" hidden="1">#REF!</definedName>
    <definedName name="BEx1HDM5ZXSJG6JQEMSFV52PZ10V" localSheetId="8" hidden="1">#REF!</definedName>
    <definedName name="BEx1HDM5ZXSJG6JQEMSFV52PZ10V" localSheetId="19" hidden="1">#REF!</definedName>
    <definedName name="BEx1HDM5ZXSJG6JQEMSFV52PZ10V" hidden="1">#REF!</definedName>
    <definedName name="BEx1HETBBZVN5F43LKOFMC4QB0CR" localSheetId="8" hidden="1">#REF!</definedName>
    <definedName name="BEx1HETBBZVN5F43LKOFMC4QB0CR" localSheetId="19" hidden="1">#REF!</definedName>
    <definedName name="BEx1HETBBZVN5F43LKOFMC4QB0CR" hidden="1">#REF!</definedName>
    <definedName name="BEx1HGWNWPLNXICOTP90TKQVVE4E" localSheetId="8" hidden="1">#REF!</definedName>
    <definedName name="BEx1HGWNWPLNXICOTP90TKQVVE4E" localSheetId="19" hidden="1">#REF!</definedName>
    <definedName name="BEx1HGWNWPLNXICOTP90TKQVVE4E" hidden="1">#REF!</definedName>
    <definedName name="BEx1HIPLJZABY0EMUOTZN0EQMDPU" localSheetId="8" hidden="1">#REF!</definedName>
    <definedName name="BEx1HIPLJZABY0EMUOTZN0EQMDPU" localSheetId="19" hidden="1">#REF!</definedName>
    <definedName name="BEx1HIPLJZABY0EMUOTZN0EQMDPU" hidden="1">#REF!</definedName>
    <definedName name="BEx1HO94JIRX219MPWMB5E5XZ04X" localSheetId="8" hidden="1">#REF!</definedName>
    <definedName name="BEx1HO94JIRX219MPWMB5E5XZ04X" localSheetId="19" hidden="1">#REF!</definedName>
    <definedName name="BEx1HO94JIRX219MPWMB5E5XZ04X" hidden="1">#REF!</definedName>
    <definedName name="BEx1HQNF6KHM21E3XLW0NMSSEI9S" localSheetId="8" hidden="1">#REF!</definedName>
    <definedName name="BEx1HQNF6KHM21E3XLW0NMSSEI9S" localSheetId="19" hidden="1">#REF!</definedName>
    <definedName name="BEx1HQNF6KHM21E3XLW0NMSSEI9S" hidden="1">#REF!</definedName>
    <definedName name="BEx1HSLNWIW4S97ZBYY7I7M5YVH4" localSheetId="8" hidden="1">#REF!</definedName>
    <definedName name="BEx1HSLNWIW4S97ZBYY7I7M5YVH4" localSheetId="19" hidden="1">#REF!</definedName>
    <definedName name="BEx1HSLNWIW4S97ZBYY7I7M5YVH4" hidden="1">#REF!</definedName>
    <definedName name="BEx1HZCBBWLB2BTNOXP319ZDEVOJ" localSheetId="8" hidden="1">#REF!</definedName>
    <definedName name="BEx1HZCBBWLB2BTNOXP319ZDEVOJ" localSheetId="19" hidden="1">#REF!</definedName>
    <definedName name="BEx1HZCBBWLB2BTNOXP319ZDEVOJ" hidden="1">#REF!</definedName>
    <definedName name="BEx1I4QKTILCKZUSOJCVZN7SNHL5" localSheetId="8" hidden="1">#REF!</definedName>
    <definedName name="BEx1I4QKTILCKZUSOJCVZN7SNHL5" localSheetId="19" hidden="1">#REF!</definedName>
    <definedName name="BEx1I4QKTILCKZUSOJCVZN7SNHL5" hidden="1">#REF!</definedName>
    <definedName name="BEx1IE0ZP7RIFM9FI24S9I6AAJ14" localSheetId="8" hidden="1">#REF!</definedName>
    <definedName name="BEx1IE0ZP7RIFM9FI24S9I6AAJ14" localSheetId="19" hidden="1">#REF!</definedName>
    <definedName name="BEx1IE0ZP7RIFM9FI24S9I6AAJ14" hidden="1">#REF!</definedName>
    <definedName name="BEx1IGQ5B697MNDOE06MVSR0H58E" localSheetId="8" hidden="1">#REF!</definedName>
    <definedName name="BEx1IGQ5B697MNDOE06MVSR0H58E" localSheetId="19" hidden="1">#REF!</definedName>
    <definedName name="BEx1IGQ5B697MNDOE06MVSR0H58E" hidden="1">#REF!</definedName>
    <definedName name="BEx1IKRPW8MLB9Y485M1TL2IT9SH" localSheetId="8" hidden="1">#REF!</definedName>
    <definedName name="BEx1IKRPW8MLB9Y485M1TL2IT9SH" localSheetId="19" hidden="1">#REF!</definedName>
    <definedName name="BEx1IKRPW8MLB9Y485M1TL2IT9SH" hidden="1">#REF!</definedName>
    <definedName name="BEx1IPKCFCT3TL9MSO1LSYJ2VJ2X" localSheetId="8" hidden="1">#REF!</definedName>
    <definedName name="BEx1IPKCFCT3TL9MSO1LSYJ2VJ2X" localSheetId="19" hidden="1">#REF!</definedName>
    <definedName name="BEx1IPKCFCT3TL9MSO1LSYJ2VJ2X" hidden="1">#REF!</definedName>
    <definedName name="BEx1IW5PQTTMD62XZ287XF2O3FBQ" localSheetId="8" hidden="1">#REF!</definedName>
    <definedName name="BEx1IW5PQTTMD62XZ287XF2O3FBQ" localSheetId="19" hidden="1">#REF!</definedName>
    <definedName name="BEx1IW5PQTTMD62XZ287XF2O3FBQ" hidden="1">#REF!</definedName>
    <definedName name="BEx1J0CSSHDJGBJUHVOEMCF2P4DL" localSheetId="8" hidden="1">#REF!</definedName>
    <definedName name="BEx1J0CSSHDJGBJUHVOEMCF2P4DL" localSheetId="19" hidden="1">#REF!</definedName>
    <definedName name="BEx1J0CSSHDJGBJUHVOEMCF2P4DL" hidden="1">#REF!</definedName>
    <definedName name="BEx1J0NL6D3ILC18B48AL0VNEN9A" localSheetId="8" hidden="1">#REF!</definedName>
    <definedName name="BEx1J0NL6D3ILC18B48AL0VNEN9A" localSheetId="19" hidden="1">#REF!</definedName>
    <definedName name="BEx1J0NL6D3ILC18B48AL0VNEN9A" hidden="1">#REF!</definedName>
    <definedName name="BEx1J7E8VCGLPYU82QXVUG5N3ZAI" localSheetId="8" hidden="1">#REF!</definedName>
    <definedName name="BEx1J7E8VCGLPYU82QXVUG5N3ZAI" localSheetId="19" hidden="1">#REF!</definedName>
    <definedName name="BEx1J7E8VCGLPYU82QXVUG5N3ZAI" hidden="1">#REF!</definedName>
    <definedName name="BEx1JGE2YQWH8S25USOY08XVGO0D" localSheetId="8" hidden="1">#REF!</definedName>
    <definedName name="BEx1JGE2YQWH8S25USOY08XVGO0D" localSheetId="19" hidden="1">#REF!</definedName>
    <definedName name="BEx1JGE2YQWH8S25USOY08XVGO0D" hidden="1">#REF!</definedName>
    <definedName name="BEx1JJJC9T1W7HY4V7HP1S1W4JO1" localSheetId="8" hidden="1">#REF!</definedName>
    <definedName name="BEx1JJJC9T1W7HY4V7HP1S1W4JO1" localSheetId="19" hidden="1">#REF!</definedName>
    <definedName name="BEx1JJJC9T1W7HY4V7HP1S1W4JO1" hidden="1">#REF!</definedName>
    <definedName name="BEx1JKKZSJ7DI4PTFVI9VVFMB1X2" localSheetId="8" hidden="1">#REF!</definedName>
    <definedName name="BEx1JKKZSJ7DI4PTFVI9VVFMB1X2" localSheetId="19" hidden="1">#REF!</definedName>
    <definedName name="BEx1JKKZSJ7DI4PTFVI9VVFMB1X2" hidden="1">#REF!</definedName>
    <definedName name="BEx1JUBQFRVMASSFK4B3V0AD7YP9" localSheetId="8" hidden="1">#REF!</definedName>
    <definedName name="BEx1JUBQFRVMASSFK4B3V0AD7YP9" localSheetId="19" hidden="1">#REF!</definedName>
    <definedName name="BEx1JUBQFRVMASSFK4B3V0AD7YP9" hidden="1">#REF!</definedName>
    <definedName name="BEx1JVTOATZGRJFXGXPJJLC4DOBE" localSheetId="8" hidden="1">#REF!</definedName>
    <definedName name="BEx1JVTOATZGRJFXGXPJJLC4DOBE" localSheetId="19" hidden="1">#REF!</definedName>
    <definedName name="BEx1JVTOATZGRJFXGXPJJLC4DOBE" hidden="1">#REF!</definedName>
    <definedName name="BEx1JXBM5W4YRWNQ0P95QQS6JWD6" localSheetId="8" hidden="1">#REF!</definedName>
    <definedName name="BEx1JXBM5W4YRWNQ0P95QQS6JWD6" localSheetId="19" hidden="1">#REF!</definedName>
    <definedName name="BEx1JXBM5W4YRWNQ0P95QQS6JWD6" hidden="1">#REF!</definedName>
    <definedName name="BEx1KGY9QEHZ9QSARMQUTQKRK4UX" localSheetId="8" hidden="1">#REF!</definedName>
    <definedName name="BEx1KGY9QEHZ9QSARMQUTQKRK4UX" localSheetId="19" hidden="1">#REF!</definedName>
    <definedName name="BEx1KGY9QEHZ9QSARMQUTQKRK4UX" hidden="1">#REF!</definedName>
    <definedName name="BEx1KIWH5MOLR00SBECT39NS3AJ1" localSheetId="8" hidden="1">#REF!</definedName>
    <definedName name="BEx1KIWH5MOLR00SBECT39NS3AJ1" localSheetId="19" hidden="1">#REF!</definedName>
    <definedName name="BEx1KIWH5MOLR00SBECT39NS3AJ1" hidden="1">#REF!</definedName>
    <definedName name="BEx1KKP1ELIF2UII2FWVGL7M1X7J" localSheetId="8" hidden="1">#REF!</definedName>
    <definedName name="BEx1KKP1ELIF2UII2FWVGL7M1X7J" localSheetId="19" hidden="1">#REF!</definedName>
    <definedName name="BEx1KKP1ELIF2UII2FWVGL7M1X7J" hidden="1">#REF!</definedName>
    <definedName name="BEx1KQJKIAPZKE9YDYH5HKXX52FM" localSheetId="8" hidden="1">#REF!</definedName>
    <definedName name="BEx1KQJKIAPZKE9YDYH5HKXX52FM" localSheetId="19" hidden="1">#REF!</definedName>
    <definedName name="BEx1KQJKIAPZKE9YDYH5HKXX52FM" hidden="1">#REF!</definedName>
    <definedName name="BEx1KUVWMB0QCWA3RBE4CADFVRIS" localSheetId="8" hidden="1">#REF!</definedName>
    <definedName name="BEx1KUVWMB0QCWA3RBE4CADFVRIS" localSheetId="19" hidden="1">#REF!</definedName>
    <definedName name="BEx1KUVWMB0QCWA3RBE4CADFVRIS" hidden="1">#REF!</definedName>
    <definedName name="BEx1L0AAH7PV8PPQQDBP5AI4TLYP" localSheetId="8" hidden="1">#REF!</definedName>
    <definedName name="BEx1L0AAH7PV8PPQQDBP5AI4TLYP" localSheetId="19" hidden="1">#REF!</definedName>
    <definedName name="BEx1L0AAH7PV8PPQQDBP5AI4TLYP" hidden="1">#REF!</definedName>
    <definedName name="BEx1L2OG1SDFK2TPXELJ77YP4NI2" localSheetId="8" hidden="1">#REF!</definedName>
    <definedName name="BEx1L2OG1SDFK2TPXELJ77YP4NI2" localSheetId="19" hidden="1">#REF!</definedName>
    <definedName name="BEx1L2OG1SDFK2TPXELJ77YP4NI2" hidden="1">#REF!</definedName>
    <definedName name="BEx1L6Q60MWRDJB4L20LK0XPA0Z2" localSheetId="8" hidden="1">#REF!</definedName>
    <definedName name="BEx1L6Q60MWRDJB4L20LK0XPA0Z2" localSheetId="19" hidden="1">#REF!</definedName>
    <definedName name="BEx1L6Q60MWRDJB4L20LK0XPA0Z2" hidden="1">#REF!</definedName>
    <definedName name="BEx1L7BSEFOLQDNZWMLUNBRO08T4" localSheetId="8" hidden="1">#REF!</definedName>
    <definedName name="BEx1L7BSEFOLQDNZWMLUNBRO08T4" localSheetId="19" hidden="1">#REF!</definedName>
    <definedName name="BEx1L7BSEFOLQDNZWMLUNBRO08T4" hidden="1">#REF!</definedName>
    <definedName name="BEx1LD63FP2Z4BR9TKSHOZW9KKZ5" localSheetId="8" hidden="1">#REF!</definedName>
    <definedName name="BEx1LD63FP2Z4BR9TKSHOZW9KKZ5" localSheetId="19" hidden="1">#REF!</definedName>
    <definedName name="BEx1LD63FP2Z4BR9TKSHOZW9KKZ5" hidden="1">#REF!</definedName>
    <definedName name="BEx1LDMB9RW982DUILM2WPT5VWQ3" localSheetId="8" hidden="1">#REF!</definedName>
    <definedName name="BEx1LDMB9RW982DUILM2WPT5VWQ3" localSheetId="19" hidden="1">#REF!</definedName>
    <definedName name="BEx1LDMB9RW982DUILM2WPT5VWQ3" hidden="1">#REF!</definedName>
    <definedName name="BEx1LFF2UQ13XL4X1I2WBD73NZ21" localSheetId="8" hidden="1">#REF!</definedName>
    <definedName name="BEx1LFF2UQ13XL4X1I2WBD73NZ21" localSheetId="19" hidden="1">#REF!</definedName>
    <definedName name="BEx1LFF2UQ13XL4X1I2WBD73NZ21" hidden="1">#REF!</definedName>
    <definedName name="BEx1LKTB33LO23ACTADIVRY7ZNFC" localSheetId="8" hidden="1">#REF!</definedName>
    <definedName name="BEx1LKTB33LO23ACTADIVRY7ZNFC" localSheetId="19" hidden="1">#REF!</definedName>
    <definedName name="BEx1LKTB33LO23ACTADIVRY7ZNFC" hidden="1">#REF!</definedName>
    <definedName name="BEx1LQNKVZAXGSEPDAM8AWU2FHHJ" localSheetId="8" hidden="1">#REF!</definedName>
    <definedName name="BEx1LQNKVZAXGSEPDAM8AWU2FHHJ" localSheetId="19" hidden="1">#REF!</definedName>
    <definedName name="BEx1LQNKVZAXGSEPDAM8AWU2FHHJ" hidden="1">#REF!</definedName>
    <definedName name="BEx1LRPGDQCOEMW8YT80J1XCDCIV" localSheetId="8" hidden="1">#REF!</definedName>
    <definedName name="BEx1LRPGDQCOEMW8YT80J1XCDCIV" localSheetId="19" hidden="1">#REF!</definedName>
    <definedName name="BEx1LRPGDQCOEMW8YT80J1XCDCIV" hidden="1">#REF!</definedName>
    <definedName name="BEx1LRUSJW4JG54X07QWD9R27WV9" localSheetId="8" hidden="1">#REF!</definedName>
    <definedName name="BEx1LRUSJW4JG54X07QWD9R27WV9" localSheetId="19" hidden="1">#REF!</definedName>
    <definedName name="BEx1LRUSJW4JG54X07QWD9R27WV9" hidden="1">#REF!</definedName>
    <definedName name="BEx1M1WBK5T0LP1AK2JYV6W87ID6" localSheetId="8" hidden="1">#REF!</definedName>
    <definedName name="BEx1M1WBK5T0LP1AK2JYV6W87ID6" localSheetId="19" hidden="1">#REF!</definedName>
    <definedName name="BEx1M1WBK5T0LP1AK2JYV6W87ID6" hidden="1">#REF!</definedName>
    <definedName name="BEx1M51HHDYGIT8PON7U8ICL2S95" localSheetId="8" hidden="1">#REF!</definedName>
    <definedName name="BEx1M51HHDYGIT8PON7U8ICL2S95" localSheetId="19" hidden="1">#REF!</definedName>
    <definedName name="BEx1M51HHDYGIT8PON7U8ICL2S95" hidden="1">#REF!</definedName>
    <definedName name="BEx1MP4FWKV0QYXE13PX9JSNA270" localSheetId="8" hidden="1">#REF!</definedName>
    <definedName name="BEx1MP4FWKV0QYXE13PX9JSNA270" localSheetId="19" hidden="1">#REF!</definedName>
    <definedName name="BEx1MP4FWKV0QYXE13PX9JSNA270" hidden="1">#REF!</definedName>
    <definedName name="BEx1MSV791FSS4CZQKG04NHT3F79" localSheetId="8" hidden="1">#REF!</definedName>
    <definedName name="BEx1MSV791FSS4CZQKG04NHT3F79" localSheetId="19" hidden="1">#REF!</definedName>
    <definedName name="BEx1MSV791FSS4CZQKG04NHT3F79" hidden="1">#REF!</definedName>
    <definedName name="BEx1MTRKKVCHOZ0YGID6HZ49LJTO" localSheetId="8" hidden="1">#REF!</definedName>
    <definedName name="BEx1MTRKKVCHOZ0YGID6HZ49LJTO" localSheetId="19" hidden="1">#REF!</definedName>
    <definedName name="BEx1MTRKKVCHOZ0YGID6HZ49LJTO" hidden="1">#REF!</definedName>
    <definedName name="BEx1N3CUJ3UX61X38ZAJVPEN4KMC" localSheetId="8" hidden="1">#REF!</definedName>
    <definedName name="BEx1N3CUJ3UX61X38ZAJVPEN4KMC" localSheetId="19" hidden="1">#REF!</definedName>
    <definedName name="BEx1N3CUJ3UX61X38ZAJVPEN4KMC" hidden="1">#REF!</definedName>
    <definedName name="BEx1N5R5IJ3CG6CL344F5KWPINEO" localSheetId="8" hidden="1">#REF!</definedName>
    <definedName name="BEx1N5R5IJ3CG6CL344F5KWPINEO" localSheetId="19" hidden="1">#REF!</definedName>
    <definedName name="BEx1N5R5IJ3CG6CL344F5KWPINEO" hidden="1">#REF!</definedName>
    <definedName name="BEx1NFCFVPBS7XURQ8Y0BZEGPBVP" localSheetId="8" hidden="1">#REF!</definedName>
    <definedName name="BEx1NFCFVPBS7XURQ8Y0BZEGPBVP" localSheetId="19" hidden="1">#REF!</definedName>
    <definedName name="BEx1NFCFVPBS7XURQ8Y0BZEGPBVP" hidden="1">#REF!</definedName>
    <definedName name="BEx1NM34KQTO1LDNSAFD1L82UZFG" localSheetId="8" hidden="1">#REF!</definedName>
    <definedName name="BEx1NM34KQTO1LDNSAFD1L82UZFG" localSheetId="19" hidden="1">#REF!</definedName>
    <definedName name="BEx1NM34KQTO1LDNSAFD1L82UZFG" hidden="1">#REF!</definedName>
    <definedName name="BEx1NO6TXZVOGCUWCCRTXRXWW0XL" localSheetId="8" hidden="1">#REF!</definedName>
    <definedName name="BEx1NO6TXZVOGCUWCCRTXRXWW0XL" localSheetId="19" hidden="1">#REF!</definedName>
    <definedName name="BEx1NO6TXZVOGCUWCCRTXRXWW0XL" hidden="1">#REF!</definedName>
    <definedName name="BEx1NS8EU5P9FQV3S0WRTXI5L361" localSheetId="8" hidden="1">#REF!</definedName>
    <definedName name="BEx1NS8EU5P9FQV3S0WRTXI5L361" localSheetId="19" hidden="1">#REF!</definedName>
    <definedName name="BEx1NS8EU5P9FQV3S0WRTXI5L361" hidden="1">#REF!</definedName>
    <definedName name="BEx1NUBX5VUYZFKQH69FN6BTLWCR" localSheetId="8" hidden="1">#REF!</definedName>
    <definedName name="BEx1NUBX5VUYZFKQH69FN6BTLWCR" localSheetId="19" hidden="1">#REF!</definedName>
    <definedName name="BEx1NUBX5VUYZFKQH69FN6BTLWCR" hidden="1">#REF!</definedName>
    <definedName name="BEx1NZ4K1L8UON80Y2A4RASKWGNP" localSheetId="8" hidden="1">#REF!</definedName>
    <definedName name="BEx1NZ4K1L8UON80Y2A4RASKWGNP" localSheetId="19" hidden="1">#REF!</definedName>
    <definedName name="BEx1NZ4K1L8UON80Y2A4RASKWGNP" hidden="1">#REF!</definedName>
    <definedName name="BEx1O24FB2CPATAGE3T7L1NBQQO1" localSheetId="8" hidden="1">#REF!</definedName>
    <definedName name="BEx1O24FB2CPATAGE3T7L1NBQQO1" localSheetId="19" hidden="1">#REF!</definedName>
    <definedName name="BEx1O24FB2CPATAGE3T7L1NBQQO1" hidden="1">#REF!</definedName>
    <definedName name="BEx1OLAZ915OGYWP0QP1QQWDLCRX" localSheetId="8" hidden="1">#REF!</definedName>
    <definedName name="BEx1OLAZ915OGYWP0QP1QQWDLCRX" localSheetId="19" hidden="1">#REF!</definedName>
    <definedName name="BEx1OLAZ915OGYWP0QP1QQWDLCRX" hidden="1">#REF!</definedName>
    <definedName name="BEx1OO5ER042IS6IC4TLDI75JNVH" localSheetId="8" hidden="1">#REF!</definedName>
    <definedName name="BEx1OO5ER042IS6IC4TLDI75JNVH" localSheetId="19" hidden="1">#REF!</definedName>
    <definedName name="BEx1OO5ER042IS6IC4TLDI75JNVH" hidden="1">#REF!</definedName>
    <definedName name="BEx1OTE54CBSUT8FWKRALEDCUWN4" localSheetId="8" hidden="1">#REF!</definedName>
    <definedName name="BEx1OTE54CBSUT8FWKRALEDCUWN4" localSheetId="19" hidden="1">#REF!</definedName>
    <definedName name="BEx1OTE54CBSUT8FWKRALEDCUWN4" hidden="1">#REF!</definedName>
    <definedName name="BEx1OVSMPADTX95QUOX34KZQ8EDY" localSheetId="8" hidden="1">#REF!</definedName>
    <definedName name="BEx1OVSMPADTX95QUOX34KZQ8EDY" localSheetId="19" hidden="1">#REF!</definedName>
    <definedName name="BEx1OVSMPADTX95QUOX34KZQ8EDY" hidden="1">#REF!</definedName>
    <definedName name="BEx1OWJJ0DP4628GCVVRQ9X0DRHQ" localSheetId="8" hidden="1">#REF!</definedName>
    <definedName name="BEx1OWJJ0DP4628GCVVRQ9X0DRHQ" localSheetId="19" hidden="1">#REF!</definedName>
    <definedName name="BEx1OWJJ0DP4628GCVVRQ9X0DRHQ" hidden="1">#REF!</definedName>
    <definedName name="BEx1OX544IO9FQJI7YYQGZCEHB3O" localSheetId="8" hidden="1">#REF!</definedName>
    <definedName name="BEx1OX544IO9FQJI7YYQGZCEHB3O" localSheetId="19" hidden="1">#REF!</definedName>
    <definedName name="BEx1OX544IO9FQJI7YYQGZCEHB3O" hidden="1">#REF!</definedName>
    <definedName name="BEx1OY6SVEUT2EQ26P7EKEND342G" localSheetId="8" hidden="1">#REF!</definedName>
    <definedName name="BEx1OY6SVEUT2EQ26P7EKEND342G" localSheetId="19" hidden="1">#REF!</definedName>
    <definedName name="BEx1OY6SVEUT2EQ26P7EKEND342G" hidden="1">#REF!</definedName>
    <definedName name="BEx1OYN1LPIPI12O9G6F7QAOS9T4" localSheetId="8" hidden="1">#REF!</definedName>
    <definedName name="BEx1OYN1LPIPI12O9G6F7QAOS9T4" localSheetId="19" hidden="1">#REF!</definedName>
    <definedName name="BEx1OYN1LPIPI12O9G6F7QAOS9T4" hidden="1">#REF!</definedName>
    <definedName name="BEx1P1HHKJA799O3YZXQAX6KFH58" localSheetId="8" hidden="1">#REF!</definedName>
    <definedName name="BEx1P1HHKJA799O3YZXQAX6KFH58" localSheetId="19" hidden="1">#REF!</definedName>
    <definedName name="BEx1P1HHKJA799O3YZXQAX6KFH58" hidden="1">#REF!</definedName>
    <definedName name="BEx1P34W467WGPOXPK292QFJIPHJ" localSheetId="8" hidden="1">#REF!</definedName>
    <definedName name="BEx1P34W467WGPOXPK292QFJIPHJ" localSheetId="19" hidden="1">#REF!</definedName>
    <definedName name="BEx1P34W467WGPOXPK292QFJIPHJ" hidden="1">#REF!</definedName>
    <definedName name="BEx1P76FRYAB1BWA5RJS4KOB3G9I" localSheetId="8" hidden="1">#REF!</definedName>
    <definedName name="BEx1P76FRYAB1BWA5RJS4KOB3G9I" localSheetId="19" hidden="1">#REF!</definedName>
    <definedName name="BEx1P76FRYAB1BWA5RJS4KOB3G9I" hidden="1">#REF!</definedName>
    <definedName name="BEx1P7S1J4TKGVJ43C2Q2R3M9WRB" localSheetId="8" hidden="1">#REF!</definedName>
    <definedName name="BEx1P7S1J4TKGVJ43C2Q2R3M9WRB" localSheetId="19" hidden="1">#REF!</definedName>
    <definedName name="BEx1P7S1J4TKGVJ43C2Q2R3M9WRB" hidden="1">#REF!</definedName>
    <definedName name="BEx1P8OF6WY3IH8SO71KQOU83V3Y" localSheetId="8" hidden="1">#REF!</definedName>
    <definedName name="BEx1P8OF6WY3IH8SO71KQOU83V3Y" localSheetId="19" hidden="1">#REF!</definedName>
    <definedName name="BEx1P8OF6WY3IH8SO71KQOU83V3Y" hidden="1">#REF!</definedName>
    <definedName name="BEx1PA11BLPVZM8RC5BL46WX8YB5" localSheetId="8" hidden="1">#REF!</definedName>
    <definedName name="BEx1PA11BLPVZM8RC5BL46WX8YB5" localSheetId="19" hidden="1">#REF!</definedName>
    <definedName name="BEx1PA11BLPVZM8RC5BL46WX8YB5" hidden="1">#REF!</definedName>
    <definedName name="BEx1PAMMMZTO2BTR6YLZ9ASMPS4N" localSheetId="8" hidden="1">#REF!</definedName>
    <definedName name="BEx1PAMMMZTO2BTR6YLZ9ASMPS4N" localSheetId="19" hidden="1">#REF!</definedName>
    <definedName name="BEx1PAMMMZTO2BTR6YLZ9ASMPS4N" hidden="1">#REF!</definedName>
    <definedName name="BEx1PBZ4BEFIPGMQXT9T8S4PZ2IM" localSheetId="8" hidden="1">#REF!</definedName>
    <definedName name="BEx1PBZ4BEFIPGMQXT9T8S4PZ2IM" localSheetId="19" hidden="1">#REF!</definedName>
    <definedName name="BEx1PBZ4BEFIPGMQXT9T8S4PZ2IM" hidden="1">#REF!</definedName>
    <definedName name="BEx1PJMAAUI73DAR3XUON2UMXTBS" localSheetId="8" hidden="1">#REF!</definedName>
    <definedName name="BEx1PJMAAUI73DAR3XUON2UMXTBS" localSheetId="19" hidden="1">#REF!</definedName>
    <definedName name="BEx1PJMAAUI73DAR3XUON2UMXTBS" hidden="1">#REF!</definedName>
    <definedName name="BEx1PLF2CFSXBZPVI6CJ534EIJDN" localSheetId="8" hidden="1">#REF!</definedName>
    <definedName name="BEx1PLF2CFSXBZPVI6CJ534EIJDN" localSheetId="19" hidden="1">#REF!</definedName>
    <definedName name="BEx1PLF2CFSXBZPVI6CJ534EIJDN" hidden="1">#REF!</definedName>
    <definedName name="BEx1PMWZB2DO6EM9BKLUICZJ65HD" localSheetId="8" hidden="1">#REF!</definedName>
    <definedName name="BEx1PMWZB2DO6EM9BKLUICZJ65HD" localSheetId="19" hidden="1">#REF!</definedName>
    <definedName name="BEx1PMWZB2DO6EM9BKLUICZJ65HD" hidden="1">#REF!</definedName>
    <definedName name="BEx1PU3X6U0EVLY9569KVBPAH7XU" localSheetId="8" hidden="1">#REF!</definedName>
    <definedName name="BEx1PU3X6U0EVLY9569KVBPAH7XU" localSheetId="19" hidden="1">#REF!</definedName>
    <definedName name="BEx1PU3X6U0EVLY9569KVBPAH7XU" hidden="1">#REF!</definedName>
    <definedName name="BEx1Q9OV5AOW28OUGRFCD3ZFVWC3" localSheetId="8" hidden="1">#REF!</definedName>
    <definedName name="BEx1Q9OV5AOW28OUGRFCD3ZFVWC3" localSheetId="19" hidden="1">#REF!</definedName>
    <definedName name="BEx1Q9OV5AOW28OUGRFCD3ZFVWC3" hidden="1">#REF!</definedName>
    <definedName name="BEx1QA54J2A4I7IBQR19BTY28ZMR" localSheetId="8" hidden="1">#REF!</definedName>
    <definedName name="BEx1QA54J2A4I7IBQR19BTY28ZMR" localSheetId="19" hidden="1">#REF!</definedName>
    <definedName name="BEx1QA54J2A4I7IBQR19BTY28ZMR" hidden="1">#REF!</definedName>
    <definedName name="BEx1QD50TNYYZ6YO943BWHPB9UD9" localSheetId="8" hidden="1">#REF!</definedName>
    <definedName name="BEx1QD50TNYYZ6YO943BWHPB9UD9" localSheetId="19" hidden="1">#REF!</definedName>
    <definedName name="BEx1QD50TNYYZ6YO943BWHPB9UD9" hidden="1">#REF!</definedName>
    <definedName name="BEx1QMQAHG3KQUK59DVM68SWKZIZ" localSheetId="8" hidden="1">#REF!</definedName>
    <definedName name="BEx1QMQAHG3KQUK59DVM68SWKZIZ" localSheetId="19" hidden="1">#REF!</definedName>
    <definedName name="BEx1QMQAHG3KQUK59DVM68SWKZIZ" hidden="1">#REF!</definedName>
    <definedName name="BEx1R9YFKJCMSEST8OVCAO5E47FO" localSheetId="8" hidden="1">#REF!</definedName>
    <definedName name="BEx1R9YFKJCMSEST8OVCAO5E47FO" localSheetId="19" hidden="1">#REF!</definedName>
    <definedName name="BEx1R9YFKJCMSEST8OVCAO5E47FO" hidden="1">#REF!</definedName>
    <definedName name="BEx1RBGC06B3T52OIC0EQ1KGVP1I" localSheetId="8" hidden="1">#REF!</definedName>
    <definedName name="BEx1RBGC06B3T52OIC0EQ1KGVP1I" localSheetId="19" hidden="1">#REF!</definedName>
    <definedName name="BEx1RBGC06B3T52OIC0EQ1KGVP1I" hidden="1">#REF!</definedName>
    <definedName name="BEx1RRC7X4NI1CU4EO5XYE2GVARJ" localSheetId="8" hidden="1">#REF!</definedName>
    <definedName name="BEx1RRC7X4NI1CU4EO5XYE2GVARJ" localSheetId="19" hidden="1">#REF!</definedName>
    <definedName name="BEx1RRC7X4NI1CU4EO5XYE2GVARJ" hidden="1">#REF!</definedName>
    <definedName name="BEx1RZA1NCGT832L7EMR7GMF588W" localSheetId="8" hidden="1">#REF!</definedName>
    <definedName name="BEx1RZA1NCGT832L7EMR7GMF588W" localSheetId="19" hidden="1">#REF!</definedName>
    <definedName name="BEx1RZA1NCGT832L7EMR7GMF588W" hidden="1">#REF!</definedName>
    <definedName name="BEx1S0XGIPUSZQUCSGWSK10GKW7Y" localSheetId="8" hidden="1">#REF!</definedName>
    <definedName name="BEx1S0XGIPUSZQUCSGWSK10GKW7Y" localSheetId="19" hidden="1">#REF!</definedName>
    <definedName name="BEx1S0XGIPUSZQUCSGWSK10GKW7Y" hidden="1">#REF!</definedName>
    <definedName name="BEx1S5VFNKIXHTTCWSV60UC50EZ8" localSheetId="8" hidden="1">#REF!</definedName>
    <definedName name="BEx1S5VFNKIXHTTCWSV60UC50EZ8" localSheetId="19" hidden="1">#REF!</definedName>
    <definedName name="BEx1S5VFNKIXHTTCWSV60UC50EZ8" hidden="1">#REF!</definedName>
    <definedName name="BEx1SK3U02H0RGKEYXW7ZMCEOF3V" localSheetId="8" hidden="1">#REF!</definedName>
    <definedName name="BEx1SK3U02H0RGKEYXW7ZMCEOF3V" localSheetId="19" hidden="1">#REF!</definedName>
    <definedName name="BEx1SK3U02H0RGKEYXW7ZMCEOF3V" hidden="1">#REF!</definedName>
    <definedName name="BEx1SSNEZINBJT29QVS62VS1THT4" localSheetId="8" hidden="1">#REF!</definedName>
    <definedName name="BEx1SSNEZINBJT29QVS62VS1THT4" localSheetId="19" hidden="1">#REF!</definedName>
    <definedName name="BEx1SSNEZINBJT29QVS62VS1THT4" hidden="1">#REF!</definedName>
    <definedName name="BEx1SVNCHNANBJIDIQVB8AFK4HAN" localSheetId="8" hidden="1">#REF!</definedName>
    <definedName name="BEx1SVNCHNANBJIDIQVB8AFK4HAN" localSheetId="19" hidden="1">#REF!</definedName>
    <definedName name="BEx1SVNCHNANBJIDIQVB8AFK4HAN" hidden="1">#REF!</definedName>
    <definedName name="BEx1SY74DYVEPAQ9TGGGXKJA025O" localSheetId="8" hidden="1">#REF!</definedName>
    <definedName name="BEx1SY74DYVEPAQ9TGGGXKJA025O" localSheetId="19" hidden="1">#REF!</definedName>
    <definedName name="BEx1SY74DYVEPAQ9TGGGXKJA025O" hidden="1">#REF!</definedName>
    <definedName name="BEx1TJ0WLS9O7KNSGIPWTYHDYI1D" localSheetId="8" hidden="1">#REF!</definedName>
    <definedName name="BEx1TJ0WLS9O7KNSGIPWTYHDYI1D" localSheetId="19" hidden="1">#REF!</definedName>
    <definedName name="BEx1TJ0WLS9O7KNSGIPWTYHDYI1D" hidden="1">#REF!</definedName>
    <definedName name="BEx1TUPQAYGAI13ZC7FU1FJXFAPM" localSheetId="8" hidden="1">#REF!</definedName>
    <definedName name="BEx1TUPQAYGAI13ZC7FU1FJXFAPM" localSheetId="19" hidden="1">#REF!</definedName>
    <definedName name="BEx1TUPQAYGAI13ZC7FU1FJXFAPM" hidden="1">#REF!</definedName>
    <definedName name="BEx1TY0F9W7EOF31FZXITWEYBSRT" localSheetId="8" hidden="1">#REF!</definedName>
    <definedName name="BEx1TY0F9W7EOF31FZXITWEYBSRT" localSheetId="19" hidden="1">#REF!</definedName>
    <definedName name="BEx1TY0F9W7EOF31FZXITWEYBSRT" hidden="1">#REF!</definedName>
    <definedName name="BEx1U7WFO8OZKB1EBF4H386JW91L" localSheetId="8" hidden="1">#REF!</definedName>
    <definedName name="BEx1U7WFO8OZKB1EBF4H386JW91L" localSheetId="19" hidden="1">#REF!</definedName>
    <definedName name="BEx1U7WFO8OZKB1EBF4H386JW91L" hidden="1">#REF!</definedName>
    <definedName name="BEx1U87938YR9N6HYI24KVBKLOS3" localSheetId="8" hidden="1">#REF!</definedName>
    <definedName name="BEx1U87938YR9N6HYI24KVBKLOS3" localSheetId="19" hidden="1">#REF!</definedName>
    <definedName name="BEx1U87938YR9N6HYI24KVBKLOS3" hidden="1">#REF!</definedName>
    <definedName name="BEx1U9P6VQWSVRICLZR9DYRMN61U" localSheetId="8" hidden="1">#REF!</definedName>
    <definedName name="BEx1U9P6VQWSVRICLZR9DYRMN61U" localSheetId="19" hidden="1">#REF!</definedName>
    <definedName name="BEx1U9P6VQWSVRICLZR9DYRMN61U" hidden="1">#REF!</definedName>
    <definedName name="BEx1UESH4KDWHYESQU2IE55RS3LI" localSheetId="8" hidden="1">#REF!</definedName>
    <definedName name="BEx1UESH4KDWHYESQU2IE55RS3LI" localSheetId="19" hidden="1">#REF!</definedName>
    <definedName name="BEx1UESH4KDWHYESQU2IE55RS3LI" hidden="1">#REF!</definedName>
    <definedName name="BEx1UI8N9KTCPSOJ7RDW0T8UEBNP" localSheetId="8" hidden="1">#REF!</definedName>
    <definedName name="BEx1UI8N9KTCPSOJ7RDW0T8UEBNP" localSheetId="19" hidden="1">#REF!</definedName>
    <definedName name="BEx1UI8N9KTCPSOJ7RDW0T8UEBNP" hidden="1">#REF!</definedName>
    <definedName name="BEx1UML0HHJFHA5TBOYQ24I3RV1W" localSheetId="8" hidden="1">#REF!</definedName>
    <definedName name="BEx1UML0HHJFHA5TBOYQ24I3RV1W" localSheetId="19" hidden="1">#REF!</definedName>
    <definedName name="BEx1UML0HHJFHA5TBOYQ24I3RV1W" hidden="1">#REF!</definedName>
    <definedName name="BEx1UO8ENOJNYCNX5Z95TBIJ3MKP" localSheetId="8" hidden="1">#REF!</definedName>
    <definedName name="BEx1UO8ENOJNYCNX5Z95TBIJ3MKP" localSheetId="19" hidden="1">#REF!</definedName>
    <definedName name="BEx1UO8ENOJNYCNX5Z95TBIJ3MKP" hidden="1">#REF!</definedName>
    <definedName name="BEx1UUDIQPZ23XQ79GUL0RAWRSCK" localSheetId="8" hidden="1">#REF!</definedName>
    <definedName name="BEx1UUDIQPZ23XQ79GUL0RAWRSCK" localSheetId="19" hidden="1">#REF!</definedName>
    <definedName name="BEx1UUDIQPZ23XQ79GUL0RAWRSCK" hidden="1">#REF!</definedName>
    <definedName name="BEx1V67SEV778NVW68J8W5SND1J7" localSheetId="8" hidden="1">#REF!</definedName>
    <definedName name="BEx1V67SEV778NVW68J8W5SND1J7" localSheetId="19" hidden="1">#REF!</definedName>
    <definedName name="BEx1V67SEV778NVW68J8W5SND1J7" hidden="1">#REF!</definedName>
    <definedName name="BEx1VIY9SQLRESD11CC4PHYT0XSG" localSheetId="8" hidden="1">#REF!</definedName>
    <definedName name="BEx1VIY9SQLRESD11CC4PHYT0XSG" localSheetId="19" hidden="1">#REF!</definedName>
    <definedName name="BEx1VIY9SQLRESD11CC4PHYT0XSG" hidden="1">#REF!</definedName>
    <definedName name="BEx1W3170EJU6QEJR4F8E2ULUU2U" localSheetId="8" hidden="1">#REF!</definedName>
    <definedName name="BEx1W3170EJU6QEJR4F8E2ULUU2U" localSheetId="19" hidden="1">#REF!</definedName>
    <definedName name="BEx1W3170EJU6QEJR4F8E2ULUU2U" hidden="1">#REF!</definedName>
    <definedName name="BEx1WC67EH10SC38QWX3WEA5KH3A" localSheetId="8" hidden="1">#REF!</definedName>
    <definedName name="BEx1WC67EH10SC38QWX3WEA5KH3A" localSheetId="19" hidden="1">#REF!</definedName>
    <definedName name="BEx1WC67EH10SC38QWX3WEA5KH3A" hidden="1">#REF!</definedName>
    <definedName name="BEx1WDTMC6W73PJPTY0JYLKOA883" localSheetId="8" hidden="1">#REF!</definedName>
    <definedName name="BEx1WDTMC6W73PJPTY0JYLKOA883" localSheetId="19" hidden="1">#REF!</definedName>
    <definedName name="BEx1WDTMC6W73PJPTY0JYLKOA883" hidden="1">#REF!</definedName>
    <definedName name="BEx1WGYTKZZIPM1577W5FEYKFH3V" localSheetId="8" hidden="1">#REF!</definedName>
    <definedName name="BEx1WGYTKZZIPM1577W5FEYKFH3V" localSheetId="19" hidden="1">#REF!</definedName>
    <definedName name="BEx1WGYTKZZIPM1577W5FEYKFH3V" hidden="1">#REF!</definedName>
    <definedName name="BEx1WHPURIV3D3PTJJ359H1OP7ZV" localSheetId="8" hidden="1">#REF!</definedName>
    <definedName name="BEx1WHPURIV3D3PTJJ359H1OP7ZV" localSheetId="19" hidden="1">#REF!</definedName>
    <definedName name="BEx1WHPURIV3D3PTJJ359H1OP7ZV" hidden="1">#REF!</definedName>
    <definedName name="BEx1WLBBR45RLDQX9FCLJWUUQX5R" localSheetId="8" hidden="1">#REF!</definedName>
    <definedName name="BEx1WLBBR45RLDQX9FCLJWUUQX5R" localSheetId="19" hidden="1">#REF!</definedName>
    <definedName name="BEx1WLBBR45RLDQX9FCLJWUUQX5R" hidden="1">#REF!</definedName>
    <definedName name="BEx1WLWY2CR1WRD694JJSWSDFAIR" localSheetId="8" hidden="1">#REF!</definedName>
    <definedName name="BEx1WLWY2CR1WRD694JJSWSDFAIR" localSheetId="19" hidden="1">#REF!</definedName>
    <definedName name="BEx1WLWY2CR1WRD694JJSWSDFAIR" hidden="1">#REF!</definedName>
    <definedName name="BEx1WMD1LWPWRIK6GGAJRJAHJM8I" localSheetId="8" hidden="1">#REF!</definedName>
    <definedName name="BEx1WMD1LWPWRIK6GGAJRJAHJM8I" localSheetId="19" hidden="1">#REF!</definedName>
    <definedName name="BEx1WMD1LWPWRIK6GGAJRJAHJM8I" hidden="1">#REF!</definedName>
    <definedName name="BEx1WR0D41MR174LBF3P9E3K0J51" localSheetId="8" hidden="1">#REF!</definedName>
    <definedName name="BEx1WR0D41MR174LBF3P9E3K0J51" localSheetId="19" hidden="1">#REF!</definedName>
    <definedName name="BEx1WR0D41MR174LBF3P9E3K0J51" hidden="1">#REF!</definedName>
    <definedName name="BEx1WT3VU2F7OSUQZHBIV4KTTFJ4" localSheetId="8" hidden="1">#REF!</definedName>
    <definedName name="BEx1WT3VU2F7OSUQZHBIV4KTTFJ4" localSheetId="19" hidden="1">#REF!</definedName>
    <definedName name="BEx1WT3VU2F7OSUQZHBIV4KTTFJ4" hidden="1">#REF!</definedName>
    <definedName name="BEx1WUB1FAS5PHU33TJ60SUHR618" localSheetId="8" hidden="1">#REF!</definedName>
    <definedName name="BEx1WUB1FAS5PHU33TJ60SUHR618" localSheetId="19" hidden="1">#REF!</definedName>
    <definedName name="BEx1WUB1FAS5PHU33TJ60SUHR618" hidden="1">#REF!</definedName>
    <definedName name="BEx1WX04G0INSPPG9NTNR3DYR6PZ" localSheetId="8" hidden="1">#REF!</definedName>
    <definedName name="BEx1WX04G0INSPPG9NTNR3DYR6PZ" localSheetId="19" hidden="1">#REF!</definedName>
    <definedName name="BEx1WX04G0INSPPG9NTNR3DYR6PZ" hidden="1">#REF!</definedName>
    <definedName name="BEx1X3LHU9DPG01VWX2IF65TRATF" localSheetId="8" hidden="1">#REF!</definedName>
    <definedName name="BEx1X3LHU9DPG01VWX2IF65TRATF" localSheetId="19" hidden="1">#REF!</definedName>
    <definedName name="BEx1X3LHU9DPG01VWX2IF65TRATF" hidden="1">#REF!</definedName>
    <definedName name="BEx1XFL3ISYW3FU1DQ3US0DYA8NQ" localSheetId="8" hidden="1">#REF!</definedName>
    <definedName name="BEx1XFL3ISYW3FU1DQ3US0DYA8NQ" localSheetId="19" hidden="1">#REF!</definedName>
    <definedName name="BEx1XFL3ISYW3FU1DQ3US0DYA8NQ" hidden="1">#REF!</definedName>
    <definedName name="BEx1XK8AAMO0AH0Z1OUKW30CA7EQ" localSheetId="8" hidden="1">#REF!</definedName>
    <definedName name="BEx1XK8AAMO0AH0Z1OUKW30CA7EQ" localSheetId="19" hidden="1">#REF!</definedName>
    <definedName name="BEx1XK8AAMO0AH0Z1OUKW30CA7EQ" hidden="1">#REF!</definedName>
    <definedName name="BEx1XL4MZ7C80495GHQRWOBS16PQ" localSheetId="8" hidden="1">#REF!</definedName>
    <definedName name="BEx1XL4MZ7C80495GHQRWOBS16PQ" localSheetId="19" hidden="1">#REF!</definedName>
    <definedName name="BEx1XL4MZ7C80495GHQRWOBS16PQ" hidden="1">#REF!</definedName>
    <definedName name="BEx1Y2IGS2K95E1M51PEF9KJZ0KB" localSheetId="8" hidden="1">#REF!</definedName>
    <definedName name="BEx1Y2IGS2K95E1M51PEF9KJZ0KB" localSheetId="19" hidden="1">#REF!</definedName>
    <definedName name="BEx1Y2IGS2K95E1M51PEF9KJZ0KB" hidden="1">#REF!</definedName>
    <definedName name="BEx1Y3PKK83X2FN9SAALFHOWKMRQ" localSheetId="8" hidden="1">#REF!</definedName>
    <definedName name="BEx1Y3PKK83X2FN9SAALFHOWKMRQ" localSheetId="19" hidden="1">#REF!</definedName>
    <definedName name="BEx1Y3PKK83X2FN9SAALFHOWKMRQ" hidden="1">#REF!</definedName>
    <definedName name="BEx1YL3DJ7Y4AZ01ERCOGW0FJ26T" localSheetId="8" hidden="1">#REF!</definedName>
    <definedName name="BEx1YL3DJ7Y4AZ01ERCOGW0FJ26T" localSheetId="19" hidden="1">#REF!</definedName>
    <definedName name="BEx1YL3DJ7Y4AZ01ERCOGW0FJ26T" hidden="1">#REF!</definedName>
    <definedName name="BEx1Z2RYHSVD1H37817SN93VMURZ" localSheetId="8" hidden="1">#REF!</definedName>
    <definedName name="BEx1Z2RYHSVD1H37817SN93VMURZ" localSheetId="19" hidden="1">#REF!</definedName>
    <definedName name="BEx1Z2RYHSVD1H37817SN93VMURZ" hidden="1">#REF!</definedName>
    <definedName name="BEx3AMAKWI6458B67VKZO56MCNJW" localSheetId="8" hidden="1">#REF!</definedName>
    <definedName name="BEx3AMAKWI6458B67VKZO56MCNJW" localSheetId="19" hidden="1">#REF!</definedName>
    <definedName name="BEx3AMAKWI6458B67VKZO56MCNJW" hidden="1">#REF!</definedName>
    <definedName name="BEx3AOOVM42G82TNF53W0EKXLUSI" localSheetId="8" hidden="1">#REF!</definedName>
    <definedName name="BEx3AOOVM42G82TNF53W0EKXLUSI" localSheetId="19" hidden="1">#REF!</definedName>
    <definedName name="BEx3AOOVM42G82TNF53W0EKXLUSI" hidden="1">#REF!</definedName>
    <definedName name="BEx3AZH9W4SUFCAHNDOQ728R9V4L" localSheetId="8" hidden="1">#REF!</definedName>
    <definedName name="BEx3AZH9W4SUFCAHNDOQ728R9V4L" localSheetId="19" hidden="1">#REF!</definedName>
    <definedName name="BEx3AZH9W4SUFCAHNDOQ728R9V4L" hidden="1">#REF!</definedName>
    <definedName name="BEx3BNR9ES4KY7Q1DK83KC5NDGL8" localSheetId="8" hidden="1">#REF!</definedName>
    <definedName name="BEx3BNR9ES4KY7Q1DK83KC5NDGL8" localSheetId="19" hidden="1">#REF!</definedName>
    <definedName name="BEx3BNR9ES4KY7Q1DK83KC5NDGL8" hidden="1">#REF!</definedName>
    <definedName name="BEx3BQR5VZXNQ4H949ORM8ESU3B3" localSheetId="8" hidden="1">#REF!</definedName>
    <definedName name="BEx3BQR5VZXNQ4H949ORM8ESU3B3" localSheetId="19" hidden="1">#REF!</definedName>
    <definedName name="BEx3BQR5VZXNQ4H949ORM8ESU3B3" hidden="1">#REF!</definedName>
    <definedName name="BEx3BTLL3ASJN134DLEQTQM70VZM" localSheetId="8" hidden="1">#REF!</definedName>
    <definedName name="BEx3BTLL3ASJN134DLEQTQM70VZM" localSheetId="19" hidden="1">#REF!</definedName>
    <definedName name="BEx3BTLL3ASJN134DLEQTQM70VZM" hidden="1">#REF!</definedName>
    <definedName name="BEx3BW5CTV0DJU5AQS3ZQFK2VLF3" localSheetId="8" hidden="1">#REF!</definedName>
    <definedName name="BEx3BW5CTV0DJU5AQS3ZQFK2VLF3" localSheetId="19" hidden="1">#REF!</definedName>
    <definedName name="BEx3BW5CTV0DJU5AQS3ZQFK2VLF3" hidden="1">#REF!</definedName>
    <definedName name="BEx3BYP0FG369M7G3JEFLMMXAKTS" localSheetId="8" hidden="1">#REF!</definedName>
    <definedName name="BEx3BYP0FG369M7G3JEFLMMXAKTS" localSheetId="19" hidden="1">#REF!</definedName>
    <definedName name="BEx3BYP0FG369M7G3JEFLMMXAKTS" hidden="1">#REF!</definedName>
    <definedName name="BEx3C2QR0WUD19QSVO8EMIPNQJKH" localSheetId="8" hidden="1">#REF!</definedName>
    <definedName name="BEx3C2QR0WUD19QSVO8EMIPNQJKH" localSheetId="19" hidden="1">#REF!</definedName>
    <definedName name="BEx3C2QR0WUD19QSVO8EMIPNQJKH" hidden="1">#REF!</definedName>
    <definedName name="BEx3CKFCCPZZ6ROLAT5C1DZNIC1U" localSheetId="8" hidden="1">#REF!</definedName>
    <definedName name="BEx3CKFCCPZZ6ROLAT5C1DZNIC1U" localSheetId="19" hidden="1">#REF!</definedName>
    <definedName name="BEx3CKFCCPZZ6ROLAT5C1DZNIC1U" hidden="1">#REF!</definedName>
    <definedName name="BEx3CO0SVO4WLH0DO43DCHYDTH1P" localSheetId="8" hidden="1">#REF!</definedName>
    <definedName name="BEx3CO0SVO4WLH0DO43DCHYDTH1P" localSheetId="19" hidden="1">#REF!</definedName>
    <definedName name="BEx3CO0SVO4WLH0DO43DCHYDTH1P" hidden="1">#REF!</definedName>
    <definedName name="BEx3CPDAEBC12450MVHX6S78ILBS" localSheetId="8" hidden="1">#REF!</definedName>
    <definedName name="BEx3CPDAEBC12450MVHX6S78ILBS" localSheetId="19" hidden="1">#REF!</definedName>
    <definedName name="BEx3CPDAEBC12450MVHX6S78ILBS" hidden="1">#REF!</definedName>
    <definedName name="BEx3CQ9OQ7E1YH93NADGWWEH0HD5" localSheetId="8" hidden="1">#REF!</definedName>
    <definedName name="BEx3CQ9OQ7E1YH93NADGWWEH0HD5" localSheetId="19" hidden="1">#REF!</definedName>
    <definedName name="BEx3CQ9OQ7E1YH93NADGWWEH0HD5" hidden="1">#REF!</definedName>
    <definedName name="BEx3D9G6QTSPF9UYI4X0XY0VE896" localSheetId="8" hidden="1">#REF!</definedName>
    <definedName name="BEx3D9G6QTSPF9UYI4X0XY0VE896" localSheetId="19" hidden="1">#REF!</definedName>
    <definedName name="BEx3D9G6QTSPF9UYI4X0XY0VE896" hidden="1">#REF!</definedName>
    <definedName name="BEx3DCQU9PBRXIMLO62KS5RLH447" localSheetId="8" hidden="1">#REF!</definedName>
    <definedName name="BEx3DCQU9PBRXIMLO62KS5RLH447" localSheetId="19" hidden="1">#REF!</definedName>
    <definedName name="BEx3DCQU9PBRXIMLO62KS5RLH447" hidden="1">#REF!</definedName>
    <definedName name="BEx3DQ8EH7C7L4XQAOL3NRRVRRT3" localSheetId="8" hidden="1">#REF!</definedName>
    <definedName name="BEx3DQ8EH7C7L4XQAOL3NRRVRRT3" localSheetId="19" hidden="1">#REF!</definedName>
    <definedName name="BEx3DQ8EH7C7L4XQAOL3NRRVRRT3" hidden="1">#REF!</definedName>
    <definedName name="BEx3EF99FD6QNNCNOKDEE67JHTUJ" localSheetId="8" hidden="1">#REF!</definedName>
    <definedName name="BEx3EF99FD6QNNCNOKDEE67JHTUJ" localSheetId="19" hidden="1">#REF!</definedName>
    <definedName name="BEx3EF99FD6QNNCNOKDEE67JHTUJ" hidden="1">#REF!</definedName>
    <definedName name="BEx3EGLXG4AU8GXIFP26DZ61E6EP" localSheetId="8" hidden="1">#REF!</definedName>
    <definedName name="BEx3EGLXG4AU8GXIFP26DZ61E6EP" localSheetId="19" hidden="1">#REF!</definedName>
    <definedName name="BEx3EGLXG4AU8GXIFP26DZ61E6EP" hidden="1">#REF!</definedName>
    <definedName name="BEx3EHCSERZ2O2OAG8Y95UPG2IY9" localSheetId="8" hidden="1">#REF!</definedName>
    <definedName name="BEx3EHCSERZ2O2OAG8Y95UPG2IY9" localSheetId="19" hidden="1">#REF!</definedName>
    <definedName name="BEx3EHCSERZ2O2OAG8Y95UPG2IY9" hidden="1">#REF!</definedName>
    <definedName name="BEx3EJR3TCJDYS7ZXNDS5N9KTGIK" localSheetId="8" hidden="1">#REF!</definedName>
    <definedName name="BEx3EJR3TCJDYS7ZXNDS5N9KTGIK" localSheetId="19" hidden="1">#REF!</definedName>
    <definedName name="BEx3EJR3TCJDYS7ZXNDS5N9KTGIK" hidden="1">#REF!</definedName>
    <definedName name="BEx3ELJTTBS6P05CNISMGOJOA60V" localSheetId="8" hidden="1">#REF!</definedName>
    <definedName name="BEx3ELJTTBS6P05CNISMGOJOA60V" localSheetId="19" hidden="1">#REF!</definedName>
    <definedName name="BEx3ELJTTBS6P05CNISMGOJOA60V" hidden="1">#REF!</definedName>
    <definedName name="BEx3EQSLJBDDJRHNX19PBFCKNY2I" localSheetId="8" hidden="1">#REF!</definedName>
    <definedName name="BEx3EQSLJBDDJRHNX19PBFCKNY2I" localSheetId="19" hidden="1">#REF!</definedName>
    <definedName name="BEx3EQSLJBDDJRHNX19PBFCKNY2I" hidden="1">#REF!</definedName>
    <definedName name="BEx3EUUAX947Q5N6MY6W0KSNY78Y" localSheetId="8" hidden="1">#REF!</definedName>
    <definedName name="BEx3EUUAX947Q5N6MY6W0KSNY78Y" localSheetId="19" hidden="1">#REF!</definedName>
    <definedName name="BEx3EUUAX947Q5N6MY6W0KSNY78Y" hidden="1">#REF!</definedName>
    <definedName name="BEx3F3OJYKFH63TY4TBS69H5CI8M" localSheetId="8" hidden="1">#REF!</definedName>
    <definedName name="BEx3F3OJYKFH63TY4TBS69H5CI8M" localSheetId="19" hidden="1">#REF!</definedName>
    <definedName name="BEx3F3OJYKFH63TY4TBS69H5CI8M" hidden="1">#REF!</definedName>
    <definedName name="BEx3FHMD1P5XBCH23ZKIFO6ZTCNB" localSheetId="8" hidden="1">#REF!</definedName>
    <definedName name="BEx3FHMD1P5XBCH23ZKIFO6ZTCNB" localSheetId="19" hidden="1">#REF!</definedName>
    <definedName name="BEx3FHMD1P5XBCH23ZKIFO6ZTCNB" hidden="1">#REF!</definedName>
    <definedName name="BEx3FI2G3YYIACQHXNXEA15M8ZK5" localSheetId="8" hidden="1">#REF!</definedName>
    <definedName name="BEx3FI2G3YYIACQHXNXEA15M8ZK5" localSheetId="19" hidden="1">#REF!</definedName>
    <definedName name="BEx3FI2G3YYIACQHXNXEA15M8ZK5" hidden="1">#REF!</definedName>
    <definedName name="BEx3FJ9MHSLDK8W91GO85FX1GX57" localSheetId="8" hidden="1">#REF!</definedName>
    <definedName name="BEx3FJ9MHSLDK8W91GO85FX1GX57" localSheetId="19" hidden="1">#REF!</definedName>
    <definedName name="BEx3FJ9MHSLDK8W91GO85FX1GX57" hidden="1">#REF!</definedName>
    <definedName name="BEx3FR251HFU7A33PU01SJUENL2B" localSheetId="8" hidden="1">#REF!</definedName>
    <definedName name="BEx3FR251HFU7A33PU01SJUENL2B" localSheetId="19" hidden="1">#REF!</definedName>
    <definedName name="BEx3FR251HFU7A33PU01SJUENL2B" hidden="1">#REF!</definedName>
    <definedName name="BEx3FX7EJL47JSLSWP3EOC265WAE" localSheetId="8" hidden="1">#REF!</definedName>
    <definedName name="BEx3FX7EJL47JSLSWP3EOC265WAE" localSheetId="19" hidden="1">#REF!</definedName>
    <definedName name="BEx3FX7EJL47JSLSWP3EOC265WAE" hidden="1">#REF!</definedName>
    <definedName name="BEx3G201R8NLJ6FIHO2QS0SW9QVV" localSheetId="8" hidden="1">#REF!</definedName>
    <definedName name="BEx3G201R8NLJ6FIHO2QS0SW9QVV" localSheetId="19" hidden="1">#REF!</definedName>
    <definedName name="BEx3G201R8NLJ6FIHO2QS0SW9QVV" hidden="1">#REF!</definedName>
    <definedName name="BEx3G2LL2II66XY5YCDPG4JE13A3" localSheetId="8" hidden="1">#REF!</definedName>
    <definedName name="BEx3G2LL2II66XY5YCDPG4JE13A3" localSheetId="19" hidden="1">#REF!</definedName>
    <definedName name="BEx3G2LL2II66XY5YCDPG4JE13A3" hidden="1">#REF!</definedName>
    <definedName name="BEx3G2WA0DTYY9D8AGHHOBTPE2B2" localSheetId="8" hidden="1">#REF!</definedName>
    <definedName name="BEx3G2WA0DTYY9D8AGHHOBTPE2B2" localSheetId="19" hidden="1">#REF!</definedName>
    <definedName name="BEx3G2WA0DTYY9D8AGHHOBTPE2B2" hidden="1">#REF!</definedName>
    <definedName name="BEx3GCXR6IAS0B6WJ03GJVH7CO52" localSheetId="8" hidden="1">#REF!</definedName>
    <definedName name="BEx3GCXR6IAS0B6WJ03GJVH7CO52" localSheetId="19" hidden="1">#REF!</definedName>
    <definedName name="BEx3GCXR6IAS0B6WJ03GJVH7CO52" hidden="1">#REF!</definedName>
    <definedName name="BEx3GEVV18SEQDI1JGY7EN6D1GT1" localSheetId="8" hidden="1">#REF!</definedName>
    <definedName name="BEx3GEVV18SEQDI1JGY7EN6D1GT1" localSheetId="19" hidden="1">#REF!</definedName>
    <definedName name="BEx3GEVV18SEQDI1JGY7EN6D1GT1" hidden="1">#REF!</definedName>
    <definedName name="BEx3GKFH64MKQX61S7DYTZ15JCPY" localSheetId="8" hidden="1">#REF!</definedName>
    <definedName name="BEx3GKFH64MKQX61S7DYTZ15JCPY" localSheetId="19" hidden="1">#REF!</definedName>
    <definedName name="BEx3GKFH64MKQX61S7DYTZ15JCPY" hidden="1">#REF!</definedName>
    <definedName name="BEx3GMJ1Y6UU02DLRL0QXCEKDA6C" localSheetId="8" hidden="1">#REF!</definedName>
    <definedName name="BEx3GMJ1Y6UU02DLRL0QXCEKDA6C" localSheetId="19" hidden="1">#REF!</definedName>
    <definedName name="BEx3GMJ1Y6UU02DLRL0QXCEKDA6C" hidden="1">#REF!</definedName>
    <definedName name="BEx3GN4LY0135CBDIN1TU2UEODGF" localSheetId="8" hidden="1">#REF!</definedName>
    <definedName name="BEx3GN4LY0135CBDIN1TU2UEODGF" localSheetId="19" hidden="1">#REF!</definedName>
    <definedName name="BEx3GN4LY0135CBDIN1TU2UEODGF" hidden="1">#REF!</definedName>
    <definedName name="BEx3GPDH2AH4QKT4OOSN563XUHBD" localSheetId="8" hidden="1">#REF!</definedName>
    <definedName name="BEx3GPDH2AH4QKT4OOSN563XUHBD" localSheetId="19" hidden="1">#REF!</definedName>
    <definedName name="BEx3GPDH2AH4QKT4OOSN563XUHBD" hidden="1">#REF!</definedName>
    <definedName name="BEx3GRGZOH1A62SHC133FKNN9K23" localSheetId="8" hidden="1">#REF!</definedName>
    <definedName name="BEx3GRGZOH1A62SHC133FKNN9K23" localSheetId="19" hidden="1">#REF!</definedName>
    <definedName name="BEx3GRGZOH1A62SHC133FKNN9K23" hidden="1">#REF!</definedName>
    <definedName name="BEx3GS2LABKJSRV8GPZLJZVX7NMJ" localSheetId="8" hidden="1">#REF!</definedName>
    <definedName name="BEx3GS2LABKJSRV8GPZLJZVX7NMJ" localSheetId="19" hidden="1">#REF!</definedName>
    <definedName name="BEx3GS2LABKJSRV8GPZLJZVX7NMJ" hidden="1">#REF!</definedName>
    <definedName name="BEx3H05W7OEBR6W6YJKGD6W5M3I1" localSheetId="8" hidden="1">#REF!</definedName>
    <definedName name="BEx3H05W7OEBR6W6YJKGD6W5M3I1" localSheetId="19" hidden="1">#REF!</definedName>
    <definedName name="BEx3H05W7OEBR6W6YJKGD6W5M3I1" hidden="1">#REF!</definedName>
    <definedName name="BEx3H244GCME7ZDNAXG6ZSJ64ZRE" localSheetId="8" hidden="1">#REF!</definedName>
    <definedName name="BEx3H244GCME7ZDNAXG6ZSJ64ZRE" localSheetId="19" hidden="1">#REF!</definedName>
    <definedName name="BEx3H244GCME7ZDNAXG6ZSJ64ZRE" hidden="1">#REF!</definedName>
    <definedName name="BEx3H5UX2GZFZZT657YR76RHW5I6" localSheetId="8" hidden="1">#REF!</definedName>
    <definedName name="BEx3H5UX2GZFZZT657YR76RHW5I6" localSheetId="19" hidden="1">#REF!</definedName>
    <definedName name="BEx3H5UX2GZFZZT657YR76RHW5I6" hidden="1">#REF!</definedName>
    <definedName name="BEx3HACPKDZVUOS9WBDCCFJB46DK" localSheetId="8" hidden="1">#REF!</definedName>
    <definedName name="BEx3HACPKDZVUOS9WBDCCFJB46DK" localSheetId="19" hidden="1">#REF!</definedName>
    <definedName name="BEx3HACPKDZVUOS9WBDCCFJB46DK" hidden="1">#REF!</definedName>
    <definedName name="BEx3HMSEFOP6DBM4R97XA6B7NFG6" localSheetId="8" hidden="1">#REF!</definedName>
    <definedName name="BEx3HMSEFOP6DBM4R97XA6B7NFG6" localSheetId="19" hidden="1">#REF!</definedName>
    <definedName name="BEx3HMSEFOP6DBM4R97XA6B7NFG6" hidden="1">#REF!</definedName>
    <definedName name="BEx3HWJ5SQSD2CVCQNR183X44FR8" localSheetId="8" hidden="1">#REF!</definedName>
    <definedName name="BEx3HWJ5SQSD2CVCQNR183X44FR8" localSheetId="19" hidden="1">#REF!</definedName>
    <definedName name="BEx3HWJ5SQSD2CVCQNR183X44FR8" hidden="1">#REF!</definedName>
    <definedName name="BEx3I09YVXO0G4X7KGSA4WGORM35" localSheetId="8" hidden="1">#REF!</definedName>
    <definedName name="BEx3I09YVXO0G4X7KGSA4WGORM35" localSheetId="19" hidden="1">#REF!</definedName>
    <definedName name="BEx3I09YVXO0G4X7KGSA4WGORM35" hidden="1">#REF!</definedName>
    <definedName name="BEx3I3KN8WAL54AYYACGCUM43J9W" localSheetId="8" hidden="1">#REF!</definedName>
    <definedName name="BEx3I3KN8WAL54AYYACGCUM43J9W" localSheetId="19" hidden="1">#REF!</definedName>
    <definedName name="BEx3I3KN8WAL54AYYACGCUM43J9W" hidden="1">#REF!</definedName>
    <definedName name="BEx3ICF1GY8HQEBIU9S43PDJ90BX" localSheetId="8" hidden="1">#REF!</definedName>
    <definedName name="BEx3ICF1GY8HQEBIU9S43PDJ90BX" localSheetId="19" hidden="1">#REF!</definedName>
    <definedName name="BEx3ICF1GY8HQEBIU9S43PDJ90BX" hidden="1">#REF!</definedName>
    <definedName name="BEx3IYAH2DEBFWO8F94H4MXE3RLY" localSheetId="8" hidden="1">#REF!</definedName>
    <definedName name="BEx3IYAH2DEBFWO8F94H4MXE3RLY" localSheetId="19" hidden="1">#REF!</definedName>
    <definedName name="BEx3IYAH2DEBFWO8F94H4MXE3RLY" hidden="1">#REF!</definedName>
    <definedName name="BEx3IZSG3932LSWHR5YV78IVRPCK" localSheetId="8" hidden="1">#REF!</definedName>
    <definedName name="BEx3IZSG3932LSWHR5YV78IVRPCK" localSheetId="19" hidden="1">#REF!</definedName>
    <definedName name="BEx3IZSG3932LSWHR5YV78IVRPCK" hidden="1">#REF!</definedName>
    <definedName name="BEx3IZXXSYEW50379N2EAFWO8DZV" localSheetId="8" hidden="1">#REF!</definedName>
    <definedName name="BEx3IZXXSYEW50379N2EAFWO8DZV" localSheetId="19" hidden="1">#REF!</definedName>
    <definedName name="BEx3IZXXSYEW50379N2EAFWO8DZV" hidden="1">#REF!</definedName>
    <definedName name="BEx3J1VZVGTKT4ATPO9O5JCSFTTR" localSheetId="8" hidden="1">#REF!</definedName>
    <definedName name="BEx3J1VZVGTKT4ATPO9O5JCSFTTR" localSheetId="19" hidden="1">#REF!</definedName>
    <definedName name="BEx3J1VZVGTKT4ATPO9O5JCSFTTR" hidden="1">#REF!</definedName>
    <definedName name="BEx3JC2TY7JNAAC3L7QHVPQXLGQ8" localSheetId="8" hidden="1">#REF!</definedName>
    <definedName name="BEx3JC2TY7JNAAC3L7QHVPQXLGQ8" localSheetId="19" hidden="1">#REF!</definedName>
    <definedName name="BEx3JC2TY7JNAAC3L7QHVPQXLGQ8" hidden="1">#REF!</definedName>
    <definedName name="BEx3JMF5D7ODCJ7THAJTC1GFSG95" localSheetId="8" hidden="1">#REF!</definedName>
    <definedName name="BEx3JMF5D7ODCJ7THAJTC1GFSG95" localSheetId="19" hidden="1">#REF!</definedName>
    <definedName name="BEx3JMF5D7ODCJ7THAJTC1GFSG95" hidden="1">#REF!</definedName>
    <definedName name="BEx3JX23SYDIGOGM4Y0CQFBW8ZBV" localSheetId="8" hidden="1">#REF!</definedName>
    <definedName name="BEx3JX23SYDIGOGM4Y0CQFBW8ZBV" localSheetId="19" hidden="1">#REF!</definedName>
    <definedName name="BEx3JX23SYDIGOGM4Y0CQFBW8ZBV" hidden="1">#REF!</definedName>
    <definedName name="BEx3JXCXCVBZJGV5VEG9MJEI01AL" localSheetId="8" hidden="1">#REF!</definedName>
    <definedName name="BEx3JXCXCVBZJGV5VEG9MJEI01AL" localSheetId="19" hidden="1">#REF!</definedName>
    <definedName name="BEx3JXCXCVBZJGV5VEG9MJEI01AL" hidden="1">#REF!</definedName>
    <definedName name="BEx3JYK2N7X59TPJSKYZ77ENY8SS" localSheetId="8" hidden="1">#REF!</definedName>
    <definedName name="BEx3JYK2N7X59TPJSKYZ77ENY8SS" localSheetId="19" hidden="1">#REF!</definedName>
    <definedName name="BEx3JYK2N7X59TPJSKYZ77ENY8SS" hidden="1">#REF!</definedName>
    <definedName name="BEx3K13PSDK50JLCLD0GX8L4TWAH" localSheetId="8" hidden="1">#REF!</definedName>
    <definedName name="BEx3K13PSDK50JLCLD0GX8L4TWAH" localSheetId="19" hidden="1">#REF!</definedName>
    <definedName name="BEx3K13PSDK50JLCLD0GX8L4TWAH" hidden="1">#REF!</definedName>
    <definedName name="BEx3K4EII7GU1CG0BN7UL15M6J8Z" localSheetId="8" hidden="1">#REF!</definedName>
    <definedName name="BEx3K4EII7GU1CG0BN7UL15M6J8Z" localSheetId="19" hidden="1">#REF!</definedName>
    <definedName name="BEx3K4EII7GU1CG0BN7UL15M6J8Z" hidden="1">#REF!</definedName>
    <definedName name="BEx3K4ZXQUQ2KYZF74B84SO48XMW" localSheetId="8" hidden="1">#REF!</definedName>
    <definedName name="BEx3K4ZXQUQ2KYZF74B84SO48XMW" localSheetId="19" hidden="1">#REF!</definedName>
    <definedName name="BEx3K4ZXQUQ2KYZF74B84SO48XMW" hidden="1">#REF!</definedName>
    <definedName name="BEx3KEFXUCVNVPH7KSEGAZYX13B5" localSheetId="8" hidden="1">#REF!</definedName>
    <definedName name="BEx3KEFXUCVNVPH7KSEGAZYX13B5" localSheetId="19" hidden="1">#REF!</definedName>
    <definedName name="BEx3KEFXUCVNVPH7KSEGAZYX13B5" hidden="1">#REF!</definedName>
    <definedName name="BEx3KFXUAF6YXAA47B7Q6X9B3VGB" localSheetId="8" hidden="1">#REF!</definedName>
    <definedName name="BEx3KFXUAF6YXAA47B7Q6X9B3VGB" localSheetId="19" hidden="1">#REF!</definedName>
    <definedName name="BEx3KFXUAF6YXAA47B7Q6X9B3VGB" hidden="1">#REF!</definedName>
    <definedName name="BEx3KIXQYOGMPK4WJJAVBRX4NR28" localSheetId="8" hidden="1">#REF!</definedName>
    <definedName name="BEx3KIXQYOGMPK4WJJAVBRX4NR28" localSheetId="19" hidden="1">#REF!</definedName>
    <definedName name="BEx3KIXQYOGMPK4WJJAVBRX4NR28" hidden="1">#REF!</definedName>
    <definedName name="BEx3KJOMVOSFZVJUL3GKCNP6DQDS" localSheetId="8" hidden="1">#REF!</definedName>
    <definedName name="BEx3KJOMVOSFZVJUL3GKCNP6DQDS" localSheetId="19" hidden="1">#REF!</definedName>
    <definedName name="BEx3KJOMVOSFZVJUL3GKCNP6DQDS" hidden="1">#REF!</definedName>
    <definedName name="BEx3KP2VRBMORK0QEAZUYCXL3DHJ" localSheetId="8" hidden="1">#REF!</definedName>
    <definedName name="BEx3KP2VRBMORK0QEAZUYCXL3DHJ" localSheetId="19" hidden="1">#REF!</definedName>
    <definedName name="BEx3KP2VRBMORK0QEAZUYCXL3DHJ" hidden="1">#REF!</definedName>
    <definedName name="BEx3L4IN3LI4C26SITKTGAH27CDU" localSheetId="8" hidden="1">#REF!</definedName>
    <definedName name="BEx3L4IN3LI4C26SITKTGAH27CDU" localSheetId="19" hidden="1">#REF!</definedName>
    <definedName name="BEx3L4IN3LI4C26SITKTGAH27CDU" hidden="1">#REF!</definedName>
    <definedName name="BEx3L4YQ0J7ZU0M5QM6YIPCEYC9K" localSheetId="8" hidden="1">#REF!</definedName>
    <definedName name="BEx3L4YQ0J7ZU0M5QM6YIPCEYC9K" localSheetId="19" hidden="1">#REF!</definedName>
    <definedName name="BEx3L4YQ0J7ZU0M5QM6YIPCEYC9K" hidden="1">#REF!</definedName>
    <definedName name="BEx3L60DJOR7NQN42G7YSAODP1EX" localSheetId="8" hidden="1">#REF!</definedName>
    <definedName name="BEx3L60DJOR7NQN42G7YSAODP1EX" localSheetId="19" hidden="1">#REF!</definedName>
    <definedName name="BEx3L60DJOR7NQN42G7YSAODP1EX" hidden="1">#REF!</definedName>
    <definedName name="BEx3L7D0PI38HWZ7VADU16C9E33D" localSheetId="8" hidden="1">#REF!</definedName>
    <definedName name="BEx3L7D0PI38HWZ7VADU16C9E33D" localSheetId="19" hidden="1">#REF!</definedName>
    <definedName name="BEx3L7D0PI38HWZ7VADU16C9E33D" hidden="1">#REF!</definedName>
    <definedName name="BEx3LANPY1HT49TAH98H4B9RC1D4" localSheetId="8" hidden="1">#REF!</definedName>
    <definedName name="BEx3LANPY1HT49TAH98H4B9RC1D4" localSheetId="19" hidden="1">#REF!</definedName>
    <definedName name="BEx3LANPY1HT49TAH98H4B9RC1D4" hidden="1">#REF!</definedName>
    <definedName name="BEx3LM1PR4Y7KINKMTMKR984GX8Q" localSheetId="8" hidden="1">#REF!</definedName>
    <definedName name="BEx3LM1PR4Y7KINKMTMKR984GX8Q" localSheetId="19" hidden="1">#REF!</definedName>
    <definedName name="BEx3LM1PR4Y7KINKMTMKR984GX8Q" hidden="1">#REF!</definedName>
    <definedName name="BEx3LM1PWWC9WH0R5TX5K06V559U" localSheetId="8" hidden="1">#REF!</definedName>
    <definedName name="BEx3LM1PWWC9WH0R5TX5K06V559U" localSheetId="19" hidden="1">#REF!</definedName>
    <definedName name="BEx3LM1PWWC9WH0R5TX5K06V559U" hidden="1">#REF!</definedName>
    <definedName name="BEx3LPCEZ1C0XEKNCM3YT09JWCUO" localSheetId="8" hidden="1">#REF!</definedName>
    <definedName name="BEx3LPCEZ1C0XEKNCM3YT09JWCUO" localSheetId="19" hidden="1">#REF!</definedName>
    <definedName name="BEx3LPCEZ1C0XEKNCM3YT09JWCUO" hidden="1">#REF!</definedName>
    <definedName name="BEx3LSXW33WR1ECIMRYUPFBJXGGH" localSheetId="8" hidden="1">#REF!</definedName>
    <definedName name="BEx3LSXW33WR1ECIMRYUPFBJXGGH" localSheetId="19" hidden="1">#REF!</definedName>
    <definedName name="BEx3LSXW33WR1ECIMRYUPFBJXGGH" hidden="1">#REF!</definedName>
    <definedName name="BEx3M1MR1K1NQD03H74BFWOK4MWQ" localSheetId="8" hidden="1">#REF!</definedName>
    <definedName name="BEx3M1MR1K1NQD03H74BFWOK4MWQ" localSheetId="19" hidden="1">#REF!</definedName>
    <definedName name="BEx3M1MR1K1NQD03H74BFWOK4MWQ" hidden="1">#REF!</definedName>
    <definedName name="BEx3M4H77MYUKOOD31H9F80NMVK8" localSheetId="8" hidden="1">#REF!</definedName>
    <definedName name="BEx3M4H77MYUKOOD31H9F80NMVK8" localSheetId="19" hidden="1">#REF!</definedName>
    <definedName name="BEx3M4H77MYUKOOD31H9F80NMVK8" hidden="1">#REF!</definedName>
    <definedName name="BEx3M9VFX329PZWYC4DMZ6P3W9R2" localSheetId="8" hidden="1">#REF!</definedName>
    <definedName name="BEx3M9VFX329PZWYC4DMZ6P3W9R2" localSheetId="19" hidden="1">#REF!</definedName>
    <definedName name="BEx3M9VFX329PZWYC4DMZ6P3W9R2" hidden="1">#REF!</definedName>
    <definedName name="BEx3MCQ0VEBV0CZXDS505L38EQ8N" localSheetId="8" hidden="1">#REF!</definedName>
    <definedName name="BEx3MCQ0VEBV0CZXDS505L38EQ8N" localSheetId="19" hidden="1">#REF!</definedName>
    <definedName name="BEx3MCQ0VEBV0CZXDS505L38EQ8N" hidden="1">#REF!</definedName>
    <definedName name="BEx3MEYV5LQY0BAL7V3CFAFVOM3T" localSheetId="8" hidden="1">#REF!</definedName>
    <definedName name="BEx3MEYV5LQY0BAL7V3CFAFVOM3T" localSheetId="19" hidden="1">#REF!</definedName>
    <definedName name="BEx3MEYV5LQY0BAL7V3CFAFVOM3T" hidden="1">#REF!</definedName>
    <definedName name="BEx3MF9LX8G8DXGARRYNTDH542WG" localSheetId="8" hidden="1">#REF!</definedName>
    <definedName name="BEx3MF9LX8G8DXGARRYNTDH542WG" localSheetId="19" hidden="1">#REF!</definedName>
    <definedName name="BEx3MF9LX8G8DXGARRYNTDH542WG" hidden="1">#REF!</definedName>
    <definedName name="BEx3MREOFWJQEYMCMBL7ZE06NBN6" localSheetId="8" hidden="1">#REF!</definedName>
    <definedName name="BEx3MREOFWJQEYMCMBL7ZE06NBN6" localSheetId="19" hidden="1">#REF!</definedName>
    <definedName name="BEx3MREOFWJQEYMCMBL7ZE06NBN6" hidden="1">#REF!</definedName>
    <definedName name="BEx3MSGD8I6KBFD4XFWYGH3DKUK3" localSheetId="8" hidden="1">#REF!</definedName>
    <definedName name="BEx3MSGD8I6KBFD4XFWYGH3DKUK3" localSheetId="19" hidden="1">#REF!</definedName>
    <definedName name="BEx3MSGD8I6KBFD4XFWYGH3DKUK3" hidden="1">#REF!</definedName>
    <definedName name="BEx3NDQFYEWZAUGWFMGT2R7E7RBT" localSheetId="8" hidden="1">#REF!</definedName>
    <definedName name="BEx3NDQFYEWZAUGWFMGT2R7E7RBT" localSheetId="19" hidden="1">#REF!</definedName>
    <definedName name="BEx3NDQFYEWZAUGWFMGT2R7E7RBT" hidden="1">#REF!</definedName>
    <definedName name="BEx3NGQBX2HEDKOCDX0TX1TGBB3P" localSheetId="8" hidden="1">#REF!</definedName>
    <definedName name="BEx3NGQBX2HEDKOCDX0TX1TGBB3P" localSheetId="19" hidden="1">#REF!</definedName>
    <definedName name="BEx3NGQBX2HEDKOCDX0TX1TGBB3P" hidden="1">#REF!</definedName>
    <definedName name="BEx3NLIZ7PHF2XE59ECZ3MD04ZG1" localSheetId="8" hidden="1">#REF!</definedName>
    <definedName name="BEx3NLIZ7PHF2XE59ECZ3MD04ZG1" localSheetId="19" hidden="1">#REF!</definedName>
    <definedName name="BEx3NLIZ7PHF2XE59ECZ3MD04ZG1" hidden="1">#REF!</definedName>
    <definedName name="BEx3NMQ4BVC94728AUM7CCX7UHTU" localSheetId="8" hidden="1">#REF!</definedName>
    <definedName name="BEx3NMQ4BVC94728AUM7CCX7UHTU" localSheetId="19" hidden="1">#REF!</definedName>
    <definedName name="BEx3NMQ4BVC94728AUM7CCX7UHTU" hidden="1">#REF!</definedName>
    <definedName name="BEx3NR2I4OUFP3Z2QZEDU2PIFIDI" localSheetId="8" hidden="1">#REF!</definedName>
    <definedName name="BEx3NR2I4OUFP3Z2QZEDU2PIFIDI" localSheetId="19" hidden="1">#REF!</definedName>
    <definedName name="BEx3NR2I4OUFP3Z2QZEDU2PIFIDI" hidden="1">#REF!</definedName>
    <definedName name="BEx3O19B8FTTAPVT5DZXQGQXWFR8" localSheetId="8" hidden="1">#REF!</definedName>
    <definedName name="BEx3O19B8FTTAPVT5DZXQGQXWFR8" localSheetId="19" hidden="1">#REF!</definedName>
    <definedName name="BEx3O19B8FTTAPVT5DZXQGQXWFR8" hidden="1">#REF!</definedName>
    <definedName name="BEx3O85IKWARA6NCJOLRBRJFMEWW" localSheetId="8" hidden="1">#REF!</definedName>
    <definedName name="BEx3O85IKWARA6NCJOLRBRJFMEWW" localSheetId="19" hidden="1">#REF!</definedName>
    <definedName name="BEx3O85IKWARA6NCJOLRBRJFMEWW" hidden="1">#REF!</definedName>
    <definedName name="BEx3OJZSCGFRW7SVGBFI0X9DNVMM" localSheetId="8" hidden="1">#REF!</definedName>
    <definedName name="BEx3OJZSCGFRW7SVGBFI0X9DNVMM" localSheetId="19" hidden="1">#REF!</definedName>
    <definedName name="BEx3OJZSCGFRW7SVGBFI0X9DNVMM" hidden="1">#REF!</definedName>
    <definedName name="BEx3ORSBUXAF21MKEY90YJV9AY9A" localSheetId="8" hidden="1">#REF!</definedName>
    <definedName name="BEx3ORSBUXAF21MKEY90YJV9AY9A" localSheetId="19" hidden="1">#REF!</definedName>
    <definedName name="BEx3ORSBUXAF21MKEY90YJV9AY9A" hidden="1">#REF!</definedName>
    <definedName name="BEx3OUS0N576NJN078Y1BWUWQK6B" localSheetId="8" hidden="1">#REF!</definedName>
    <definedName name="BEx3OUS0N576NJN078Y1BWUWQK6B" localSheetId="19" hidden="1">#REF!</definedName>
    <definedName name="BEx3OUS0N576NJN078Y1BWUWQK6B" hidden="1">#REF!</definedName>
    <definedName name="BEx3OV8BH6PYNZT7C246LOAU9SVX" localSheetId="8" hidden="1">#REF!</definedName>
    <definedName name="BEx3OV8BH6PYNZT7C246LOAU9SVX" localSheetId="19" hidden="1">#REF!</definedName>
    <definedName name="BEx3OV8BH6PYNZT7C246LOAU9SVX" hidden="1">#REF!</definedName>
    <definedName name="BEx3OXRYJZUEY6E72UJU0PHLMYAR" localSheetId="8" hidden="1">#REF!</definedName>
    <definedName name="BEx3OXRYJZUEY6E72UJU0PHLMYAR" localSheetId="19" hidden="1">#REF!</definedName>
    <definedName name="BEx3OXRYJZUEY6E72UJU0PHLMYAR" hidden="1">#REF!</definedName>
    <definedName name="BEx3P3RP5PYI4BJVYGNU1V7KT5EH" localSheetId="8" hidden="1">#REF!</definedName>
    <definedName name="BEx3P3RP5PYI4BJVYGNU1V7KT5EH" localSheetId="19" hidden="1">#REF!</definedName>
    <definedName name="BEx3P3RP5PYI4BJVYGNU1V7KT5EH" hidden="1">#REF!</definedName>
    <definedName name="BEx3P59TTRSGQY888P5C1O7M2PQT" localSheetId="8" hidden="1">#REF!</definedName>
    <definedName name="BEx3P59TTRSGQY888P5C1O7M2PQT" localSheetId="19" hidden="1">#REF!</definedName>
    <definedName name="BEx3P59TTRSGQY888P5C1O7M2PQT" hidden="1">#REF!</definedName>
    <definedName name="BEx3PDNRRNKD5GOUBUQFXAHIXLD9" localSheetId="8" hidden="1">#REF!</definedName>
    <definedName name="BEx3PDNRRNKD5GOUBUQFXAHIXLD9" localSheetId="19" hidden="1">#REF!</definedName>
    <definedName name="BEx3PDNRRNKD5GOUBUQFXAHIXLD9" hidden="1">#REF!</definedName>
    <definedName name="BEx3PDT8GNPWLLN02IH1XPV90XYK" localSheetId="8" hidden="1">#REF!</definedName>
    <definedName name="BEx3PDT8GNPWLLN02IH1XPV90XYK" localSheetId="19" hidden="1">#REF!</definedName>
    <definedName name="BEx3PDT8GNPWLLN02IH1XPV90XYK" hidden="1">#REF!</definedName>
    <definedName name="BEx3PKEMDW8KZEP11IL927C5O7I2" localSheetId="8" hidden="1">#REF!</definedName>
    <definedName name="BEx3PKEMDW8KZEP11IL927C5O7I2" localSheetId="19" hidden="1">#REF!</definedName>
    <definedName name="BEx3PKEMDW8KZEP11IL927C5O7I2" hidden="1">#REF!</definedName>
    <definedName name="BEx3PKJZ1Z7L9S6KV8KXVS6B2FX4" localSheetId="8" hidden="1">#REF!</definedName>
    <definedName name="BEx3PKJZ1Z7L9S6KV8KXVS6B2FX4" localSheetId="19" hidden="1">#REF!</definedName>
    <definedName name="BEx3PKJZ1Z7L9S6KV8KXVS6B2FX4" hidden="1">#REF!</definedName>
    <definedName name="BEx3PMNG53Z5HY138H99QOMTX8W3" localSheetId="8" hidden="1">#REF!</definedName>
    <definedName name="BEx3PMNG53Z5HY138H99QOMTX8W3" localSheetId="19" hidden="1">#REF!</definedName>
    <definedName name="BEx3PMNG53Z5HY138H99QOMTX8W3" hidden="1">#REF!</definedName>
    <definedName name="BEx3PP1RRSFZ8UC0JC9R91W6LNKW" localSheetId="8" hidden="1">#REF!</definedName>
    <definedName name="BEx3PP1RRSFZ8UC0JC9R91W6LNKW" localSheetId="19" hidden="1">#REF!</definedName>
    <definedName name="BEx3PP1RRSFZ8UC0JC9R91W6LNKW" hidden="1">#REF!</definedName>
    <definedName name="BEx3PRQW017D7T1X732WDV7L1KP8" localSheetId="8" hidden="1">#REF!</definedName>
    <definedName name="BEx3PRQW017D7T1X732WDV7L1KP8" localSheetId="19" hidden="1">#REF!</definedName>
    <definedName name="BEx3PRQW017D7T1X732WDV7L1KP8" hidden="1">#REF!</definedName>
    <definedName name="BEx3PVXYZC8WB9ZJE7OCKUXZ46EA" localSheetId="8" hidden="1">#REF!</definedName>
    <definedName name="BEx3PVXYZC8WB9ZJE7OCKUXZ46EA" localSheetId="19" hidden="1">#REF!</definedName>
    <definedName name="BEx3PVXYZC8WB9ZJE7OCKUXZ46EA" hidden="1">#REF!</definedName>
    <definedName name="BEx3Q0VWPU5EQECK7MQ47TYJ3SWW" localSheetId="8" hidden="1">#REF!</definedName>
    <definedName name="BEx3Q0VWPU5EQECK7MQ47TYJ3SWW" localSheetId="19" hidden="1">#REF!</definedName>
    <definedName name="BEx3Q0VWPU5EQECK7MQ47TYJ3SWW" hidden="1">#REF!</definedName>
    <definedName name="BEx3Q7BZ9PUXK2RLIOFSIS9AHU1B" localSheetId="8" hidden="1">#REF!</definedName>
    <definedName name="BEx3Q7BZ9PUXK2RLIOFSIS9AHU1B" localSheetId="19" hidden="1">#REF!</definedName>
    <definedName name="BEx3Q7BZ9PUXK2RLIOFSIS9AHU1B" hidden="1">#REF!</definedName>
    <definedName name="BEx3Q8J42S9VU6EAN2Y28MR6DF88" localSheetId="8" hidden="1">#REF!</definedName>
    <definedName name="BEx3Q8J42S9VU6EAN2Y28MR6DF88" localSheetId="19" hidden="1">#REF!</definedName>
    <definedName name="BEx3Q8J42S9VU6EAN2Y28MR6DF88" hidden="1">#REF!</definedName>
    <definedName name="BEx3QCFD2TBUF95ZN83Q7JPV97FK" localSheetId="8" hidden="1">#REF!</definedName>
    <definedName name="BEx3QCFD2TBUF95ZN83Q7JPV97FK" localSheetId="19" hidden="1">#REF!</definedName>
    <definedName name="BEx3QCFD2TBUF95ZN83Q7JPV97FK" hidden="1">#REF!</definedName>
    <definedName name="BEx3QEDFOYFY5NBTININ5W4RLD4Q" localSheetId="8" hidden="1">#REF!</definedName>
    <definedName name="BEx3QEDFOYFY5NBTININ5W4RLD4Q" localSheetId="19" hidden="1">#REF!</definedName>
    <definedName name="BEx3QEDFOYFY5NBTININ5W4RLD4Q" hidden="1">#REF!</definedName>
    <definedName name="BEx3QIKJ3U962US1Q564NZDLU8LD" localSheetId="8" hidden="1">#REF!</definedName>
    <definedName name="BEx3QIKJ3U962US1Q564NZDLU8LD" localSheetId="19" hidden="1">#REF!</definedName>
    <definedName name="BEx3QIKJ3U962US1Q564NZDLU8LD" hidden="1">#REF!</definedName>
    <definedName name="BEx3QLF3RHHBNUFLUWEROBZDF1U4" localSheetId="8" hidden="1">#REF!</definedName>
    <definedName name="BEx3QLF3RHHBNUFLUWEROBZDF1U4" localSheetId="19" hidden="1">#REF!</definedName>
    <definedName name="BEx3QLF3RHHBNUFLUWEROBZDF1U4" hidden="1">#REF!</definedName>
    <definedName name="BEx3QR9D45DHW50VQ7Y3Q1AXPOB9" localSheetId="8" hidden="1">#REF!</definedName>
    <definedName name="BEx3QR9D45DHW50VQ7Y3Q1AXPOB9" localSheetId="19" hidden="1">#REF!</definedName>
    <definedName name="BEx3QR9D45DHW50VQ7Y3Q1AXPOB9" hidden="1">#REF!</definedName>
    <definedName name="BEx3QSWT2S5KWG6U2V9711IYDQBM" localSheetId="8" hidden="1">#REF!</definedName>
    <definedName name="BEx3QSWT2S5KWG6U2V9711IYDQBM" localSheetId="19" hidden="1">#REF!</definedName>
    <definedName name="BEx3QSWT2S5KWG6U2V9711IYDQBM" hidden="1">#REF!</definedName>
    <definedName name="BEx3QVGG7Q2X4HZHJAM35A8T3VR7" localSheetId="8" hidden="1">#REF!</definedName>
    <definedName name="BEx3QVGG7Q2X4HZHJAM35A8T3VR7" localSheetId="19" hidden="1">#REF!</definedName>
    <definedName name="BEx3QVGG7Q2X4HZHJAM35A8T3VR7" hidden="1">#REF!</definedName>
    <definedName name="BEx3R0JUB9YN8PHPPQTAMIT1IHWK" localSheetId="8" hidden="1">#REF!</definedName>
    <definedName name="BEx3R0JUB9YN8PHPPQTAMIT1IHWK" localSheetId="19" hidden="1">#REF!</definedName>
    <definedName name="BEx3R0JUB9YN8PHPPQTAMIT1IHWK" hidden="1">#REF!</definedName>
    <definedName name="BEx3R81NFRO7M81VHVKOBFT0QBIL" localSheetId="8" hidden="1">#REF!</definedName>
    <definedName name="BEx3R81NFRO7M81VHVKOBFT0QBIL" localSheetId="19" hidden="1">#REF!</definedName>
    <definedName name="BEx3R81NFRO7M81VHVKOBFT0QBIL" hidden="1">#REF!</definedName>
    <definedName name="BEx3RHC2ZD5UFS6QD4OPFCNNMWH1" localSheetId="8" hidden="1">#REF!</definedName>
    <definedName name="BEx3RHC2ZD5UFS6QD4OPFCNNMWH1" localSheetId="19" hidden="1">#REF!</definedName>
    <definedName name="BEx3RHC2ZD5UFS6QD4OPFCNNMWH1" hidden="1">#REF!</definedName>
    <definedName name="BEx3RQ10QIWBAPHALAA91BUUCM2X" localSheetId="8" hidden="1">#REF!</definedName>
    <definedName name="BEx3RQ10QIWBAPHALAA91BUUCM2X" localSheetId="19" hidden="1">#REF!</definedName>
    <definedName name="BEx3RQ10QIWBAPHALAA91BUUCM2X" hidden="1">#REF!</definedName>
    <definedName name="BEx3RV4E1WT43SZBUN09RTB8EK1O" localSheetId="8" hidden="1">#REF!</definedName>
    <definedName name="BEx3RV4E1WT43SZBUN09RTB8EK1O" localSheetId="19" hidden="1">#REF!</definedName>
    <definedName name="BEx3RV4E1WT43SZBUN09RTB8EK1O" hidden="1">#REF!</definedName>
    <definedName name="BEx3RXYU0QLFXSFTM5EB20GD03W5" localSheetId="8" hidden="1">#REF!</definedName>
    <definedName name="BEx3RXYU0QLFXSFTM5EB20GD03W5" localSheetId="19" hidden="1">#REF!</definedName>
    <definedName name="BEx3RXYU0QLFXSFTM5EB20GD03W5" hidden="1">#REF!</definedName>
    <definedName name="BEx3RYKLC3QQO3XTUN7BEW2AQL98" localSheetId="8" hidden="1">#REF!</definedName>
    <definedName name="BEx3RYKLC3QQO3XTUN7BEW2AQL98" localSheetId="19" hidden="1">#REF!</definedName>
    <definedName name="BEx3RYKLC3QQO3XTUN7BEW2AQL98" hidden="1">#REF!</definedName>
    <definedName name="BEx3S37QNFSKW3DGRH5YVVEZLJI7" localSheetId="8" hidden="1">#REF!</definedName>
    <definedName name="BEx3S37QNFSKW3DGRH5YVVEZLJI7" localSheetId="19" hidden="1">#REF!</definedName>
    <definedName name="BEx3S37QNFSKW3DGRH5YVVEZLJI7" hidden="1">#REF!</definedName>
    <definedName name="BEx3SICJ45BYT6FHBER86PJT25FC" localSheetId="8" hidden="1">#REF!</definedName>
    <definedName name="BEx3SICJ45BYT6FHBER86PJT25FC" localSheetId="19" hidden="1">#REF!</definedName>
    <definedName name="BEx3SICJ45BYT6FHBER86PJT25FC" hidden="1">#REF!</definedName>
    <definedName name="BEx3SMUCMJVGQ2H4EHQI5ZFHEF0P" localSheetId="8" hidden="1">#REF!</definedName>
    <definedName name="BEx3SMUCMJVGQ2H4EHQI5ZFHEF0P" localSheetId="19" hidden="1">#REF!</definedName>
    <definedName name="BEx3SMUCMJVGQ2H4EHQI5ZFHEF0P" hidden="1">#REF!</definedName>
    <definedName name="BEx3SN56F03CPDRDA7LZ763V0N4I" localSheetId="8" hidden="1">#REF!</definedName>
    <definedName name="BEx3SN56F03CPDRDA7LZ763V0N4I" localSheetId="19" hidden="1">#REF!</definedName>
    <definedName name="BEx3SN56F03CPDRDA7LZ763V0N4I" hidden="1">#REF!</definedName>
    <definedName name="BEx3SPE6N1ORXPRCDL3JPZD73Z9F" localSheetId="8" hidden="1">#REF!</definedName>
    <definedName name="BEx3SPE6N1ORXPRCDL3JPZD73Z9F" localSheetId="19" hidden="1">#REF!</definedName>
    <definedName name="BEx3SPE6N1ORXPRCDL3JPZD73Z9F" hidden="1">#REF!</definedName>
    <definedName name="BEx3T29ZTULQE0OMSMWUMZDU9ZZ0" localSheetId="8" hidden="1">#REF!</definedName>
    <definedName name="BEx3T29ZTULQE0OMSMWUMZDU9ZZ0" localSheetId="19" hidden="1">#REF!</definedName>
    <definedName name="BEx3T29ZTULQE0OMSMWUMZDU9ZZ0" hidden="1">#REF!</definedName>
    <definedName name="BEx3T6MJ1QDJ929WMUDVZ0O3UW0Y" localSheetId="8" hidden="1">#REF!</definedName>
    <definedName name="BEx3T6MJ1QDJ929WMUDVZ0O3UW0Y" localSheetId="19" hidden="1">#REF!</definedName>
    <definedName name="BEx3T6MJ1QDJ929WMUDVZ0O3UW0Y" hidden="1">#REF!</definedName>
    <definedName name="BEx3TD7WH1NN1OH0MRS4T8ENRU32" localSheetId="8" hidden="1">#REF!</definedName>
    <definedName name="BEx3TD7WH1NN1OH0MRS4T8ENRU32" localSheetId="19" hidden="1">#REF!</definedName>
    <definedName name="BEx3TD7WH1NN1OH0MRS4T8ENRU32" hidden="1">#REF!</definedName>
    <definedName name="BEx3TPCSI16OAB2L9M9IULQMQ9J9" localSheetId="8" hidden="1">#REF!</definedName>
    <definedName name="BEx3TPCSI16OAB2L9M9IULQMQ9J9" localSheetId="19" hidden="1">#REF!</definedName>
    <definedName name="BEx3TPCSI16OAB2L9M9IULQMQ9J9" hidden="1">#REF!</definedName>
    <definedName name="BEx3TQ3SFJB2WTCV0OXDE56FB46K" localSheetId="8" hidden="1">#REF!</definedName>
    <definedName name="BEx3TQ3SFJB2WTCV0OXDE56FB46K" localSheetId="19" hidden="1">#REF!</definedName>
    <definedName name="BEx3TQ3SFJB2WTCV0OXDE56FB46K" hidden="1">#REF!</definedName>
    <definedName name="BEx3TX59M3456DDBXWFJ8X2TU37A" localSheetId="8" hidden="1">#REF!</definedName>
    <definedName name="BEx3TX59M3456DDBXWFJ8X2TU37A" localSheetId="19" hidden="1">#REF!</definedName>
    <definedName name="BEx3TX59M3456DDBXWFJ8X2TU37A" hidden="1">#REF!</definedName>
    <definedName name="BEx3U2UBY80GPGSTYFGI6F8TPKCV" localSheetId="8" hidden="1">#REF!</definedName>
    <definedName name="BEx3U2UBY80GPGSTYFGI6F8TPKCV" localSheetId="19" hidden="1">#REF!</definedName>
    <definedName name="BEx3U2UBY80GPGSTYFGI6F8TPKCV" hidden="1">#REF!</definedName>
    <definedName name="BEx3U64YUOZ419BAJS2W78UMATAW" localSheetId="8" hidden="1">#REF!</definedName>
    <definedName name="BEx3U64YUOZ419BAJS2W78UMATAW" localSheetId="19" hidden="1">#REF!</definedName>
    <definedName name="BEx3U64YUOZ419BAJS2W78UMATAW" hidden="1">#REF!</definedName>
    <definedName name="BEx3U94WCEA5DKMWBEX1GU0LKYG2" localSheetId="8" hidden="1">#REF!</definedName>
    <definedName name="BEx3U94WCEA5DKMWBEX1GU0LKYG2" localSheetId="19" hidden="1">#REF!</definedName>
    <definedName name="BEx3U94WCEA5DKMWBEX1GU0LKYG2" hidden="1">#REF!</definedName>
    <definedName name="BEx3U9VZ8SQVYS6ZA038J7AP7ZGW" localSheetId="8" hidden="1">#REF!</definedName>
    <definedName name="BEx3U9VZ8SQVYS6ZA038J7AP7ZGW" localSheetId="19" hidden="1">#REF!</definedName>
    <definedName name="BEx3U9VZ8SQVYS6ZA038J7AP7ZGW" hidden="1">#REF!</definedName>
    <definedName name="BEx3UIQ5WRJBGNTFCCLOR4N7B1OQ" localSheetId="8" hidden="1">#REF!</definedName>
    <definedName name="BEx3UIQ5WRJBGNTFCCLOR4N7B1OQ" localSheetId="19" hidden="1">#REF!</definedName>
    <definedName name="BEx3UIQ5WRJBGNTFCCLOR4N7B1OQ" hidden="1">#REF!</definedName>
    <definedName name="BEx3UJMIX2NUSSWGMSI25A5DM4CH" localSheetId="8" hidden="1">#REF!</definedName>
    <definedName name="BEx3UJMIX2NUSSWGMSI25A5DM4CH" localSheetId="19" hidden="1">#REF!</definedName>
    <definedName name="BEx3UJMIX2NUSSWGMSI25A5DM4CH" hidden="1">#REF!</definedName>
    <definedName name="BEx3UKIX0UULWP3BZA8VT2SQ8WI7" localSheetId="8" hidden="1">#REF!</definedName>
    <definedName name="BEx3UKIX0UULWP3BZA8VT2SQ8WI7" localSheetId="19" hidden="1">#REF!</definedName>
    <definedName name="BEx3UKIX0UULWP3BZA8VT2SQ8WI7" hidden="1">#REF!</definedName>
    <definedName name="BEx3UKOCOQG7S1YQ436S997K1KWV" localSheetId="8" hidden="1">#REF!</definedName>
    <definedName name="BEx3UKOCOQG7S1YQ436S997K1KWV" localSheetId="19" hidden="1">#REF!</definedName>
    <definedName name="BEx3UKOCOQG7S1YQ436S997K1KWV" hidden="1">#REF!</definedName>
    <definedName name="BEx3UNISOEXF3OFHT2BUA6P9RBIJ" localSheetId="8" hidden="1">#REF!</definedName>
    <definedName name="BEx3UNISOEXF3OFHT2BUA6P9RBIJ" localSheetId="19" hidden="1">#REF!</definedName>
    <definedName name="BEx3UNISOEXF3OFHT2BUA6P9RBIJ" hidden="1">#REF!</definedName>
    <definedName name="BEx3UYM19VIXLA0EU7LB9NHA77PB" localSheetId="8" hidden="1">#REF!</definedName>
    <definedName name="BEx3UYM19VIXLA0EU7LB9NHA77PB" localSheetId="19" hidden="1">#REF!</definedName>
    <definedName name="BEx3UYM19VIXLA0EU7LB9NHA77PB" hidden="1">#REF!</definedName>
    <definedName name="BEx3VML7CG70HPISMVYIUEN3711Q" localSheetId="8" hidden="1">#REF!</definedName>
    <definedName name="BEx3VML7CG70HPISMVYIUEN3711Q" localSheetId="19" hidden="1">#REF!</definedName>
    <definedName name="BEx3VML7CG70HPISMVYIUEN3711Q" hidden="1">#REF!</definedName>
    <definedName name="BEx56ZID5H04P9AIYLP1OASFGV56" localSheetId="8" hidden="1">#REF!</definedName>
    <definedName name="BEx56ZID5H04P9AIYLP1OASFGV56" localSheetId="19" hidden="1">#REF!</definedName>
    <definedName name="BEx56ZID5H04P9AIYLP1OASFGV56" hidden="1">#REF!</definedName>
    <definedName name="BEx57ROM8UIFKV5C1BOZWSQQLESO" localSheetId="8" hidden="1">#REF!</definedName>
    <definedName name="BEx57ROM8UIFKV5C1BOZWSQQLESO" localSheetId="19" hidden="1">#REF!</definedName>
    <definedName name="BEx57ROM8UIFKV5C1BOZWSQQLESO" hidden="1">#REF!</definedName>
    <definedName name="BEx587EYSS57E3PI8DT973HLJM9E" localSheetId="8" hidden="1">#REF!</definedName>
    <definedName name="BEx587EYSS57E3PI8DT973HLJM9E" localSheetId="19" hidden="1">#REF!</definedName>
    <definedName name="BEx587EYSS57E3PI8DT973HLJM9E" hidden="1">#REF!</definedName>
    <definedName name="BEx587KFQ3VKCOCY1SA5F24PQGUI" localSheetId="8" hidden="1">#REF!</definedName>
    <definedName name="BEx587KFQ3VKCOCY1SA5F24PQGUI" localSheetId="19" hidden="1">#REF!</definedName>
    <definedName name="BEx587KFQ3VKCOCY1SA5F24PQGUI" hidden="1">#REF!</definedName>
    <definedName name="BEx58O780PQ05NF0Z1SKKRB3N099" localSheetId="8" hidden="1">#REF!</definedName>
    <definedName name="BEx58O780PQ05NF0Z1SKKRB3N099" localSheetId="19" hidden="1">#REF!</definedName>
    <definedName name="BEx58O780PQ05NF0Z1SKKRB3N099" hidden="1">#REF!</definedName>
    <definedName name="BEx58W57CTL8HFK3U7ZRFYZR6MXE" localSheetId="8" hidden="1">#REF!</definedName>
    <definedName name="BEx58W57CTL8HFK3U7ZRFYZR6MXE" localSheetId="19" hidden="1">#REF!</definedName>
    <definedName name="BEx58W57CTL8HFK3U7ZRFYZR6MXE" hidden="1">#REF!</definedName>
    <definedName name="BEx58XHO7ZULLF2EUD7YIS0MGQJ5" localSheetId="8" hidden="1">#REF!</definedName>
    <definedName name="BEx58XHO7ZULLF2EUD7YIS0MGQJ5" localSheetId="19" hidden="1">#REF!</definedName>
    <definedName name="BEx58XHO7ZULLF2EUD7YIS0MGQJ5" hidden="1">#REF!</definedName>
    <definedName name="BEx58ZAFNTMGBNDH52VUYXLRJO7P" localSheetId="8" hidden="1">#REF!</definedName>
    <definedName name="BEx58ZAFNTMGBNDH52VUYXLRJO7P" localSheetId="19" hidden="1">#REF!</definedName>
    <definedName name="BEx58ZAFNTMGBNDH52VUYXLRJO7P" hidden="1">#REF!</definedName>
    <definedName name="BEx58ZW0HAIGIPEX9CVA1PQQTR6X" localSheetId="8" hidden="1">#REF!</definedName>
    <definedName name="BEx58ZW0HAIGIPEX9CVA1PQQTR6X" localSheetId="19" hidden="1">#REF!</definedName>
    <definedName name="BEx58ZW0HAIGIPEX9CVA1PQQTR6X" hidden="1">#REF!</definedName>
    <definedName name="BEx593SAFVYKW7V61D9COEZJXDA7" localSheetId="8" hidden="1">#REF!</definedName>
    <definedName name="BEx593SAFVYKW7V61D9COEZJXDA7" localSheetId="19" hidden="1">#REF!</definedName>
    <definedName name="BEx593SAFVYKW7V61D9COEZJXDA7" hidden="1">#REF!</definedName>
    <definedName name="BEx59BA1KH3RG6K1LHL7YS2VB79N" localSheetId="8" hidden="1">#REF!</definedName>
    <definedName name="BEx59BA1KH3RG6K1LHL7YS2VB79N" localSheetId="19" hidden="1">#REF!</definedName>
    <definedName name="BEx59BA1KH3RG6K1LHL7YS2VB79N" hidden="1">#REF!</definedName>
    <definedName name="BEx59DDIU0AMFOY94NSP1ULST8JD" localSheetId="8" hidden="1">#REF!</definedName>
    <definedName name="BEx59DDIU0AMFOY94NSP1ULST8JD" localSheetId="19" hidden="1">#REF!</definedName>
    <definedName name="BEx59DDIU0AMFOY94NSP1ULST8JD" hidden="1">#REF!</definedName>
    <definedName name="BEx59E9WABJP2TN71QAIKK79HPK9" localSheetId="8" hidden="1">#REF!</definedName>
    <definedName name="BEx59E9WABJP2TN71QAIKK79HPK9" localSheetId="19" hidden="1">#REF!</definedName>
    <definedName name="BEx59E9WABJP2TN71QAIKK79HPK9" hidden="1">#REF!</definedName>
    <definedName name="BEx59F0T17A80RNLNSZNFX8NAO8Y" localSheetId="8" hidden="1">#REF!</definedName>
    <definedName name="BEx59F0T17A80RNLNSZNFX8NAO8Y" localSheetId="19" hidden="1">#REF!</definedName>
    <definedName name="BEx59F0T17A80RNLNSZNFX8NAO8Y" hidden="1">#REF!</definedName>
    <definedName name="BEx59P7MAPNU129ZTC5H3EH892G1" localSheetId="8" hidden="1">#REF!</definedName>
    <definedName name="BEx59P7MAPNU129ZTC5H3EH892G1" localSheetId="19" hidden="1">#REF!</definedName>
    <definedName name="BEx59P7MAPNU129ZTC5H3EH892G1" hidden="1">#REF!</definedName>
    <definedName name="BEx5A11WZRQSIE089QE119AOX9ZG" localSheetId="8" hidden="1">#REF!</definedName>
    <definedName name="BEx5A11WZRQSIE089QE119AOX9ZG" localSheetId="19" hidden="1">#REF!</definedName>
    <definedName name="BEx5A11WZRQSIE089QE119AOX9ZG" hidden="1">#REF!</definedName>
    <definedName name="BEx5A7CIGCOTHJKHGUBDZG91JGPZ" localSheetId="8" hidden="1">#REF!</definedName>
    <definedName name="BEx5A7CIGCOTHJKHGUBDZG91JGPZ" localSheetId="19" hidden="1">#REF!</definedName>
    <definedName name="BEx5A7CIGCOTHJKHGUBDZG91JGPZ" hidden="1">#REF!</definedName>
    <definedName name="BEx5A8UFLT2SWVSG5COFA9B8P376" localSheetId="8" hidden="1">#REF!</definedName>
    <definedName name="BEx5A8UFLT2SWVSG5COFA9B8P376" localSheetId="19" hidden="1">#REF!</definedName>
    <definedName name="BEx5A8UFLT2SWVSG5COFA9B8P376" hidden="1">#REF!</definedName>
    <definedName name="BEx5ABUBK8WJV1WILGYU9A7CO0KI" localSheetId="8" hidden="1">#REF!</definedName>
    <definedName name="BEx5ABUBK8WJV1WILGYU9A7CO0KI" localSheetId="19" hidden="1">#REF!</definedName>
    <definedName name="BEx5ABUBK8WJV1WILGYU9A7CO0KI" hidden="1">#REF!</definedName>
    <definedName name="BEx5AFFTN3IXIBHDKM0FYC4OFL1S" localSheetId="8" hidden="1">#REF!</definedName>
    <definedName name="BEx5AFFTN3IXIBHDKM0FYC4OFL1S" localSheetId="19" hidden="1">#REF!</definedName>
    <definedName name="BEx5AFFTN3IXIBHDKM0FYC4OFL1S" hidden="1">#REF!</definedName>
    <definedName name="BEx5AOFIO8KVRHIZ1RII337AA8ML" localSheetId="8" hidden="1">#REF!</definedName>
    <definedName name="BEx5AOFIO8KVRHIZ1RII337AA8ML" localSheetId="19" hidden="1">#REF!</definedName>
    <definedName name="BEx5AOFIO8KVRHIZ1RII337AA8ML" hidden="1">#REF!</definedName>
    <definedName name="BEx5APRZ66L5BWHFE8E4YYNEDTI4" localSheetId="8" hidden="1">#REF!</definedName>
    <definedName name="BEx5APRZ66L5BWHFE8E4YYNEDTI4" localSheetId="19" hidden="1">#REF!</definedName>
    <definedName name="BEx5APRZ66L5BWHFE8E4YYNEDTI4" hidden="1">#REF!</definedName>
    <definedName name="BEx5AQJ1Z64KY10P8ZF1JKJUFEGN" localSheetId="8" hidden="1">#REF!</definedName>
    <definedName name="BEx5AQJ1Z64KY10P8ZF1JKJUFEGN" localSheetId="19" hidden="1">#REF!</definedName>
    <definedName name="BEx5AQJ1Z64KY10P8ZF1JKJUFEGN" hidden="1">#REF!</definedName>
    <definedName name="BEx5AY62R0TL82VHXE37SCZCINQC" localSheetId="8" hidden="1">#REF!</definedName>
    <definedName name="BEx5AY62R0TL82VHXE37SCZCINQC" localSheetId="19" hidden="1">#REF!</definedName>
    <definedName name="BEx5AY62R0TL82VHXE37SCZCINQC" hidden="1">#REF!</definedName>
    <definedName name="BEx5B0PV1FCOUSHWQTY94AO0B8P0" localSheetId="8" hidden="1">#REF!</definedName>
    <definedName name="BEx5B0PV1FCOUSHWQTY94AO0B8P0" localSheetId="19" hidden="1">#REF!</definedName>
    <definedName name="BEx5B0PV1FCOUSHWQTY94AO0B8P0" hidden="1">#REF!</definedName>
    <definedName name="BEx5B4RHHX0J1BF2FZKEA0SPP29O" localSheetId="8" hidden="1">#REF!</definedName>
    <definedName name="BEx5B4RHHX0J1BF2FZKEA0SPP29O" localSheetId="19" hidden="1">#REF!</definedName>
    <definedName name="BEx5B4RHHX0J1BF2FZKEA0SPP29O" hidden="1">#REF!</definedName>
    <definedName name="BEx5B5YMSWP0OVI5CIQRP5V18D0C" localSheetId="8" hidden="1">#REF!</definedName>
    <definedName name="BEx5B5YMSWP0OVI5CIQRP5V18D0C" localSheetId="19" hidden="1">#REF!</definedName>
    <definedName name="BEx5B5YMSWP0OVI5CIQRP5V18D0C" hidden="1">#REF!</definedName>
    <definedName name="BEx5B825RW35M5H0UB2IZGGRS4ER" localSheetId="8" hidden="1">#REF!</definedName>
    <definedName name="BEx5B825RW35M5H0UB2IZGGRS4ER" localSheetId="19" hidden="1">#REF!</definedName>
    <definedName name="BEx5B825RW35M5H0UB2IZGGRS4ER" hidden="1">#REF!</definedName>
    <definedName name="BEx5BAWPMY0TL684WDXX6KKJLRCN" localSheetId="8" hidden="1">#REF!</definedName>
    <definedName name="BEx5BAWPMY0TL684WDXX6KKJLRCN" localSheetId="19" hidden="1">#REF!</definedName>
    <definedName name="BEx5BAWPMY0TL684WDXX6KKJLRCN" hidden="1">#REF!</definedName>
    <definedName name="BEx5BBCUOWR6J9MZS2ML5XB0X7MW" localSheetId="8" hidden="1">#REF!</definedName>
    <definedName name="BEx5BBCUOWR6J9MZS2ML5XB0X7MW" localSheetId="19" hidden="1">#REF!</definedName>
    <definedName name="BEx5BBCUOWR6J9MZS2ML5XB0X7MW" hidden="1">#REF!</definedName>
    <definedName name="BEx5BBI61U4Y65GD0ARMTALPP7SJ" localSheetId="8" hidden="1">#REF!</definedName>
    <definedName name="BEx5BBI61U4Y65GD0ARMTALPP7SJ" localSheetId="19" hidden="1">#REF!</definedName>
    <definedName name="BEx5BBI61U4Y65GD0ARMTALPP7SJ" hidden="1">#REF!</definedName>
    <definedName name="BEx5BDR56MEV4IHY6CIH2SVNG1UB" localSheetId="8" hidden="1">#REF!</definedName>
    <definedName name="BEx5BDR56MEV4IHY6CIH2SVNG1UB" localSheetId="19" hidden="1">#REF!</definedName>
    <definedName name="BEx5BDR56MEV4IHY6CIH2SVNG1UB" hidden="1">#REF!</definedName>
    <definedName name="BEx5BESZC5H329SKHGJOHZFILYJJ" localSheetId="8" hidden="1">#REF!</definedName>
    <definedName name="BEx5BESZC5H329SKHGJOHZFILYJJ" localSheetId="19" hidden="1">#REF!</definedName>
    <definedName name="BEx5BESZC5H329SKHGJOHZFILYJJ" hidden="1">#REF!</definedName>
    <definedName name="BEx5BHSQ42B50IU1TEQFUXFX9XQD" localSheetId="8" hidden="1">#REF!</definedName>
    <definedName name="BEx5BHSQ42B50IU1TEQFUXFX9XQD" localSheetId="19" hidden="1">#REF!</definedName>
    <definedName name="BEx5BHSQ42B50IU1TEQFUXFX9XQD" hidden="1">#REF!</definedName>
    <definedName name="BEx5BKSM4UN4C1DM3EYKM79MRC5K" localSheetId="8" hidden="1">#REF!</definedName>
    <definedName name="BEx5BKSM4UN4C1DM3EYKM79MRC5K" localSheetId="19" hidden="1">#REF!</definedName>
    <definedName name="BEx5BKSM4UN4C1DM3EYKM79MRC5K" hidden="1">#REF!</definedName>
    <definedName name="BEx5BNN8NPH9KVOBARB9CDD9WLB6" localSheetId="8" hidden="1">#REF!</definedName>
    <definedName name="BEx5BNN8NPH9KVOBARB9CDD9WLB6" localSheetId="19" hidden="1">#REF!</definedName>
    <definedName name="BEx5BNN8NPH9KVOBARB9CDD9WLB6" hidden="1">#REF!</definedName>
    <definedName name="BEx5BPLEZ8XY6S89R7AZQSKLT4HK" localSheetId="8" hidden="1">#REF!</definedName>
    <definedName name="BEx5BPLEZ8XY6S89R7AZQSKLT4HK" localSheetId="19" hidden="1">#REF!</definedName>
    <definedName name="BEx5BPLEZ8XY6S89R7AZQSKLT4HK" hidden="1">#REF!</definedName>
    <definedName name="BEx5BYFMZ80TDDN2EZO8CF39AIAC" localSheetId="8" hidden="1">#REF!</definedName>
    <definedName name="BEx5BYFMZ80TDDN2EZO8CF39AIAC" localSheetId="19" hidden="1">#REF!</definedName>
    <definedName name="BEx5BYFMZ80TDDN2EZO8CF39AIAC" hidden="1">#REF!</definedName>
    <definedName name="BEx5C2BWFW6SHZBFDEISKGXHZCQW" localSheetId="8" hidden="1">#REF!</definedName>
    <definedName name="BEx5C2BWFW6SHZBFDEISKGXHZCQW" localSheetId="19" hidden="1">#REF!</definedName>
    <definedName name="BEx5C2BWFW6SHZBFDEISKGXHZCQW" hidden="1">#REF!</definedName>
    <definedName name="BEx5C44NK782B81CBGQUDS6Z8MV9" localSheetId="8" hidden="1">#REF!</definedName>
    <definedName name="BEx5C44NK782B81CBGQUDS6Z8MV9" localSheetId="19" hidden="1">#REF!</definedName>
    <definedName name="BEx5C44NK782B81CBGQUDS6Z8MV9" hidden="1">#REF!</definedName>
    <definedName name="BEx5C49ZFH8TO9ZU55729C3F7XG7" localSheetId="8" hidden="1">#REF!</definedName>
    <definedName name="BEx5C49ZFH8TO9ZU55729C3F7XG7" localSheetId="19" hidden="1">#REF!</definedName>
    <definedName name="BEx5C49ZFH8TO9ZU55729C3F7XG7" hidden="1">#REF!</definedName>
    <definedName name="BEx5C8GZQK13G60ZM70P63I5OS0L" localSheetId="8" hidden="1">#REF!</definedName>
    <definedName name="BEx5C8GZQK13G60ZM70P63I5OS0L" localSheetId="19" hidden="1">#REF!</definedName>
    <definedName name="BEx5C8GZQK13G60ZM70P63I5OS0L" hidden="1">#REF!</definedName>
    <definedName name="BEx5CAPTVN2NBT3UOMA1UFAL1C2R" localSheetId="8" hidden="1">#REF!</definedName>
    <definedName name="BEx5CAPTVN2NBT3UOMA1UFAL1C2R" localSheetId="19" hidden="1">#REF!</definedName>
    <definedName name="BEx5CAPTVN2NBT3UOMA1UFAL1C2R" hidden="1">#REF!</definedName>
    <definedName name="BEx5CEM3SYF9XP0ZZVE0GEPCLV3F" localSheetId="8" hidden="1">#REF!</definedName>
    <definedName name="BEx5CEM3SYF9XP0ZZVE0GEPCLV3F" localSheetId="19" hidden="1">#REF!</definedName>
    <definedName name="BEx5CEM3SYF9XP0ZZVE0GEPCLV3F" hidden="1">#REF!</definedName>
    <definedName name="BEx5CFYQ0F1Z6P8SCVJ0I3UPVFE4" localSheetId="8" hidden="1">#REF!</definedName>
    <definedName name="BEx5CFYQ0F1Z6P8SCVJ0I3UPVFE4" localSheetId="19" hidden="1">#REF!</definedName>
    <definedName name="BEx5CFYQ0F1Z6P8SCVJ0I3UPVFE4" hidden="1">#REF!</definedName>
    <definedName name="BEx5CPEKNSJORIPFQC2E1LTRYY8L" localSheetId="8" hidden="1">#REF!</definedName>
    <definedName name="BEx5CPEKNSJORIPFQC2E1LTRYY8L" localSheetId="19" hidden="1">#REF!</definedName>
    <definedName name="BEx5CPEKNSJORIPFQC2E1LTRYY8L" hidden="1">#REF!</definedName>
    <definedName name="BEx5CSUOL05D8PAM2TRDA9VRJT1O" localSheetId="8" hidden="1">#REF!</definedName>
    <definedName name="BEx5CSUOL05D8PAM2TRDA9VRJT1O" localSheetId="19" hidden="1">#REF!</definedName>
    <definedName name="BEx5CSUOL05D8PAM2TRDA9VRJT1O" hidden="1">#REF!</definedName>
    <definedName name="BEx5CUNFOO4YDFJ22HCMI2QKIGKM" localSheetId="8" hidden="1">#REF!</definedName>
    <definedName name="BEx5CUNFOO4YDFJ22HCMI2QKIGKM" localSheetId="19" hidden="1">#REF!</definedName>
    <definedName name="BEx5CUNFOO4YDFJ22HCMI2QKIGKM" hidden="1">#REF!</definedName>
    <definedName name="BEx5D01O3G6BXWXT7MZEVS1F4TE9" localSheetId="8" hidden="1">#REF!</definedName>
    <definedName name="BEx5D01O3G6BXWXT7MZEVS1F4TE9" localSheetId="19" hidden="1">#REF!</definedName>
    <definedName name="BEx5D01O3G6BXWXT7MZEVS1F4TE9" hidden="1">#REF!</definedName>
    <definedName name="BEx5D3HO5XE85AN0NGALZ4K4GE8J" localSheetId="8" hidden="1">#REF!</definedName>
    <definedName name="BEx5D3HO5XE85AN0NGALZ4K4GE8J" localSheetId="19" hidden="1">#REF!</definedName>
    <definedName name="BEx5D3HO5XE85AN0NGALZ4K4GE8J" hidden="1">#REF!</definedName>
    <definedName name="BEx5D8L47OF0WHBPFWXGZINZWUBZ" localSheetId="8" hidden="1">#REF!</definedName>
    <definedName name="BEx5D8L47OF0WHBPFWXGZINZWUBZ" localSheetId="19" hidden="1">#REF!</definedName>
    <definedName name="BEx5D8L47OF0WHBPFWXGZINZWUBZ" hidden="1">#REF!</definedName>
    <definedName name="BEx5DAJAHQ2SKUPCKSCR3PYML67L" localSheetId="8" hidden="1">#REF!</definedName>
    <definedName name="BEx5DAJAHQ2SKUPCKSCR3PYML67L" localSheetId="19" hidden="1">#REF!</definedName>
    <definedName name="BEx5DAJAHQ2SKUPCKSCR3PYML67L" hidden="1">#REF!</definedName>
    <definedName name="BEx5DC18JM1KJCV44PF18E0LNRKA" localSheetId="8" hidden="1">#REF!</definedName>
    <definedName name="BEx5DC18JM1KJCV44PF18E0LNRKA" localSheetId="19" hidden="1">#REF!</definedName>
    <definedName name="BEx5DC18JM1KJCV44PF18E0LNRKA" hidden="1">#REF!</definedName>
    <definedName name="BEx5DFH8EU3RCPUOTFY8S9G8SBCG" localSheetId="8" hidden="1">#REF!</definedName>
    <definedName name="BEx5DFH8EU3RCPUOTFY8S9G8SBCG" localSheetId="19" hidden="1">#REF!</definedName>
    <definedName name="BEx5DFH8EU3RCPUOTFY8S9G8SBCG" hidden="1">#REF!</definedName>
    <definedName name="BEx5DJIZBTNS011R9IIG2OQ2L6ZX" localSheetId="8" hidden="1">#REF!</definedName>
    <definedName name="BEx5DJIZBTNS011R9IIG2OQ2L6ZX" localSheetId="19" hidden="1">#REF!</definedName>
    <definedName name="BEx5DJIZBTNS011R9IIG2OQ2L6ZX" hidden="1">#REF!</definedName>
    <definedName name="BEx5DS2EKWFPC2UWI1W1QESX9QP5" localSheetId="8" hidden="1">#REF!</definedName>
    <definedName name="BEx5DS2EKWFPC2UWI1W1QESX9QP5" localSheetId="19" hidden="1">#REF!</definedName>
    <definedName name="BEx5DS2EKWFPC2UWI1W1QESX9QP5" hidden="1">#REF!</definedName>
    <definedName name="BEx5E123OLO9WQUOIRIDJ967KAGK" localSheetId="8" hidden="1">#REF!</definedName>
    <definedName name="BEx5E123OLO9WQUOIRIDJ967KAGK" localSheetId="19" hidden="1">#REF!</definedName>
    <definedName name="BEx5E123OLO9WQUOIRIDJ967KAGK" hidden="1">#REF!</definedName>
    <definedName name="BEx5E2UU5NES6W779W2OZTZOB4O7" localSheetId="8" hidden="1">#REF!</definedName>
    <definedName name="BEx5E2UU5NES6W779W2OZTZOB4O7" localSheetId="19" hidden="1">#REF!</definedName>
    <definedName name="BEx5E2UU5NES6W779W2OZTZOB4O7" hidden="1">#REF!</definedName>
    <definedName name="BEx5ELFT92WAQN3NW8COIMQHUL91" localSheetId="8" hidden="1">#REF!</definedName>
    <definedName name="BEx5ELFT92WAQN3NW8COIMQHUL91" localSheetId="19" hidden="1">#REF!</definedName>
    <definedName name="BEx5ELFT92WAQN3NW8COIMQHUL91" hidden="1">#REF!</definedName>
    <definedName name="BEx5ELQL9B0VR6UT18KP11DHOTFX" localSheetId="8" hidden="1">#REF!</definedName>
    <definedName name="BEx5ELQL9B0VR6UT18KP11DHOTFX" localSheetId="19" hidden="1">#REF!</definedName>
    <definedName name="BEx5ELQL9B0VR6UT18KP11DHOTFX" hidden="1">#REF!</definedName>
    <definedName name="BEx5ER4TJTFPN7IB1MNEB1ZFR5M6" localSheetId="8" hidden="1">#REF!</definedName>
    <definedName name="BEx5ER4TJTFPN7IB1MNEB1ZFR5M6" localSheetId="19" hidden="1">#REF!</definedName>
    <definedName name="BEx5ER4TJTFPN7IB1MNEB1ZFR5M6" hidden="1">#REF!</definedName>
    <definedName name="BEx5EYXB2LDMI4FLC3QFAOXC0FZ3" localSheetId="8" hidden="1">#REF!</definedName>
    <definedName name="BEx5EYXB2LDMI4FLC3QFAOXC0FZ3" localSheetId="19" hidden="1">#REF!</definedName>
    <definedName name="BEx5EYXB2LDMI4FLC3QFAOXC0FZ3" hidden="1">#REF!</definedName>
    <definedName name="BEx5F6V72QTCK7O39Y59R0EVM6CW" localSheetId="8" hidden="1">#REF!</definedName>
    <definedName name="BEx5F6V72QTCK7O39Y59R0EVM6CW" localSheetId="19" hidden="1">#REF!</definedName>
    <definedName name="BEx5F6V72QTCK7O39Y59R0EVM6CW" hidden="1">#REF!</definedName>
    <definedName name="BEx5FGLQVACD5F5YZG4DGSCHCGO2" localSheetId="8" hidden="1">#REF!</definedName>
    <definedName name="BEx5FGLQVACD5F5YZG4DGSCHCGO2" localSheetId="19" hidden="1">#REF!</definedName>
    <definedName name="BEx5FGLQVACD5F5YZG4DGSCHCGO2" hidden="1">#REF!</definedName>
    <definedName name="BEx5FHCTE8VTJEF7IK189AVLNYSY" localSheetId="8" hidden="1">#REF!</definedName>
    <definedName name="BEx5FHCTE8VTJEF7IK189AVLNYSY" localSheetId="19" hidden="1">#REF!</definedName>
    <definedName name="BEx5FHCTE8VTJEF7IK189AVLNYSY" hidden="1">#REF!</definedName>
    <definedName name="BEx5FLJWHLW3BTZILDPN5NMA449V" localSheetId="8" hidden="1">#REF!</definedName>
    <definedName name="BEx5FLJWHLW3BTZILDPN5NMA449V" localSheetId="19" hidden="1">#REF!</definedName>
    <definedName name="BEx5FLJWHLW3BTZILDPN5NMA449V" hidden="1">#REF!</definedName>
    <definedName name="BEx5FNI2O10YN2SI1NO4X5GP3GTF" localSheetId="8" hidden="1">#REF!</definedName>
    <definedName name="BEx5FNI2O10YN2SI1NO4X5GP3GTF" localSheetId="19" hidden="1">#REF!</definedName>
    <definedName name="BEx5FNI2O10YN2SI1NO4X5GP3GTF" hidden="1">#REF!</definedName>
    <definedName name="BEx5FO8YRFSZCG3L608EHIHIHFY4" localSheetId="8" hidden="1">#REF!</definedName>
    <definedName name="BEx5FO8YRFSZCG3L608EHIHIHFY4" localSheetId="19" hidden="1">#REF!</definedName>
    <definedName name="BEx5FO8YRFSZCG3L608EHIHIHFY4" hidden="1">#REF!</definedName>
    <definedName name="BEx5FQNA6V4CNYSH013K45RI4BCV" localSheetId="8" hidden="1">#REF!</definedName>
    <definedName name="BEx5FQNA6V4CNYSH013K45RI4BCV" localSheetId="19" hidden="1">#REF!</definedName>
    <definedName name="BEx5FQNA6V4CNYSH013K45RI4BCV" hidden="1">#REF!</definedName>
    <definedName name="BEx5FVQPPEU32CPNV9RRQ9MNLLVE" localSheetId="8" hidden="1">#REF!</definedName>
    <definedName name="BEx5FVQPPEU32CPNV9RRQ9MNLLVE" localSheetId="19" hidden="1">#REF!</definedName>
    <definedName name="BEx5FVQPPEU32CPNV9RRQ9MNLLVE" hidden="1">#REF!</definedName>
    <definedName name="BEx5G08KGMG5X2AQKDGPFYG5GH94" localSheetId="8" hidden="1">#REF!</definedName>
    <definedName name="BEx5G08KGMG5X2AQKDGPFYG5GH94" localSheetId="19" hidden="1">#REF!</definedName>
    <definedName name="BEx5G08KGMG5X2AQKDGPFYG5GH94" hidden="1">#REF!</definedName>
    <definedName name="BEx5G1A8TFN4C4QII35U9DKYNIS8" localSheetId="8" hidden="1">#REF!</definedName>
    <definedName name="BEx5G1A8TFN4C4QII35U9DKYNIS8" localSheetId="19" hidden="1">#REF!</definedName>
    <definedName name="BEx5G1A8TFN4C4QII35U9DKYNIS8" hidden="1">#REF!</definedName>
    <definedName name="BEx5G1L0QO91KEPDMV1D8OT4BT73" localSheetId="8" hidden="1">#REF!</definedName>
    <definedName name="BEx5G1L0QO91KEPDMV1D8OT4BT73" localSheetId="19" hidden="1">#REF!</definedName>
    <definedName name="BEx5G1L0QO91KEPDMV1D8OT4BT73" hidden="1">#REF!</definedName>
    <definedName name="BEx5G1QHX69GFUYHUZA5X74MTDMR" localSheetId="8" hidden="1">#REF!</definedName>
    <definedName name="BEx5G1QHX69GFUYHUZA5X74MTDMR" localSheetId="19" hidden="1">#REF!</definedName>
    <definedName name="BEx5G1QHX69GFUYHUZA5X74MTDMR" hidden="1">#REF!</definedName>
    <definedName name="BEx5G5S2C9JRD28ZQMMQLCBHWOHB" localSheetId="8" hidden="1">#REF!</definedName>
    <definedName name="BEx5G5S2C9JRD28ZQMMQLCBHWOHB" localSheetId="19" hidden="1">#REF!</definedName>
    <definedName name="BEx5G5S2C9JRD28ZQMMQLCBHWOHB" hidden="1">#REF!</definedName>
    <definedName name="BEx5G7KU3EGZQSYN2YNML8EW8NDC" localSheetId="8" hidden="1">#REF!</definedName>
    <definedName name="BEx5G7KU3EGZQSYN2YNML8EW8NDC" localSheetId="19" hidden="1">#REF!</definedName>
    <definedName name="BEx5G7KU3EGZQSYN2YNML8EW8NDC" hidden="1">#REF!</definedName>
    <definedName name="BEx5G86DZL1VYUX6KWODAP3WFAWP" localSheetId="8" hidden="1">#REF!</definedName>
    <definedName name="BEx5G86DZL1VYUX6KWODAP3WFAWP" localSheetId="19" hidden="1">#REF!</definedName>
    <definedName name="BEx5G86DZL1VYUX6KWODAP3WFAWP" hidden="1">#REF!</definedName>
    <definedName name="BEx5G8BV2GIOCM3C7IUFK8L04A6M" localSheetId="8" hidden="1">#REF!</definedName>
    <definedName name="BEx5G8BV2GIOCM3C7IUFK8L04A6M" localSheetId="19" hidden="1">#REF!</definedName>
    <definedName name="BEx5G8BV2GIOCM3C7IUFK8L04A6M" hidden="1">#REF!</definedName>
    <definedName name="BEx5GID9MVBUPFFT9M8K8B5MO9NV" localSheetId="8" hidden="1">#REF!</definedName>
    <definedName name="BEx5GID9MVBUPFFT9M8K8B5MO9NV" localSheetId="19" hidden="1">#REF!</definedName>
    <definedName name="BEx5GID9MVBUPFFT9M8K8B5MO9NV" hidden="1">#REF!</definedName>
    <definedName name="BEx5GN0EWA9SCQDPQ7NTUQH82QVK" localSheetId="8" hidden="1">#REF!</definedName>
    <definedName name="BEx5GN0EWA9SCQDPQ7NTUQH82QVK" localSheetId="19" hidden="1">#REF!</definedName>
    <definedName name="BEx5GN0EWA9SCQDPQ7NTUQH82QVK" hidden="1">#REF!</definedName>
    <definedName name="BEx5GNBCU4WZ74I0UXFL9ZG2XSGJ" localSheetId="8" hidden="1">#REF!</definedName>
    <definedName name="BEx5GNBCU4WZ74I0UXFL9ZG2XSGJ" localSheetId="19" hidden="1">#REF!</definedName>
    <definedName name="BEx5GNBCU4WZ74I0UXFL9ZG2XSGJ" hidden="1">#REF!</definedName>
    <definedName name="BEx5GUCTYC7QCWGWU5BTO7Y7HDZX" localSheetId="8" hidden="1">#REF!</definedName>
    <definedName name="BEx5GUCTYC7QCWGWU5BTO7Y7HDZX" localSheetId="19" hidden="1">#REF!</definedName>
    <definedName name="BEx5GUCTYC7QCWGWU5BTO7Y7HDZX" hidden="1">#REF!</definedName>
    <definedName name="BEx5GYUPJULJQ624TEESYFG1NFOH" localSheetId="8" hidden="1">#REF!</definedName>
    <definedName name="BEx5GYUPJULJQ624TEESYFG1NFOH" localSheetId="19" hidden="1">#REF!</definedName>
    <definedName name="BEx5GYUPJULJQ624TEESYFG1NFOH" hidden="1">#REF!</definedName>
    <definedName name="BEx5H0NEE0AIN5E2UHJ9J9ISU9N1" localSheetId="8" hidden="1">#REF!</definedName>
    <definedName name="BEx5H0NEE0AIN5E2UHJ9J9ISU9N1" localSheetId="19" hidden="1">#REF!</definedName>
    <definedName name="BEx5H0NEE0AIN5E2UHJ9J9ISU9N1" hidden="1">#REF!</definedName>
    <definedName name="BEx5H1UJSEUQM2K8QHQXO5THVHSO" localSheetId="8" hidden="1">#REF!</definedName>
    <definedName name="BEx5H1UJSEUQM2K8QHQXO5THVHSO" localSheetId="19" hidden="1">#REF!</definedName>
    <definedName name="BEx5H1UJSEUQM2K8QHQXO5THVHSO" hidden="1">#REF!</definedName>
    <definedName name="BEx5HAOT9XWUF7XIFRZZS8B9F5TZ" localSheetId="8" hidden="1">#REF!</definedName>
    <definedName name="BEx5HAOT9XWUF7XIFRZZS8B9F5TZ" localSheetId="19" hidden="1">#REF!</definedName>
    <definedName name="BEx5HAOT9XWUF7XIFRZZS8B9F5TZ" hidden="1">#REF!</definedName>
    <definedName name="BEx5HB534CO7TBSALKMD27WHMAQJ" localSheetId="8" hidden="1">#REF!</definedName>
    <definedName name="BEx5HB534CO7TBSALKMD27WHMAQJ" localSheetId="19" hidden="1">#REF!</definedName>
    <definedName name="BEx5HB534CO7TBSALKMD27WHMAQJ" hidden="1">#REF!</definedName>
    <definedName name="BEx5HE4XRF9BUY04MENWY9CHHN5H" localSheetId="8" hidden="1">#REF!</definedName>
    <definedName name="BEx5HE4XRF9BUY04MENWY9CHHN5H" localSheetId="19" hidden="1">#REF!</definedName>
    <definedName name="BEx5HE4XRF9BUY04MENWY9CHHN5H" hidden="1">#REF!</definedName>
    <definedName name="BEx5HFHMABAT0H9KKS754X4T304E" localSheetId="8" hidden="1">#REF!</definedName>
    <definedName name="BEx5HFHMABAT0H9KKS754X4T304E" localSheetId="19" hidden="1">#REF!</definedName>
    <definedName name="BEx5HFHMABAT0H9KKS754X4T304E" hidden="1">#REF!</definedName>
    <definedName name="BEx5HGDZ7MX1S3KNXLRL9WU565V4" localSheetId="8" hidden="1">#REF!</definedName>
    <definedName name="BEx5HGDZ7MX1S3KNXLRL9WU565V4" localSheetId="19" hidden="1">#REF!</definedName>
    <definedName name="BEx5HGDZ7MX1S3KNXLRL9WU565V4" hidden="1">#REF!</definedName>
    <definedName name="BEx5HJZ9FAVNZSSBTAYRPZDYM9NU" localSheetId="8" hidden="1">#REF!</definedName>
    <definedName name="BEx5HJZ9FAVNZSSBTAYRPZDYM9NU" localSheetId="19" hidden="1">#REF!</definedName>
    <definedName name="BEx5HJZ9FAVNZSSBTAYRPZDYM9NU" hidden="1">#REF!</definedName>
    <definedName name="BEx5HZ9JMKHNLFWLVUB1WP5B39BL" localSheetId="8" hidden="1">#REF!</definedName>
    <definedName name="BEx5HZ9JMKHNLFWLVUB1WP5B39BL" localSheetId="19" hidden="1">#REF!</definedName>
    <definedName name="BEx5HZ9JMKHNLFWLVUB1WP5B39BL" hidden="1">#REF!</definedName>
    <definedName name="BEx5I17QJ0PQ1OG1IMH69HMQWNEA" localSheetId="8" hidden="1">#REF!</definedName>
    <definedName name="BEx5I17QJ0PQ1OG1IMH69HMQWNEA" localSheetId="19" hidden="1">#REF!</definedName>
    <definedName name="BEx5I17QJ0PQ1OG1IMH69HMQWNEA" hidden="1">#REF!</definedName>
    <definedName name="BEx5I244LQHZTF3XI66J8705R9XX" localSheetId="8" hidden="1">#REF!</definedName>
    <definedName name="BEx5I244LQHZTF3XI66J8705R9XX" localSheetId="19" hidden="1">#REF!</definedName>
    <definedName name="BEx5I244LQHZTF3XI66J8705R9XX" hidden="1">#REF!</definedName>
    <definedName name="BEx5I8PBP4LIXDGID5BP0THLO0AQ" localSheetId="8" hidden="1">#REF!</definedName>
    <definedName name="BEx5I8PBP4LIXDGID5BP0THLO0AQ" localSheetId="19" hidden="1">#REF!</definedName>
    <definedName name="BEx5I8PBP4LIXDGID5BP0THLO0AQ" hidden="1">#REF!</definedName>
    <definedName name="BEx5I8USVUB3JP4S9OXGMZVMOQXR" localSheetId="8" hidden="1">#REF!</definedName>
    <definedName name="BEx5I8USVUB3JP4S9OXGMZVMOQXR" localSheetId="19" hidden="1">#REF!</definedName>
    <definedName name="BEx5I8USVUB3JP4S9OXGMZVMOQXR" hidden="1">#REF!</definedName>
    <definedName name="BEx5I9GDQSYIAL65UQNDMNFQCS9Y" localSheetId="8" hidden="1">#REF!</definedName>
    <definedName name="BEx5I9GDQSYIAL65UQNDMNFQCS9Y" localSheetId="19" hidden="1">#REF!</definedName>
    <definedName name="BEx5I9GDQSYIAL65UQNDMNFQCS9Y" hidden="1">#REF!</definedName>
    <definedName name="BEx5IBUPG9AWNW5PK7JGRGEJ4OLM" localSheetId="8" hidden="1">#REF!</definedName>
    <definedName name="BEx5IBUPG9AWNW5PK7JGRGEJ4OLM" localSheetId="19" hidden="1">#REF!</definedName>
    <definedName name="BEx5IBUPG9AWNW5PK7JGRGEJ4OLM" hidden="1">#REF!</definedName>
    <definedName name="BEx5IC06RVN8BSAEPREVKHKLCJ2L" localSheetId="8" hidden="1">#REF!</definedName>
    <definedName name="BEx5IC06RVN8BSAEPREVKHKLCJ2L" localSheetId="19" hidden="1">#REF!</definedName>
    <definedName name="BEx5IC06RVN8BSAEPREVKHKLCJ2L" hidden="1">#REF!</definedName>
    <definedName name="BEx5IGY4M04BPXSQF2J4GQYXF85O" localSheetId="8" hidden="1">#REF!</definedName>
    <definedName name="BEx5IGY4M04BPXSQF2J4GQYXF85O" localSheetId="19" hidden="1">#REF!</definedName>
    <definedName name="BEx5IGY4M04BPXSQF2J4GQYXF85O" hidden="1">#REF!</definedName>
    <definedName name="BEx5IWTZDCLZ5CCDG108STY04SAJ" localSheetId="8" hidden="1">#REF!</definedName>
    <definedName name="BEx5IWTZDCLZ5CCDG108STY04SAJ" localSheetId="19" hidden="1">#REF!</definedName>
    <definedName name="BEx5IWTZDCLZ5CCDG108STY04SAJ" hidden="1">#REF!</definedName>
    <definedName name="BEx5J0FFP1KS4NGY20AEJI8VREEA" localSheetId="8" hidden="1">#REF!</definedName>
    <definedName name="BEx5J0FFP1KS4NGY20AEJI8VREEA" localSheetId="19" hidden="1">#REF!</definedName>
    <definedName name="BEx5J0FFP1KS4NGY20AEJI8VREEA" hidden="1">#REF!</definedName>
    <definedName name="BEx5J1XE5FVWL6IJV6CWKPN24UBK" localSheetId="8" hidden="1">#REF!</definedName>
    <definedName name="BEx5J1XE5FVWL6IJV6CWKPN24UBK" localSheetId="19" hidden="1">#REF!</definedName>
    <definedName name="BEx5J1XE5FVWL6IJV6CWKPN24UBK" hidden="1">#REF!</definedName>
    <definedName name="BEx5JF3ZXLDIS8VNKDCY7ZI7H1CI" localSheetId="8" hidden="1">#REF!</definedName>
    <definedName name="BEx5JF3ZXLDIS8VNKDCY7ZI7H1CI" localSheetId="19" hidden="1">#REF!</definedName>
    <definedName name="BEx5JF3ZXLDIS8VNKDCY7ZI7H1CI" hidden="1">#REF!</definedName>
    <definedName name="BEx5JHCZJ8G6OOOW6EF3GABXKH6F" localSheetId="8" hidden="1">#REF!</definedName>
    <definedName name="BEx5JHCZJ8G6OOOW6EF3GABXKH6F" localSheetId="19" hidden="1">#REF!</definedName>
    <definedName name="BEx5JHCZJ8G6OOOW6EF3GABXKH6F" hidden="1">#REF!</definedName>
    <definedName name="BEx5JJB6W446THXQCRUKD3I7RKLP" localSheetId="8" hidden="1">#REF!</definedName>
    <definedName name="BEx5JJB6W446THXQCRUKD3I7RKLP" localSheetId="19" hidden="1">#REF!</definedName>
    <definedName name="BEx5JJB6W446THXQCRUKD3I7RKLP" hidden="1">#REF!</definedName>
    <definedName name="BEx5JNCT8Z7XSSPD5EMNAJELCU2V" localSheetId="8" hidden="1">#REF!</definedName>
    <definedName name="BEx5JNCT8Z7XSSPD5EMNAJELCU2V" localSheetId="19" hidden="1">#REF!</definedName>
    <definedName name="BEx5JNCT8Z7XSSPD5EMNAJELCU2V" hidden="1">#REF!</definedName>
    <definedName name="BEx5JQCNT9Y4RM306CHC8IPY3HBZ" localSheetId="8" hidden="1">#REF!</definedName>
    <definedName name="BEx5JQCNT9Y4RM306CHC8IPY3HBZ" localSheetId="19" hidden="1">#REF!</definedName>
    <definedName name="BEx5JQCNT9Y4RM306CHC8IPY3HBZ" hidden="1">#REF!</definedName>
    <definedName name="BEx5K08PYKE6JOKBYIB006TX619P" localSheetId="8" hidden="1">#REF!</definedName>
    <definedName name="BEx5K08PYKE6JOKBYIB006TX619P" localSheetId="19" hidden="1">#REF!</definedName>
    <definedName name="BEx5K08PYKE6JOKBYIB006TX619P" hidden="1">#REF!</definedName>
    <definedName name="BEx5K4W2S2K7M9V2M304KW93LK8Q" localSheetId="8" hidden="1">#REF!</definedName>
    <definedName name="BEx5K4W2S2K7M9V2M304KW93LK8Q" localSheetId="19" hidden="1">#REF!</definedName>
    <definedName name="BEx5K4W2S2K7M9V2M304KW93LK8Q" hidden="1">#REF!</definedName>
    <definedName name="BEx5K51DSERT1TR7B4A29R41W4NX" localSheetId="8" hidden="1">#REF!</definedName>
    <definedName name="BEx5K51DSERT1TR7B4A29R41W4NX" localSheetId="19" hidden="1">#REF!</definedName>
    <definedName name="BEx5K51DSERT1TR7B4A29R41W4NX" hidden="1">#REF!</definedName>
    <definedName name="BEx5KBBZ8KCEQK36ARG4ERYOFD4G" localSheetId="8" hidden="1">#REF!</definedName>
    <definedName name="BEx5KBBZ8KCEQK36ARG4ERYOFD4G" localSheetId="19" hidden="1">#REF!</definedName>
    <definedName name="BEx5KBBZ8KCEQK36ARG4ERYOFD4G" hidden="1">#REF!</definedName>
    <definedName name="BEx5KCOET0DYMY4VILOLGVBX7E3C" localSheetId="8" hidden="1">#REF!</definedName>
    <definedName name="BEx5KCOET0DYMY4VILOLGVBX7E3C" localSheetId="19" hidden="1">#REF!</definedName>
    <definedName name="BEx5KCOET0DYMY4VILOLGVBX7E3C" hidden="1">#REF!</definedName>
    <definedName name="BEx5KYER580I4T7WTLMUN7NLNP5K" localSheetId="8" hidden="1">#REF!</definedName>
    <definedName name="BEx5KYER580I4T7WTLMUN7NLNP5K" localSheetId="19" hidden="1">#REF!</definedName>
    <definedName name="BEx5KYER580I4T7WTLMUN7NLNP5K" hidden="1">#REF!</definedName>
    <definedName name="BEx5LHLB3M6K4ZKY2F42QBZT30ZH" localSheetId="8" hidden="1">#REF!</definedName>
    <definedName name="BEx5LHLB3M6K4ZKY2F42QBZT30ZH" localSheetId="19" hidden="1">#REF!</definedName>
    <definedName name="BEx5LHLB3M6K4ZKY2F42QBZT30ZH" hidden="1">#REF!</definedName>
    <definedName name="BEx5LKQJG40DO2JR1ZF6KD3PON9K" localSheetId="8" hidden="1">#REF!</definedName>
    <definedName name="BEx5LKQJG40DO2JR1ZF6KD3PON9K" localSheetId="19" hidden="1">#REF!</definedName>
    <definedName name="BEx5LKQJG40DO2JR1ZF6KD3PON9K" hidden="1">#REF!</definedName>
    <definedName name="BEx5LQA84QRPGAR4FLC7MCT3H9EN" localSheetId="8" hidden="1">#REF!</definedName>
    <definedName name="BEx5LQA84QRPGAR4FLC7MCT3H9EN" localSheetId="19" hidden="1">#REF!</definedName>
    <definedName name="BEx5LQA84QRPGAR4FLC7MCT3H9EN" hidden="1">#REF!</definedName>
    <definedName name="BEx5LRMNU3HXIE1BUMDHRU31F7JJ" localSheetId="8" hidden="1">#REF!</definedName>
    <definedName name="BEx5LRMNU3HXIE1BUMDHRU31F7JJ" localSheetId="19" hidden="1">#REF!</definedName>
    <definedName name="BEx5LRMNU3HXIE1BUMDHRU31F7JJ" hidden="1">#REF!</definedName>
    <definedName name="BEx5LSJ1LPUAX3ENSPECWPG4J7D1" localSheetId="8" hidden="1">#REF!</definedName>
    <definedName name="BEx5LSJ1LPUAX3ENSPECWPG4J7D1" localSheetId="19" hidden="1">#REF!</definedName>
    <definedName name="BEx5LSJ1LPUAX3ENSPECWPG4J7D1" hidden="1">#REF!</definedName>
    <definedName name="BEx5LTKQ8RQWJE4BC88OP928893U" localSheetId="8" hidden="1">#REF!</definedName>
    <definedName name="BEx5LTKQ8RQWJE4BC88OP928893U" localSheetId="19" hidden="1">#REF!</definedName>
    <definedName name="BEx5LTKQ8RQWJE4BC88OP928893U" hidden="1">#REF!</definedName>
    <definedName name="BEx5M4D4KHXU4JXKDEHZZNRG7NRA" localSheetId="8" hidden="1">#REF!</definedName>
    <definedName name="BEx5M4D4KHXU4JXKDEHZZNRG7NRA" localSheetId="19" hidden="1">#REF!</definedName>
    <definedName name="BEx5M4D4KHXU4JXKDEHZZNRG7NRA" hidden="1">#REF!</definedName>
    <definedName name="BEx5MB9BR71LZDG7XXQ2EO58JC5F" localSheetId="8" hidden="1">#REF!</definedName>
    <definedName name="BEx5MB9BR71LZDG7XXQ2EO58JC5F" localSheetId="19" hidden="1">#REF!</definedName>
    <definedName name="BEx5MB9BR71LZDG7XXQ2EO58JC5F" hidden="1">#REF!</definedName>
    <definedName name="BEx5MHEF05EVRV5DPTG4KMPWZSUS" localSheetId="8" hidden="1">#REF!</definedName>
    <definedName name="BEx5MHEF05EVRV5DPTG4KMPWZSUS" localSheetId="19" hidden="1">#REF!</definedName>
    <definedName name="BEx5MHEF05EVRV5DPTG4KMPWZSUS" hidden="1">#REF!</definedName>
    <definedName name="BEx5MLQZM68YQSKARVWTTPINFQ2C" localSheetId="8" hidden="1">#REF!</definedName>
    <definedName name="BEx5MLQZM68YQSKARVWTTPINFQ2C" localSheetId="19" hidden="1">#REF!</definedName>
    <definedName name="BEx5MLQZM68YQSKARVWTTPINFQ2C" hidden="1">#REF!</definedName>
    <definedName name="BEx5MMCJMU7FOOWUCW9EA13B7V5F" localSheetId="8" hidden="1">#REF!</definedName>
    <definedName name="BEx5MMCJMU7FOOWUCW9EA13B7V5F" localSheetId="19" hidden="1">#REF!</definedName>
    <definedName name="BEx5MMCJMU7FOOWUCW9EA13B7V5F" hidden="1">#REF!</definedName>
    <definedName name="BEx5MVXTKNBXHNWTL43C670E4KXC" localSheetId="8" hidden="1">#REF!</definedName>
    <definedName name="BEx5MVXTKNBXHNWTL43C670E4KXC" localSheetId="19" hidden="1">#REF!</definedName>
    <definedName name="BEx5MVXTKNBXHNWTL43C670E4KXC" hidden="1">#REF!</definedName>
    <definedName name="BEx5MWZGZ3VRB5418C2RNF9H17BQ" localSheetId="8" hidden="1">#REF!</definedName>
    <definedName name="BEx5MWZGZ3VRB5418C2RNF9H17BQ" localSheetId="19" hidden="1">#REF!</definedName>
    <definedName name="BEx5MWZGZ3VRB5418C2RNF9H17BQ" hidden="1">#REF!</definedName>
    <definedName name="BEx5MX4YD2QV39W04QH9C6AOA0FB" localSheetId="8" hidden="1">#REF!</definedName>
    <definedName name="BEx5MX4YD2QV39W04QH9C6AOA0FB" localSheetId="19" hidden="1">#REF!</definedName>
    <definedName name="BEx5MX4YD2QV39W04QH9C6AOA0FB" hidden="1">#REF!</definedName>
    <definedName name="BEx5N3A8LULD7YBJH5J83X27PZSW" localSheetId="8" hidden="1">#REF!</definedName>
    <definedName name="BEx5N3A8LULD7YBJH5J83X27PZSW" localSheetId="19" hidden="1">#REF!</definedName>
    <definedName name="BEx5N3A8LULD7YBJH5J83X27PZSW" hidden="1">#REF!</definedName>
    <definedName name="BEx5N4XI4PWB1W9PMZ4O5R0HWTYD" localSheetId="8" hidden="1">#REF!</definedName>
    <definedName name="BEx5N4XI4PWB1W9PMZ4O5R0HWTYD" localSheetId="19" hidden="1">#REF!</definedName>
    <definedName name="BEx5N4XI4PWB1W9PMZ4O5R0HWTYD" hidden="1">#REF!</definedName>
    <definedName name="BEx5N8DH1SY888WI2GZ2D6E9XCXB" localSheetId="8" hidden="1">#REF!</definedName>
    <definedName name="BEx5N8DH1SY888WI2GZ2D6E9XCXB" localSheetId="19" hidden="1">#REF!</definedName>
    <definedName name="BEx5N8DH1SY888WI2GZ2D6E9XCXB" hidden="1">#REF!</definedName>
    <definedName name="BEx5NA68N6FJFX9UJXK4M14U487F" localSheetId="8" hidden="1">#REF!</definedName>
    <definedName name="BEx5NA68N6FJFX9UJXK4M14U487F" localSheetId="19" hidden="1">#REF!</definedName>
    <definedName name="BEx5NA68N6FJFX9UJXK4M14U487F" hidden="1">#REF!</definedName>
    <definedName name="BEx5NIKBG2GDJOYGE3WCXKU7YY51" localSheetId="8" hidden="1">#REF!</definedName>
    <definedName name="BEx5NIKBG2GDJOYGE3WCXKU7YY51" localSheetId="19" hidden="1">#REF!</definedName>
    <definedName name="BEx5NIKBG2GDJOYGE3WCXKU7YY51" hidden="1">#REF!</definedName>
    <definedName name="BEx5NV06L5J5IMKGOMGKGJ4PBZCD" localSheetId="8" hidden="1">#REF!</definedName>
    <definedName name="BEx5NV06L5J5IMKGOMGKGJ4PBZCD" localSheetId="19" hidden="1">#REF!</definedName>
    <definedName name="BEx5NV06L5J5IMKGOMGKGJ4PBZCD" hidden="1">#REF!</definedName>
    <definedName name="BEx5NW1V6AB25NEEX9VPHRXWJDSS" localSheetId="8" hidden="1">#REF!</definedName>
    <definedName name="BEx5NW1V6AB25NEEX9VPHRXWJDSS" localSheetId="19" hidden="1">#REF!</definedName>
    <definedName name="BEx5NW1V6AB25NEEX9VPHRXWJDSS" hidden="1">#REF!</definedName>
    <definedName name="BEx5NWSXWACAUHWVZAI57DGZ8OCQ" localSheetId="8" hidden="1">#REF!</definedName>
    <definedName name="BEx5NWSXWACAUHWVZAI57DGZ8OCQ" localSheetId="19" hidden="1">#REF!</definedName>
    <definedName name="BEx5NWSXWACAUHWVZAI57DGZ8OCQ" hidden="1">#REF!</definedName>
    <definedName name="BEx5NZSSQ6PY99ZX2D7Q9IGOR34W" localSheetId="8" hidden="1">#REF!</definedName>
    <definedName name="BEx5NZSSQ6PY99ZX2D7Q9IGOR34W" localSheetId="19" hidden="1">#REF!</definedName>
    <definedName name="BEx5NZSSQ6PY99ZX2D7Q9IGOR34W" hidden="1">#REF!</definedName>
    <definedName name="BEx5O2N9HTGG4OJHR62PKFMNZTTW" localSheetId="8" hidden="1">#REF!</definedName>
    <definedName name="BEx5O2N9HTGG4OJHR62PKFMNZTTW" localSheetId="19" hidden="1">#REF!</definedName>
    <definedName name="BEx5O2N9HTGG4OJHR62PKFMNZTTW" hidden="1">#REF!</definedName>
    <definedName name="BEx5O3ZUQ2OARA1CDOZ3NC4UE5AA" localSheetId="8" hidden="1">#REF!</definedName>
    <definedName name="BEx5O3ZUQ2OARA1CDOZ3NC4UE5AA" localSheetId="19" hidden="1">#REF!</definedName>
    <definedName name="BEx5O3ZUQ2OARA1CDOZ3NC4UE5AA" hidden="1">#REF!</definedName>
    <definedName name="BEx5OAFS0NJ2CB86A02E1JYHMLQ1" localSheetId="8" hidden="1">#REF!</definedName>
    <definedName name="BEx5OAFS0NJ2CB86A02E1JYHMLQ1" localSheetId="19" hidden="1">#REF!</definedName>
    <definedName name="BEx5OAFS0NJ2CB86A02E1JYHMLQ1" hidden="1">#REF!</definedName>
    <definedName name="BEx5OG4RPU8W1ETWDWM234NYYYEN" localSheetId="8" hidden="1">#REF!</definedName>
    <definedName name="BEx5OG4RPU8W1ETWDWM234NYYYEN" localSheetId="19" hidden="1">#REF!</definedName>
    <definedName name="BEx5OG4RPU8W1ETWDWM234NYYYEN" hidden="1">#REF!</definedName>
    <definedName name="BEx5OP9Y43F99O2IT69MKCCXGL61" localSheetId="8" hidden="1">#REF!</definedName>
    <definedName name="BEx5OP9Y43F99O2IT69MKCCXGL61" localSheetId="19" hidden="1">#REF!</definedName>
    <definedName name="BEx5OP9Y43F99O2IT69MKCCXGL61" hidden="1">#REF!</definedName>
    <definedName name="BEx5P9Y9RDXNUAJ6CZ2LHMM8IM7T" localSheetId="8" hidden="1">#REF!</definedName>
    <definedName name="BEx5P9Y9RDXNUAJ6CZ2LHMM8IM7T" localSheetId="19" hidden="1">#REF!</definedName>
    <definedName name="BEx5P9Y9RDXNUAJ6CZ2LHMM8IM7T" hidden="1">#REF!</definedName>
    <definedName name="BEx5PHWB2C0D5QLP3BZIP3UO7DIZ" localSheetId="8" hidden="1">#REF!</definedName>
    <definedName name="BEx5PHWB2C0D5QLP3BZIP3UO7DIZ" localSheetId="19" hidden="1">#REF!</definedName>
    <definedName name="BEx5PHWB2C0D5QLP3BZIP3UO7DIZ" hidden="1">#REF!</definedName>
    <definedName name="BEx5PJP02W68K2E46L5C5YBSNU6T" localSheetId="8" hidden="1">#REF!</definedName>
    <definedName name="BEx5PJP02W68K2E46L5C5YBSNU6T" localSheetId="19" hidden="1">#REF!</definedName>
    <definedName name="BEx5PJP02W68K2E46L5C5YBSNU6T" hidden="1">#REF!</definedName>
    <definedName name="BEx5PLCA8DOMAU315YCS5275L2HS" localSheetId="8" hidden="1">#REF!</definedName>
    <definedName name="BEx5PLCA8DOMAU315YCS5275L2HS" localSheetId="19" hidden="1">#REF!</definedName>
    <definedName name="BEx5PLCA8DOMAU315YCS5275L2HS" hidden="1">#REF!</definedName>
    <definedName name="BEx5PRXMZ5M65Z732WNNGV564C2J" localSheetId="8" hidden="1">#REF!</definedName>
    <definedName name="BEx5PRXMZ5M65Z732WNNGV564C2J" localSheetId="19" hidden="1">#REF!</definedName>
    <definedName name="BEx5PRXMZ5M65Z732WNNGV564C2J" hidden="1">#REF!</definedName>
    <definedName name="BEx5Q29Y91E64DPE0YY53A6YHF3Y" localSheetId="8" hidden="1">#REF!</definedName>
    <definedName name="BEx5Q29Y91E64DPE0YY53A6YHF3Y" localSheetId="19" hidden="1">#REF!</definedName>
    <definedName name="BEx5Q29Y91E64DPE0YY53A6YHF3Y" hidden="1">#REF!</definedName>
    <definedName name="BEx5QPSW4IPLH50WSR87HRER05RF" localSheetId="8" hidden="1">#REF!</definedName>
    <definedName name="BEx5QPSW4IPLH50WSR87HRER05RF" localSheetId="19" hidden="1">#REF!</definedName>
    <definedName name="BEx5QPSW4IPLH50WSR87HRER05RF" hidden="1">#REF!</definedName>
    <definedName name="BEx73V0EP8EMNRC3EZJJKKVKWQVB" localSheetId="8" hidden="1">#REF!</definedName>
    <definedName name="BEx73V0EP8EMNRC3EZJJKKVKWQVB" localSheetId="19" hidden="1">#REF!</definedName>
    <definedName name="BEx73V0EP8EMNRC3EZJJKKVKWQVB" hidden="1">#REF!</definedName>
    <definedName name="BEx741WJHIJVXUX131SBXTVW8D71" localSheetId="8" hidden="1">#REF!</definedName>
    <definedName name="BEx741WJHIJVXUX131SBXTVW8D71" localSheetId="19" hidden="1">#REF!</definedName>
    <definedName name="BEx741WJHIJVXUX131SBXTVW8D71" hidden="1">#REF!</definedName>
    <definedName name="BEx74Q6H3O7133AWQXWC21MI2UFT" localSheetId="8" hidden="1">#REF!</definedName>
    <definedName name="BEx74Q6H3O7133AWQXWC21MI2UFT" localSheetId="19" hidden="1">#REF!</definedName>
    <definedName name="BEx74Q6H3O7133AWQXWC21MI2UFT" hidden="1">#REF!</definedName>
    <definedName name="BEx74R2VQ8BSMKPX25262AU3VZF7" localSheetId="8" hidden="1">#REF!</definedName>
    <definedName name="BEx74R2VQ8BSMKPX25262AU3VZF7" localSheetId="19" hidden="1">#REF!</definedName>
    <definedName name="BEx74R2VQ8BSMKPX25262AU3VZF7" hidden="1">#REF!</definedName>
    <definedName name="BEx74W6BJ8ENO3J25WNM5H5APKA3" localSheetId="8" hidden="1">#REF!</definedName>
    <definedName name="BEx74W6BJ8ENO3J25WNM5H5APKA3" localSheetId="19" hidden="1">#REF!</definedName>
    <definedName name="BEx74W6BJ8ENO3J25WNM5H5APKA3" hidden="1">#REF!</definedName>
    <definedName name="BEx74YKLW1FKLWC3DJ2ELZBZBY1M" localSheetId="8" hidden="1">#REF!</definedName>
    <definedName name="BEx74YKLW1FKLWC3DJ2ELZBZBY1M" localSheetId="19" hidden="1">#REF!</definedName>
    <definedName name="BEx74YKLW1FKLWC3DJ2ELZBZBY1M" hidden="1">#REF!</definedName>
    <definedName name="BEx755GRRD9BL27YHLH5QWIYLWB7" localSheetId="8" hidden="1">#REF!</definedName>
    <definedName name="BEx755GRRD9BL27YHLH5QWIYLWB7" localSheetId="19" hidden="1">#REF!</definedName>
    <definedName name="BEx755GRRD9BL27YHLH5QWIYLWB7" hidden="1">#REF!</definedName>
    <definedName name="BEx759D1D5SXS5ELLZVBI0SXYUNF" localSheetId="8" hidden="1">#REF!</definedName>
    <definedName name="BEx759D1D5SXS5ELLZVBI0SXYUNF" localSheetId="19" hidden="1">#REF!</definedName>
    <definedName name="BEx759D1D5SXS5ELLZVBI0SXYUNF" hidden="1">#REF!</definedName>
    <definedName name="BEx75DPEQTX055IZ2L8UVLJOT1DD" localSheetId="8" hidden="1">#REF!</definedName>
    <definedName name="BEx75DPEQTX055IZ2L8UVLJOT1DD" localSheetId="19" hidden="1">#REF!</definedName>
    <definedName name="BEx75DPEQTX055IZ2L8UVLJOT1DD" hidden="1">#REF!</definedName>
    <definedName name="BEx75GJZSZHUDN6OOAGQYFUDA2LP" localSheetId="8" hidden="1">#REF!</definedName>
    <definedName name="BEx75GJZSZHUDN6OOAGQYFUDA2LP" localSheetId="19" hidden="1">#REF!</definedName>
    <definedName name="BEx75GJZSZHUDN6OOAGQYFUDA2LP" hidden="1">#REF!</definedName>
    <definedName name="BEx75HGCCV5K4UCJWYV8EV9AG5YT" localSheetId="8" hidden="1">#REF!</definedName>
    <definedName name="BEx75HGCCV5K4UCJWYV8EV9AG5YT" localSheetId="19" hidden="1">#REF!</definedName>
    <definedName name="BEx75HGCCV5K4UCJWYV8EV9AG5YT" hidden="1">#REF!</definedName>
    <definedName name="BEx75PZT8TY5P13U978NVBUXKHT4" localSheetId="8" hidden="1">#REF!</definedName>
    <definedName name="BEx75PZT8TY5P13U978NVBUXKHT4" localSheetId="19" hidden="1">#REF!</definedName>
    <definedName name="BEx75PZT8TY5P13U978NVBUXKHT4" hidden="1">#REF!</definedName>
    <definedName name="BEx75T55F7GML8V1DMWL26WRT006" localSheetId="8" hidden="1">#REF!</definedName>
    <definedName name="BEx75T55F7GML8V1DMWL26WRT006" localSheetId="19" hidden="1">#REF!</definedName>
    <definedName name="BEx75T55F7GML8V1DMWL26WRT006" hidden="1">#REF!</definedName>
    <definedName name="BEx75VJGR07JY6UUWURQ4PJ29UKC" localSheetId="8" hidden="1">#REF!</definedName>
    <definedName name="BEx75VJGR07JY6UUWURQ4PJ29UKC" localSheetId="19" hidden="1">#REF!</definedName>
    <definedName name="BEx75VJGR07JY6UUWURQ4PJ29UKC" hidden="1">#REF!</definedName>
    <definedName name="BEx7696AZUPB1PK30JJQUWUELQPJ" localSheetId="8" hidden="1">#REF!</definedName>
    <definedName name="BEx7696AZUPB1PK30JJQUWUELQPJ" localSheetId="19" hidden="1">#REF!</definedName>
    <definedName name="BEx7696AZUPB1PK30JJQUWUELQPJ" hidden="1">#REF!</definedName>
    <definedName name="BEx76PNR8S4T4VUQS0KU58SEX0VN" localSheetId="8" hidden="1">#REF!</definedName>
    <definedName name="BEx76PNR8S4T4VUQS0KU58SEX0VN" localSheetId="19" hidden="1">#REF!</definedName>
    <definedName name="BEx76PNR8S4T4VUQS0KU58SEX0VN" hidden="1">#REF!</definedName>
    <definedName name="BEx76YY7ODSIKDD9VDF9TLTDM18I" localSheetId="8" hidden="1">#REF!</definedName>
    <definedName name="BEx76YY7ODSIKDD9VDF9TLTDM18I" localSheetId="19" hidden="1">#REF!</definedName>
    <definedName name="BEx76YY7ODSIKDD9VDF9TLTDM18I" hidden="1">#REF!</definedName>
    <definedName name="BEx7705E86I9B7DTKMMJMAFSYMUL" localSheetId="8" hidden="1">#REF!</definedName>
    <definedName name="BEx7705E86I9B7DTKMMJMAFSYMUL" localSheetId="19" hidden="1">#REF!</definedName>
    <definedName name="BEx7705E86I9B7DTKMMJMAFSYMUL" hidden="1">#REF!</definedName>
    <definedName name="BEx7741OUGLA0WJQLQRUJSL4DE00" localSheetId="8" hidden="1">#REF!</definedName>
    <definedName name="BEx7741OUGLA0WJQLQRUJSL4DE00" localSheetId="19" hidden="1">#REF!</definedName>
    <definedName name="BEx7741OUGLA0WJQLQRUJSL4DE00" hidden="1">#REF!</definedName>
    <definedName name="BEx774N83DXLJZ54Q42PWIJZ2DN1" localSheetId="8" hidden="1">#REF!</definedName>
    <definedName name="BEx774N83DXLJZ54Q42PWIJZ2DN1" localSheetId="19" hidden="1">#REF!</definedName>
    <definedName name="BEx774N83DXLJZ54Q42PWIJZ2DN1" hidden="1">#REF!</definedName>
    <definedName name="BEx779QNIY3061ZV9BR462WKEGRW" localSheetId="8" hidden="1">#REF!</definedName>
    <definedName name="BEx779QNIY3061ZV9BR462WKEGRW" localSheetId="19" hidden="1">#REF!</definedName>
    <definedName name="BEx779QNIY3061ZV9BR462WKEGRW" hidden="1">#REF!</definedName>
    <definedName name="BEx77G19QU9A95CNHE6QMVSQR2T3" localSheetId="8" hidden="1">#REF!</definedName>
    <definedName name="BEx77G19QU9A95CNHE6QMVSQR2T3" localSheetId="19" hidden="1">#REF!</definedName>
    <definedName name="BEx77G19QU9A95CNHE6QMVSQR2T3" hidden="1">#REF!</definedName>
    <definedName name="BEx77P0S3GVMS7BJUL9OWUGJ1B02" localSheetId="8" hidden="1">#REF!</definedName>
    <definedName name="BEx77P0S3GVMS7BJUL9OWUGJ1B02" localSheetId="19" hidden="1">#REF!</definedName>
    <definedName name="BEx77P0S3GVMS7BJUL9OWUGJ1B02" hidden="1">#REF!</definedName>
    <definedName name="BEx77QDESURI6WW5582YXSK3A972" localSheetId="8" hidden="1">#REF!</definedName>
    <definedName name="BEx77QDESURI6WW5582YXSK3A972" localSheetId="19" hidden="1">#REF!</definedName>
    <definedName name="BEx77QDESURI6WW5582YXSK3A972" hidden="1">#REF!</definedName>
    <definedName name="BEx77VBI9XOPFHKEWU5EHQ9J675Y" localSheetId="8" hidden="1">#REF!</definedName>
    <definedName name="BEx77VBI9XOPFHKEWU5EHQ9J675Y" localSheetId="19" hidden="1">#REF!</definedName>
    <definedName name="BEx77VBI9XOPFHKEWU5EHQ9J675Y" hidden="1">#REF!</definedName>
    <definedName name="BEx7809GQOCLHSNH95VOYIX7P1TV" localSheetId="8" hidden="1">#REF!</definedName>
    <definedName name="BEx7809GQOCLHSNH95VOYIX7P1TV" localSheetId="19" hidden="1">#REF!</definedName>
    <definedName name="BEx7809GQOCLHSNH95VOYIX7P1TV" hidden="1">#REF!</definedName>
    <definedName name="BEx780K8XAXUHGVZGZWQ74DK4CI3" localSheetId="8" hidden="1">#REF!</definedName>
    <definedName name="BEx780K8XAXUHGVZGZWQ74DK4CI3" localSheetId="19" hidden="1">#REF!</definedName>
    <definedName name="BEx780K8XAXUHGVZGZWQ74DK4CI3" hidden="1">#REF!</definedName>
    <definedName name="BEx78226TN58UE0CTY98YEDU0LSL" localSheetId="8" hidden="1">#REF!</definedName>
    <definedName name="BEx78226TN58UE0CTY98YEDU0LSL" localSheetId="19" hidden="1">#REF!</definedName>
    <definedName name="BEx78226TN58UE0CTY98YEDU0LSL" hidden="1">#REF!</definedName>
    <definedName name="BEx7881ZZBWHRAX6W2GY19J8MGEQ" localSheetId="8" hidden="1">#REF!</definedName>
    <definedName name="BEx7881ZZBWHRAX6W2GY19J8MGEQ" localSheetId="19" hidden="1">#REF!</definedName>
    <definedName name="BEx7881ZZBWHRAX6W2GY19J8MGEQ" hidden="1">#REF!</definedName>
    <definedName name="BEx78BSYINF85GYNSCIRD95PH86Q" localSheetId="8" hidden="1">#REF!</definedName>
    <definedName name="BEx78BSYINF85GYNSCIRD95PH86Q" localSheetId="19" hidden="1">#REF!</definedName>
    <definedName name="BEx78BSYINF85GYNSCIRD95PH86Q" hidden="1">#REF!</definedName>
    <definedName name="BEx78HHRIWDLHQX2LG0HWFRYEL1T" localSheetId="8" hidden="1">#REF!</definedName>
    <definedName name="BEx78HHRIWDLHQX2LG0HWFRYEL1T" localSheetId="19" hidden="1">#REF!</definedName>
    <definedName name="BEx78HHRIWDLHQX2LG0HWFRYEL1T" hidden="1">#REF!</definedName>
    <definedName name="BEx78QC4X2YVM9K6MQRB2WJG36N3" localSheetId="8" hidden="1">#REF!</definedName>
    <definedName name="BEx78QC4X2YVM9K6MQRB2WJG36N3" localSheetId="19" hidden="1">#REF!</definedName>
    <definedName name="BEx78QC4X2YVM9K6MQRB2WJG36N3" hidden="1">#REF!</definedName>
    <definedName name="BEx78QMXZ2P1ZB3HJ9O50DWHCMXR" localSheetId="8" hidden="1">#REF!</definedName>
    <definedName name="BEx78QMXZ2P1ZB3HJ9O50DWHCMXR" localSheetId="19" hidden="1">#REF!</definedName>
    <definedName name="BEx78QMXZ2P1ZB3HJ9O50DWHCMXR" hidden="1">#REF!</definedName>
    <definedName name="BEx78SFO5VR28677DWZEMDN7G86X" localSheetId="8" hidden="1">#REF!</definedName>
    <definedName name="BEx78SFO5VR28677DWZEMDN7G86X" localSheetId="19" hidden="1">#REF!</definedName>
    <definedName name="BEx78SFO5VR28677DWZEMDN7G86X" hidden="1">#REF!</definedName>
    <definedName name="BEx78SFOYH1Z0ZDTO47W2M60TW6K" localSheetId="8" hidden="1">#REF!</definedName>
    <definedName name="BEx78SFOYH1Z0ZDTO47W2M60TW6K" localSheetId="19" hidden="1">#REF!</definedName>
    <definedName name="BEx78SFOYH1Z0ZDTO47W2M60TW6K" hidden="1">#REF!</definedName>
    <definedName name="BEx7974EARYYX2ICWU0YC50VO5D8" localSheetId="8" hidden="1">#REF!</definedName>
    <definedName name="BEx7974EARYYX2ICWU0YC50VO5D8" localSheetId="19" hidden="1">#REF!</definedName>
    <definedName name="BEx7974EARYYX2ICWU0YC50VO5D8" hidden="1">#REF!</definedName>
    <definedName name="BEx79JK3E6JO8MX4O35A5G8NZCC8" localSheetId="8" hidden="1">#REF!</definedName>
    <definedName name="BEx79JK3E6JO8MX4O35A5G8NZCC8" localSheetId="19" hidden="1">#REF!</definedName>
    <definedName name="BEx79JK3E6JO8MX4O35A5G8NZCC8" hidden="1">#REF!</definedName>
    <definedName name="BEx79OCP4HQ6XP8EWNGEUDLOZBBS" localSheetId="8" hidden="1">#REF!</definedName>
    <definedName name="BEx79OCP4HQ6XP8EWNGEUDLOZBBS" localSheetId="19" hidden="1">#REF!</definedName>
    <definedName name="BEx79OCP4HQ6XP8EWNGEUDLOZBBS" hidden="1">#REF!</definedName>
    <definedName name="BEx79SEAYKUZB0H4LYBCD6WWJBG2" localSheetId="8" hidden="1">#REF!</definedName>
    <definedName name="BEx79SEAYKUZB0H4LYBCD6WWJBG2" localSheetId="19" hidden="1">#REF!</definedName>
    <definedName name="BEx79SEAYKUZB0H4LYBCD6WWJBG2" hidden="1">#REF!</definedName>
    <definedName name="BEx79SJRHTLS9PYM69O9BWW1FMJK" localSheetId="8" hidden="1">#REF!</definedName>
    <definedName name="BEx79SJRHTLS9PYM69O9BWW1FMJK" localSheetId="19" hidden="1">#REF!</definedName>
    <definedName name="BEx79SJRHTLS9PYM69O9BWW1FMJK" hidden="1">#REF!</definedName>
    <definedName name="BEx79YJJLBELICW9F9FRYSCQ101L" localSheetId="8" hidden="1">#REF!</definedName>
    <definedName name="BEx79YJJLBELICW9F9FRYSCQ101L" localSheetId="19" hidden="1">#REF!</definedName>
    <definedName name="BEx79YJJLBELICW9F9FRYSCQ101L" hidden="1">#REF!</definedName>
    <definedName name="BEx79YUC7B0V77FSBGIRCY1BR4VK" localSheetId="8" hidden="1">#REF!</definedName>
    <definedName name="BEx79YUC7B0V77FSBGIRCY1BR4VK" localSheetId="19" hidden="1">#REF!</definedName>
    <definedName name="BEx79YUC7B0V77FSBGIRCY1BR4VK" hidden="1">#REF!</definedName>
    <definedName name="BEx7A06T3RC2891FUX05G3QPRAUE" localSheetId="8" hidden="1">#REF!</definedName>
    <definedName name="BEx7A06T3RC2891FUX05G3QPRAUE" localSheetId="19" hidden="1">#REF!</definedName>
    <definedName name="BEx7A06T3RC2891FUX05G3QPRAUE" hidden="1">#REF!</definedName>
    <definedName name="BEx7A9S3JA1X7FH4CFSQLTZC4691" localSheetId="8" hidden="1">#REF!</definedName>
    <definedName name="BEx7A9S3JA1X7FH4CFSQLTZC4691" localSheetId="19" hidden="1">#REF!</definedName>
    <definedName name="BEx7A9S3JA1X7FH4CFSQLTZC4691" hidden="1">#REF!</definedName>
    <definedName name="BEx7ABA2C9IWH5VSLVLLLCY62161" localSheetId="8" hidden="1">#REF!</definedName>
    <definedName name="BEx7ABA2C9IWH5VSLVLLLCY62161" localSheetId="19" hidden="1">#REF!</definedName>
    <definedName name="BEx7ABA2C9IWH5VSLVLLLCY62161" hidden="1">#REF!</definedName>
    <definedName name="BEx7AE4LPLX8N85BYB0WCO5S7ZPV" localSheetId="8" hidden="1">#REF!</definedName>
    <definedName name="BEx7AE4LPLX8N85BYB0WCO5S7ZPV" localSheetId="19" hidden="1">#REF!</definedName>
    <definedName name="BEx7AE4LPLX8N85BYB0WCO5S7ZPV" hidden="1">#REF!</definedName>
    <definedName name="BEx7AR0EEP9O5JPPEKQWG1TC860T" localSheetId="8" hidden="1">#REF!</definedName>
    <definedName name="BEx7AR0EEP9O5JPPEKQWG1TC860T" localSheetId="19" hidden="1">#REF!</definedName>
    <definedName name="BEx7AR0EEP9O5JPPEKQWG1TC860T" hidden="1">#REF!</definedName>
    <definedName name="BEx7ASD1I654MEDCO6GGWA95PXSC" localSheetId="8" hidden="1">#REF!</definedName>
    <definedName name="BEx7ASD1I654MEDCO6GGWA95PXSC" localSheetId="19" hidden="1">#REF!</definedName>
    <definedName name="BEx7ASD1I654MEDCO6GGWA95PXSC" hidden="1">#REF!</definedName>
    <definedName name="BEx7AURD3S7JGN4D3YK1QAG6TAFA" localSheetId="8" hidden="1">#REF!</definedName>
    <definedName name="BEx7AURD3S7JGN4D3YK1QAG6TAFA" localSheetId="19" hidden="1">#REF!</definedName>
    <definedName name="BEx7AURD3S7JGN4D3YK1QAG6TAFA" hidden="1">#REF!</definedName>
    <definedName name="BEx7AVCX9S5RJP3NSZ4QM4E6ERDT" localSheetId="8" hidden="1">#REF!</definedName>
    <definedName name="BEx7AVCX9S5RJP3NSZ4QM4E6ERDT" localSheetId="19" hidden="1">#REF!</definedName>
    <definedName name="BEx7AVCX9S5RJP3NSZ4QM4E6ERDT" hidden="1">#REF!</definedName>
    <definedName name="BEx7AVYIGP0930MV5JEBWRYCJN68" localSheetId="8" hidden="1">#REF!</definedName>
    <definedName name="BEx7AVYIGP0930MV5JEBWRYCJN68" localSheetId="19" hidden="1">#REF!</definedName>
    <definedName name="BEx7AVYIGP0930MV5JEBWRYCJN68" hidden="1">#REF!</definedName>
    <definedName name="BEx7B6LH6917TXOSAAQ6U7HVF018" localSheetId="8" hidden="1">#REF!</definedName>
    <definedName name="BEx7B6LH6917TXOSAAQ6U7HVF018" localSheetId="19" hidden="1">#REF!</definedName>
    <definedName name="BEx7B6LH6917TXOSAAQ6U7HVF018" hidden="1">#REF!</definedName>
    <definedName name="BEx7BN8E88JR3K1BSLAZRPSFPQ9L" localSheetId="8" hidden="1">#REF!</definedName>
    <definedName name="BEx7BN8E88JR3K1BSLAZRPSFPQ9L" localSheetId="19" hidden="1">#REF!</definedName>
    <definedName name="BEx7BN8E88JR3K1BSLAZRPSFPQ9L" hidden="1">#REF!</definedName>
    <definedName name="BEx7BP14RMS3638K85OM4NCYLRHG" localSheetId="8" hidden="1">#REF!</definedName>
    <definedName name="BEx7BP14RMS3638K85OM4NCYLRHG" localSheetId="19" hidden="1">#REF!</definedName>
    <definedName name="BEx7BP14RMS3638K85OM4NCYLRHG" hidden="1">#REF!</definedName>
    <definedName name="BEx7BPXFZXJ79FQ0E8AQE21PGVHA" localSheetId="8" hidden="1">#REF!</definedName>
    <definedName name="BEx7BPXFZXJ79FQ0E8AQE21PGVHA" localSheetId="19" hidden="1">#REF!</definedName>
    <definedName name="BEx7BPXFZXJ79FQ0E8AQE21PGVHA" hidden="1">#REF!</definedName>
    <definedName name="BEx7C04AM39DQMC1TIX7CFZ2ADHX" localSheetId="8" hidden="1">#REF!</definedName>
    <definedName name="BEx7C04AM39DQMC1TIX7CFZ2ADHX" localSheetId="19" hidden="1">#REF!</definedName>
    <definedName name="BEx7C04AM39DQMC1TIX7CFZ2ADHX" hidden="1">#REF!</definedName>
    <definedName name="BEx7C346X4AX2J1QPM4NBC7JL5W9" localSheetId="8" hidden="1">#REF!</definedName>
    <definedName name="BEx7C346X4AX2J1QPM4NBC7JL5W9" localSheetId="19" hidden="1">#REF!</definedName>
    <definedName name="BEx7C346X4AX2J1QPM4NBC7JL5W9" hidden="1">#REF!</definedName>
    <definedName name="BEx7C40F0PQURHPI6YQ39NFIR86Z" localSheetId="8" hidden="1">#REF!</definedName>
    <definedName name="BEx7C40F0PQURHPI6YQ39NFIR86Z" localSheetId="19" hidden="1">#REF!</definedName>
    <definedName name="BEx7C40F0PQURHPI6YQ39NFIR86Z" hidden="1">#REF!</definedName>
    <definedName name="BEx7C7B9VCY7N0H7N1NH6HNNH724" localSheetId="8" hidden="1">#REF!</definedName>
    <definedName name="BEx7C7B9VCY7N0H7N1NH6HNNH724" localSheetId="19" hidden="1">#REF!</definedName>
    <definedName name="BEx7C7B9VCY7N0H7N1NH6HNNH724" hidden="1">#REF!</definedName>
    <definedName name="BEx7C93VR7SYRIJS1JO8YZKSFAW9" localSheetId="8" hidden="1">#REF!</definedName>
    <definedName name="BEx7C93VR7SYRIJS1JO8YZKSFAW9" localSheetId="19" hidden="1">#REF!</definedName>
    <definedName name="BEx7C93VR7SYRIJS1JO8YZKSFAW9" hidden="1">#REF!</definedName>
    <definedName name="BEx7CCPC6R1KQQZ2JQU6EFI1G0RM" localSheetId="8" hidden="1">#REF!</definedName>
    <definedName name="BEx7CCPC6R1KQQZ2JQU6EFI1G0RM" localSheetId="19" hidden="1">#REF!</definedName>
    <definedName name="BEx7CCPC6R1KQQZ2JQU6EFI1G0RM" hidden="1">#REF!</definedName>
    <definedName name="BEx7CIJST9GLS2QD383UK7VUDTGL" localSheetId="8" hidden="1">#REF!</definedName>
    <definedName name="BEx7CIJST9GLS2QD383UK7VUDTGL" localSheetId="19" hidden="1">#REF!</definedName>
    <definedName name="BEx7CIJST9GLS2QD383UK7VUDTGL" hidden="1">#REF!</definedName>
    <definedName name="BEx7CO8T2XKC7GHDSYNAWTZ9L7YR" localSheetId="8" hidden="1">#REF!</definedName>
    <definedName name="BEx7CO8T2XKC7GHDSYNAWTZ9L7YR" localSheetId="19" hidden="1">#REF!</definedName>
    <definedName name="BEx7CO8T2XKC7GHDSYNAWTZ9L7YR" hidden="1">#REF!</definedName>
    <definedName name="BEx7CW1CF00DO8A36UNC2X7K65C2" localSheetId="8" hidden="1">#REF!</definedName>
    <definedName name="BEx7CW1CF00DO8A36UNC2X7K65C2" localSheetId="19" hidden="1">#REF!</definedName>
    <definedName name="BEx7CW1CF00DO8A36UNC2X7K65C2" hidden="1">#REF!</definedName>
    <definedName name="BEx7CW6NFRL2P4XWP0MWHIYA97KF" localSheetId="8" hidden="1">#REF!</definedName>
    <definedName name="BEx7CW6NFRL2P4XWP0MWHIYA97KF" localSheetId="19" hidden="1">#REF!</definedName>
    <definedName name="BEx7CW6NFRL2P4XWP0MWHIYA97KF" hidden="1">#REF!</definedName>
    <definedName name="BEx7CZXN83U7XFVGG1P1N6ZCQK7U" localSheetId="8" hidden="1">#REF!</definedName>
    <definedName name="BEx7CZXN83U7XFVGG1P1N6ZCQK7U" localSheetId="19" hidden="1">#REF!</definedName>
    <definedName name="BEx7CZXN83U7XFVGG1P1N6ZCQK7U" hidden="1">#REF!</definedName>
    <definedName name="BEx7D14R4J25CLH301NHMGU8FSWM" localSheetId="8" hidden="1">#REF!</definedName>
    <definedName name="BEx7D14R4J25CLH301NHMGU8FSWM" localSheetId="19" hidden="1">#REF!</definedName>
    <definedName name="BEx7D14R4J25CLH301NHMGU8FSWM" hidden="1">#REF!</definedName>
    <definedName name="BEx7D38BE0Z9QLQBDMGARM9USFPM" localSheetId="8" hidden="1">#REF!</definedName>
    <definedName name="BEx7D38BE0Z9QLQBDMGARM9USFPM" localSheetId="19" hidden="1">#REF!</definedName>
    <definedName name="BEx7D38BE0Z9QLQBDMGARM9USFPM" hidden="1">#REF!</definedName>
    <definedName name="BEx7D5RWKRS4W71J4NZ6ZSFHPKFT" localSheetId="8" hidden="1">#REF!</definedName>
    <definedName name="BEx7D5RWKRS4W71J4NZ6ZSFHPKFT" localSheetId="19" hidden="1">#REF!</definedName>
    <definedName name="BEx7D5RWKRS4W71J4NZ6ZSFHPKFT" hidden="1">#REF!</definedName>
    <definedName name="BEx7D8H1TPOX1UN17QZYEV7Q58GA" localSheetId="8" hidden="1">#REF!</definedName>
    <definedName name="BEx7D8H1TPOX1UN17QZYEV7Q58GA" localSheetId="19" hidden="1">#REF!</definedName>
    <definedName name="BEx7D8H1TPOX1UN17QZYEV7Q58GA" hidden="1">#REF!</definedName>
    <definedName name="BEx7DGF13H2074LRWFZQ45PZ6JPX" localSheetId="8" hidden="1">#REF!</definedName>
    <definedName name="BEx7DGF13H2074LRWFZQ45PZ6JPX" localSheetId="19" hidden="1">#REF!</definedName>
    <definedName name="BEx7DGF13H2074LRWFZQ45PZ6JPX" hidden="1">#REF!</definedName>
    <definedName name="BEx7DHBE0SOC5KXWWQ73WUDBRX8J" localSheetId="8" hidden="1">#REF!</definedName>
    <definedName name="BEx7DHBE0SOC5KXWWQ73WUDBRX8J" localSheetId="19" hidden="1">#REF!</definedName>
    <definedName name="BEx7DHBE0SOC5KXWWQ73WUDBRX8J" hidden="1">#REF!</definedName>
    <definedName name="BEx7DKWUXEDIISSX4GDD4YYT887F" localSheetId="8" hidden="1">#REF!</definedName>
    <definedName name="BEx7DKWUXEDIISSX4GDD4YYT887F" localSheetId="19" hidden="1">#REF!</definedName>
    <definedName name="BEx7DKWUXEDIISSX4GDD4YYT887F" hidden="1">#REF!</definedName>
    <definedName name="BEx7DMUYR2HC26WW7AOB1TULERMB" localSheetId="8" hidden="1">#REF!</definedName>
    <definedName name="BEx7DMUYR2HC26WW7AOB1TULERMB" localSheetId="19" hidden="1">#REF!</definedName>
    <definedName name="BEx7DMUYR2HC26WW7AOB1TULERMB" hidden="1">#REF!</definedName>
    <definedName name="BEx7DVJTRV44IMJIBFXELE67SZ7S" localSheetId="8" hidden="1">#REF!</definedName>
    <definedName name="BEx7DVJTRV44IMJIBFXELE67SZ7S" localSheetId="19" hidden="1">#REF!</definedName>
    <definedName name="BEx7DVJTRV44IMJIBFXELE67SZ7S" hidden="1">#REF!</definedName>
    <definedName name="BEx7DVUMFCI5INHMVFIJ44RTTSTT" localSheetId="8" hidden="1">#REF!</definedName>
    <definedName name="BEx7DVUMFCI5INHMVFIJ44RTTSTT" localSheetId="19" hidden="1">#REF!</definedName>
    <definedName name="BEx7DVUMFCI5INHMVFIJ44RTTSTT" hidden="1">#REF!</definedName>
    <definedName name="BEx7E2QT2U8THYOKBPXONB1B47WH" localSheetId="8" hidden="1">#REF!</definedName>
    <definedName name="BEx7E2QT2U8THYOKBPXONB1B47WH" localSheetId="19" hidden="1">#REF!</definedName>
    <definedName name="BEx7E2QT2U8THYOKBPXONB1B47WH" hidden="1">#REF!</definedName>
    <definedName name="BEx7E5QP7W6UKO74F5Y0VJ741HS5" localSheetId="8" hidden="1">#REF!</definedName>
    <definedName name="BEx7E5QP7W6UKO74F5Y0VJ741HS5" localSheetId="19" hidden="1">#REF!</definedName>
    <definedName name="BEx7E5QP7W6UKO74F5Y0VJ741HS5" hidden="1">#REF!</definedName>
    <definedName name="BEx7E6N29HGH3I47AFB2DCS6MVS6" localSheetId="8" hidden="1">#REF!</definedName>
    <definedName name="BEx7E6N29HGH3I47AFB2DCS6MVS6" localSheetId="19" hidden="1">#REF!</definedName>
    <definedName name="BEx7E6N29HGH3I47AFB2DCS6MVS6" hidden="1">#REF!</definedName>
    <definedName name="BEx7EBA8IYHQKT7IQAOAML660SYA" localSheetId="8" hidden="1">#REF!</definedName>
    <definedName name="BEx7EBA8IYHQKT7IQAOAML660SYA" localSheetId="19" hidden="1">#REF!</definedName>
    <definedName name="BEx7EBA8IYHQKT7IQAOAML660SYA" hidden="1">#REF!</definedName>
    <definedName name="BEx7EI6C8MCRZFEQYUBE5FSUTIHK" localSheetId="8" hidden="1">#REF!</definedName>
    <definedName name="BEx7EI6C8MCRZFEQYUBE5FSUTIHK" localSheetId="19" hidden="1">#REF!</definedName>
    <definedName name="BEx7EI6C8MCRZFEQYUBE5FSUTIHK" hidden="1">#REF!</definedName>
    <definedName name="BEx7EI6DL1Z6UWLFBXAKVGZTKHWJ" localSheetId="8" hidden="1">#REF!</definedName>
    <definedName name="BEx7EI6DL1Z6UWLFBXAKVGZTKHWJ" localSheetId="19" hidden="1">#REF!</definedName>
    <definedName name="BEx7EI6DL1Z6UWLFBXAKVGZTKHWJ" hidden="1">#REF!</definedName>
    <definedName name="BEx7EQKHX7GZYOLXRDU534TT4H64" localSheetId="8" hidden="1">#REF!</definedName>
    <definedName name="BEx7EQKHX7GZYOLXRDU534TT4H64" localSheetId="19" hidden="1">#REF!</definedName>
    <definedName name="BEx7EQKHX7GZYOLXRDU534TT4H64" hidden="1">#REF!</definedName>
    <definedName name="BEx7ETV6L1TM7JSXJIGK3FC6RVZW" localSheetId="8" hidden="1">#REF!</definedName>
    <definedName name="BEx7ETV6L1TM7JSXJIGK3FC6RVZW" localSheetId="19" hidden="1">#REF!</definedName>
    <definedName name="BEx7ETV6L1TM7JSXJIGK3FC6RVZW" hidden="1">#REF!</definedName>
    <definedName name="BEx7EYYLHMBYQTH6I377FCQS7CSX" localSheetId="8" hidden="1">#REF!</definedName>
    <definedName name="BEx7EYYLHMBYQTH6I377FCQS7CSX" localSheetId="19" hidden="1">#REF!</definedName>
    <definedName name="BEx7EYYLHMBYQTH6I377FCQS7CSX" hidden="1">#REF!</definedName>
    <definedName name="BEx7FCLG1RYI2SNOU1Y2GQZNZSWA" localSheetId="8" hidden="1">#REF!</definedName>
    <definedName name="BEx7FCLG1RYI2SNOU1Y2GQZNZSWA" localSheetId="19" hidden="1">#REF!</definedName>
    <definedName name="BEx7FCLG1RYI2SNOU1Y2GQZNZSWA" hidden="1">#REF!</definedName>
    <definedName name="BEx7FN32ZGWOAA4TTH79KINTDWR9" localSheetId="8" hidden="1">#REF!</definedName>
    <definedName name="BEx7FN32ZGWOAA4TTH79KINTDWR9" localSheetId="19" hidden="1">#REF!</definedName>
    <definedName name="BEx7FN32ZGWOAA4TTH79KINTDWR9" hidden="1">#REF!</definedName>
    <definedName name="BEx7FV0WJHXL6X5JNQ2ZX45PX49P" localSheetId="8" hidden="1">#REF!</definedName>
    <definedName name="BEx7FV0WJHXL6X5JNQ2ZX45PX49P" localSheetId="19" hidden="1">#REF!</definedName>
    <definedName name="BEx7FV0WJHXL6X5JNQ2ZX45PX49P" hidden="1">#REF!</definedName>
    <definedName name="BEx7G82CKM3NIY1PHNFK28M09PCH" localSheetId="8" hidden="1">#REF!</definedName>
    <definedName name="BEx7G82CKM3NIY1PHNFK28M09PCH" localSheetId="19" hidden="1">#REF!</definedName>
    <definedName name="BEx7G82CKM3NIY1PHNFK28M09PCH" hidden="1">#REF!</definedName>
    <definedName name="BEx7GR3ENYWRXXS5IT0UMEGOLGUH" localSheetId="8" hidden="1">#REF!</definedName>
    <definedName name="BEx7GR3ENYWRXXS5IT0UMEGOLGUH" localSheetId="19" hidden="1">#REF!</definedName>
    <definedName name="BEx7GR3ENYWRXXS5IT0UMEGOLGUH" hidden="1">#REF!</definedName>
    <definedName name="BEx7GSAL6P7TASL8MB63RFST1LJL" localSheetId="8" hidden="1">#REF!</definedName>
    <definedName name="BEx7GSAL6P7TASL8MB63RFST1LJL" localSheetId="19" hidden="1">#REF!</definedName>
    <definedName name="BEx7GSAL6P7TASL8MB63RFST1LJL" hidden="1">#REF!</definedName>
    <definedName name="BEx7H0JD6I5I8WQLLWOYWY5YWPQE" localSheetId="8" hidden="1">#REF!</definedName>
    <definedName name="BEx7H0JD6I5I8WQLLWOYWY5YWPQE" localSheetId="19" hidden="1">#REF!</definedName>
    <definedName name="BEx7H0JD6I5I8WQLLWOYWY5YWPQE" hidden="1">#REF!</definedName>
    <definedName name="BEx7H14XCXH7WEXEY1HVO53A6AGH" localSheetId="8" hidden="1">#REF!</definedName>
    <definedName name="BEx7H14XCXH7WEXEY1HVO53A6AGH" localSheetId="19" hidden="1">#REF!</definedName>
    <definedName name="BEx7H14XCXH7WEXEY1HVO53A6AGH" hidden="1">#REF!</definedName>
    <definedName name="BEx7HGVBEF4LEIF6RC14N3PSU461" localSheetId="8" hidden="1">#REF!</definedName>
    <definedName name="BEx7HGVBEF4LEIF6RC14N3PSU461" localSheetId="19" hidden="1">#REF!</definedName>
    <definedName name="BEx7HGVBEF4LEIF6RC14N3PSU461" hidden="1">#REF!</definedName>
    <definedName name="BEx7HQ5T9FZ42QWS09UO4DT42Y0R" localSheetId="8" hidden="1">#REF!</definedName>
    <definedName name="BEx7HQ5T9FZ42QWS09UO4DT42Y0R" localSheetId="19" hidden="1">#REF!</definedName>
    <definedName name="BEx7HQ5T9FZ42QWS09UO4DT42Y0R" hidden="1">#REF!</definedName>
    <definedName name="BEx7HRCZE3CVGON1HV07MT5MNDZ3" localSheetId="8" hidden="1">#REF!</definedName>
    <definedName name="BEx7HRCZE3CVGON1HV07MT5MNDZ3" localSheetId="19" hidden="1">#REF!</definedName>
    <definedName name="BEx7HRCZE3CVGON1HV07MT5MNDZ3" hidden="1">#REF!</definedName>
    <definedName name="BEx7HWGE2CANG5M17X4C8YNC3N8F" localSheetId="8" hidden="1">#REF!</definedName>
    <definedName name="BEx7HWGE2CANG5M17X4C8YNC3N8F" localSheetId="19" hidden="1">#REF!</definedName>
    <definedName name="BEx7HWGE2CANG5M17X4C8YNC3N8F" hidden="1">#REF!</definedName>
    <definedName name="BEx7IB54GU5UCTJS549UBDW43EJL" localSheetId="8" hidden="1">#REF!</definedName>
    <definedName name="BEx7IB54GU5UCTJS549UBDW43EJL" localSheetId="19" hidden="1">#REF!</definedName>
    <definedName name="BEx7IB54GU5UCTJS549UBDW43EJL" hidden="1">#REF!</definedName>
    <definedName name="BEx7IBVYN47SFZIA0K4MDKQZNN9V" localSheetId="8" hidden="1">#REF!</definedName>
    <definedName name="BEx7IBVYN47SFZIA0K4MDKQZNN9V" localSheetId="19" hidden="1">#REF!</definedName>
    <definedName name="BEx7IBVYN47SFZIA0K4MDKQZNN9V" hidden="1">#REF!</definedName>
    <definedName name="BEx7IGOMJB39HUONENRXTK1MFHGE" localSheetId="8" hidden="1">#REF!</definedName>
    <definedName name="BEx7IGOMJB39HUONENRXTK1MFHGE" localSheetId="19" hidden="1">#REF!</definedName>
    <definedName name="BEx7IGOMJB39HUONENRXTK1MFHGE" hidden="1">#REF!</definedName>
    <definedName name="BEx7ISO6LTCYYDK0J6IN4PG2P6SW" localSheetId="8" hidden="1">#REF!</definedName>
    <definedName name="BEx7ISO6LTCYYDK0J6IN4PG2P6SW" localSheetId="19" hidden="1">#REF!</definedName>
    <definedName name="BEx7ISO6LTCYYDK0J6IN4PG2P6SW" hidden="1">#REF!</definedName>
    <definedName name="BEx7IV2IJ5WT7UC0UG7WP0WF2JZI" localSheetId="8" hidden="1">#REF!</definedName>
    <definedName name="BEx7IV2IJ5WT7UC0UG7WP0WF2JZI" localSheetId="19" hidden="1">#REF!</definedName>
    <definedName name="BEx7IV2IJ5WT7UC0UG7WP0WF2JZI" hidden="1">#REF!</definedName>
    <definedName name="BEx7IXGU74GE5E4S6W4Z13AR092Y" localSheetId="8" hidden="1">#REF!</definedName>
    <definedName name="BEx7IXGU74GE5E4S6W4Z13AR092Y" localSheetId="19" hidden="1">#REF!</definedName>
    <definedName name="BEx7IXGU74GE5E4S6W4Z13AR092Y" hidden="1">#REF!</definedName>
    <definedName name="BEx7J4YL8Q3BI1MLH16YYQ18IJRD" localSheetId="8" hidden="1">#REF!</definedName>
    <definedName name="BEx7J4YL8Q3BI1MLH16YYQ18IJRD" localSheetId="19" hidden="1">#REF!</definedName>
    <definedName name="BEx7J4YL8Q3BI1MLH16YYQ18IJRD" hidden="1">#REF!</definedName>
    <definedName name="BEx7J5K5QVUOXI6A663KUWL6PO3O" localSheetId="8" hidden="1">#REF!</definedName>
    <definedName name="BEx7J5K5QVUOXI6A663KUWL6PO3O" localSheetId="19" hidden="1">#REF!</definedName>
    <definedName name="BEx7J5K5QVUOXI6A663KUWL6PO3O" hidden="1">#REF!</definedName>
    <definedName name="BEx7JH3HGBPI07OHZ5LFYK0UFZQR" localSheetId="8" hidden="1">#REF!</definedName>
    <definedName name="BEx7JH3HGBPI07OHZ5LFYK0UFZQR" localSheetId="19" hidden="1">#REF!</definedName>
    <definedName name="BEx7JH3HGBPI07OHZ5LFYK0UFZQR" hidden="1">#REF!</definedName>
    <definedName name="BEx7JRL3MHRMVLQF3EN15MXRPN68" localSheetId="8" hidden="1">#REF!</definedName>
    <definedName name="BEx7JRL3MHRMVLQF3EN15MXRPN68" localSheetId="19" hidden="1">#REF!</definedName>
    <definedName name="BEx7JRL3MHRMVLQF3EN15MXRPN68" hidden="1">#REF!</definedName>
    <definedName name="BEx7JV194190CNM6WWGQ3UBJ3CHH" localSheetId="8" hidden="1">#REF!</definedName>
    <definedName name="BEx7JV194190CNM6WWGQ3UBJ3CHH" localSheetId="19" hidden="1">#REF!</definedName>
    <definedName name="BEx7JV194190CNM6WWGQ3UBJ3CHH" hidden="1">#REF!</definedName>
    <definedName name="BEx7JZJ4AE8AGMWPK3XPBTBUBZ48" localSheetId="8" hidden="1">#REF!</definedName>
    <definedName name="BEx7JZJ4AE8AGMWPK3XPBTBUBZ48" localSheetId="19" hidden="1">#REF!</definedName>
    <definedName name="BEx7JZJ4AE8AGMWPK3XPBTBUBZ48" hidden="1">#REF!</definedName>
    <definedName name="BEx7K7GZ607XQOGB81A1HINBTGOZ" localSheetId="8" hidden="1">#REF!</definedName>
    <definedName name="BEx7K7GZ607XQOGB81A1HINBTGOZ" localSheetId="19" hidden="1">#REF!</definedName>
    <definedName name="BEx7K7GZ607XQOGB81A1HINBTGOZ" hidden="1">#REF!</definedName>
    <definedName name="BEx7KEYPBDXSNROH8M6CDCBN6B50" localSheetId="8" hidden="1">#REF!</definedName>
    <definedName name="BEx7KEYPBDXSNROH8M6CDCBN6B50" localSheetId="19" hidden="1">#REF!</definedName>
    <definedName name="BEx7KEYPBDXSNROH8M6CDCBN6B50" hidden="1">#REF!</definedName>
    <definedName name="BEx7KH7PZ0A6FSWA4LAN2CMZ0WSF" localSheetId="8" hidden="1">#REF!</definedName>
    <definedName name="BEx7KH7PZ0A6FSWA4LAN2CMZ0WSF" localSheetId="19" hidden="1">#REF!</definedName>
    <definedName name="BEx7KH7PZ0A6FSWA4LAN2CMZ0WSF" hidden="1">#REF!</definedName>
    <definedName name="BEx7KNCTL6VMNQP4MFMHOMV1WI1Y" localSheetId="8" hidden="1">#REF!</definedName>
    <definedName name="BEx7KNCTL6VMNQP4MFMHOMV1WI1Y" localSheetId="19" hidden="1">#REF!</definedName>
    <definedName name="BEx7KNCTL6VMNQP4MFMHOMV1WI1Y" hidden="1">#REF!</definedName>
    <definedName name="BEx7KSAS8BZT6H8OQCZ5DNSTMO07" localSheetId="8" hidden="1">#REF!</definedName>
    <definedName name="BEx7KSAS8BZT6H8OQCZ5DNSTMO07" localSheetId="19" hidden="1">#REF!</definedName>
    <definedName name="BEx7KSAS8BZT6H8OQCZ5DNSTMO07" hidden="1">#REF!</definedName>
    <definedName name="BEx7KWHTBD21COXVI4HNEQH0Z3L8" localSheetId="8" hidden="1">#REF!</definedName>
    <definedName name="BEx7KWHTBD21COXVI4HNEQH0Z3L8" localSheetId="19" hidden="1">#REF!</definedName>
    <definedName name="BEx7KWHTBD21COXVI4HNEQH0Z3L8" hidden="1">#REF!</definedName>
    <definedName name="BEx7KXUGRMRSUXCM97Z7VRZQ9JH2" localSheetId="8" hidden="1">#REF!</definedName>
    <definedName name="BEx7KXUGRMRSUXCM97Z7VRZQ9JH2" localSheetId="19" hidden="1">#REF!</definedName>
    <definedName name="BEx7KXUGRMRSUXCM97Z7VRZQ9JH2" hidden="1">#REF!</definedName>
    <definedName name="BEx7L5C6U8MP6IZ67BD649WQYJEK" localSheetId="8" hidden="1">#REF!</definedName>
    <definedName name="BEx7L5C6U8MP6IZ67BD649WQYJEK" localSheetId="19" hidden="1">#REF!</definedName>
    <definedName name="BEx7L5C6U8MP6IZ67BD649WQYJEK" hidden="1">#REF!</definedName>
    <definedName name="BEx7L8HEYEVTATR0OG5JJO647KNI" localSheetId="8" hidden="1">#REF!</definedName>
    <definedName name="BEx7L8HEYEVTATR0OG5JJO647KNI" localSheetId="19" hidden="1">#REF!</definedName>
    <definedName name="BEx7L8HEYEVTATR0OG5JJO647KNI" hidden="1">#REF!</definedName>
    <definedName name="BEx7L8XOV64OMS15ZFURFEUXLMWF" localSheetId="8" hidden="1">#REF!</definedName>
    <definedName name="BEx7L8XOV64OMS15ZFURFEUXLMWF" localSheetId="19" hidden="1">#REF!</definedName>
    <definedName name="BEx7L8XOV64OMS15ZFURFEUXLMWF" hidden="1">#REF!</definedName>
    <definedName name="BEx7LPF478MRAYB9TQ6LDML6O3BY" localSheetId="8" hidden="1">#REF!</definedName>
    <definedName name="BEx7LPF478MRAYB9TQ6LDML6O3BY" localSheetId="19" hidden="1">#REF!</definedName>
    <definedName name="BEx7LPF478MRAYB9TQ6LDML6O3BY" hidden="1">#REF!</definedName>
    <definedName name="BEx7LPV780NFCG1VX4EKJ29YXOLZ" localSheetId="8" hidden="1">#REF!</definedName>
    <definedName name="BEx7LPV780NFCG1VX4EKJ29YXOLZ" localSheetId="19" hidden="1">#REF!</definedName>
    <definedName name="BEx7LPV780NFCG1VX4EKJ29YXOLZ" hidden="1">#REF!</definedName>
    <definedName name="BEx7LQ0PD30NJWOAYKPEYHM9J83B" localSheetId="8" hidden="1">#REF!</definedName>
    <definedName name="BEx7LQ0PD30NJWOAYKPEYHM9J83B" localSheetId="19" hidden="1">#REF!</definedName>
    <definedName name="BEx7LQ0PD30NJWOAYKPEYHM9J83B" hidden="1">#REF!</definedName>
    <definedName name="BEx7M4EKEDHZ1ZZ91NDLSUNPUFPZ" localSheetId="8" hidden="1">#REF!</definedName>
    <definedName name="BEx7M4EKEDHZ1ZZ91NDLSUNPUFPZ" localSheetId="19" hidden="1">#REF!</definedName>
    <definedName name="BEx7M4EKEDHZ1ZZ91NDLSUNPUFPZ" hidden="1">#REF!</definedName>
    <definedName name="BEx7MAUI1JJFDIJGDW4RWY5384LY" localSheetId="8" hidden="1">#REF!</definedName>
    <definedName name="BEx7MAUI1JJFDIJGDW4RWY5384LY" localSheetId="19" hidden="1">#REF!</definedName>
    <definedName name="BEx7MAUI1JJFDIJGDW4RWY5384LY" hidden="1">#REF!</definedName>
    <definedName name="BEx7MI1EW6N7FOBHWJLYC02TZSKR" localSheetId="8" hidden="1">#REF!</definedName>
    <definedName name="BEx7MI1EW6N7FOBHWJLYC02TZSKR" localSheetId="19" hidden="1">#REF!</definedName>
    <definedName name="BEx7MI1EW6N7FOBHWJLYC02TZSKR" hidden="1">#REF!</definedName>
    <definedName name="BEx7MJZO3UKAMJ53UWOJ5ZD4GGMQ" localSheetId="8" hidden="1">#REF!</definedName>
    <definedName name="BEx7MJZO3UKAMJ53UWOJ5ZD4GGMQ" localSheetId="19" hidden="1">#REF!</definedName>
    <definedName name="BEx7MJZO3UKAMJ53UWOJ5ZD4GGMQ" hidden="1">#REF!</definedName>
    <definedName name="BEx7MO17TZ6L4457Q12FYYLUUZAZ" localSheetId="8" hidden="1">#REF!</definedName>
    <definedName name="BEx7MO17TZ6L4457Q12FYYLUUZAZ" localSheetId="19" hidden="1">#REF!</definedName>
    <definedName name="BEx7MO17TZ6L4457Q12FYYLUUZAZ" hidden="1">#REF!</definedName>
    <definedName name="BEx7MT4MFNXIVQGAT6D971GZW7CA" localSheetId="8" hidden="1">#REF!</definedName>
    <definedName name="BEx7MT4MFNXIVQGAT6D971GZW7CA" localSheetId="19" hidden="1">#REF!</definedName>
    <definedName name="BEx7MT4MFNXIVQGAT6D971GZW7CA" hidden="1">#REF!</definedName>
    <definedName name="BEx7MUMLPPX92MX7SA8S1PLONDL8" localSheetId="8" hidden="1">#REF!</definedName>
    <definedName name="BEx7MUMLPPX92MX7SA8S1PLONDL8" localSheetId="19" hidden="1">#REF!</definedName>
    <definedName name="BEx7MUMLPPX92MX7SA8S1PLONDL8" hidden="1">#REF!</definedName>
    <definedName name="BEx7MX0W532Q7CB4V6KFVC9WAOUI" localSheetId="8" hidden="1">#REF!</definedName>
    <definedName name="BEx7MX0W532Q7CB4V6KFVC9WAOUI" localSheetId="19" hidden="1">#REF!</definedName>
    <definedName name="BEx7MX0W532Q7CB4V6KFVC9WAOUI" hidden="1">#REF!</definedName>
    <definedName name="BEx7NB403NE748IF75RXMWOFQ986" localSheetId="8" hidden="1">#REF!</definedName>
    <definedName name="BEx7NB403NE748IF75RXMWOFQ986" localSheetId="19" hidden="1">#REF!</definedName>
    <definedName name="BEx7NB403NE748IF75RXMWOFQ986" hidden="1">#REF!</definedName>
    <definedName name="BEx7NI062THZAM6I8AJWTFJL91CS" localSheetId="8" hidden="1">#REF!</definedName>
    <definedName name="BEx7NI062THZAM6I8AJWTFJL91CS" localSheetId="19" hidden="1">#REF!</definedName>
    <definedName name="BEx7NI062THZAM6I8AJWTFJL91CS" hidden="1">#REF!</definedName>
    <definedName name="BEx904S75BPRYMHF0083JF7ES4NG" localSheetId="8" hidden="1">#REF!</definedName>
    <definedName name="BEx904S75BPRYMHF0083JF7ES4NG" localSheetId="19" hidden="1">#REF!</definedName>
    <definedName name="BEx904S75BPRYMHF0083JF7ES4NG" hidden="1">#REF!</definedName>
    <definedName name="BEx90HDD4RWF7JZGA8GCGG7D63MG" localSheetId="8" hidden="1">#REF!</definedName>
    <definedName name="BEx90HDD4RWF7JZGA8GCGG7D63MG" localSheetId="19" hidden="1">#REF!</definedName>
    <definedName name="BEx90HDD4RWF7JZGA8GCGG7D63MG" hidden="1">#REF!</definedName>
    <definedName name="BEx90HO6UVMFVSV8U0YBZFHNCL38" localSheetId="8" hidden="1">#REF!</definedName>
    <definedName name="BEx90HO6UVMFVSV8U0YBZFHNCL38" localSheetId="19" hidden="1">#REF!</definedName>
    <definedName name="BEx90HO6UVMFVSV8U0YBZFHNCL38" hidden="1">#REF!</definedName>
    <definedName name="BEx90VGH5H09ON2QXYC9WIIEU98T" localSheetId="8" hidden="1">#REF!</definedName>
    <definedName name="BEx90VGH5H09ON2QXYC9WIIEU98T" localSheetId="19" hidden="1">#REF!</definedName>
    <definedName name="BEx90VGH5H09ON2QXYC9WIIEU98T" hidden="1">#REF!</definedName>
    <definedName name="BEx9157279000SVN5XNWQ99JY0WU" localSheetId="8" hidden="1">#REF!</definedName>
    <definedName name="BEx9157279000SVN5XNWQ99JY0WU" localSheetId="19" hidden="1">#REF!</definedName>
    <definedName name="BEx9157279000SVN5XNWQ99JY0WU" hidden="1">#REF!</definedName>
    <definedName name="BEx9175B70QXYAU5A8DJPGZQ46L9" localSheetId="8" hidden="1">#REF!</definedName>
    <definedName name="BEx9175B70QXYAU5A8DJPGZQ46L9" localSheetId="19" hidden="1">#REF!</definedName>
    <definedName name="BEx9175B70QXYAU5A8DJPGZQ46L9" hidden="1">#REF!</definedName>
    <definedName name="BEx91AQQRTV87AO27VWHSFZAD4ZR" localSheetId="8" hidden="1">#REF!</definedName>
    <definedName name="BEx91AQQRTV87AO27VWHSFZAD4ZR" localSheetId="19" hidden="1">#REF!</definedName>
    <definedName name="BEx91AQQRTV87AO27VWHSFZAD4ZR" hidden="1">#REF!</definedName>
    <definedName name="BEx91L8FLL5CWLA2CDHKCOMGVDZN" localSheetId="8" hidden="1">#REF!</definedName>
    <definedName name="BEx91L8FLL5CWLA2CDHKCOMGVDZN" localSheetId="19" hidden="1">#REF!</definedName>
    <definedName name="BEx91L8FLL5CWLA2CDHKCOMGVDZN" hidden="1">#REF!</definedName>
    <definedName name="BEx91OTVH9ZDBC3QTORU8RZX4EOC" localSheetId="8" hidden="1">#REF!</definedName>
    <definedName name="BEx91OTVH9ZDBC3QTORU8RZX4EOC" localSheetId="19" hidden="1">#REF!</definedName>
    <definedName name="BEx91OTVH9ZDBC3QTORU8RZX4EOC" hidden="1">#REF!</definedName>
    <definedName name="BEx91QH5JRZKQP1GPN2SQMR3CKAG" localSheetId="8" hidden="1">#REF!</definedName>
    <definedName name="BEx91QH5JRZKQP1GPN2SQMR3CKAG" localSheetId="19" hidden="1">#REF!</definedName>
    <definedName name="BEx91QH5JRZKQP1GPN2SQMR3CKAG" hidden="1">#REF!</definedName>
    <definedName name="BEx91ROALDNHO7FI4X8L61RH4UJE" localSheetId="8" hidden="1">#REF!</definedName>
    <definedName name="BEx91ROALDNHO7FI4X8L61RH4UJE" localSheetId="19" hidden="1">#REF!</definedName>
    <definedName name="BEx91ROALDNHO7FI4X8L61RH4UJE" hidden="1">#REF!</definedName>
    <definedName name="BEx91TMID71GVYH0U16QM1RV3PX0" localSheetId="8" hidden="1">#REF!</definedName>
    <definedName name="BEx91TMID71GVYH0U16QM1RV3PX0" localSheetId="19" hidden="1">#REF!</definedName>
    <definedName name="BEx91TMID71GVYH0U16QM1RV3PX0" hidden="1">#REF!</definedName>
    <definedName name="BEx91VF2D78PAF337E3L2L81K9W2" localSheetId="8" hidden="1">#REF!</definedName>
    <definedName name="BEx91VF2D78PAF337E3L2L81K9W2" localSheetId="19" hidden="1">#REF!</definedName>
    <definedName name="BEx91VF2D78PAF337E3L2L81K9W2" hidden="1">#REF!</definedName>
    <definedName name="BEx921PNZ46VORG2VRMWREWIC0SE" localSheetId="8" hidden="1">#REF!</definedName>
    <definedName name="BEx921PNZ46VORG2VRMWREWIC0SE" localSheetId="19" hidden="1">#REF!</definedName>
    <definedName name="BEx921PNZ46VORG2VRMWREWIC0SE" hidden="1">#REF!</definedName>
    <definedName name="BEx929CVDCG5CFUQWNDLOSNRQ1FN" localSheetId="8" hidden="1">#REF!</definedName>
    <definedName name="BEx929CVDCG5CFUQWNDLOSNRQ1FN" localSheetId="19" hidden="1">#REF!</definedName>
    <definedName name="BEx929CVDCG5CFUQWNDLOSNRQ1FN" hidden="1">#REF!</definedName>
    <definedName name="BEx92DPEKL5WM5A3CN8674JI0PR3" localSheetId="8" hidden="1">#REF!</definedName>
    <definedName name="BEx92DPEKL5WM5A3CN8674JI0PR3" localSheetId="19" hidden="1">#REF!</definedName>
    <definedName name="BEx92DPEKL5WM5A3CN8674JI0PR3" hidden="1">#REF!</definedName>
    <definedName name="BEx92ER2RMY93TZK0D9L9T3H0GI5" localSheetId="8" hidden="1">#REF!</definedName>
    <definedName name="BEx92ER2RMY93TZK0D9L9T3H0GI5" localSheetId="19" hidden="1">#REF!</definedName>
    <definedName name="BEx92ER2RMY93TZK0D9L9T3H0GI5" hidden="1">#REF!</definedName>
    <definedName name="BEx92FI04PJT4LI23KKIHRXWJDTT" localSheetId="8" hidden="1">#REF!</definedName>
    <definedName name="BEx92FI04PJT4LI23KKIHRXWJDTT" localSheetId="19" hidden="1">#REF!</definedName>
    <definedName name="BEx92FI04PJT4LI23KKIHRXWJDTT" hidden="1">#REF!</definedName>
    <definedName name="BEx92HR14HQ9D5JXCSPA4SS4RT62" localSheetId="8" hidden="1">#REF!</definedName>
    <definedName name="BEx92HR14HQ9D5JXCSPA4SS4RT62" localSheetId="19" hidden="1">#REF!</definedName>
    <definedName name="BEx92HR14HQ9D5JXCSPA4SS4RT62" hidden="1">#REF!</definedName>
    <definedName name="BEx92HWA2D6A5EX9MFG68G0NOMSN" localSheetId="8" hidden="1">#REF!</definedName>
    <definedName name="BEx92HWA2D6A5EX9MFG68G0NOMSN" localSheetId="19" hidden="1">#REF!</definedName>
    <definedName name="BEx92HWA2D6A5EX9MFG68G0NOMSN" hidden="1">#REF!</definedName>
    <definedName name="BEx92I1SQUKW2W7S22E82HLJXRGK" localSheetId="8" hidden="1">#REF!</definedName>
    <definedName name="BEx92I1SQUKW2W7S22E82HLJXRGK" localSheetId="19" hidden="1">#REF!</definedName>
    <definedName name="BEx92I1SQUKW2W7S22E82HLJXRGK" hidden="1">#REF!</definedName>
    <definedName name="BEx92PUBDIXAU1FW5ZAXECMAU0LN" localSheetId="8" hidden="1">#REF!</definedName>
    <definedName name="BEx92PUBDIXAU1FW5ZAXECMAU0LN" localSheetId="19" hidden="1">#REF!</definedName>
    <definedName name="BEx92PUBDIXAU1FW5ZAXECMAU0LN" hidden="1">#REF!</definedName>
    <definedName name="BEx92S8MHFFIVRQ2YSHZNQGOFUHD" localSheetId="8" hidden="1">#REF!</definedName>
    <definedName name="BEx92S8MHFFIVRQ2YSHZNQGOFUHD" localSheetId="19" hidden="1">#REF!</definedName>
    <definedName name="BEx92S8MHFFIVRQ2YSHZNQGOFUHD" hidden="1">#REF!</definedName>
    <definedName name="BEx92VJ5FJGXISSSMOUAESCSIWFV" localSheetId="8" hidden="1">#REF!</definedName>
    <definedName name="BEx92VJ5FJGXISSSMOUAESCSIWFV" localSheetId="19" hidden="1">#REF!</definedName>
    <definedName name="BEx92VJ5FJGXISSSMOUAESCSIWFV" hidden="1">#REF!</definedName>
    <definedName name="BEx93B9OULL2YGC896XXYAAJSTRK" localSheetId="8" hidden="1">#REF!</definedName>
    <definedName name="BEx93B9OULL2YGC896XXYAAJSTRK" localSheetId="19" hidden="1">#REF!</definedName>
    <definedName name="BEx93B9OULL2YGC896XXYAAJSTRK" hidden="1">#REF!</definedName>
    <definedName name="BEx93FRKF99NRT3LH99UTIH7AAYF" localSheetId="8" hidden="1">#REF!</definedName>
    <definedName name="BEx93FRKF99NRT3LH99UTIH7AAYF" localSheetId="19" hidden="1">#REF!</definedName>
    <definedName name="BEx93FRKF99NRT3LH99UTIH7AAYF" hidden="1">#REF!</definedName>
    <definedName name="BEx93M7FSHP50OG34A4W8W8DF12U" localSheetId="8" hidden="1">#REF!</definedName>
    <definedName name="BEx93M7FSHP50OG34A4W8W8DF12U" localSheetId="19" hidden="1">#REF!</definedName>
    <definedName name="BEx93M7FSHP50OG34A4W8W8DF12U" hidden="1">#REF!</definedName>
    <definedName name="BEx93OLWY2O3PRA74U41VG5RXT4Q" localSheetId="8" hidden="1">#REF!</definedName>
    <definedName name="BEx93OLWY2O3PRA74U41VG5RXT4Q" localSheetId="19" hidden="1">#REF!</definedName>
    <definedName name="BEx93OLWY2O3PRA74U41VG5RXT4Q" hidden="1">#REF!</definedName>
    <definedName name="BEx93RWFAF6YJGYUTITVM445C02U" localSheetId="8" hidden="1">#REF!</definedName>
    <definedName name="BEx93RWFAF6YJGYUTITVM445C02U" localSheetId="19" hidden="1">#REF!</definedName>
    <definedName name="BEx93RWFAF6YJGYUTITVM445C02U" hidden="1">#REF!</definedName>
    <definedName name="BEx93SY9RWG3HUV4YXQKXJH9FH14" localSheetId="8" hidden="1">#REF!</definedName>
    <definedName name="BEx93SY9RWG3HUV4YXQKXJH9FH14" localSheetId="19" hidden="1">#REF!</definedName>
    <definedName name="BEx93SY9RWG3HUV4YXQKXJH9FH14" hidden="1">#REF!</definedName>
    <definedName name="BEx93TJUX3U0FJDBG6DDSNQ91R5J" localSheetId="8" hidden="1">#REF!</definedName>
    <definedName name="BEx93TJUX3U0FJDBG6DDSNQ91R5J" localSheetId="19" hidden="1">#REF!</definedName>
    <definedName name="BEx93TJUX3U0FJDBG6DDSNQ91R5J" hidden="1">#REF!</definedName>
    <definedName name="BEx942UCRHMI4B0US31HO95GSC2X" localSheetId="8" hidden="1">#REF!</definedName>
    <definedName name="BEx942UCRHMI4B0US31HO95GSC2X" localSheetId="19" hidden="1">#REF!</definedName>
    <definedName name="BEx942UCRHMI4B0US31HO95GSC2X" hidden="1">#REF!</definedName>
    <definedName name="BEx942ZND3V7XSHKTD0UH9X85N5E" localSheetId="8" hidden="1">#REF!</definedName>
    <definedName name="BEx942ZND3V7XSHKTD0UH9X85N5E" localSheetId="19" hidden="1">#REF!</definedName>
    <definedName name="BEx942ZND3V7XSHKTD0UH9X85N5E" hidden="1">#REF!</definedName>
    <definedName name="BEx947HHLR6UU6NYPNDZRF79V52K" localSheetId="8" hidden="1">#REF!</definedName>
    <definedName name="BEx947HHLR6UU6NYPNDZRF79V52K" localSheetId="19" hidden="1">#REF!</definedName>
    <definedName name="BEx947HHLR6UU6NYPNDZRF79V52K" hidden="1">#REF!</definedName>
    <definedName name="BEx948ZFFQWVIDNG4AZAUGGGEB5U" localSheetId="8" hidden="1">#REF!</definedName>
    <definedName name="BEx948ZFFQWVIDNG4AZAUGGGEB5U" localSheetId="19" hidden="1">#REF!</definedName>
    <definedName name="BEx948ZFFQWVIDNG4AZAUGGGEB5U" hidden="1">#REF!</definedName>
    <definedName name="BEx94CKXG92OMURH41SNU6IOHK4J" localSheetId="8" hidden="1">#REF!</definedName>
    <definedName name="BEx94CKXG92OMURH41SNU6IOHK4J" localSheetId="19" hidden="1">#REF!</definedName>
    <definedName name="BEx94CKXG92OMURH41SNU6IOHK4J" hidden="1">#REF!</definedName>
    <definedName name="BEx94GXG30CIVB6ZQN3X3IK6BZXQ" localSheetId="8" hidden="1">#REF!</definedName>
    <definedName name="BEx94GXG30CIVB6ZQN3X3IK6BZXQ" localSheetId="19" hidden="1">#REF!</definedName>
    <definedName name="BEx94GXG30CIVB6ZQN3X3IK6BZXQ" hidden="1">#REF!</definedName>
    <definedName name="BEx94HJ0DWZHE39X4BLCQCJ3M1MC" localSheetId="8" hidden="1">#REF!</definedName>
    <definedName name="BEx94HJ0DWZHE39X4BLCQCJ3M1MC" localSheetId="19" hidden="1">#REF!</definedName>
    <definedName name="BEx94HJ0DWZHE39X4BLCQCJ3M1MC" hidden="1">#REF!</definedName>
    <definedName name="BEx94HZ5LURYM9ST744ALV6ZCKYP" localSheetId="8" hidden="1">#REF!</definedName>
    <definedName name="BEx94HZ5LURYM9ST744ALV6ZCKYP" localSheetId="19" hidden="1">#REF!</definedName>
    <definedName name="BEx94HZ5LURYM9ST744ALV6ZCKYP" hidden="1">#REF!</definedName>
    <definedName name="BEx94IQ75E90YUMWJ9N591LR7DQQ" localSheetId="8" hidden="1">#REF!</definedName>
    <definedName name="BEx94IQ75E90YUMWJ9N591LR7DQQ" localSheetId="19" hidden="1">#REF!</definedName>
    <definedName name="BEx94IQ75E90YUMWJ9N591LR7DQQ" hidden="1">#REF!</definedName>
    <definedName name="BEx94N7W5T3U7UOE97D6OVIBUCXS" localSheetId="8" hidden="1">#REF!</definedName>
    <definedName name="BEx94N7W5T3U7UOE97D6OVIBUCXS" localSheetId="19" hidden="1">#REF!</definedName>
    <definedName name="BEx94N7W5T3U7UOE97D6OVIBUCXS" hidden="1">#REF!</definedName>
    <definedName name="BEx955NIAWX5OLAHMTV6QFUZPR30" localSheetId="8" hidden="1">#REF!</definedName>
    <definedName name="BEx955NIAWX5OLAHMTV6QFUZPR30" localSheetId="19" hidden="1">#REF!</definedName>
    <definedName name="BEx955NIAWX5OLAHMTV6QFUZPR30" hidden="1">#REF!</definedName>
    <definedName name="BEx9581TYVI2M5TT4ISDAJV4W7Z6" localSheetId="8" hidden="1">#REF!</definedName>
    <definedName name="BEx9581TYVI2M5TT4ISDAJV4W7Z6" localSheetId="19" hidden="1">#REF!</definedName>
    <definedName name="BEx9581TYVI2M5TT4ISDAJV4W7Z6" hidden="1">#REF!</definedName>
    <definedName name="BEx95G55NR99FDSE95CXDI4DKWSV" localSheetId="8" hidden="1">#REF!</definedName>
    <definedName name="BEx95G55NR99FDSE95CXDI4DKWSV" localSheetId="19" hidden="1">#REF!</definedName>
    <definedName name="BEx95G55NR99FDSE95CXDI4DKWSV" hidden="1">#REF!</definedName>
    <definedName name="BEx95NHF4RVUE0YDOAFZEIVBYJXD" localSheetId="8" hidden="1">#REF!</definedName>
    <definedName name="BEx95NHF4RVUE0YDOAFZEIVBYJXD" localSheetId="19" hidden="1">#REF!</definedName>
    <definedName name="BEx95NHF4RVUE0YDOAFZEIVBYJXD" hidden="1">#REF!</definedName>
    <definedName name="BEx95QBZMG0E2KQ9BERJ861QLYN3" localSheetId="8" hidden="1">#REF!</definedName>
    <definedName name="BEx95QBZMG0E2KQ9BERJ861QLYN3" localSheetId="19" hidden="1">#REF!</definedName>
    <definedName name="BEx95QBZMG0E2KQ9BERJ861QLYN3" hidden="1">#REF!</definedName>
    <definedName name="BEx95QHBVDN795UNQJLRXG3RDU49" localSheetId="8" hidden="1">#REF!</definedName>
    <definedName name="BEx95QHBVDN795UNQJLRXG3RDU49" localSheetId="19" hidden="1">#REF!</definedName>
    <definedName name="BEx95QHBVDN795UNQJLRXG3RDU49" hidden="1">#REF!</definedName>
    <definedName name="BEx95TBVUWV7L7OMFMZDQEXGVHU6" localSheetId="8" hidden="1">#REF!</definedName>
    <definedName name="BEx95TBVUWV7L7OMFMZDQEXGVHU6" localSheetId="19" hidden="1">#REF!</definedName>
    <definedName name="BEx95TBVUWV7L7OMFMZDQEXGVHU6" hidden="1">#REF!</definedName>
    <definedName name="BEx95U89DZZSVO39TGS62CX8G9N4" localSheetId="8" hidden="1">#REF!</definedName>
    <definedName name="BEx95U89DZZSVO39TGS62CX8G9N4" localSheetId="19" hidden="1">#REF!</definedName>
    <definedName name="BEx95U89DZZSVO39TGS62CX8G9N4" hidden="1">#REF!</definedName>
    <definedName name="BEx95XTPKKKJG67C45LRX0T25I06" localSheetId="8" hidden="1">#REF!</definedName>
    <definedName name="BEx95XTPKKKJG67C45LRX0T25I06" localSheetId="19" hidden="1">#REF!</definedName>
    <definedName name="BEx95XTPKKKJG67C45LRX0T25I06" hidden="1">#REF!</definedName>
    <definedName name="BEx9602K2GHNBUEUVT9ONRQU1GMD" localSheetId="8" hidden="1">#REF!</definedName>
    <definedName name="BEx9602K2GHNBUEUVT9ONRQU1GMD" localSheetId="19" hidden="1">#REF!</definedName>
    <definedName name="BEx9602K2GHNBUEUVT9ONRQU1GMD" hidden="1">#REF!</definedName>
    <definedName name="BEx9602LTEI8BPC79BGMRK6S0RP8" localSheetId="8" hidden="1">#REF!</definedName>
    <definedName name="BEx9602LTEI8BPC79BGMRK6S0RP8" localSheetId="19" hidden="1">#REF!</definedName>
    <definedName name="BEx9602LTEI8BPC79BGMRK6S0RP8" hidden="1">#REF!</definedName>
    <definedName name="BEx962BL3Y4LA53EBYI64ZYMZE8U" localSheetId="8" hidden="1">#REF!</definedName>
    <definedName name="BEx962BL3Y4LA53EBYI64ZYMZE8U" localSheetId="19" hidden="1">#REF!</definedName>
    <definedName name="BEx962BL3Y4LA53EBYI64ZYMZE8U" hidden="1">#REF!</definedName>
    <definedName name="BEx96HAWZ2EMMI7VJ5NQXGK044OO" localSheetId="8" hidden="1">#REF!</definedName>
    <definedName name="BEx96HAWZ2EMMI7VJ5NQXGK044OO" localSheetId="19" hidden="1">#REF!</definedName>
    <definedName name="BEx96HAWZ2EMMI7VJ5NQXGK044OO" hidden="1">#REF!</definedName>
    <definedName name="BEx96KR21O7H9R29TN0S45Y3QPUK" localSheetId="8" hidden="1">#REF!</definedName>
    <definedName name="BEx96KR21O7H9R29TN0S45Y3QPUK" localSheetId="19" hidden="1">#REF!</definedName>
    <definedName name="BEx96KR21O7H9R29TN0S45Y3QPUK" hidden="1">#REF!</definedName>
    <definedName name="BEx96SUFKHHFE8XQ6UUO6ILDOXHO" localSheetId="8" hidden="1">#REF!</definedName>
    <definedName name="BEx96SUFKHHFE8XQ6UUO6ILDOXHO" localSheetId="19" hidden="1">#REF!</definedName>
    <definedName name="BEx96SUFKHHFE8XQ6UUO6ILDOXHO" hidden="1">#REF!</definedName>
    <definedName name="BEx96UN4YWXBDEZ1U1ZUIPP41Z7I" localSheetId="8" hidden="1">#REF!</definedName>
    <definedName name="BEx96UN4YWXBDEZ1U1ZUIPP41Z7I" localSheetId="19" hidden="1">#REF!</definedName>
    <definedName name="BEx96UN4YWXBDEZ1U1ZUIPP41Z7I" hidden="1">#REF!</definedName>
    <definedName name="BEx978KSD61YJH3S9DGO050R2EHA" localSheetId="8" hidden="1">#REF!</definedName>
    <definedName name="BEx978KSD61YJH3S9DGO050R2EHA" localSheetId="19" hidden="1">#REF!</definedName>
    <definedName name="BEx978KSD61YJH3S9DGO050R2EHA" hidden="1">#REF!</definedName>
    <definedName name="BEx97H9O1NAKAPK4MX4PKO34ICL5" localSheetId="8" hidden="1">#REF!</definedName>
    <definedName name="BEx97H9O1NAKAPK4MX4PKO34ICL5" localSheetId="19" hidden="1">#REF!</definedName>
    <definedName name="BEx97H9O1NAKAPK4MX4PKO34ICL5" hidden="1">#REF!</definedName>
    <definedName name="BEx97MNUZQ1Z0AO2FL7XQYVNCPR7" localSheetId="8" hidden="1">#REF!</definedName>
    <definedName name="BEx97MNUZQ1Z0AO2FL7XQYVNCPR7" localSheetId="19" hidden="1">#REF!</definedName>
    <definedName name="BEx97MNUZQ1Z0AO2FL7XQYVNCPR7" hidden="1">#REF!</definedName>
    <definedName name="BEx97NPQBACJVD9K1YXI08RTW9E2" localSheetId="8" hidden="1">#REF!</definedName>
    <definedName name="BEx97NPQBACJVD9K1YXI08RTW9E2" localSheetId="19" hidden="1">#REF!</definedName>
    <definedName name="BEx97NPQBACJVD9K1YXI08RTW9E2" hidden="1">#REF!</definedName>
    <definedName name="BEx97RWQLXS0OORDCN69IGA58CWU" localSheetId="8" hidden="1">#REF!</definedName>
    <definedName name="BEx97RWQLXS0OORDCN69IGA58CWU" localSheetId="19" hidden="1">#REF!</definedName>
    <definedName name="BEx97RWQLXS0OORDCN69IGA58CWU" hidden="1">#REF!</definedName>
    <definedName name="BEx97YNGGDFIXHTMGFL2IHAQX9MI" localSheetId="8" hidden="1">#REF!</definedName>
    <definedName name="BEx97YNGGDFIXHTMGFL2IHAQX9MI" localSheetId="19" hidden="1">#REF!</definedName>
    <definedName name="BEx97YNGGDFIXHTMGFL2IHAQX9MI" hidden="1">#REF!</definedName>
    <definedName name="BEx9805E16VCDEWPM3404WTQS6ZK" localSheetId="8" hidden="1">#REF!</definedName>
    <definedName name="BEx9805E16VCDEWPM3404WTQS6ZK" localSheetId="19" hidden="1">#REF!</definedName>
    <definedName name="BEx9805E16VCDEWPM3404WTQS6ZK" hidden="1">#REF!</definedName>
    <definedName name="BEx981HW73BUZWT14TBTZHC0ZTJ4" localSheetId="8" hidden="1">#REF!</definedName>
    <definedName name="BEx981HW73BUZWT14TBTZHC0ZTJ4" localSheetId="19" hidden="1">#REF!</definedName>
    <definedName name="BEx981HW73BUZWT14TBTZHC0ZTJ4" hidden="1">#REF!</definedName>
    <definedName name="BEx9871KU0N99P0900EAK69VFYT2" localSheetId="8" hidden="1">#REF!</definedName>
    <definedName name="BEx9871KU0N99P0900EAK69VFYT2" localSheetId="19" hidden="1">#REF!</definedName>
    <definedName name="BEx9871KU0N99P0900EAK69VFYT2" hidden="1">#REF!</definedName>
    <definedName name="BEx98IFKNJFGZFLID1YTRFEG1SXY" localSheetId="8" hidden="1">#REF!</definedName>
    <definedName name="BEx98IFKNJFGZFLID1YTRFEG1SXY" localSheetId="19" hidden="1">#REF!</definedName>
    <definedName name="BEx98IFKNJFGZFLID1YTRFEG1SXY" hidden="1">#REF!</definedName>
    <definedName name="BEx98T7ZEF0HKRFLBVK3BNKCG3CJ" localSheetId="8" hidden="1">#REF!</definedName>
    <definedName name="BEx98T7ZEF0HKRFLBVK3BNKCG3CJ" localSheetId="19" hidden="1">#REF!</definedName>
    <definedName name="BEx98T7ZEF0HKRFLBVK3BNKCG3CJ" hidden="1">#REF!</definedName>
    <definedName name="BEx98WYSAS39FWGYTMQ8QGIT81TF" localSheetId="8" hidden="1">#REF!</definedName>
    <definedName name="BEx98WYSAS39FWGYTMQ8QGIT81TF" localSheetId="19" hidden="1">#REF!</definedName>
    <definedName name="BEx98WYSAS39FWGYTMQ8QGIT81TF" hidden="1">#REF!</definedName>
    <definedName name="BEx990461P2YAJ7BRK25INFYZ7RQ" localSheetId="8" hidden="1">#REF!</definedName>
    <definedName name="BEx990461P2YAJ7BRK25INFYZ7RQ" localSheetId="19" hidden="1">#REF!</definedName>
    <definedName name="BEx990461P2YAJ7BRK25INFYZ7RQ" hidden="1">#REF!</definedName>
    <definedName name="BEx9915UVD4G7RA3IMLFZ0LG3UA2" localSheetId="8" hidden="1">#REF!</definedName>
    <definedName name="BEx9915UVD4G7RA3IMLFZ0LG3UA2" localSheetId="19" hidden="1">#REF!</definedName>
    <definedName name="BEx9915UVD4G7RA3IMLFZ0LG3UA2" hidden="1">#REF!</definedName>
    <definedName name="BEx991M410V3S2PKCJGQ30O6JT6H" localSheetId="8" hidden="1">#REF!</definedName>
    <definedName name="BEx991M410V3S2PKCJGQ30O6JT6H" localSheetId="19" hidden="1">#REF!</definedName>
    <definedName name="BEx991M410V3S2PKCJGQ30O6JT6H" hidden="1">#REF!</definedName>
    <definedName name="BEx992CZON8AO7U7V88VN1JBO0MG" localSheetId="8" hidden="1">#REF!</definedName>
    <definedName name="BEx992CZON8AO7U7V88VN1JBO0MG" localSheetId="19" hidden="1">#REF!</definedName>
    <definedName name="BEx992CZON8AO7U7V88VN1JBO0MG" hidden="1">#REF!</definedName>
    <definedName name="BEx9952469XMFGSPXL7CMXHPJF90" localSheetId="8" hidden="1">#REF!</definedName>
    <definedName name="BEx9952469XMFGSPXL7CMXHPJF90" localSheetId="19" hidden="1">#REF!</definedName>
    <definedName name="BEx9952469XMFGSPXL7CMXHPJF90" hidden="1">#REF!</definedName>
    <definedName name="BEx99B77I7TUSHRR4HIZ9FU2EIUT" localSheetId="8" hidden="1">#REF!</definedName>
    <definedName name="BEx99B77I7TUSHRR4HIZ9FU2EIUT" localSheetId="19" hidden="1">#REF!</definedName>
    <definedName name="BEx99B77I7TUSHRR4HIZ9FU2EIUT" hidden="1">#REF!</definedName>
    <definedName name="BEx99EHWKKHZB66Q30C7QIXU3BVM" localSheetId="8" hidden="1">#REF!</definedName>
    <definedName name="BEx99EHWKKHZB66Q30C7QIXU3BVM" localSheetId="19" hidden="1">#REF!</definedName>
    <definedName name="BEx99EHWKKHZB66Q30C7QIXU3BVM" hidden="1">#REF!</definedName>
    <definedName name="BEx99IE6TEODZ443HP0AYCXVTNOV" localSheetId="8" hidden="1">#REF!</definedName>
    <definedName name="BEx99IE6TEODZ443HP0AYCXVTNOV" localSheetId="19" hidden="1">#REF!</definedName>
    <definedName name="BEx99IE6TEODZ443HP0AYCXVTNOV" hidden="1">#REF!</definedName>
    <definedName name="BEx99Q6PH5F3OQKCCAAO75PYDEFN" localSheetId="8" hidden="1">#REF!</definedName>
    <definedName name="BEx99Q6PH5F3OQKCCAAO75PYDEFN" localSheetId="19" hidden="1">#REF!</definedName>
    <definedName name="BEx99Q6PH5F3OQKCCAAO75PYDEFN" hidden="1">#REF!</definedName>
    <definedName name="BEx99RU5I4O0109P2FW9DN4IU3QX" localSheetId="8" hidden="1">#REF!</definedName>
    <definedName name="BEx99RU5I4O0109P2FW9DN4IU3QX" localSheetId="19" hidden="1">#REF!</definedName>
    <definedName name="BEx99RU5I4O0109P2FW9DN4IU3QX" hidden="1">#REF!</definedName>
    <definedName name="BEx99WBYT2D6UUC1PT7A40ENYID4" localSheetId="8" hidden="1">#REF!</definedName>
    <definedName name="BEx99WBYT2D6UUC1PT7A40ENYID4" localSheetId="19" hidden="1">#REF!</definedName>
    <definedName name="BEx99WBYT2D6UUC1PT7A40ENYID4" hidden="1">#REF!</definedName>
    <definedName name="BEx99WS2X3RTQE9O764SS5G2FPE6" localSheetId="8" hidden="1">#REF!</definedName>
    <definedName name="BEx99WS2X3RTQE9O764SS5G2FPE6" localSheetId="19" hidden="1">#REF!</definedName>
    <definedName name="BEx99WS2X3RTQE9O764SS5G2FPE6" hidden="1">#REF!</definedName>
    <definedName name="BEx99ZRZ4I7FHDPGRAT5VW7NVBPU" localSheetId="8" hidden="1">#REF!</definedName>
    <definedName name="BEx99ZRZ4I7FHDPGRAT5VW7NVBPU" localSheetId="19" hidden="1">#REF!</definedName>
    <definedName name="BEx99ZRZ4I7FHDPGRAT5VW7NVBPU" hidden="1">#REF!</definedName>
    <definedName name="BEx9AT5E3ZSHKSOL35O38L8HF9TH" localSheetId="8" hidden="1">#REF!</definedName>
    <definedName name="BEx9AT5E3ZSHKSOL35O38L8HF9TH" localSheetId="19" hidden="1">#REF!</definedName>
    <definedName name="BEx9AT5E3ZSHKSOL35O38L8HF9TH" hidden="1">#REF!</definedName>
    <definedName name="BEx9ATW9WB5CNKQR5HKK7Y2GHYGR" localSheetId="8" hidden="1">#REF!</definedName>
    <definedName name="BEx9ATW9WB5CNKQR5HKK7Y2GHYGR" localSheetId="19" hidden="1">#REF!</definedName>
    <definedName name="BEx9ATW9WB5CNKQR5HKK7Y2GHYGR" hidden="1">#REF!</definedName>
    <definedName name="BEx9AV8W1FAWF5BHATYEN47X12JN" localSheetId="8" hidden="1">#REF!</definedName>
    <definedName name="BEx9AV8W1FAWF5BHATYEN47X12JN" localSheetId="19" hidden="1">#REF!</definedName>
    <definedName name="BEx9AV8W1FAWF5BHATYEN47X12JN" hidden="1">#REF!</definedName>
    <definedName name="BEx9B8A5186FNTQQNLIO5LK02ABI" localSheetId="8" hidden="1">#REF!</definedName>
    <definedName name="BEx9B8A5186FNTQQNLIO5LK02ABI" localSheetId="19" hidden="1">#REF!</definedName>
    <definedName name="BEx9B8A5186FNTQQNLIO5LK02ABI" hidden="1">#REF!</definedName>
    <definedName name="BEx9B8VR20E2CILU4CDQUQQ9ONXK" localSheetId="8" hidden="1">#REF!</definedName>
    <definedName name="BEx9B8VR20E2CILU4CDQUQQ9ONXK" localSheetId="19" hidden="1">#REF!</definedName>
    <definedName name="BEx9B8VR20E2CILU4CDQUQQ9ONXK" hidden="1">#REF!</definedName>
    <definedName name="BEx9B917EUP13X6FQ3NPQL76XM5V" localSheetId="8" hidden="1">#REF!</definedName>
    <definedName name="BEx9B917EUP13X6FQ3NPQL76XM5V" localSheetId="19" hidden="1">#REF!</definedName>
    <definedName name="BEx9B917EUP13X6FQ3NPQL76XM5V" hidden="1">#REF!</definedName>
    <definedName name="BEx9BAJ5WYEQ623HUT9NNCMP3RUG" localSheetId="8" hidden="1">#REF!</definedName>
    <definedName name="BEx9BAJ5WYEQ623HUT9NNCMP3RUG" localSheetId="19" hidden="1">#REF!</definedName>
    <definedName name="BEx9BAJ5WYEQ623HUT9NNCMP3RUG" hidden="1">#REF!</definedName>
    <definedName name="BEx9BE9Z7EFJCFDYJJOY5KFTGDF4" localSheetId="8" hidden="1">#REF!</definedName>
    <definedName name="BEx9BE9Z7EFJCFDYJJOY5KFTGDF4" localSheetId="19" hidden="1">#REF!</definedName>
    <definedName name="BEx9BE9Z7EFJCFDYJJOY5KFTGDF4" hidden="1">#REF!</definedName>
    <definedName name="BEx9BSIJN2O0MG8CXAMCAOADEMTO" localSheetId="8" hidden="1">#REF!</definedName>
    <definedName name="BEx9BSIJN2O0MG8CXAMCAOADEMTO" localSheetId="19" hidden="1">#REF!</definedName>
    <definedName name="BEx9BSIJN2O0MG8CXAMCAOADEMTO" hidden="1">#REF!</definedName>
    <definedName name="BEx9BU0BBJO3ITPCO4T9FIVEVJY7" localSheetId="8" hidden="1">#REF!</definedName>
    <definedName name="BEx9BU0BBJO3ITPCO4T9FIVEVJY7" localSheetId="19" hidden="1">#REF!</definedName>
    <definedName name="BEx9BU0BBJO3ITPCO4T9FIVEVJY7" hidden="1">#REF!</definedName>
    <definedName name="BEx9BYSYW7QCPXS2NAVLFAU5Y2Z2" localSheetId="8" hidden="1">#REF!</definedName>
    <definedName name="BEx9BYSYW7QCPXS2NAVLFAU5Y2Z2" localSheetId="19" hidden="1">#REF!</definedName>
    <definedName name="BEx9BYSYW7QCPXS2NAVLFAU5Y2Z2" hidden="1">#REF!</definedName>
    <definedName name="BEx9C590HJ2O31IWJB73C1HR74AI" localSheetId="8" hidden="1">#REF!</definedName>
    <definedName name="BEx9C590HJ2O31IWJB73C1HR74AI" localSheetId="19" hidden="1">#REF!</definedName>
    <definedName name="BEx9C590HJ2O31IWJB73C1HR74AI" hidden="1">#REF!</definedName>
    <definedName name="BEx9CCQRMYYOGIOYTOM73VKDIPS1" localSheetId="8" hidden="1">#REF!</definedName>
    <definedName name="BEx9CCQRMYYOGIOYTOM73VKDIPS1" localSheetId="19" hidden="1">#REF!</definedName>
    <definedName name="BEx9CCQRMYYOGIOYTOM73VKDIPS1" hidden="1">#REF!</definedName>
    <definedName name="BEx9CM6JVXIG9S6EAZMR899UW190" localSheetId="8" hidden="1">#REF!</definedName>
    <definedName name="BEx9CM6JVXIG9S6EAZMR899UW190" localSheetId="19" hidden="1">#REF!</definedName>
    <definedName name="BEx9CM6JVXIG9S6EAZMR899UW190" hidden="1">#REF!</definedName>
    <definedName name="BEx9D160NRGTDVT2ML4H9A7UKR4T" localSheetId="8" hidden="1">#REF!</definedName>
    <definedName name="BEx9D160NRGTDVT2ML4H9A7UKR4T" localSheetId="19" hidden="1">#REF!</definedName>
    <definedName name="BEx9D160NRGTDVT2ML4H9A7UKR4T" hidden="1">#REF!</definedName>
    <definedName name="BEx9D1BC9FT19KY0INAABNDBAMR1" localSheetId="8" hidden="1">#REF!</definedName>
    <definedName name="BEx9D1BC9FT19KY0INAABNDBAMR1" localSheetId="19" hidden="1">#REF!</definedName>
    <definedName name="BEx9D1BC9FT19KY0INAABNDBAMR1" hidden="1">#REF!</definedName>
    <definedName name="BEx9D1MB15VSARB7IKBMZYU0JJBI" localSheetId="8" hidden="1">#REF!</definedName>
    <definedName name="BEx9D1MB15VSARB7IKBMZYU0JJBI" localSheetId="19" hidden="1">#REF!</definedName>
    <definedName name="BEx9D1MB15VSARB7IKBMZYU0JJBI" hidden="1">#REF!</definedName>
    <definedName name="BEx9DN6ZMF18Q39MPMXSDJTZQNJ3" localSheetId="8" hidden="1">#REF!</definedName>
    <definedName name="BEx9DN6ZMF18Q39MPMXSDJTZQNJ3" localSheetId="19" hidden="1">#REF!</definedName>
    <definedName name="BEx9DN6ZMF18Q39MPMXSDJTZQNJ3" hidden="1">#REF!</definedName>
    <definedName name="BEx9DZXN85O544CD9O60K126YYAU" localSheetId="8" hidden="1">#REF!</definedName>
    <definedName name="BEx9DZXN85O544CD9O60K126YYAU" localSheetId="19" hidden="1">#REF!</definedName>
    <definedName name="BEx9DZXN85O544CD9O60K126YYAU" hidden="1">#REF!</definedName>
    <definedName name="BEx9E14TDNSEMI784W0OTIEQMWN6" localSheetId="8" hidden="1">#REF!</definedName>
    <definedName name="BEx9E14TDNSEMI784W0OTIEQMWN6" localSheetId="19" hidden="1">#REF!</definedName>
    <definedName name="BEx9E14TDNSEMI784W0OTIEQMWN6" hidden="1">#REF!</definedName>
    <definedName name="BEx9E14TGNBYGMDDG9NETDK4SYAW" localSheetId="8" hidden="1">#REF!</definedName>
    <definedName name="BEx9E14TGNBYGMDDG9NETDK4SYAW" localSheetId="19" hidden="1">#REF!</definedName>
    <definedName name="BEx9E14TGNBYGMDDG9NETDK4SYAW" hidden="1">#REF!</definedName>
    <definedName name="BEx9E2BZ2B1R41FMGJCJ7JLGLUAJ" localSheetId="8" hidden="1">#REF!</definedName>
    <definedName name="BEx9E2BZ2B1R41FMGJCJ7JLGLUAJ" localSheetId="19" hidden="1">#REF!</definedName>
    <definedName name="BEx9E2BZ2B1R41FMGJCJ7JLGLUAJ" hidden="1">#REF!</definedName>
    <definedName name="BEx9EG9KBJ77M8LEOR9ITOKN5KXY" localSheetId="8" hidden="1">#REF!</definedName>
    <definedName name="BEx9EG9KBJ77M8LEOR9ITOKN5KXY" localSheetId="19" hidden="1">#REF!</definedName>
    <definedName name="BEx9EG9KBJ77M8LEOR9ITOKN5KXY" hidden="1">#REF!</definedName>
    <definedName name="BEx9EL27NGDBCTVPW97K42QANS5K" localSheetId="8" hidden="1">#REF!</definedName>
    <definedName name="BEx9EL27NGDBCTVPW97K42QANS5K" localSheetId="19" hidden="1">#REF!</definedName>
    <definedName name="BEx9EL27NGDBCTVPW97K42QANS5K" hidden="1">#REF!</definedName>
    <definedName name="BEx9EMK6HAJJMVYZTN5AUIV7O1E6" localSheetId="8" hidden="1">#REF!</definedName>
    <definedName name="BEx9EMK6HAJJMVYZTN5AUIV7O1E6" localSheetId="19" hidden="1">#REF!</definedName>
    <definedName name="BEx9EMK6HAJJMVYZTN5AUIV7O1E6" hidden="1">#REF!</definedName>
    <definedName name="BEx9ENB8RPU9FA3QW16IGB6LK1CH" localSheetId="8" hidden="1">#REF!</definedName>
    <definedName name="BEx9ENB8RPU9FA3QW16IGB6LK1CH" localSheetId="19" hidden="1">#REF!</definedName>
    <definedName name="BEx9ENB8RPU9FA3QW16IGB6LK1CH" hidden="1">#REF!</definedName>
    <definedName name="BEx9EQLVZHYQ1TPX7WH3SOWXCZLE" localSheetId="8" hidden="1">#REF!</definedName>
    <definedName name="BEx9EQLVZHYQ1TPX7WH3SOWXCZLE" localSheetId="19" hidden="1">#REF!</definedName>
    <definedName name="BEx9EQLVZHYQ1TPX7WH3SOWXCZLE" hidden="1">#REF!</definedName>
    <definedName name="BEx9ETLU0EK5LGEM1QCNYN2S8O5F" localSheetId="8" hidden="1">#REF!</definedName>
    <definedName name="BEx9ETLU0EK5LGEM1QCNYN2S8O5F" localSheetId="19" hidden="1">#REF!</definedName>
    <definedName name="BEx9ETLU0EK5LGEM1QCNYN2S8O5F" hidden="1">#REF!</definedName>
    <definedName name="BEx9F0710LGLAU3161O0O346N58H" localSheetId="8" hidden="1">#REF!</definedName>
    <definedName name="BEx9F0710LGLAU3161O0O346N58H" localSheetId="19" hidden="1">#REF!</definedName>
    <definedName name="BEx9F0710LGLAU3161O0O346N58H" hidden="1">#REF!</definedName>
    <definedName name="BEx9F0Y2ESUNE3U7TQDLMPE9BO67" localSheetId="8" hidden="1">#REF!</definedName>
    <definedName name="BEx9F0Y2ESUNE3U7TQDLMPE9BO67" localSheetId="19" hidden="1">#REF!</definedName>
    <definedName name="BEx9F0Y2ESUNE3U7TQDLMPE9BO67" hidden="1">#REF!</definedName>
    <definedName name="BEx9F439L1R726MJFX2EP39XIBPY" localSheetId="8" hidden="1">#REF!</definedName>
    <definedName name="BEx9F439L1R726MJFX2EP39XIBPY" localSheetId="19" hidden="1">#REF!</definedName>
    <definedName name="BEx9F439L1R726MJFX2EP39XIBPY" hidden="1">#REF!</definedName>
    <definedName name="BEx9F5W18ZGFOKGRE8PR6T1MO6GT" localSheetId="8" hidden="1">#REF!</definedName>
    <definedName name="BEx9F5W18ZGFOKGRE8PR6T1MO6GT" localSheetId="19" hidden="1">#REF!</definedName>
    <definedName name="BEx9F5W18ZGFOKGRE8PR6T1MO6GT" hidden="1">#REF!</definedName>
    <definedName name="BEx9F78N4HY0XFGBQ4UJRD52L1EI" localSheetId="8" hidden="1">#REF!</definedName>
    <definedName name="BEx9F78N4HY0XFGBQ4UJRD52L1EI" localSheetId="19" hidden="1">#REF!</definedName>
    <definedName name="BEx9F78N4HY0XFGBQ4UJRD52L1EI" hidden="1">#REF!</definedName>
    <definedName name="BEx9FF16LOQP5QIR4UHW5EIFGQB8" localSheetId="8" hidden="1">#REF!</definedName>
    <definedName name="BEx9FF16LOQP5QIR4UHW5EIFGQB8" localSheetId="19" hidden="1">#REF!</definedName>
    <definedName name="BEx9FF16LOQP5QIR4UHW5EIFGQB8" hidden="1">#REF!</definedName>
    <definedName name="BEx9FJTSRCZ3ZXT3QVBJT5NF8T7V" localSheetId="8" hidden="1">#REF!</definedName>
    <definedName name="BEx9FJTSRCZ3ZXT3QVBJT5NF8T7V" localSheetId="19" hidden="1">#REF!</definedName>
    <definedName name="BEx9FJTSRCZ3ZXT3QVBJT5NF8T7V" hidden="1">#REF!</definedName>
    <definedName name="BEx9FRBEEYPS5HLS3XT34AKZN94G" localSheetId="8" hidden="1">#REF!</definedName>
    <definedName name="BEx9FRBEEYPS5HLS3XT34AKZN94G" localSheetId="19" hidden="1">#REF!</definedName>
    <definedName name="BEx9FRBEEYPS5HLS3XT34AKZN94G" hidden="1">#REF!</definedName>
    <definedName name="BEx9G5USBCNYNA7HGVW92D800SKX" localSheetId="8" hidden="1">#REF!</definedName>
    <definedName name="BEx9G5USBCNYNA7HGVW92D800SKX" localSheetId="19" hidden="1">#REF!</definedName>
    <definedName name="BEx9G5USBCNYNA7HGVW92D800SKX" hidden="1">#REF!</definedName>
    <definedName name="BEx9G7CPXG7HR6N6FHPU2DBBUIKG" localSheetId="8" hidden="1">#REF!</definedName>
    <definedName name="BEx9G7CPXG7HR6N6FHPU2DBBUIKG" localSheetId="19" hidden="1">#REF!</definedName>
    <definedName name="BEx9G7CPXG7HR6N6FHPU2DBBUIKG" hidden="1">#REF!</definedName>
    <definedName name="BEx9GDY4D8ZPQJCYFIMYM0V0C51Y" localSheetId="8" hidden="1">#REF!</definedName>
    <definedName name="BEx9GDY4D8ZPQJCYFIMYM0V0C51Y" localSheetId="19" hidden="1">#REF!</definedName>
    <definedName name="BEx9GDY4D8ZPQJCYFIMYM0V0C51Y" hidden="1">#REF!</definedName>
    <definedName name="BEx9GGY04V0ZWI6O9KZH4KSBB389" localSheetId="8" hidden="1">#REF!</definedName>
    <definedName name="BEx9GGY04V0ZWI6O9KZH4KSBB389" localSheetId="19" hidden="1">#REF!</definedName>
    <definedName name="BEx9GGY04V0ZWI6O9KZH4KSBB389" hidden="1">#REF!</definedName>
    <definedName name="BEx9GMC7TE8SDTCO5PHODBUF4SM1" localSheetId="8" hidden="1">#REF!</definedName>
    <definedName name="BEx9GMC7TE8SDTCO5PHODBUF4SM1" localSheetId="19" hidden="1">#REF!</definedName>
    <definedName name="BEx9GMC7TE8SDTCO5PHODBUF4SM1" hidden="1">#REF!</definedName>
    <definedName name="BEx9GMN0B495HEAOG6JQK9D7HUPC" localSheetId="8" hidden="1">#REF!</definedName>
    <definedName name="BEx9GMN0B495HEAOG6JQK9D7HUPC" localSheetId="19" hidden="1">#REF!</definedName>
    <definedName name="BEx9GMN0B495HEAOG6JQK9D7HUPC" hidden="1">#REF!</definedName>
    <definedName name="BEx9GNOPB6OZ2RH3FCDNJR38RJOS" localSheetId="8" hidden="1">#REF!</definedName>
    <definedName name="BEx9GNOPB6OZ2RH3FCDNJR38RJOS" localSheetId="19" hidden="1">#REF!</definedName>
    <definedName name="BEx9GNOPB6OZ2RH3FCDNJR38RJOS" hidden="1">#REF!</definedName>
    <definedName name="BEx9GUQALUWCD30UKUQGSWW8KBQ7" localSheetId="8" hidden="1">#REF!</definedName>
    <definedName name="BEx9GUQALUWCD30UKUQGSWW8KBQ7" localSheetId="19" hidden="1">#REF!</definedName>
    <definedName name="BEx9GUQALUWCD30UKUQGSWW8KBQ7" hidden="1">#REF!</definedName>
    <definedName name="BEx9GY6BVFQGCLMOWVT6PIC9WP5X" localSheetId="8" hidden="1">#REF!</definedName>
    <definedName name="BEx9GY6BVFQGCLMOWVT6PIC9WP5X" localSheetId="19" hidden="1">#REF!</definedName>
    <definedName name="BEx9GY6BVFQGCLMOWVT6PIC9WP5X" hidden="1">#REF!</definedName>
    <definedName name="BEx9GZ2P3FDHKXEBXX2VS0BG2NP2" localSheetId="8" hidden="1">#REF!</definedName>
    <definedName name="BEx9GZ2P3FDHKXEBXX2VS0BG2NP2" localSheetId="19" hidden="1">#REF!</definedName>
    <definedName name="BEx9GZ2P3FDHKXEBXX2VS0BG2NP2" hidden="1">#REF!</definedName>
    <definedName name="BEx9H04IB14E1437FF2OIRRWBSD7" localSheetId="8" hidden="1">#REF!</definedName>
    <definedName name="BEx9H04IB14E1437FF2OIRRWBSD7" localSheetId="19" hidden="1">#REF!</definedName>
    <definedName name="BEx9H04IB14E1437FF2OIRRWBSD7" hidden="1">#REF!</definedName>
    <definedName name="BEx9H5O1KDZJCW91Q29VRPY5YS6P" localSheetId="8" hidden="1">#REF!</definedName>
    <definedName name="BEx9H5O1KDZJCW91Q29VRPY5YS6P" localSheetId="19" hidden="1">#REF!</definedName>
    <definedName name="BEx9H5O1KDZJCW91Q29VRPY5YS6P" hidden="1">#REF!</definedName>
    <definedName name="BEx9H8YR0E906F1JXZMBX3LNT004" localSheetId="8" hidden="1">#REF!</definedName>
    <definedName name="BEx9H8YR0E906F1JXZMBX3LNT004" localSheetId="19" hidden="1">#REF!</definedName>
    <definedName name="BEx9H8YR0E906F1JXZMBX3LNT004" hidden="1">#REF!</definedName>
    <definedName name="BEx9I1QKLI6OOUPQLUQ0EF0355X6" localSheetId="8" hidden="1">#REF!</definedName>
    <definedName name="BEx9I1QKLI6OOUPQLUQ0EF0355X6" localSheetId="19" hidden="1">#REF!</definedName>
    <definedName name="BEx9I1QKLI6OOUPQLUQ0EF0355X6" hidden="1">#REF!</definedName>
    <definedName name="BEx9I8XIG7E5NB48QQHXP23FIN60" localSheetId="8" hidden="1">#REF!</definedName>
    <definedName name="BEx9I8XIG7E5NB48QQHXP23FIN60" localSheetId="19" hidden="1">#REF!</definedName>
    <definedName name="BEx9I8XIG7E5NB48QQHXP23FIN60" hidden="1">#REF!</definedName>
    <definedName name="BEx9IQRF01ATLVK0YE60ARKQJ68L" localSheetId="8" hidden="1">#REF!</definedName>
    <definedName name="BEx9IQRF01ATLVK0YE60ARKQJ68L" localSheetId="19" hidden="1">#REF!</definedName>
    <definedName name="BEx9IQRF01ATLVK0YE60ARKQJ68L" hidden="1">#REF!</definedName>
    <definedName name="BEx9IT5QNZWKM6YQ5WER0DC2PMMU" localSheetId="8" hidden="1">#REF!</definedName>
    <definedName name="BEx9IT5QNZWKM6YQ5WER0DC2PMMU" localSheetId="19" hidden="1">#REF!</definedName>
    <definedName name="BEx9IT5QNZWKM6YQ5WER0DC2PMMU" hidden="1">#REF!</definedName>
    <definedName name="BEx9IUICG3HZWG57MG3NXCEX4LQI" localSheetId="8" hidden="1">#REF!</definedName>
    <definedName name="BEx9IUICG3HZWG57MG3NXCEX4LQI" localSheetId="19" hidden="1">#REF!</definedName>
    <definedName name="BEx9IUICG3HZWG57MG3NXCEX4LQI" hidden="1">#REF!</definedName>
    <definedName name="BEx9IW5LYJF40GS78FJNXO9O667A" localSheetId="8" hidden="1">#REF!</definedName>
    <definedName name="BEx9IW5LYJF40GS78FJNXO9O667A" localSheetId="19" hidden="1">#REF!</definedName>
    <definedName name="BEx9IW5LYJF40GS78FJNXO9O667A" hidden="1">#REF!</definedName>
    <definedName name="BEx9IW5MFLXTVCJHVUZTUH93AXOS" localSheetId="8" hidden="1">#REF!</definedName>
    <definedName name="BEx9IW5MFLXTVCJHVUZTUH93AXOS" localSheetId="19" hidden="1">#REF!</definedName>
    <definedName name="BEx9IW5MFLXTVCJHVUZTUH93AXOS" hidden="1">#REF!</definedName>
    <definedName name="BEx9IXCSPSZC80YZUPRCYTG326KV" localSheetId="8" hidden="1">#REF!</definedName>
    <definedName name="BEx9IXCSPSZC80YZUPRCYTG326KV" localSheetId="19" hidden="1">#REF!</definedName>
    <definedName name="BEx9IXCSPSZC80YZUPRCYTG326KV" hidden="1">#REF!</definedName>
    <definedName name="BEx9IYUQSBZ0GG9ZT1QKX83F42F1" localSheetId="8" hidden="1">#REF!</definedName>
    <definedName name="BEx9IYUQSBZ0GG9ZT1QKX83F42F1" localSheetId="19" hidden="1">#REF!</definedName>
    <definedName name="BEx9IYUQSBZ0GG9ZT1QKX83F42F1" hidden="1">#REF!</definedName>
    <definedName name="BEx9IZR39NHDGOM97H4E6F81RTQW" localSheetId="8" hidden="1">#REF!</definedName>
    <definedName name="BEx9IZR39NHDGOM97H4E6F81RTQW" localSheetId="19" hidden="1">#REF!</definedName>
    <definedName name="BEx9IZR39NHDGOM97H4E6F81RTQW" hidden="1">#REF!</definedName>
    <definedName name="BEx9J6CH5E7YZPER7HXEIOIKGPCA" localSheetId="8" hidden="1">#REF!</definedName>
    <definedName name="BEx9J6CH5E7YZPER7HXEIOIKGPCA" localSheetId="19" hidden="1">#REF!</definedName>
    <definedName name="BEx9J6CH5E7YZPER7HXEIOIKGPCA" hidden="1">#REF!</definedName>
    <definedName name="BEx9JJTZKVUJAVPTRE0RAVTEH41G" localSheetId="8" hidden="1">#REF!</definedName>
    <definedName name="BEx9JJTZKVUJAVPTRE0RAVTEH41G" localSheetId="19" hidden="1">#REF!</definedName>
    <definedName name="BEx9JJTZKVUJAVPTRE0RAVTEH41G" hidden="1">#REF!</definedName>
    <definedName name="BEx9JLBYK239B3F841C7YG1GT7ST" localSheetId="8" hidden="1">#REF!</definedName>
    <definedName name="BEx9JLBYK239B3F841C7YG1GT7ST" localSheetId="19" hidden="1">#REF!</definedName>
    <definedName name="BEx9JLBYK239B3F841C7YG1GT7ST" hidden="1">#REF!</definedName>
    <definedName name="BExAW4IIW5D0MDY6TJ3G4FOLPYIR" localSheetId="8" hidden="1">#REF!</definedName>
    <definedName name="BExAW4IIW5D0MDY6TJ3G4FOLPYIR" localSheetId="19" hidden="1">#REF!</definedName>
    <definedName name="BExAW4IIW5D0MDY6TJ3G4FOLPYIR" hidden="1">#REF!</definedName>
    <definedName name="BExAWNP1B2E9Q88TW48NH41C0FTZ" localSheetId="8" hidden="1">#REF!</definedName>
    <definedName name="BExAWNP1B2E9Q88TW48NH41C0FTZ" localSheetId="19" hidden="1">#REF!</definedName>
    <definedName name="BExAWNP1B2E9Q88TW48NH41C0FTZ" hidden="1">#REF!</definedName>
    <definedName name="BExAWUFQXTIPQ308ERZPSVPTUMYN" localSheetId="8" hidden="1">#REF!</definedName>
    <definedName name="BExAWUFQXTIPQ308ERZPSVPTUMYN" localSheetId="19" hidden="1">#REF!</definedName>
    <definedName name="BExAWUFQXTIPQ308ERZPSVPTUMYN" hidden="1">#REF!</definedName>
    <definedName name="BExAWY6O96OQO2R036QK2DI37EKV" localSheetId="8" hidden="1">#REF!</definedName>
    <definedName name="BExAWY6O96OQO2R036QK2DI37EKV" localSheetId="19" hidden="1">#REF!</definedName>
    <definedName name="BExAWY6O96OQO2R036QK2DI37EKV" hidden="1">#REF!</definedName>
    <definedName name="BExAX410NB4F2XOB84OR2197H8M5" localSheetId="8" hidden="1">#REF!</definedName>
    <definedName name="BExAX410NB4F2XOB84OR2197H8M5" localSheetId="19" hidden="1">#REF!</definedName>
    <definedName name="BExAX410NB4F2XOB84OR2197H8M5" hidden="1">#REF!</definedName>
    <definedName name="BExAX8TNG8LQ5Q4904SAYQIPGBSV" localSheetId="8" hidden="1">#REF!</definedName>
    <definedName name="BExAX8TNG8LQ5Q4904SAYQIPGBSV" localSheetId="19" hidden="1">#REF!</definedName>
    <definedName name="BExAX8TNG8LQ5Q4904SAYQIPGBSV" hidden="1">#REF!</definedName>
    <definedName name="BExAX9KPAVIVUVU3XREDCV1BIYZL" localSheetId="8" hidden="1">#REF!</definedName>
    <definedName name="BExAX9KPAVIVUVU3XREDCV1BIYZL" localSheetId="19" hidden="1">#REF!</definedName>
    <definedName name="BExAX9KPAVIVUVU3XREDCV1BIYZL" hidden="1">#REF!</definedName>
    <definedName name="BExAXPB35BNVXZYF2XS6UP3LP0QH" localSheetId="8" hidden="1">#REF!</definedName>
    <definedName name="BExAXPB35BNVXZYF2XS6UP3LP0QH" localSheetId="19" hidden="1">#REF!</definedName>
    <definedName name="BExAXPB35BNVXZYF2XS6UP3LP0QH" hidden="1">#REF!</definedName>
    <definedName name="BExAXWSRVPK0GCZ2UFU10UOP01IY" localSheetId="8" hidden="1">#REF!</definedName>
    <definedName name="BExAXWSRVPK0GCZ2UFU10UOP01IY" localSheetId="19" hidden="1">#REF!</definedName>
    <definedName name="BExAXWSRVPK0GCZ2UFU10UOP01IY" hidden="1">#REF!</definedName>
    <definedName name="BExAY0EAT2LXR5MFGM0DLIB45PLO" localSheetId="8" hidden="1">#REF!</definedName>
    <definedName name="BExAY0EAT2LXR5MFGM0DLIB45PLO" localSheetId="19" hidden="1">#REF!</definedName>
    <definedName name="BExAY0EAT2LXR5MFGM0DLIB45PLO" hidden="1">#REF!</definedName>
    <definedName name="BExAY6JK0AK9EBIJSPEJNOIDE40W" localSheetId="8" hidden="1">#REF!</definedName>
    <definedName name="BExAY6JK0AK9EBIJSPEJNOIDE40W" localSheetId="19" hidden="1">#REF!</definedName>
    <definedName name="BExAY6JK0AK9EBIJSPEJNOIDE40W" hidden="1">#REF!</definedName>
    <definedName name="BExAYE6LNIEBR9DSNI5JGNITGKIT" localSheetId="8" hidden="1">#REF!</definedName>
    <definedName name="BExAYE6LNIEBR9DSNI5JGNITGKIT" localSheetId="19" hidden="1">#REF!</definedName>
    <definedName name="BExAYE6LNIEBR9DSNI5JGNITGKIT" hidden="1">#REF!</definedName>
    <definedName name="BExAYHMLXGGO25P8HYB2S75DEB4F" localSheetId="8" hidden="1">#REF!</definedName>
    <definedName name="BExAYHMLXGGO25P8HYB2S75DEB4F" localSheetId="19" hidden="1">#REF!</definedName>
    <definedName name="BExAYHMLXGGO25P8HYB2S75DEB4F" hidden="1">#REF!</definedName>
    <definedName name="BExAYKXAUWGDOPG952TEJ2UKZKWN" localSheetId="8" hidden="1">#REF!</definedName>
    <definedName name="BExAYKXAUWGDOPG952TEJ2UKZKWN" localSheetId="19" hidden="1">#REF!</definedName>
    <definedName name="BExAYKXAUWGDOPG952TEJ2UKZKWN" hidden="1">#REF!</definedName>
    <definedName name="BExAYP9TDTI2MBP6EYE0H39CPMXN" localSheetId="8" hidden="1">#REF!</definedName>
    <definedName name="BExAYP9TDTI2MBP6EYE0H39CPMXN" localSheetId="19" hidden="1">#REF!</definedName>
    <definedName name="BExAYP9TDTI2MBP6EYE0H39CPMXN" hidden="1">#REF!</definedName>
    <definedName name="BExAYPPWJPWDKU59O051WMGB7O0J" localSheetId="8" hidden="1">#REF!</definedName>
    <definedName name="BExAYPPWJPWDKU59O051WMGB7O0J" localSheetId="19" hidden="1">#REF!</definedName>
    <definedName name="BExAYPPWJPWDKU59O051WMGB7O0J" hidden="1">#REF!</definedName>
    <definedName name="BExAYR2JZCJBUH6F1LZC2A7JIVRJ" localSheetId="8" hidden="1">#REF!</definedName>
    <definedName name="BExAYR2JZCJBUH6F1LZC2A7JIVRJ" localSheetId="19" hidden="1">#REF!</definedName>
    <definedName name="BExAYR2JZCJBUH6F1LZC2A7JIVRJ" hidden="1">#REF!</definedName>
    <definedName name="BExAYTGVRD3DLKO75RFPMBKCIWB8" localSheetId="8" hidden="1">#REF!</definedName>
    <definedName name="BExAYTGVRD3DLKO75RFPMBKCIWB8" localSheetId="19" hidden="1">#REF!</definedName>
    <definedName name="BExAYTGVRD3DLKO75RFPMBKCIWB8" hidden="1">#REF!</definedName>
    <definedName name="BExAYY9H9COOT46HJLPVDLTO12UL" localSheetId="8" hidden="1">#REF!</definedName>
    <definedName name="BExAYY9H9COOT46HJLPVDLTO12UL" localSheetId="19" hidden="1">#REF!</definedName>
    <definedName name="BExAYY9H9COOT46HJLPVDLTO12UL" hidden="1">#REF!</definedName>
    <definedName name="BExAYYKAQA3KDMQ890FIE5M9SPBL" localSheetId="8" hidden="1">#REF!</definedName>
    <definedName name="BExAYYKAQA3KDMQ890FIE5M9SPBL" localSheetId="19" hidden="1">#REF!</definedName>
    <definedName name="BExAYYKAQA3KDMQ890FIE5M9SPBL" hidden="1">#REF!</definedName>
    <definedName name="BExAZ6SY0EU69GC3CWI5EOO0YLFG" localSheetId="8" hidden="1">#REF!</definedName>
    <definedName name="BExAZ6SY0EU69GC3CWI5EOO0YLFG" localSheetId="19" hidden="1">#REF!</definedName>
    <definedName name="BExAZ6SY0EU69GC3CWI5EOO0YLFG" hidden="1">#REF!</definedName>
    <definedName name="BExAZ6YEEBJV0PCKFE137K2Y3A8M" localSheetId="8" hidden="1">#REF!</definedName>
    <definedName name="BExAZ6YEEBJV0PCKFE137K2Y3A8M" localSheetId="19" hidden="1">#REF!</definedName>
    <definedName name="BExAZ6YEEBJV0PCKFE137K2Y3A8M" hidden="1">#REF!</definedName>
    <definedName name="BExAZAP844MJ4GSAIYNYHQ7FECC3" localSheetId="8" hidden="1">#REF!</definedName>
    <definedName name="BExAZAP844MJ4GSAIYNYHQ7FECC3" localSheetId="19" hidden="1">#REF!</definedName>
    <definedName name="BExAZAP844MJ4GSAIYNYHQ7FECC3" hidden="1">#REF!</definedName>
    <definedName name="BExAZCNEGB4JYHC8CZ51KTN890US" localSheetId="8" hidden="1">#REF!</definedName>
    <definedName name="BExAZCNEGB4JYHC8CZ51KTN890US" localSheetId="19" hidden="1">#REF!</definedName>
    <definedName name="BExAZCNEGB4JYHC8CZ51KTN890US" hidden="1">#REF!</definedName>
    <definedName name="BExAZFCI302YFYRDJYQDWQQL0Q0O" localSheetId="8" hidden="1">#REF!</definedName>
    <definedName name="BExAZFCI302YFYRDJYQDWQQL0Q0O" localSheetId="19" hidden="1">#REF!</definedName>
    <definedName name="BExAZFCI302YFYRDJYQDWQQL0Q0O" hidden="1">#REF!</definedName>
    <definedName name="BExAZJE2UOL40XUAU2RB53X5K20P" localSheetId="8" hidden="1">#REF!</definedName>
    <definedName name="BExAZJE2UOL40XUAU2RB53X5K20P" localSheetId="19" hidden="1">#REF!</definedName>
    <definedName name="BExAZJE2UOL40XUAU2RB53X5K20P" hidden="1">#REF!</definedName>
    <definedName name="BExAZLHLST9OP89R1HJMC1POQG8H" localSheetId="8" hidden="1">#REF!</definedName>
    <definedName name="BExAZLHLST9OP89R1HJMC1POQG8H" localSheetId="19" hidden="1">#REF!</definedName>
    <definedName name="BExAZLHLST9OP89R1HJMC1POQG8H" hidden="1">#REF!</definedName>
    <definedName name="BExAZMDYMIAA7RX1BMCKU1VLBRGY" localSheetId="8" hidden="1">#REF!</definedName>
    <definedName name="BExAZMDYMIAA7RX1BMCKU1VLBRGY" localSheetId="19" hidden="1">#REF!</definedName>
    <definedName name="BExAZMDYMIAA7RX1BMCKU1VLBRGY" hidden="1">#REF!</definedName>
    <definedName name="BExAZNL6BHI8DCQWXOX4I2P839UX" localSheetId="8" hidden="1">#REF!</definedName>
    <definedName name="BExAZNL6BHI8DCQWXOX4I2P839UX" localSheetId="19" hidden="1">#REF!</definedName>
    <definedName name="BExAZNL6BHI8DCQWXOX4I2P839UX" hidden="1">#REF!</definedName>
    <definedName name="BExAZRMWSONMCG9KDUM4KAQ7BONM" localSheetId="8" hidden="1">#REF!</definedName>
    <definedName name="BExAZRMWSONMCG9KDUM4KAQ7BONM" localSheetId="19" hidden="1">#REF!</definedName>
    <definedName name="BExAZRMWSONMCG9KDUM4KAQ7BONM" hidden="1">#REF!</definedName>
    <definedName name="BExAZSOJNQ5N3LM4XA17IH7NIY7G" localSheetId="8" hidden="1">#REF!</definedName>
    <definedName name="BExAZSOJNQ5N3LM4XA17IH7NIY7G" localSheetId="19" hidden="1">#REF!</definedName>
    <definedName name="BExAZSOJNQ5N3LM4XA17IH7NIY7G" hidden="1">#REF!</definedName>
    <definedName name="BExAZTFG4SJRG4TW6JXRF7N08JFI" localSheetId="8" hidden="1">#REF!</definedName>
    <definedName name="BExAZTFG4SJRG4TW6JXRF7N08JFI" localSheetId="19" hidden="1">#REF!</definedName>
    <definedName name="BExAZTFG4SJRG4TW6JXRF7N08JFI" hidden="1">#REF!</definedName>
    <definedName name="BExAZUS4A8OHDZK0MWAOCCCKTH73" localSheetId="8" hidden="1">#REF!</definedName>
    <definedName name="BExAZUS4A8OHDZK0MWAOCCCKTH73" localSheetId="19" hidden="1">#REF!</definedName>
    <definedName name="BExAZUS4A8OHDZK0MWAOCCCKTH73" hidden="1">#REF!</definedName>
    <definedName name="BExAZX6FECVK3E07KXM2XPYKGM6U" localSheetId="8" hidden="1">#REF!</definedName>
    <definedName name="BExAZX6FECVK3E07KXM2XPYKGM6U" localSheetId="19" hidden="1">#REF!</definedName>
    <definedName name="BExAZX6FECVK3E07KXM2XPYKGM6U" hidden="1">#REF!</definedName>
    <definedName name="BExB012NJ8GASTNNPBRRFTLHIOC9" localSheetId="8" hidden="1">#REF!</definedName>
    <definedName name="BExB012NJ8GASTNNPBRRFTLHIOC9" localSheetId="19" hidden="1">#REF!</definedName>
    <definedName name="BExB012NJ8GASTNNPBRRFTLHIOC9" hidden="1">#REF!</definedName>
    <definedName name="BExB072HHXVMUC0VYNGG48GRSH5Q" localSheetId="8" hidden="1">#REF!</definedName>
    <definedName name="BExB072HHXVMUC0VYNGG48GRSH5Q" localSheetId="19" hidden="1">#REF!</definedName>
    <definedName name="BExB072HHXVMUC0VYNGG48GRSH5Q" hidden="1">#REF!</definedName>
    <definedName name="BExB0FRDEYDEUEAB1W8KD6D965XA" localSheetId="8" hidden="1">#REF!</definedName>
    <definedName name="BExB0FRDEYDEUEAB1W8KD6D965XA" localSheetId="19" hidden="1">#REF!</definedName>
    <definedName name="BExB0FRDEYDEUEAB1W8KD6D965XA" hidden="1">#REF!</definedName>
    <definedName name="BExB0GIGLDV7P55ZR51C0HG15PA2" localSheetId="8" hidden="1">#REF!</definedName>
    <definedName name="BExB0GIGLDV7P55ZR51C0HG15PA2" localSheetId="19" hidden="1">#REF!</definedName>
    <definedName name="BExB0GIGLDV7P55ZR51C0HG15PA2" hidden="1">#REF!</definedName>
    <definedName name="BExB0KPCN7YJORQAYUCF4YKIKPMC" localSheetId="8" hidden="1">#REF!</definedName>
    <definedName name="BExB0KPCN7YJORQAYUCF4YKIKPMC" localSheetId="19" hidden="1">#REF!</definedName>
    <definedName name="BExB0KPCN7YJORQAYUCF4YKIKPMC" hidden="1">#REF!</definedName>
    <definedName name="BExB0VHQD6ORZS0MIC86QWHCE4UC" localSheetId="8" hidden="1">#REF!</definedName>
    <definedName name="BExB0VHQD6ORZS0MIC86QWHCE4UC" localSheetId="19" hidden="1">#REF!</definedName>
    <definedName name="BExB0VHQD6ORZS0MIC86QWHCE4UC" hidden="1">#REF!</definedName>
    <definedName name="BExB0WE4PI3NOBXXVO9CTEN4DIU2" localSheetId="8" hidden="1">#REF!</definedName>
    <definedName name="BExB0WE4PI3NOBXXVO9CTEN4DIU2" localSheetId="19" hidden="1">#REF!</definedName>
    <definedName name="BExB0WE4PI3NOBXXVO9CTEN4DIU2" hidden="1">#REF!</definedName>
    <definedName name="BExB0Z8O1CQF2CWFBBHE8SNISDAO" localSheetId="8" hidden="1">#REF!</definedName>
    <definedName name="BExB0Z8O1CQF2CWFBBHE8SNISDAO" localSheetId="19" hidden="1">#REF!</definedName>
    <definedName name="BExB0Z8O1CQF2CWFBBHE8SNISDAO" hidden="1">#REF!</definedName>
    <definedName name="BExB10QNIVITUYS55OAEKK3VLJFE" localSheetId="8" hidden="1">#REF!</definedName>
    <definedName name="BExB10QNIVITUYS55OAEKK3VLJFE" localSheetId="19" hidden="1">#REF!</definedName>
    <definedName name="BExB10QNIVITUYS55OAEKK3VLJFE" hidden="1">#REF!</definedName>
    <definedName name="BExB15ZDRY4CIJ911DONP0KCY9KU" localSheetId="8" hidden="1">#REF!</definedName>
    <definedName name="BExB15ZDRY4CIJ911DONP0KCY9KU" localSheetId="19" hidden="1">#REF!</definedName>
    <definedName name="BExB15ZDRY4CIJ911DONP0KCY9KU" hidden="1">#REF!</definedName>
    <definedName name="BExB16VQY0O0RLZYJFU3OFEONVTE" localSheetId="8" hidden="1">#REF!</definedName>
    <definedName name="BExB16VQY0O0RLZYJFU3OFEONVTE" localSheetId="19" hidden="1">#REF!</definedName>
    <definedName name="BExB16VQY0O0RLZYJFU3OFEONVTE" hidden="1">#REF!</definedName>
    <definedName name="BExB1FKNY2UO4W5FUGFHJOA2WFGG" localSheetId="8" hidden="1">#REF!</definedName>
    <definedName name="BExB1FKNY2UO4W5FUGFHJOA2WFGG" localSheetId="19" hidden="1">#REF!</definedName>
    <definedName name="BExB1FKNY2UO4W5FUGFHJOA2WFGG" hidden="1">#REF!</definedName>
    <definedName name="BExB1GMD0PIDGTFBGQOPRWQSP9I4" localSheetId="8" hidden="1">#REF!</definedName>
    <definedName name="BExB1GMD0PIDGTFBGQOPRWQSP9I4" localSheetId="19" hidden="1">#REF!</definedName>
    <definedName name="BExB1GMD0PIDGTFBGQOPRWQSP9I4" hidden="1">#REF!</definedName>
    <definedName name="BExB1HZ0FHGNOS2URJWFD5G55OMO" localSheetId="8" hidden="1">#REF!</definedName>
    <definedName name="BExB1HZ0FHGNOS2URJWFD5G55OMO" localSheetId="19" hidden="1">#REF!</definedName>
    <definedName name="BExB1HZ0FHGNOS2URJWFD5G55OMO" hidden="1">#REF!</definedName>
    <definedName name="BExB1Q29OO6LNFNT1EQLA3KYE7MX" localSheetId="8" hidden="1">#REF!</definedName>
    <definedName name="BExB1Q29OO6LNFNT1EQLA3KYE7MX" localSheetId="19" hidden="1">#REF!</definedName>
    <definedName name="BExB1Q29OO6LNFNT1EQLA3KYE7MX" hidden="1">#REF!</definedName>
    <definedName name="BExB1TNRV5EBWZEHYLHI76T0FVA7" localSheetId="8" hidden="1">#REF!</definedName>
    <definedName name="BExB1TNRV5EBWZEHYLHI76T0FVA7" localSheetId="19" hidden="1">#REF!</definedName>
    <definedName name="BExB1TNRV5EBWZEHYLHI76T0FVA7" hidden="1">#REF!</definedName>
    <definedName name="BExB1WI6M8I0EEP1ANUQZCFY24EV" localSheetId="8" hidden="1">#REF!</definedName>
    <definedName name="BExB1WI6M8I0EEP1ANUQZCFY24EV" localSheetId="19" hidden="1">#REF!</definedName>
    <definedName name="BExB1WI6M8I0EEP1ANUQZCFY24EV" hidden="1">#REF!</definedName>
    <definedName name="BExB203OWC9QZA3BYOKQ18L4FUJE" localSheetId="8" hidden="1">#REF!</definedName>
    <definedName name="BExB203OWC9QZA3BYOKQ18L4FUJE" localSheetId="19" hidden="1">#REF!</definedName>
    <definedName name="BExB203OWC9QZA3BYOKQ18L4FUJE" hidden="1">#REF!</definedName>
    <definedName name="BExB2CJHTU7C591BR4WRL5L2F2K6" localSheetId="8" hidden="1">#REF!</definedName>
    <definedName name="BExB2CJHTU7C591BR4WRL5L2F2K6" localSheetId="19" hidden="1">#REF!</definedName>
    <definedName name="BExB2CJHTU7C591BR4WRL5L2F2K6" hidden="1">#REF!</definedName>
    <definedName name="BExB2K1AV4PGNS1O6C7D7AO411AX" localSheetId="8" hidden="1">#REF!</definedName>
    <definedName name="BExB2K1AV4PGNS1O6C7D7AO411AX" localSheetId="19" hidden="1">#REF!</definedName>
    <definedName name="BExB2K1AV4PGNS1O6C7D7AO411AX" hidden="1">#REF!</definedName>
    <definedName name="BExB2O2UYHKI324YE324E1N7FVIB" localSheetId="8" hidden="1">#REF!</definedName>
    <definedName name="BExB2O2UYHKI324YE324E1N7FVIB" localSheetId="19" hidden="1">#REF!</definedName>
    <definedName name="BExB2O2UYHKI324YE324E1N7FVIB" hidden="1">#REF!</definedName>
    <definedName name="BExB2Q0VJ0MU2URO3JOVUAVHEI3V" localSheetId="8" hidden="1">#REF!</definedName>
    <definedName name="BExB2Q0VJ0MU2URO3JOVUAVHEI3V" localSheetId="19" hidden="1">#REF!</definedName>
    <definedName name="BExB2Q0VJ0MU2URO3JOVUAVHEI3V" hidden="1">#REF!</definedName>
    <definedName name="BExB30IP1DNKNQ6PZ5ERUGR5MK4Z" localSheetId="8" hidden="1">#REF!</definedName>
    <definedName name="BExB30IP1DNKNQ6PZ5ERUGR5MK4Z" localSheetId="19" hidden="1">#REF!</definedName>
    <definedName name="BExB30IP1DNKNQ6PZ5ERUGR5MK4Z" hidden="1">#REF!</definedName>
    <definedName name="BExB385QW2BSSBXS953SSQN2ISSW" localSheetId="8" hidden="1">#REF!</definedName>
    <definedName name="BExB385QW2BSSBXS953SSQN2ISSW" localSheetId="19" hidden="1">#REF!</definedName>
    <definedName name="BExB385QW2BSSBXS953SSQN2ISSW" hidden="1">#REF!</definedName>
    <definedName name="BExB3DEMEV5D9G8FDHD4NQ9X2YNT" localSheetId="8" hidden="1">#REF!</definedName>
    <definedName name="BExB3DEMEV5D9G8FDHD4NQ9X2YNT" localSheetId="19" hidden="1">#REF!</definedName>
    <definedName name="BExB3DEMEV5D9G8FDHD4NQ9X2YNT" hidden="1">#REF!</definedName>
    <definedName name="BExB3RXU8AJQ86I5RXEWLGGR7R7C" localSheetId="8" hidden="1">#REF!</definedName>
    <definedName name="BExB3RXU8AJQ86I5RXEWLGGR7R7C" localSheetId="19" hidden="1">#REF!</definedName>
    <definedName name="BExB3RXU8AJQ86I5RXEWLGGR7R7C" hidden="1">#REF!</definedName>
    <definedName name="BExB442RX0T3L6HUL6X5T21CENW6" localSheetId="8" hidden="1">#REF!</definedName>
    <definedName name="BExB442RX0T3L6HUL6X5T21CENW6" localSheetId="19" hidden="1">#REF!</definedName>
    <definedName name="BExB442RX0T3L6HUL6X5T21CENW6" hidden="1">#REF!</definedName>
    <definedName name="BExB4ADD0L7417CII901XTFKXD1J" localSheetId="8" hidden="1">#REF!</definedName>
    <definedName name="BExB4ADD0L7417CII901XTFKXD1J" localSheetId="19" hidden="1">#REF!</definedName>
    <definedName name="BExB4ADD0L7417CII901XTFKXD1J" hidden="1">#REF!</definedName>
    <definedName name="BExB4DYU06HCGRIPBSWRCXK804UM" localSheetId="8" hidden="1">#REF!</definedName>
    <definedName name="BExB4DYU06HCGRIPBSWRCXK804UM" localSheetId="19" hidden="1">#REF!</definedName>
    <definedName name="BExB4DYU06HCGRIPBSWRCXK804UM" hidden="1">#REF!</definedName>
    <definedName name="BExB4HEZO4E597Q5M4M10LT8TLY3" localSheetId="8" hidden="1">#REF!</definedName>
    <definedName name="BExB4HEZO4E597Q5M4M10LT8TLY3" localSheetId="19" hidden="1">#REF!</definedName>
    <definedName name="BExB4HEZO4E597Q5M4M10LT8TLY3" hidden="1">#REF!</definedName>
    <definedName name="BExB4X01APD3Z8ZW6MVX1P8NAO7G" localSheetId="8" hidden="1">#REF!</definedName>
    <definedName name="BExB4X01APD3Z8ZW6MVX1P8NAO7G" localSheetId="19" hidden="1">#REF!</definedName>
    <definedName name="BExB4X01APD3Z8ZW6MVX1P8NAO7G" hidden="1">#REF!</definedName>
    <definedName name="BExB4Z3EZBGYYI33U0KQ8NEIH8PY" localSheetId="8" hidden="1">#REF!</definedName>
    <definedName name="BExB4Z3EZBGYYI33U0KQ8NEIH8PY" localSheetId="19" hidden="1">#REF!</definedName>
    <definedName name="BExB4Z3EZBGYYI33U0KQ8NEIH8PY" hidden="1">#REF!</definedName>
    <definedName name="BExB4ZJOLU1PXBMG4TPCCLTRMNRE" localSheetId="8" hidden="1">#REF!</definedName>
    <definedName name="BExB4ZJOLU1PXBMG4TPCCLTRMNRE" localSheetId="19" hidden="1">#REF!</definedName>
    <definedName name="BExB4ZJOLU1PXBMG4TPCCLTRMNRE" hidden="1">#REF!</definedName>
    <definedName name="BExB4ZZSDPL4Q05BMVT5TUN0IGKT" localSheetId="8" hidden="1">#REF!</definedName>
    <definedName name="BExB4ZZSDPL4Q05BMVT5TUN0IGKT" localSheetId="19" hidden="1">#REF!</definedName>
    <definedName name="BExB4ZZSDPL4Q05BMVT5TUN0IGKT" hidden="1">#REF!</definedName>
    <definedName name="BExB55368XW7UX657ZSPC6BFE92S" localSheetId="8" hidden="1">#REF!</definedName>
    <definedName name="BExB55368XW7UX657ZSPC6BFE92S" localSheetId="19" hidden="1">#REF!</definedName>
    <definedName name="BExB55368XW7UX657ZSPC6BFE92S" hidden="1">#REF!</definedName>
    <definedName name="BExB57MZEPL2SA2ONPK66YFLZWJU" localSheetId="8" hidden="1">#REF!</definedName>
    <definedName name="BExB57MZEPL2SA2ONPK66YFLZWJU" localSheetId="19" hidden="1">#REF!</definedName>
    <definedName name="BExB57MZEPL2SA2ONPK66YFLZWJU" hidden="1">#REF!</definedName>
    <definedName name="BExB5833OAOJ22VK1YK47FHUSVK2" localSheetId="8" hidden="1">#REF!</definedName>
    <definedName name="BExB5833OAOJ22VK1YK47FHUSVK2" localSheetId="19" hidden="1">#REF!</definedName>
    <definedName name="BExB5833OAOJ22VK1YK47FHUSVK2" hidden="1">#REF!</definedName>
    <definedName name="BExB58JDIHS42JZT9DJJMKA8QFCO" localSheetId="8" hidden="1">#REF!</definedName>
    <definedName name="BExB58JDIHS42JZT9DJJMKA8QFCO" localSheetId="19" hidden="1">#REF!</definedName>
    <definedName name="BExB58JDIHS42JZT9DJJMKA8QFCO" hidden="1">#REF!</definedName>
    <definedName name="BExB58U5FQC5JWV9CGC83HLLZUZI" localSheetId="8" hidden="1">#REF!</definedName>
    <definedName name="BExB58U5FQC5JWV9CGC83HLLZUZI" localSheetId="19" hidden="1">#REF!</definedName>
    <definedName name="BExB58U5FQC5JWV9CGC83HLLZUZI" hidden="1">#REF!</definedName>
    <definedName name="BExB5EDO9XUKHF74X3HAU2WPPHZH" localSheetId="8" hidden="1">#REF!</definedName>
    <definedName name="BExB5EDO9XUKHF74X3HAU2WPPHZH" localSheetId="19" hidden="1">#REF!</definedName>
    <definedName name="BExB5EDO9XUKHF74X3HAU2WPPHZH" hidden="1">#REF!</definedName>
    <definedName name="BExB5EDOQKZIQXT13IG1KLCZ474G" localSheetId="8" hidden="1">#REF!</definedName>
    <definedName name="BExB5EDOQKZIQXT13IG1KLCZ474G" localSheetId="19" hidden="1">#REF!</definedName>
    <definedName name="BExB5EDOQKZIQXT13IG1KLCZ474G" hidden="1">#REF!</definedName>
    <definedName name="BExB5G6EH68AYEP1UT0GHUEL3SLN" localSheetId="8" hidden="1">#REF!</definedName>
    <definedName name="BExB5G6EH68AYEP1UT0GHUEL3SLN" localSheetId="19" hidden="1">#REF!</definedName>
    <definedName name="BExB5G6EH68AYEP1UT0GHUEL3SLN" hidden="1">#REF!</definedName>
    <definedName name="BExB5LVGGXMNUN3D3452G3J62MKF" localSheetId="8" hidden="1">#REF!</definedName>
    <definedName name="BExB5LVGGXMNUN3D3452G3J62MKF" localSheetId="19" hidden="1">#REF!</definedName>
    <definedName name="BExB5LVGGXMNUN3D3452G3J62MKF" hidden="1">#REF!</definedName>
    <definedName name="BExB5QYVEZWFE5DQVHAM760EV05X" localSheetId="8" hidden="1">#REF!</definedName>
    <definedName name="BExB5QYVEZWFE5DQVHAM760EV05X" localSheetId="19" hidden="1">#REF!</definedName>
    <definedName name="BExB5QYVEZWFE5DQVHAM760EV05X" hidden="1">#REF!</definedName>
    <definedName name="BExB5U9IRH14EMOE0YGIE3WIVLFS" localSheetId="8" hidden="1">#REF!</definedName>
    <definedName name="BExB5U9IRH14EMOE0YGIE3WIVLFS" localSheetId="19" hidden="1">#REF!</definedName>
    <definedName name="BExB5U9IRH14EMOE0YGIE3WIVLFS" hidden="1">#REF!</definedName>
    <definedName name="BExB5V5WWQYPK4GCSYZQALJYGC94" localSheetId="8" hidden="1">#REF!</definedName>
    <definedName name="BExB5V5WWQYPK4GCSYZQALJYGC94" localSheetId="19" hidden="1">#REF!</definedName>
    <definedName name="BExB5V5WWQYPK4GCSYZQALJYGC94" hidden="1">#REF!</definedName>
    <definedName name="BExB5VWYMOV6BAIH7XUBBVPU7MMD" localSheetId="8" hidden="1">#REF!</definedName>
    <definedName name="BExB5VWYMOV6BAIH7XUBBVPU7MMD" localSheetId="19" hidden="1">#REF!</definedName>
    <definedName name="BExB5VWYMOV6BAIH7XUBBVPU7MMD" hidden="1">#REF!</definedName>
    <definedName name="BExB610DZWIJP1B72U9QM42COH2B" localSheetId="8" hidden="1">#REF!</definedName>
    <definedName name="BExB610DZWIJP1B72U9QM42COH2B" localSheetId="19" hidden="1">#REF!</definedName>
    <definedName name="BExB610DZWIJP1B72U9QM42COH2B" hidden="1">#REF!</definedName>
    <definedName name="BExB64AX81KEVMGZDXB25NB459SW" localSheetId="8" hidden="1">#REF!</definedName>
    <definedName name="BExB64AX81KEVMGZDXB25NB459SW" localSheetId="19" hidden="1">#REF!</definedName>
    <definedName name="BExB64AX81KEVMGZDXB25NB459SW" hidden="1">#REF!</definedName>
    <definedName name="BExB6C3FUAKK9ML5T767NMWGA9YB" localSheetId="8" hidden="1">#REF!</definedName>
    <definedName name="BExB6C3FUAKK9ML5T767NMWGA9YB" localSheetId="19" hidden="1">#REF!</definedName>
    <definedName name="BExB6C3FUAKK9ML5T767NMWGA9YB" hidden="1">#REF!</definedName>
    <definedName name="BExB6C8X6JYRLKZKK17VE3QUNL3D" localSheetId="8" hidden="1">#REF!</definedName>
    <definedName name="BExB6C8X6JYRLKZKK17VE3QUNL3D" localSheetId="19" hidden="1">#REF!</definedName>
    <definedName name="BExB6C8X6JYRLKZKK17VE3QUNL3D" hidden="1">#REF!</definedName>
    <definedName name="BExB6HN3QRFPXM71MDUK21BKM7PF" localSheetId="8" hidden="1">#REF!</definedName>
    <definedName name="BExB6HN3QRFPXM71MDUK21BKM7PF" localSheetId="19" hidden="1">#REF!</definedName>
    <definedName name="BExB6HN3QRFPXM71MDUK21BKM7PF" hidden="1">#REF!</definedName>
    <definedName name="BExB6I39SKL5BMHHDD9EED7FQD9Z" localSheetId="8" hidden="1">#REF!</definedName>
    <definedName name="BExB6I39SKL5BMHHDD9EED7FQD9Z" localSheetId="19" hidden="1">#REF!</definedName>
    <definedName name="BExB6I39SKL5BMHHDD9EED7FQD9Z" hidden="1">#REF!</definedName>
    <definedName name="BExB6IZMHCZ3LB7N73KD90YB1HBZ" localSheetId="8" hidden="1">#REF!</definedName>
    <definedName name="BExB6IZMHCZ3LB7N73KD90YB1HBZ" localSheetId="19" hidden="1">#REF!</definedName>
    <definedName name="BExB6IZMHCZ3LB7N73KD90YB1HBZ" hidden="1">#REF!</definedName>
    <definedName name="BExB719SGNX4Y8NE6JEXC555K596" localSheetId="8" hidden="1">#REF!</definedName>
    <definedName name="BExB719SGNX4Y8NE6JEXC555K596" localSheetId="19" hidden="1">#REF!</definedName>
    <definedName name="BExB719SGNX4Y8NE6JEXC555K596" hidden="1">#REF!</definedName>
    <definedName name="BExB7265DCHKS7V2OWRBXCZTEIW9" localSheetId="8" hidden="1">#REF!</definedName>
    <definedName name="BExB7265DCHKS7V2OWRBXCZTEIW9" localSheetId="19" hidden="1">#REF!</definedName>
    <definedName name="BExB7265DCHKS7V2OWRBXCZTEIW9" hidden="1">#REF!</definedName>
    <definedName name="BExB74PS5P9G0P09Y6DZSCX0FLTJ" localSheetId="8" hidden="1">#REF!</definedName>
    <definedName name="BExB74PS5P9G0P09Y6DZSCX0FLTJ" localSheetId="19" hidden="1">#REF!</definedName>
    <definedName name="BExB74PS5P9G0P09Y6DZSCX0FLTJ" hidden="1">#REF!</definedName>
    <definedName name="BExB78RH79J0MIF7H8CAZ0CFE88Q" localSheetId="8" hidden="1">#REF!</definedName>
    <definedName name="BExB78RH79J0MIF7H8CAZ0CFE88Q" localSheetId="19" hidden="1">#REF!</definedName>
    <definedName name="BExB78RH79J0MIF7H8CAZ0CFE88Q" hidden="1">#REF!</definedName>
    <definedName name="BExB7ELT09HGDVO5BJC1ZY9D09GZ" localSheetId="8" hidden="1">#REF!</definedName>
    <definedName name="BExB7ELT09HGDVO5BJC1ZY9D09GZ" localSheetId="19" hidden="1">#REF!</definedName>
    <definedName name="BExB7ELT09HGDVO5BJC1ZY9D09GZ" hidden="1">#REF!</definedName>
    <definedName name="BExB7F7EIHG0MYMQYUVG9HIZPHMZ" localSheetId="8" hidden="1">#REF!</definedName>
    <definedName name="BExB7F7EIHG0MYMQYUVG9HIZPHMZ" localSheetId="19" hidden="1">#REF!</definedName>
    <definedName name="BExB7F7EIHG0MYMQYUVG9HIZPHMZ" hidden="1">#REF!</definedName>
    <definedName name="BExB806PAXX70XUTA3ZI7OORD78R" localSheetId="8" hidden="1">#REF!</definedName>
    <definedName name="BExB806PAXX70XUTA3ZI7OORD78R" localSheetId="19" hidden="1">#REF!</definedName>
    <definedName name="BExB806PAXX70XUTA3ZI7OORD78R" hidden="1">#REF!</definedName>
    <definedName name="BExB83199EQQS6I5HE7WADNCK8OE" localSheetId="8" hidden="1">#REF!</definedName>
    <definedName name="BExB83199EQQS6I5HE7WADNCK8OE" localSheetId="19" hidden="1">#REF!</definedName>
    <definedName name="BExB83199EQQS6I5HE7WADNCK8OE" hidden="1">#REF!</definedName>
    <definedName name="BExB8HF4UBVZKQCSRFRUQL2EE6VL" localSheetId="8" hidden="1">#REF!</definedName>
    <definedName name="BExB8HF4UBVZKQCSRFRUQL2EE6VL" localSheetId="19" hidden="1">#REF!</definedName>
    <definedName name="BExB8HF4UBVZKQCSRFRUQL2EE6VL" hidden="1">#REF!</definedName>
    <definedName name="BExB8HKHKZ1ORJZUYGG2M4VSCC39" localSheetId="8" hidden="1">#REF!</definedName>
    <definedName name="BExB8HKHKZ1ORJZUYGG2M4VSCC39" localSheetId="19" hidden="1">#REF!</definedName>
    <definedName name="BExB8HKHKZ1ORJZUYGG2M4VSCC39" hidden="1">#REF!</definedName>
    <definedName name="BExB8HV9YUS1Q77M9SNFRKDLU5HS" localSheetId="8" hidden="1">#REF!</definedName>
    <definedName name="BExB8HV9YUS1Q77M9SNFRKDLU5HS" localSheetId="19" hidden="1">#REF!</definedName>
    <definedName name="BExB8HV9YUS1Q77M9SNFRKDLU5HS" hidden="1">#REF!</definedName>
    <definedName name="BExB8QPH8DC5BESEVPSMBCWVN6PO" localSheetId="8" hidden="1">#REF!</definedName>
    <definedName name="BExB8QPH8DC5BESEVPSMBCWVN6PO" localSheetId="19" hidden="1">#REF!</definedName>
    <definedName name="BExB8QPH8DC5BESEVPSMBCWVN6PO" hidden="1">#REF!</definedName>
    <definedName name="BExB8U5N0D85YR8APKN3PPKG0FWP" localSheetId="8" hidden="1">#REF!</definedName>
    <definedName name="BExB8U5N0D85YR8APKN3PPKG0FWP" localSheetId="19" hidden="1">#REF!</definedName>
    <definedName name="BExB8U5N0D85YR8APKN3PPKG0FWP" hidden="1">#REF!</definedName>
    <definedName name="BExB93G413CK5DKO7925ZHSOBGIN" localSheetId="8" hidden="1">#REF!</definedName>
    <definedName name="BExB93G413CK5DKO7925ZHSOBGIN" localSheetId="19" hidden="1">#REF!</definedName>
    <definedName name="BExB93G413CK5DKO7925ZHSOBGIN" hidden="1">#REF!</definedName>
    <definedName name="BExB96LBXL1JW5A4PP93UJ9UDLKZ" localSheetId="8" hidden="1">#REF!</definedName>
    <definedName name="BExB96LBXL1JW5A4PP93UJ9UDLKZ" localSheetId="19" hidden="1">#REF!</definedName>
    <definedName name="BExB96LBXL1JW5A4PP93UJ9UDLKZ" hidden="1">#REF!</definedName>
    <definedName name="BExB9DHI5I2TJ2LXYPM98EE81L27" localSheetId="8" hidden="1">#REF!</definedName>
    <definedName name="BExB9DHI5I2TJ2LXYPM98EE81L27" localSheetId="19" hidden="1">#REF!</definedName>
    <definedName name="BExB9DHI5I2TJ2LXYPM98EE81L27" hidden="1">#REF!</definedName>
    <definedName name="BExB9G6LZG5OQUY0GZLHX066V3D4" localSheetId="8" hidden="1">#REF!</definedName>
    <definedName name="BExB9G6LZG5OQUY0GZLHX066V3D4" localSheetId="19" hidden="1">#REF!</definedName>
    <definedName name="BExB9G6LZG5OQUY0GZLHX066V3D4" hidden="1">#REF!</definedName>
    <definedName name="BExB9IFG9FW3RQUDIMDFKIYDB4HE" localSheetId="8" hidden="1">#REF!</definedName>
    <definedName name="BExB9IFG9FW3RQUDIMDFKIYDB4HE" localSheetId="19" hidden="1">#REF!</definedName>
    <definedName name="BExB9IFG9FW3RQUDIMDFKIYDB4HE" hidden="1">#REF!</definedName>
    <definedName name="BExB9NDIZ7LGMTL8351GRA6VK2K0" localSheetId="8" hidden="1">#REF!</definedName>
    <definedName name="BExB9NDIZ7LGMTL8351GRA6VK2K0" localSheetId="19" hidden="1">#REF!</definedName>
    <definedName name="BExB9NDIZ7LGMTL8351GRA6VK2K0" hidden="1">#REF!</definedName>
    <definedName name="BExB9Q2MZZHBGW8QQKVEYIMJBPIE" localSheetId="8" hidden="1">#REF!</definedName>
    <definedName name="BExB9Q2MZZHBGW8QQKVEYIMJBPIE" localSheetId="19" hidden="1">#REF!</definedName>
    <definedName name="BExB9Q2MZZHBGW8QQKVEYIMJBPIE" hidden="1">#REF!</definedName>
    <definedName name="BExBA1GON0EZRJ20UYPILAPLNQWM" localSheetId="8" hidden="1">#REF!</definedName>
    <definedName name="BExBA1GON0EZRJ20UYPILAPLNQWM" localSheetId="19" hidden="1">#REF!</definedName>
    <definedName name="BExBA1GON0EZRJ20UYPILAPLNQWM" hidden="1">#REF!</definedName>
    <definedName name="BExBA525BALJ5HMTDMMSM5WWJ1YW" localSheetId="8" hidden="1">#REF!</definedName>
    <definedName name="BExBA525BALJ5HMTDMMSM5WWJ1YW" localSheetId="19" hidden="1">#REF!</definedName>
    <definedName name="BExBA525BALJ5HMTDMMSM5WWJ1YW" hidden="1">#REF!</definedName>
    <definedName name="BExBA69ASGYRZW1G1DYIS9QRRTBN" localSheetId="8" hidden="1">#REF!</definedName>
    <definedName name="BExBA69ASGYRZW1G1DYIS9QRRTBN" localSheetId="19" hidden="1">#REF!</definedName>
    <definedName name="BExBA69ASGYRZW1G1DYIS9QRRTBN" hidden="1">#REF!</definedName>
    <definedName name="BExBA6K42582A14WFFWQ3Q8QQWB6" localSheetId="8" hidden="1">#REF!</definedName>
    <definedName name="BExBA6K42582A14WFFWQ3Q8QQWB6" localSheetId="19" hidden="1">#REF!</definedName>
    <definedName name="BExBA6K42582A14WFFWQ3Q8QQWB6" hidden="1">#REF!</definedName>
    <definedName name="BExBA8I5D4R8R2PYQ1K16TWGTOEP" localSheetId="8" hidden="1">#REF!</definedName>
    <definedName name="BExBA8I5D4R8R2PYQ1K16TWGTOEP" localSheetId="19" hidden="1">#REF!</definedName>
    <definedName name="BExBA8I5D4R8R2PYQ1K16TWGTOEP" hidden="1">#REF!</definedName>
    <definedName name="BExBA93PE0DGUUTA7LLSIGBIXWE5" localSheetId="8" hidden="1">#REF!</definedName>
    <definedName name="BExBA93PE0DGUUTA7LLSIGBIXWE5" localSheetId="19" hidden="1">#REF!</definedName>
    <definedName name="BExBA93PE0DGUUTA7LLSIGBIXWE5" hidden="1">#REF!</definedName>
    <definedName name="BExBABCQMR685CQ1SC8CECO7GTGB" localSheetId="8" hidden="1">#REF!</definedName>
    <definedName name="BExBABCQMR685CQ1SC8CECO7GTGB" localSheetId="19" hidden="1">#REF!</definedName>
    <definedName name="BExBABCQMR685CQ1SC8CECO7GTGB" hidden="1">#REF!</definedName>
    <definedName name="BExBAI8X0FKDQJ6YZJQDTTG4ZCWY" localSheetId="8" hidden="1">#REF!</definedName>
    <definedName name="BExBAI8X0FKDQJ6YZJQDTTG4ZCWY" localSheetId="19" hidden="1">#REF!</definedName>
    <definedName name="BExBAI8X0FKDQJ6YZJQDTTG4ZCWY" hidden="1">#REF!</definedName>
    <definedName name="BExBAKN7XIBAXCF9PCNVS038PCQO" localSheetId="8" hidden="1">#REF!</definedName>
    <definedName name="BExBAKN7XIBAXCF9PCNVS038PCQO" localSheetId="19" hidden="1">#REF!</definedName>
    <definedName name="BExBAKN7XIBAXCF9PCNVS038PCQO" hidden="1">#REF!</definedName>
    <definedName name="BExBAKXZ7PBW3DDKKA5MWC1ZUC7O" localSheetId="8" hidden="1">#REF!</definedName>
    <definedName name="BExBAKXZ7PBW3DDKKA5MWC1ZUC7O" localSheetId="19" hidden="1">#REF!</definedName>
    <definedName name="BExBAKXZ7PBW3DDKKA5MWC1ZUC7O" hidden="1">#REF!</definedName>
    <definedName name="BExBAO8NLXZXHO6KCIECSFCH3RR0" localSheetId="8" hidden="1">#REF!</definedName>
    <definedName name="BExBAO8NLXZXHO6KCIECSFCH3RR0" localSheetId="19" hidden="1">#REF!</definedName>
    <definedName name="BExBAO8NLXZXHO6KCIECSFCH3RR0" hidden="1">#REF!</definedName>
    <definedName name="BExBAOOT1KBSIEISN1ADL4RMY879" localSheetId="8" hidden="1">#REF!</definedName>
    <definedName name="BExBAOOT1KBSIEISN1ADL4RMY879" localSheetId="19" hidden="1">#REF!</definedName>
    <definedName name="BExBAOOT1KBSIEISN1ADL4RMY879" hidden="1">#REF!</definedName>
    <definedName name="BExBAVKX8Q09370X1GCZWJ4E91YJ" localSheetId="8" hidden="1">#REF!</definedName>
    <definedName name="BExBAVKX8Q09370X1GCZWJ4E91YJ" localSheetId="19" hidden="1">#REF!</definedName>
    <definedName name="BExBAVKX8Q09370X1GCZWJ4E91YJ" hidden="1">#REF!</definedName>
    <definedName name="BExBAX2X2ENJYO4QTR5VAIQ86L7B" localSheetId="8" hidden="1">#REF!</definedName>
    <definedName name="BExBAX2X2ENJYO4QTR5VAIQ86L7B" localSheetId="19" hidden="1">#REF!</definedName>
    <definedName name="BExBAX2X2ENJYO4QTR5VAIQ86L7B" hidden="1">#REF!</definedName>
    <definedName name="BExBAZ13D3F1DVJQ6YJ8JGUYEYJE" localSheetId="8" hidden="1">#REF!</definedName>
    <definedName name="BExBAZ13D3F1DVJQ6YJ8JGUYEYJE" localSheetId="19" hidden="1">#REF!</definedName>
    <definedName name="BExBAZ13D3F1DVJQ6YJ8JGUYEYJE" hidden="1">#REF!</definedName>
    <definedName name="BExBBMPCB1QOZY8WWEX4J21JDE6U" localSheetId="8" hidden="1">#REF!</definedName>
    <definedName name="BExBBMPCB1QOZY8WWEX4J21JDE6U" localSheetId="19" hidden="1">#REF!</definedName>
    <definedName name="BExBBMPCB1QOZY8WWEX4J21JDE6U" hidden="1">#REF!</definedName>
    <definedName name="BExBBU1QQWUE0YFG7O1TN0RFLSSG" localSheetId="8" hidden="1">#REF!</definedName>
    <definedName name="BExBBU1QQWUE0YFG7O1TN0RFLSSG" localSheetId="19" hidden="1">#REF!</definedName>
    <definedName name="BExBBU1QQWUE0YFG7O1TN0RFLSSG" hidden="1">#REF!</definedName>
    <definedName name="BExBBUCJQRR74Q7GPWDEZXYK2KJL" localSheetId="8" hidden="1">#REF!</definedName>
    <definedName name="BExBBUCJQRR74Q7GPWDEZXYK2KJL" localSheetId="19" hidden="1">#REF!</definedName>
    <definedName name="BExBBUCJQRR74Q7GPWDEZXYK2KJL" hidden="1">#REF!</definedName>
    <definedName name="BExBBV8XVMD9CKZY711T0BN7H3PM" localSheetId="8" hidden="1">#REF!</definedName>
    <definedName name="BExBBV8XVMD9CKZY711T0BN7H3PM" localSheetId="19" hidden="1">#REF!</definedName>
    <definedName name="BExBBV8XVMD9CKZY711T0BN7H3PM" hidden="1">#REF!</definedName>
    <definedName name="BExBC78HXWXHO3XAB6E8NVTBGLJS" localSheetId="8" hidden="1">#REF!</definedName>
    <definedName name="BExBC78HXWXHO3XAB6E8NVTBGLJS" localSheetId="19" hidden="1">#REF!</definedName>
    <definedName name="BExBC78HXWXHO3XAB6E8NVTBGLJS" hidden="1">#REF!</definedName>
    <definedName name="BExBCFH3SMGZ2IPHFB6BCM9O3W0H" localSheetId="8" hidden="1">#REF!</definedName>
    <definedName name="BExBCFH3SMGZ2IPHFB6BCM9O3W0H" localSheetId="19" hidden="1">#REF!</definedName>
    <definedName name="BExBCFH3SMGZ2IPHFB6BCM9O3W0H" hidden="1">#REF!</definedName>
    <definedName name="BExBCK9SCAABKOT9IP6TEPRR7YDT" localSheetId="8" hidden="1">#REF!</definedName>
    <definedName name="BExBCK9SCAABKOT9IP6TEPRR7YDT" localSheetId="19" hidden="1">#REF!</definedName>
    <definedName name="BExBCK9SCAABKOT9IP6TEPRR7YDT" hidden="1">#REF!</definedName>
    <definedName name="BExBCKKJFFT2RP50WNPKBT7X8PJ3" localSheetId="8" hidden="1">#REF!</definedName>
    <definedName name="BExBCKKJFFT2RP50WNPKBT7X8PJ3" localSheetId="19" hidden="1">#REF!</definedName>
    <definedName name="BExBCKKJFFT2RP50WNPKBT7X8PJ3" hidden="1">#REF!</definedName>
    <definedName name="BExBCKKJTIRKC1RZJRTK65HHLX4W" localSheetId="8" hidden="1">#REF!</definedName>
    <definedName name="BExBCKKJTIRKC1RZJRTK65HHLX4W" localSheetId="19" hidden="1">#REF!</definedName>
    <definedName name="BExBCKKJTIRKC1RZJRTK65HHLX4W" hidden="1">#REF!</definedName>
    <definedName name="BExBCLMEPAN3XXX174TU8SS0627Q" localSheetId="8" hidden="1">#REF!</definedName>
    <definedName name="BExBCLMEPAN3XXX174TU8SS0627Q" localSheetId="19" hidden="1">#REF!</definedName>
    <definedName name="BExBCLMEPAN3XXX174TU8SS0627Q" hidden="1">#REF!</definedName>
    <definedName name="BExBCRBEYR2KZ8FAQFZ2NHY13WIY" localSheetId="8" hidden="1">#REF!</definedName>
    <definedName name="BExBCRBEYR2KZ8FAQFZ2NHY13WIY" localSheetId="19" hidden="1">#REF!</definedName>
    <definedName name="BExBCRBEYR2KZ8FAQFZ2NHY13WIY" hidden="1">#REF!</definedName>
    <definedName name="BExBD4I559NXSV6J07Q343TKYMVJ" localSheetId="8" hidden="1">#REF!</definedName>
    <definedName name="BExBD4I559NXSV6J07Q343TKYMVJ" localSheetId="19" hidden="1">#REF!</definedName>
    <definedName name="BExBD4I559NXSV6J07Q343TKYMVJ" hidden="1">#REF!</definedName>
    <definedName name="BExBD9W8C0W9N6L1AFL18JP4H94W" localSheetId="8" hidden="1">#REF!</definedName>
    <definedName name="BExBD9W8C0W9N6L1AFL18JP4H94W" localSheetId="19" hidden="1">#REF!</definedName>
    <definedName name="BExBD9W8C0W9N6L1AFL18JP4H94W" hidden="1">#REF!</definedName>
    <definedName name="BExBDBZQLTX3OGFYGULQFK5WEZU5" localSheetId="8" hidden="1">#REF!</definedName>
    <definedName name="BExBDBZQLTX3OGFYGULQFK5WEZU5" localSheetId="19" hidden="1">#REF!</definedName>
    <definedName name="BExBDBZQLTX3OGFYGULQFK5WEZU5" hidden="1">#REF!</definedName>
    <definedName name="BExBDJS9TUEU8Z84IV59E5V4T8K6" localSheetId="8" hidden="1">#REF!</definedName>
    <definedName name="BExBDJS9TUEU8Z84IV59E5V4T8K6" localSheetId="19" hidden="1">#REF!</definedName>
    <definedName name="BExBDJS9TUEU8Z84IV59E5V4T8K6" hidden="1">#REF!</definedName>
    <definedName name="BExBDKOMSVH4XMH52CFJ3F028I9R" localSheetId="8" hidden="1">#REF!</definedName>
    <definedName name="BExBDKOMSVH4XMH52CFJ3F028I9R" localSheetId="19" hidden="1">#REF!</definedName>
    <definedName name="BExBDKOMSVH4XMH52CFJ3F028I9R" hidden="1">#REF!</definedName>
    <definedName name="BExBDSRXVZQ0W5WXQMP5XD00GRRL" localSheetId="8" hidden="1">#REF!</definedName>
    <definedName name="BExBDSRXVZQ0W5WXQMP5XD00GRRL" localSheetId="19" hidden="1">#REF!</definedName>
    <definedName name="BExBDSRXVZQ0W5WXQMP5XD00GRRL" hidden="1">#REF!</definedName>
    <definedName name="BExBDTJ0J7XEHB9OATXFF5I8FZBJ" localSheetId="8" hidden="1">#REF!</definedName>
    <definedName name="BExBDTJ0J7XEHB9OATXFF5I8FZBJ" localSheetId="19" hidden="1">#REF!</definedName>
    <definedName name="BExBDTJ0J7XEHB9OATXFF5I8FZBJ" hidden="1">#REF!</definedName>
    <definedName name="BExBDUVGK3E1J4JY9ZYTS7V14BLY" localSheetId="8" hidden="1">#REF!</definedName>
    <definedName name="BExBDUVGK3E1J4JY9ZYTS7V14BLY" localSheetId="19" hidden="1">#REF!</definedName>
    <definedName name="BExBDUVGK3E1J4JY9ZYTS7V14BLY" hidden="1">#REF!</definedName>
    <definedName name="BExBE0KGY14GSWOGPU4HSJRLD2UD" localSheetId="8" hidden="1">#REF!</definedName>
    <definedName name="BExBE0KGY14GSWOGPU4HSJRLD2UD" localSheetId="19" hidden="1">#REF!</definedName>
    <definedName name="BExBE0KGY14GSWOGPU4HSJRLD2UD" hidden="1">#REF!</definedName>
    <definedName name="BExBE162OSBKD30I7T1DKKPT3I9I" localSheetId="8" hidden="1">#REF!</definedName>
    <definedName name="BExBE162OSBKD30I7T1DKKPT3I9I" localSheetId="19" hidden="1">#REF!</definedName>
    <definedName name="BExBE162OSBKD30I7T1DKKPT3I9I" hidden="1">#REF!</definedName>
    <definedName name="BExBEC9ATLQZF86W1M3APSM4HEOH" localSheetId="8" hidden="1">#REF!</definedName>
    <definedName name="BExBEC9ATLQZF86W1M3APSM4HEOH" localSheetId="19" hidden="1">#REF!</definedName>
    <definedName name="BExBEC9ATLQZF86W1M3APSM4HEOH" hidden="1">#REF!</definedName>
    <definedName name="BExBEXU4CFCM1P5CTZ4NE14PBGDA" localSheetId="8" hidden="1">#REF!</definedName>
    <definedName name="BExBEXU4CFCM1P5CTZ4NE14PBGDA" localSheetId="19" hidden="1">#REF!</definedName>
    <definedName name="BExBEXU4CFCM1P5CTZ4NE14PBGDA" hidden="1">#REF!</definedName>
    <definedName name="BExBEYFQJE9YK12A6JBMRFKEC7RN" localSheetId="8" hidden="1">#REF!</definedName>
    <definedName name="BExBEYFQJE9YK12A6JBMRFKEC7RN" localSheetId="19" hidden="1">#REF!</definedName>
    <definedName name="BExBEYFQJE9YK12A6JBMRFKEC7RN" hidden="1">#REF!</definedName>
    <definedName name="BExBG1ED81J2O4A2S5F5Y3BPHMCR" localSheetId="8" hidden="1">#REF!</definedName>
    <definedName name="BExBG1ED81J2O4A2S5F5Y3BPHMCR" localSheetId="19" hidden="1">#REF!</definedName>
    <definedName name="BExBG1ED81J2O4A2S5F5Y3BPHMCR" hidden="1">#REF!</definedName>
    <definedName name="BExCRK0K58VDM9V35DGI6VK8C92V" localSheetId="8" hidden="1">#REF!</definedName>
    <definedName name="BExCRK0K58VDM9V35DGI6VK8C92V" localSheetId="19" hidden="1">#REF!</definedName>
    <definedName name="BExCRK0K58VDM9V35DGI6VK8C92V" hidden="1">#REF!</definedName>
    <definedName name="BExCRLIHS7466WFJ3RPIUGGXYESZ" localSheetId="8" hidden="1">#REF!</definedName>
    <definedName name="BExCRLIHS7466WFJ3RPIUGGXYESZ" localSheetId="19" hidden="1">#REF!</definedName>
    <definedName name="BExCRLIHS7466WFJ3RPIUGGXYESZ" hidden="1">#REF!</definedName>
    <definedName name="BExCRXSXMF4LHAQZHN64FXJPMVZ7" localSheetId="8" hidden="1">#REF!</definedName>
    <definedName name="BExCRXSXMF4LHAQZHN64FXJPMVZ7" localSheetId="19" hidden="1">#REF!</definedName>
    <definedName name="BExCRXSXMF4LHAQZHN64FXJPMVZ7" hidden="1">#REF!</definedName>
    <definedName name="BExCS1EDDUEAEWHVYXHIP9I1WCJH" localSheetId="8" hidden="1">#REF!</definedName>
    <definedName name="BExCS1EDDUEAEWHVYXHIP9I1WCJH" localSheetId="19" hidden="1">#REF!</definedName>
    <definedName name="BExCS1EDDUEAEWHVYXHIP9I1WCJH" hidden="1">#REF!</definedName>
    <definedName name="BExCS1P5QG0X3OTHKX07RALOE5T5" localSheetId="8" hidden="1">#REF!</definedName>
    <definedName name="BExCS1P5QG0X3OTHKX07RALOE5T5" localSheetId="19" hidden="1">#REF!</definedName>
    <definedName name="BExCS1P5QG0X3OTHKX07RALOE5T5" hidden="1">#REF!</definedName>
    <definedName name="BExCS7ZPMHFJ4UJDAL8CQOLSZ13B" localSheetId="8" hidden="1">#REF!</definedName>
    <definedName name="BExCS7ZPMHFJ4UJDAL8CQOLSZ13B" localSheetId="19" hidden="1">#REF!</definedName>
    <definedName name="BExCS7ZPMHFJ4UJDAL8CQOLSZ13B" hidden="1">#REF!</definedName>
    <definedName name="BExCS8W4NJUZH9S1CYB6XSDLEPBW" localSheetId="8" hidden="1">#REF!</definedName>
    <definedName name="BExCS8W4NJUZH9S1CYB6XSDLEPBW" localSheetId="19" hidden="1">#REF!</definedName>
    <definedName name="BExCS8W4NJUZH9S1CYB6XSDLEPBW" hidden="1">#REF!</definedName>
    <definedName name="BExCSAE1M6G20R41J0Y24YNN0YC1" localSheetId="8" hidden="1">#REF!</definedName>
    <definedName name="BExCSAE1M6G20R41J0Y24YNN0YC1" localSheetId="19" hidden="1">#REF!</definedName>
    <definedName name="BExCSAE1M6G20R41J0Y24YNN0YC1" hidden="1">#REF!</definedName>
    <definedName name="BExCSAOUZOYKHN7HV511TO8VDJ02" localSheetId="8" hidden="1">#REF!</definedName>
    <definedName name="BExCSAOUZOYKHN7HV511TO8VDJ02" localSheetId="19" hidden="1">#REF!</definedName>
    <definedName name="BExCSAOUZOYKHN7HV511TO8VDJ02" hidden="1">#REF!</definedName>
    <definedName name="BExCSJ2XVKHN6ULCF7JML0TCRKEO" localSheetId="8" hidden="1">#REF!</definedName>
    <definedName name="BExCSJ2XVKHN6ULCF7JML0TCRKEO" localSheetId="19" hidden="1">#REF!</definedName>
    <definedName name="BExCSJ2XVKHN6ULCF7JML0TCRKEO" hidden="1">#REF!</definedName>
    <definedName name="BExCSMOFTXSUEC1T46LR1UPYRCX5" localSheetId="8" hidden="1">#REF!</definedName>
    <definedName name="BExCSMOFTXSUEC1T46LR1UPYRCX5" localSheetId="19" hidden="1">#REF!</definedName>
    <definedName name="BExCSMOFTXSUEC1T46LR1UPYRCX5" hidden="1">#REF!</definedName>
    <definedName name="BExCSSDG3TM6TPKS19E9QYJEELZ6" localSheetId="8" hidden="1">#REF!</definedName>
    <definedName name="BExCSSDG3TM6TPKS19E9QYJEELZ6" localSheetId="19" hidden="1">#REF!</definedName>
    <definedName name="BExCSSDG3TM6TPKS19E9QYJEELZ6" hidden="1">#REF!</definedName>
    <definedName name="BExCSZV7U67UWXL2HKJNM5W1E4OO" localSheetId="8" hidden="1">#REF!</definedName>
    <definedName name="BExCSZV7U67UWXL2HKJNM5W1E4OO" localSheetId="19" hidden="1">#REF!</definedName>
    <definedName name="BExCSZV7U67UWXL2HKJNM5W1E4OO" hidden="1">#REF!</definedName>
    <definedName name="BExCT4NSDT61OCH04Y2QIFIOP75H" localSheetId="8" hidden="1">#REF!</definedName>
    <definedName name="BExCT4NSDT61OCH04Y2QIFIOP75H" localSheetId="19" hidden="1">#REF!</definedName>
    <definedName name="BExCT4NSDT61OCH04Y2QIFIOP75H" hidden="1">#REF!</definedName>
    <definedName name="BExCTHZWIPJVLE56GATEFKPIKLK2" localSheetId="8" hidden="1">#REF!</definedName>
    <definedName name="BExCTHZWIPJVLE56GATEFKPIKLK2" localSheetId="19" hidden="1">#REF!</definedName>
    <definedName name="BExCTHZWIPJVLE56GATEFKPIKLK2" hidden="1">#REF!</definedName>
    <definedName name="BExCTW8G3VCZ55S09HTUGXKB1P2M" localSheetId="8" hidden="1">#REF!</definedName>
    <definedName name="BExCTW8G3VCZ55S09HTUGXKB1P2M" localSheetId="19" hidden="1">#REF!</definedName>
    <definedName name="BExCTW8G3VCZ55S09HTUGXKB1P2M" hidden="1">#REF!</definedName>
    <definedName name="BExCTYS2KX0QANOLT8LGZ9WV3S3T" localSheetId="8" hidden="1">#REF!</definedName>
    <definedName name="BExCTYS2KX0QANOLT8LGZ9WV3S3T" localSheetId="19" hidden="1">#REF!</definedName>
    <definedName name="BExCTYS2KX0QANOLT8LGZ9WV3S3T" hidden="1">#REF!</definedName>
    <definedName name="BExCTZ2V6H9TT6LFGK3SADZ2TIGQ" localSheetId="8" hidden="1">#REF!</definedName>
    <definedName name="BExCTZ2V6H9TT6LFGK3SADZ2TIGQ" localSheetId="19" hidden="1">#REF!</definedName>
    <definedName name="BExCTZ2V6H9TT6LFGK3SADZ2TIGQ" hidden="1">#REF!</definedName>
    <definedName name="BExCTZZ9JNES4EDHW97NP0EGQALX" localSheetId="8" hidden="1">#REF!</definedName>
    <definedName name="BExCTZZ9JNES4EDHW97NP0EGQALX" localSheetId="19" hidden="1">#REF!</definedName>
    <definedName name="BExCTZZ9JNES4EDHW97NP0EGQALX" hidden="1">#REF!</definedName>
    <definedName name="BExCU0A1V6NMZQ9ASYJ8QIVQ5UR2" localSheetId="8" hidden="1">#REF!</definedName>
    <definedName name="BExCU0A1V6NMZQ9ASYJ8QIVQ5UR2" localSheetId="19" hidden="1">#REF!</definedName>
    <definedName name="BExCU0A1V6NMZQ9ASYJ8QIVQ5UR2" hidden="1">#REF!</definedName>
    <definedName name="BExCU2834920JBHSPCRC4UF80OLL" localSheetId="8" hidden="1">#REF!</definedName>
    <definedName name="BExCU2834920JBHSPCRC4UF80OLL" localSheetId="19" hidden="1">#REF!</definedName>
    <definedName name="BExCU2834920JBHSPCRC4UF80OLL" hidden="1">#REF!</definedName>
    <definedName name="BExCU8O54I3P3WRYWY1CRP3S78QY" localSheetId="8" hidden="1">#REF!</definedName>
    <definedName name="BExCU8O54I3P3WRYWY1CRP3S78QY" localSheetId="19" hidden="1">#REF!</definedName>
    <definedName name="BExCU8O54I3P3WRYWY1CRP3S78QY" hidden="1">#REF!</definedName>
    <definedName name="BExCUDRJO23YOKT8GPWOVQ4XEHF5" localSheetId="8" hidden="1">#REF!</definedName>
    <definedName name="BExCUDRJO23YOKT8GPWOVQ4XEHF5" localSheetId="19" hidden="1">#REF!</definedName>
    <definedName name="BExCUDRJO23YOKT8GPWOVQ4XEHF5" hidden="1">#REF!</definedName>
    <definedName name="BExCULEOALM7SEHVMQC4B4N25MRM" localSheetId="8" hidden="1">#REF!</definedName>
    <definedName name="BExCULEOALM7SEHVMQC4B4N25MRM" localSheetId="19" hidden="1">#REF!</definedName>
    <definedName name="BExCULEOALM7SEHVMQC4B4N25MRM" hidden="1">#REF!</definedName>
    <definedName name="BExCUPAXFR16YMWL30ME3F3BSRDZ" localSheetId="8" hidden="1">#REF!</definedName>
    <definedName name="BExCUPAXFR16YMWL30ME3F3BSRDZ" localSheetId="19" hidden="1">#REF!</definedName>
    <definedName name="BExCUPAXFR16YMWL30ME3F3BSRDZ" hidden="1">#REF!</definedName>
    <definedName name="BExCUR94DHCE47PUUWEMT5QZOYR2" localSheetId="8" hidden="1">#REF!</definedName>
    <definedName name="BExCUR94DHCE47PUUWEMT5QZOYR2" localSheetId="19" hidden="1">#REF!</definedName>
    <definedName name="BExCUR94DHCE47PUUWEMT5QZOYR2" hidden="1">#REF!</definedName>
    <definedName name="BExCV5HJSTBNPQZVGYJY9AZ4IJ26" localSheetId="8" hidden="1">#REF!</definedName>
    <definedName name="BExCV5HJSTBNPQZVGYJY9AZ4IJ26" localSheetId="19" hidden="1">#REF!</definedName>
    <definedName name="BExCV5HJSTBNPQZVGYJY9AZ4IJ26" hidden="1">#REF!</definedName>
    <definedName name="BExCV634L7SVHGB0UDDTRRQ2Q72H" localSheetId="8" hidden="1">#REF!</definedName>
    <definedName name="BExCV634L7SVHGB0UDDTRRQ2Q72H" localSheetId="19" hidden="1">#REF!</definedName>
    <definedName name="BExCV634L7SVHGB0UDDTRRQ2Q72H" hidden="1">#REF!</definedName>
    <definedName name="BExCVBXGSXT9FWJRG62PX9S1RK83" localSheetId="8" hidden="1">#REF!</definedName>
    <definedName name="BExCVBXGSXT9FWJRG62PX9S1RK83" localSheetId="19" hidden="1">#REF!</definedName>
    <definedName name="BExCVBXGSXT9FWJRG62PX9S1RK83" hidden="1">#REF!</definedName>
    <definedName name="BExCVHBNLOHNFS0JAV3I1XGPNH9W" localSheetId="8" hidden="1">#REF!</definedName>
    <definedName name="BExCVHBNLOHNFS0JAV3I1XGPNH9W" localSheetId="19" hidden="1">#REF!</definedName>
    <definedName name="BExCVHBNLOHNFS0JAV3I1XGPNH9W" hidden="1">#REF!</definedName>
    <definedName name="BExCVI86R31A2IOZIEBY1FJLVILD" localSheetId="8" hidden="1">#REF!</definedName>
    <definedName name="BExCVI86R31A2IOZIEBY1FJLVILD" localSheetId="19" hidden="1">#REF!</definedName>
    <definedName name="BExCVI86R31A2IOZIEBY1FJLVILD" hidden="1">#REF!</definedName>
    <definedName name="BExCVKGZXE0I9EIXKBZVSGSEY2RR" localSheetId="8" hidden="1">#REF!</definedName>
    <definedName name="BExCVKGZXE0I9EIXKBZVSGSEY2RR" localSheetId="19" hidden="1">#REF!</definedName>
    <definedName name="BExCVKGZXE0I9EIXKBZVSGSEY2RR" hidden="1">#REF!</definedName>
    <definedName name="BExCVNROVORCSNX9HKHKPHY0URS3" localSheetId="8" hidden="1">#REF!</definedName>
    <definedName name="BExCVNROVORCSNX9HKHKPHY0URS3" localSheetId="19" hidden="1">#REF!</definedName>
    <definedName name="BExCVNROVORCSNX9HKHKPHY0URS3" hidden="1">#REF!</definedName>
    <definedName name="BExCVPEZON7VV6NOWII8VZMONPCJ" localSheetId="8" hidden="1">#REF!</definedName>
    <definedName name="BExCVPEZON7VV6NOWII8VZMONPCJ" localSheetId="19" hidden="1">#REF!</definedName>
    <definedName name="BExCVPEZON7VV6NOWII8VZMONPCJ" hidden="1">#REF!</definedName>
    <definedName name="BExCVV44WY5807WGMTGKPW0GT256" localSheetId="8" hidden="1">#REF!</definedName>
    <definedName name="BExCVV44WY5807WGMTGKPW0GT256" localSheetId="19" hidden="1">#REF!</definedName>
    <definedName name="BExCVV44WY5807WGMTGKPW0GT256" hidden="1">#REF!</definedName>
    <definedName name="BExCVZ5PN4V6MRBZ04PZJW3GEF8S" localSheetId="8" hidden="1">#REF!</definedName>
    <definedName name="BExCVZ5PN4V6MRBZ04PZJW3GEF8S" localSheetId="19" hidden="1">#REF!</definedName>
    <definedName name="BExCVZ5PN4V6MRBZ04PZJW3GEF8S" hidden="1">#REF!</definedName>
    <definedName name="BExCW13R0GWJYGXZBNCPAHQN4NR2" localSheetId="8" hidden="1">#REF!</definedName>
    <definedName name="BExCW13R0GWJYGXZBNCPAHQN4NR2" localSheetId="19" hidden="1">#REF!</definedName>
    <definedName name="BExCW13R0GWJYGXZBNCPAHQN4NR2" hidden="1">#REF!</definedName>
    <definedName name="BExCW9Y5HWU4RJTNX74O6L24VGCK" localSheetId="8" hidden="1">#REF!</definedName>
    <definedName name="BExCW9Y5HWU4RJTNX74O6L24VGCK" localSheetId="19" hidden="1">#REF!</definedName>
    <definedName name="BExCW9Y5HWU4RJTNX74O6L24VGCK" hidden="1">#REF!</definedName>
    <definedName name="BExCWHADQJRXWFDGV2KMANWIY1YN" localSheetId="8" hidden="1">#REF!</definedName>
    <definedName name="BExCWHADQJRXWFDGV2KMANWIY1YN" localSheetId="19" hidden="1">#REF!</definedName>
    <definedName name="BExCWHADQJRXWFDGV2KMANWIY1YN" hidden="1">#REF!</definedName>
    <definedName name="BExCWPDPESGZS07QGBLSBWDNVJLZ" localSheetId="8" hidden="1">#REF!</definedName>
    <definedName name="BExCWPDPESGZS07QGBLSBWDNVJLZ" localSheetId="19" hidden="1">#REF!</definedName>
    <definedName name="BExCWPDPESGZS07QGBLSBWDNVJLZ" hidden="1">#REF!</definedName>
    <definedName name="BExCWTVKHIVCRHF8GC39KI58YM5K" localSheetId="8" hidden="1">#REF!</definedName>
    <definedName name="BExCWTVKHIVCRHF8GC39KI58YM5K" localSheetId="19" hidden="1">#REF!</definedName>
    <definedName name="BExCWTVKHIVCRHF8GC39KI58YM5K" hidden="1">#REF!</definedName>
    <definedName name="BExCX2KGRZBRVLZNM8SUSIE6A0RL" localSheetId="8" hidden="1">#REF!</definedName>
    <definedName name="BExCX2KGRZBRVLZNM8SUSIE6A0RL" localSheetId="19" hidden="1">#REF!</definedName>
    <definedName name="BExCX2KGRZBRVLZNM8SUSIE6A0RL" hidden="1">#REF!</definedName>
    <definedName name="BExCX3X451T70LZ1VF95L7W4Y4TM" localSheetId="8" hidden="1">#REF!</definedName>
    <definedName name="BExCX3X451T70LZ1VF95L7W4Y4TM" localSheetId="19" hidden="1">#REF!</definedName>
    <definedName name="BExCX3X451T70LZ1VF95L7W4Y4TM" hidden="1">#REF!</definedName>
    <definedName name="BExCX4NZ2N1OUGXM7EV0U7VULJMM" localSheetId="8" hidden="1">#REF!</definedName>
    <definedName name="BExCX4NZ2N1OUGXM7EV0U7VULJMM" localSheetId="19" hidden="1">#REF!</definedName>
    <definedName name="BExCX4NZ2N1OUGXM7EV0U7VULJMM" hidden="1">#REF!</definedName>
    <definedName name="BExCXILMURGYMAH6N5LF5DV6K3GM" localSheetId="8" hidden="1">#REF!</definedName>
    <definedName name="BExCXILMURGYMAH6N5LF5DV6K3GM" localSheetId="19" hidden="1">#REF!</definedName>
    <definedName name="BExCXILMURGYMAH6N5LF5DV6K3GM" hidden="1">#REF!</definedName>
    <definedName name="BExCXQUFBMXQ1650735H48B1AZT3" localSheetId="8" hidden="1">#REF!</definedName>
    <definedName name="BExCXQUFBMXQ1650735H48B1AZT3" localSheetId="19" hidden="1">#REF!</definedName>
    <definedName name="BExCXQUFBMXQ1650735H48B1AZT3" hidden="1">#REF!</definedName>
    <definedName name="BExCXYSBKJ9SZQD7XS2WUS6SVBJO" localSheetId="8" hidden="1">#REF!</definedName>
    <definedName name="BExCXYSBKJ9SZQD7XS2WUS6SVBJO" localSheetId="19" hidden="1">#REF!</definedName>
    <definedName name="BExCXYSBKJ9SZQD7XS2WUS6SVBJO" hidden="1">#REF!</definedName>
    <definedName name="BExCXZ8DGK5ZE8467LFEHX6JNQHJ" localSheetId="8" hidden="1">#REF!</definedName>
    <definedName name="BExCXZ8DGK5ZE8467LFEHX6JNQHJ" localSheetId="19" hidden="1">#REF!</definedName>
    <definedName name="BExCXZ8DGK5ZE8467LFEHX6JNQHJ" hidden="1">#REF!</definedName>
    <definedName name="BExCY2DQO9VLA77Q7EG3T0XNXX4F" localSheetId="8" hidden="1">#REF!</definedName>
    <definedName name="BExCY2DQO9VLA77Q7EG3T0XNXX4F" localSheetId="19" hidden="1">#REF!</definedName>
    <definedName name="BExCY2DQO9VLA77Q7EG3T0XNXX4F" hidden="1">#REF!</definedName>
    <definedName name="BExCY5Z7X93Z8XUOEASK50W08S36" localSheetId="8" hidden="1">#REF!</definedName>
    <definedName name="BExCY5Z7X93Z8XUOEASK50W08S36" localSheetId="19" hidden="1">#REF!</definedName>
    <definedName name="BExCY5Z7X93Z8XUOEASK50W08S36" hidden="1">#REF!</definedName>
    <definedName name="BExCY6VMJ68MX3C981R5Q0BX5791" localSheetId="8" hidden="1">#REF!</definedName>
    <definedName name="BExCY6VMJ68MX3C981R5Q0BX5791" localSheetId="19" hidden="1">#REF!</definedName>
    <definedName name="BExCY6VMJ68MX3C981R5Q0BX5791" hidden="1">#REF!</definedName>
    <definedName name="BExCYAH2SAZCPW6XCB7V7PMMCAWO" localSheetId="8" hidden="1">#REF!</definedName>
    <definedName name="BExCYAH2SAZCPW6XCB7V7PMMCAWO" localSheetId="19" hidden="1">#REF!</definedName>
    <definedName name="BExCYAH2SAZCPW6XCB7V7PMMCAWO" hidden="1">#REF!</definedName>
    <definedName name="BExCYDGYM1UGUNTB331L2E4L5F34" localSheetId="8" hidden="1">#REF!</definedName>
    <definedName name="BExCYDGYM1UGUNTB331L2E4L5F34" localSheetId="19" hidden="1">#REF!</definedName>
    <definedName name="BExCYDGYM1UGUNTB331L2E4L5F34" hidden="1">#REF!</definedName>
    <definedName name="BExCYN7KCKU1F6EXMNPQPTKNOT6A" localSheetId="8" hidden="1">#REF!</definedName>
    <definedName name="BExCYN7KCKU1F6EXMNPQPTKNOT6A" localSheetId="19" hidden="1">#REF!</definedName>
    <definedName name="BExCYN7KCKU1F6EXMNPQPTKNOT6A" hidden="1">#REF!</definedName>
    <definedName name="BExCYPRC5HJE6N2XQTHCT6NXGP8N" localSheetId="8" hidden="1">#REF!</definedName>
    <definedName name="BExCYPRC5HJE6N2XQTHCT6NXGP8N" localSheetId="19" hidden="1">#REF!</definedName>
    <definedName name="BExCYPRC5HJE6N2XQTHCT6NXGP8N" hidden="1">#REF!</definedName>
    <definedName name="BExCYQCX9ES8ZWW2L35B12WDNT73" localSheetId="8" hidden="1">#REF!</definedName>
    <definedName name="BExCYQCX9ES8ZWW2L35B12WDNT73" localSheetId="19" hidden="1">#REF!</definedName>
    <definedName name="BExCYQCX9ES8ZWW2L35B12WDNT73" hidden="1">#REF!</definedName>
    <definedName name="BExCYSLQY2CYU7DQ3QI07UGGS6OW" localSheetId="8" hidden="1">#REF!</definedName>
    <definedName name="BExCYSLQY2CYU7DQ3QI07UGGS6OW" localSheetId="19" hidden="1">#REF!</definedName>
    <definedName name="BExCYSLQY2CYU7DQ3QI07UGGS6OW" hidden="1">#REF!</definedName>
    <definedName name="BExCYUK0I3UEXZNFDW71G6Z6D8XR" localSheetId="8" hidden="1">#REF!</definedName>
    <definedName name="BExCYUK0I3UEXZNFDW71G6Z6D8XR" localSheetId="19" hidden="1">#REF!</definedName>
    <definedName name="BExCYUK0I3UEXZNFDW71G6Z6D8XR" hidden="1">#REF!</definedName>
    <definedName name="BExCZFZCXMLY5DWESYJ9NGTJYQ8M" localSheetId="8" hidden="1">#REF!</definedName>
    <definedName name="BExCZFZCXMLY5DWESYJ9NGTJYQ8M" localSheetId="19" hidden="1">#REF!</definedName>
    <definedName name="BExCZFZCXMLY5DWESYJ9NGTJYQ8M" hidden="1">#REF!</definedName>
    <definedName name="BExCZJ4P8WS0BDT31WDXI0ROE7D6" localSheetId="8" hidden="1">#REF!</definedName>
    <definedName name="BExCZJ4P8WS0BDT31WDXI0ROE7D6" localSheetId="19" hidden="1">#REF!</definedName>
    <definedName name="BExCZJ4P8WS0BDT31WDXI0ROE7D6" hidden="1">#REF!</definedName>
    <definedName name="BExCZKH6NI0EE02L995IFVBD1J59" localSheetId="8" hidden="1">#REF!</definedName>
    <definedName name="BExCZKH6NI0EE02L995IFVBD1J59" localSheetId="19" hidden="1">#REF!</definedName>
    <definedName name="BExCZKH6NI0EE02L995IFVBD1J59" hidden="1">#REF!</definedName>
    <definedName name="BExCZNRWARGGHWLSC1PEDZFLF3JV" localSheetId="8" hidden="1">#REF!</definedName>
    <definedName name="BExCZNRWARGGHWLSC1PEDZFLF3JV" localSheetId="19" hidden="1">#REF!</definedName>
    <definedName name="BExCZNRWARGGHWLSC1PEDZFLF3JV" hidden="1">#REF!</definedName>
    <definedName name="BExCZP9TBB61HISZ2U5QMQSO2LBE" localSheetId="8" hidden="1">#REF!</definedName>
    <definedName name="BExCZP9TBB61HISZ2U5QMQSO2LBE" localSheetId="19" hidden="1">#REF!</definedName>
    <definedName name="BExCZP9TBB61HISZ2U5QMQSO2LBE" hidden="1">#REF!</definedName>
    <definedName name="BExCZUD9FEOJBKDJ51Z3JON9LKJ8" localSheetId="8" hidden="1">#REF!</definedName>
    <definedName name="BExCZUD9FEOJBKDJ51Z3JON9LKJ8" localSheetId="19" hidden="1">#REF!</definedName>
    <definedName name="BExCZUD9FEOJBKDJ51Z3JON9LKJ8" hidden="1">#REF!</definedName>
    <definedName name="BExD0AUOVQT3UL53T2KUVJNGD0QF" localSheetId="8" hidden="1">#REF!</definedName>
    <definedName name="BExD0AUOVQT3UL53T2KUVJNGD0QF" localSheetId="19" hidden="1">#REF!</definedName>
    <definedName name="BExD0AUOVQT3UL53T2KUVJNGD0QF" hidden="1">#REF!</definedName>
    <definedName name="BExD0HALIN0JR4JTPGDEVAEE5EX5" localSheetId="8" hidden="1">#REF!</definedName>
    <definedName name="BExD0HALIN0JR4JTPGDEVAEE5EX5" localSheetId="19" hidden="1">#REF!</definedName>
    <definedName name="BExD0HALIN0JR4JTPGDEVAEE5EX5" hidden="1">#REF!</definedName>
    <definedName name="BExD0LCCDPG16YLY5WQSZF1XI5DA" localSheetId="8" hidden="1">#REF!</definedName>
    <definedName name="BExD0LCCDPG16YLY5WQSZF1XI5DA" localSheetId="19" hidden="1">#REF!</definedName>
    <definedName name="BExD0LCCDPG16YLY5WQSZF1XI5DA" hidden="1">#REF!</definedName>
    <definedName name="BExD0RMWSB4TRECEHTH6NN4K9DFZ" localSheetId="8" hidden="1">#REF!</definedName>
    <definedName name="BExD0RMWSB4TRECEHTH6NN4K9DFZ" localSheetId="19" hidden="1">#REF!</definedName>
    <definedName name="BExD0RMWSB4TRECEHTH6NN4K9DFZ" hidden="1">#REF!</definedName>
    <definedName name="BExD0U6KG10QGVDI1XSHK0J10A2V" localSheetId="8" hidden="1">#REF!</definedName>
    <definedName name="BExD0U6KG10QGVDI1XSHK0J10A2V" localSheetId="19" hidden="1">#REF!</definedName>
    <definedName name="BExD0U6KG10QGVDI1XSHK0J10A2V" hidden="1">#REF!</definedName>
    <definedName name="BExD0WQ6EQ2G82IAJI3FDQKGZH18" localSheetId="8" hidden="1">#REF!</definedName>
    <definedName name="BExD0WQ6EQ2G82IAJI3FDQKGZH18" localSheetId="19" hidden="1">#REF!</definedName>
    <definedName name="BExD0WQ6EQ2G82IAJI3FDQKGZH18" hidden="1">#REF!</definedName>
    <definedName name="BExD13RUIBGRXDL4QDZ305UKUR12" localSheetId="8" hidden="1">#REF!</definedName>
    <definedName name="BExD13RUIBGRXDL4QDZ305UKUR12" localSheetId="19" hidden="1">#REF!</definedName>
    <definedName name="BExD13RUIBGRXDL4QDZ305UKUR12" hidden="1">#REF!</definedName>
    <definedName name="BExD14DETV5R4OOTMAXD5NAKWRO3" localSheetId="8" hidden="1">#REF!</definedName>
    <definedName name="BExD14DETV5R4OOTMAXD5NAKWRO3" localSheetId="19" hidden="1">#REF!</definedName>
    <definedName name="BExD14DETV5R4OOTMAXD5NAKWRO3" hidden="1">#REF!</definedName>
    <definedName name="BExD1MI40YRCBI7KT4S9YHQJUO06" localSheetId="8" hidden="1">#REF!</definedName>
    <definedName name="BExD1MI40YRCBI7KT4S9YHQJUO06" localSheetId="19" hidden="1">#REF!</definedName>
    <definedName name="BExD1MI40YRCBI7KT4S9YHQJUO06" hidden="1">#REF!</definedName>
    <definedName name="BExD1OAU9OXQAZA4D70HP72CU6GB" localSheetId="8" hidden="1">#REF!</definedName>
    <definedName name="BExD1OAU9OXQAZA4D70HP72CU6GB" localSheetId="19" hidden="1">#REF!</definedName>
    <definedName name="BExD1OAU9OXQAZA4D70HP72CU6GB" hidden="1">#REF!</definedName>
    <definedName name="BExD1T8WPV0G6YOX7WMAIZD8XNBK" localSheetId="8" hidden="1">#REF!</definedName>
    <definedName name="BExD1T8WPV0G6YOX7WMAIZD8XNBK" localSheetId="19" hidden="1">#REF!</definedName>
    <definedName name="BExD1T8WPV0G6YOX7WMAIZD8XNBK" hidden="1">#REF!</definedName>
    <definedName name="BExD1Y1JV61416YA1XRQHKWPZIE7" localSheetId="8" hidden="1">#REF!</definedName>
    <definedName name="BExD1Y1JV61416YA1XRQHKWPZIE7" localSheetId="19" hidden="1">#REF!</definedName>
    <definedName name="BExD1Y1JV61416YA1XRQHKWPZIE7" hidden="1">#REF!</definedName>
    <definedName name="BExD2CFHIRMBKN5KXE5QP4XXEWFS" localSheetId="8" hidden="1">#REF!</definedName>
    <definedName name="BExD2CFHIRMBKN5KXE5QP4XXEWFS" localSheetId="19" hidden="1">#REF!</definedName>
    <definedName name="BExD2CFHIRMBKN5KXE5QP4XXEWFS" hidden="1">#REF!</definedName>
    <definedName name="BExD2DMHH1HWXQ9W0YYMDP8AAX8Q" localSheetId="8" hidden="1">#REF!</definedName>
    <definedName name="BExD2DMHH1HWXQ9W0YYMDP8AAX8Q" localSheetId="19" hidden="1">#REF!</definedName>
    <definedName name="BExD2DMHH1HWXQ9W0YYMDP8AAX8Q" hidden="1">#REF!</definedName>
    <definedName name="BExD2HTPC7IWBAU6OSQ67MQA8BYZ" localSheetId="8" hidden="1">#REF!</definedName>
    <definedName name="BExD2HTPC7IWBAU6OSQ67MQA8BYZ" localSheetId="19" hidden="1">#REF!</definedName>
    <definedName name="BExD2HTPC7IWBAU6OSQ67MQA8BYZ" hidden="1">#REF!</definedName>
    <definedName name="BExD2PWTVQ2CXNG6B7UDL8FIMXBH" localSheetId="8" hidden="1">#REF!</definedName>
    <definedName name="BExD2PWTVQ2CXNG6B7UDL8FIMXBH" localSheetId="19" hidden="1">#REF!</definedName>
    <definedName name="BExD2PWTVQ2CXNG6B7UDL8FIMXBH" hidden="1">#REF!</definedName>
    <definedName name="BExD2X9AQ03EX1AVVX44CXLXRPTI" localSheetId="8" hidden="1">#REF!</definedName>
    <definedName name="BExD2X9AQ03EX1AVVX44CXLXRPTI" localSheetId="19" hidden="1">#REF!</definedName>
    <definedName name="BExD2X9AQ03EX1AVVX44CXLXRPTI" hidden="1">#REF!</definedName>
    <definedName name="BExD2ZNL9MWJOEL2575KJZBDP2A6" localSheetId="8" hidden="1">#REF!</definedName>
    <definedName name="BExD2ZNL9MWJOEL2575KJZBDP2A6" localSheetId="19" hidden="1">#REF!</definedName>
    <definedName name="BExD2ZNL9MWJOEL2575KJZBDP2A6" hidden="1">#REF!</definedName>
    <definedName name="BExD34G79JRMB8BZRVN81P1H9MSB" localSheetId="8" hidden="1">#REF!</definedName>
    <definedName name="BExD34G79JRMB8BZRVN81P1H9MSB" localSheetId="19" hidden="1">#REF!</definedName>
    <definedName name="BExD34G79JRMB8BZRVN81P1H9MSB" hidden="1">#REF!</definedName>
    <definedName name="BExD35CL2NULPPEHAM954ETQIJA2" localSheetId="8" hidden="1">#REF!</definedName>
    <definedName name="BExD35CL2NULPPEHAM954ETQIJA2" localSheetId="19" hidden="1">#REF!</definedName>
    <definedName name="BExD35CL2NULPPEHAM954ETQIJA2" hidden="1">#REF!</definedName>
    <definedName name="BExD363H2VGFIQUCE6LS4AC5J0ZT" localSheetId="8" hidden="1">#REF!</definedName>
    <definedName name="BExD363H2VGFIQUCE6LS4AC5J0ZT" localSheetId="19" hidden="1">#REF!</definedName>
    <definedName name="BExD363H2VGFIQUCE6LS4AC5J0ZT" hidden="1">#REF!</definedName>
    <definedName name="BExD3A588E939V61P1XEW0FI5Q0S" localSheetId="8" hidden="1">#REF!</definedName>
    <definedName name="BExD3A588E939V61P1XEW0FI5Q0S" localSheetId="19" hidden="1">#REF!</definedName>
    <definedName name="BExD3A588E939V61P1XEW0FI5Q0S" hidden="1">#REF!</definedName>
    <definedName name="BExD3CJJDKVR9M18XI3WDZH80WL6" localSheetId="8" hidden="1">#REF!</definedName>
    <definedName name="BExD3CJJDKVR9M18XI3WDZH80WL6" localSheetId="19" hidden="1">#REF!</definedName>
    <definedName name="BExD3CJJDKVR9M18XI3WDZH80WL6" hidden="1">#REF!</definedName>
    <definedName name="BExD3ESD9WYJIB3TRDPJ1CKXRAVL" localSheetId="8" hidden="1">#REF!</definedName>
    <definedName name="BExD3ESD9WYJIB3TRDPJ1CKXRAVL" localSheetId="19" hidden="1">#REF!</definedName>
    <definedName name="BExD3ESD9WYJIB3TRDPJ1CKXRAVL" hidden="1">#REF!</definedName>
    <definedName name="BExD3F368X5S25MWSUNIV57RDB57" localSheetId="8" hidden="1">#REF!</definedName>
    <definedName name="BExD3F368X5S25MWSUNIV57RDB57" localSheetId="19" hidden="1">#REF!</definedName>
    <definedName name="BExD3F368X5S25MWSUNIV57RDB57" hidden="1">#REF!</definedName>
    <definedName name="BExD3I8JTNF4LTMFY6GRVDJ6VLGG" localSheetId="8" hidden="1">#REF!</definedName>
    <definedName name="BExD3I8JTNF4LTMFY6GRVDJ6VLGG" localSheetId="19" hidden="1">#REF!</definedName>
    <definedName name="BExD3I8JTNF4LTMFY6GRVDJ6VLGG" hidden="1">#REF!</definedName>
    <definedName name="BExD3IJ5IT335SOSNV9L85WKAOSI" localSheetId="8" hidden="1">#REF!</definedName>
    <definedName name="BExD3IJ5IT335SOSNV9L85WKAOSI" localSheetId="19" hidden="1">#REF!</definedName>
    <definedName name="BExD3IJ5IT335SOSNV9L85WKAOSI" hidden="1">#REF!</definedName>
    <definedName name="BExD3KBVUY57GMMQTOFEU6S6G1AY" localSheetId="8" hidden="1">#REF!</definedName>
    <definedName name="BExD3KBVUY57GMMQTOFEU6S6G1AY" localSheetId="19" hidden="1">#REF!</definedName>
    <definedName name="BExD3KBVUY57GMMQTOFEU6S6G1AY" hidden="1">#REF!</definedName>
    <definedName name="BExD3NMR7AW2Z6V8SC79VQR37NA6" localSheetId="8" hidden="1">#REF!</definedName>
    <definedName name="BExD3NMR7AW2Z6V8SC79VQR37NA6" localSheetId="19" hidden="1">#REF!</definedName>
    <definedName name="BExD3NMR7AW2Z6V8SC79VQR37NA6" hidden="1">#REF!</definedName>
    <definedName name="BExD3QXA2UQ2W4N7NYLUEOG40BZB" localSheetId="8" hidden="1">#REF!</definedName>
    <definedName name="BExD3QXA2UQ2W4N7NYLUEOG40BZB" localSheetId="19" hidden="1">#REF!</definedName>
    <definedName name="BExD3QXA2UQ2W4N7NYLUEOG40BZB" hidden="1">#REF!</definedName>
    <definedName name="BExD3U2N041TEJ7GCN005UTPHNXY" localSheetId="8" hidden="1">#REF!</definedName>
    <definedName name="BExD3U2N041TEJ7GCN005UTPHNXY" localSheetId="19" hidden="1">#REF!</definedName>
    <definedName name="BExD3U2N041TEJ7GCN005UTPHNXY" hidden="1">#REF!</definedName>
    <definedName name="BExD3VPY5VEI1LLQ4I16T16251DT" localSheetId="8" hidden="1">#REF!</definedName>
    <definedName name="BExD3VPY5VEI1LLQ4I16T16251DT" localSheetId="19" hidden="1">#REF!</definedName>
    <definedName name="BExD3VPY5VEI1LLQ4I16T16251DT" hidden="1">#REF!</definedName>
    <definedName name="BExD3XIUEZZ1KIHV7CPS7DKUGIN8" localSheetId="8" hidden="1">#REF!</definedName>
    <definedName name="BExD3XIUEZZ1KIHV7CPS7DKUGIN8" localSheetId="19" hidden="1">#REF!</definedName>
    <definedName name="BExD3XIUEZZ1KIHV7CPS7DKUGIN8" hidden="1">#REF!</definedName>
    <definedName name="BExD40O0CFTNJFOFMMM1KH0P7BUI" localSheetId="8" hidden="1">#REF!</definedName>
    <definedName name="BExD40O0CFTNJFOFMMM1KH0P7BUI" localSheetId="19" hidden="1">#REF!</definedName>
    <definedName name="BExD40O0CFTNJFOFMMM1KH0P7BUI" hidden="1">#REF!</definedName>
    <definedName name="BExD47UYINTJY1PDIW2S1FZ8ZMIO" localSheetId="8" hidden="1">#REF!</definedName>
    <definedName name="BExD47UYINTJY1PDIW2S1FZ8ZMIO" localSheetId="19" hidden="1">#REF!</definedName>
    <definedName name="BExD47UYINTJY1PDIW2S1FZ8ZMIO" hidden="1">#REF!</definedName>
    <definedName name="BExD4BR9HJ3MWWZ5KLVZWX9FJAUS" localSheetId="8" hidden="1">#REF!</definedName>
    <definedName name="BExD4BR9HJ3MWWZ5KLVZWX9FJAUS" localSheetId="19" hidden="1">#REF!</definedName>
    <definedName name="BExD4BR9HJ3MWWZ5KLVZWX9FJAUS" hidden="1">#REF!</definedName>
    <definedName name="BExD4F1WTKT3H0N9MF4H1LX7MBSY" localSheetId="8" hidden="1">#REF!</definedName>
    <definedName name="BExD4F1WTKT3H0N9MF4H1LX7MBSY" localSheetId="19" hidden="1">#REF!</definedName>
    <definedName name="BExD4F1WTKT3H0N9MF4H1LX7MBSY" hidden="1">#REF!</definedName>
    <definedName name="BExD4H5GQWXBS6LUL3TSP36DVO38" localSheetId="8" hidden="1">#REF!</definedName>
    <definedName name="BExD4H5GQWXBS6LUL3TSP36DVO38" localSheetId="19" hidden="1">#REF!</definedName>
    <definedName name="BExD4H5GQWXBS6LUL3TSP36DVO38" hidden="1">#REF!</definedName>
    <definedName name="BExD4JJSS3QDBLABCJCHD45SRNPI" localSheetId="8" hidden="1">#REF!</definedName>
    <definedName name="BExD4JJSS3QDBLABCJCHD45SRNPI" localSheetId="19" hidden="1">#REF!</definedName>
    <definedName name="BExD4JJSS3QDBLABCJCHD45SRNPI" hidden="1">#REF!</definedName>
    <definedName name="BExD4QQQ7V9LH5WWBJA3HKJXLVP6" localSheetId="8" hidden="1">#REF!</definedName>
    <definedName name="BExD4QQQ7V9LH5WWBJA3HKJXLVP6" localSheetId="19" hidden="1">#REF!</definedName>
    <definedName name="BExD4QQQ7V9LH5WWBJA3HKJXLVP6" hidden="1">#REF!</definedName>
    <definedName name="BExD4R1I0MKF033I5LPUYIMTZ6E8" localSheetId="8" hidden="1">#REF!</definedName>
    <definedName name="BExD4R1I0MKF033I5LPUYIMTZ6E8" localSheetId="19" hidden="1">#REF!</definedName>
    <definedName name="BExD4R1I0MKF033I5LPUYIMTZ6E8" hidden="1">#REF!</definedName>
    <definedName name="BExD50MT3M6XZLNUP9JL93EG6D9R" localSheetId="8" hidden="1">#REF!</definedName>
    <definedName name="BExD50MT3M6XZLNUP9JL93EG6D9R" localSheetId="19" hidden="1">#REF!</definedName>
    <definedName name="BExD50MT3M6XZLNUP9JL93EG6D9R" hidden="1">#REF!</definedName>
    <definedName name="BExD5EV7KDSVF1CJT38M4IBPFLPY" localSheetId="8" hidden="1">#REF!</definedName>
    <definedName name="BExD5EV7KDSVF1CJT38M4IBPFLPY" localSheetId="19" hidden="1">#REF!</definedName>
    <definedName name="BExD5EV7KDSVF1CJT38M4IBPFLPY" hidden="1">#REF!</definedName>
    <definedName name="BExD5FRK547OESJRYAW574DZEZ7J" localSheetId="8" hidden="1">#REF!</definedName>
    <definedName name="BExD5FRK547OESJRYAW574DZEZ7J" localSheetId="19" hidden="1">#REF!</definedName>
    <definedName name="BExD5FRK547OESJRYAW574DZEZ7J" hidden="1">#REF!</definedName>
    <definedName name="BExD5I5X2YA2YNCTCDSMEL4CWF4N" localSheetId="8" hidden="1">#REF!</definedName>
    <definedName name="BExD5I5X2YA2YNCTCDSMEL4CWF4N" localSheetId="19" hidden="1">#REF!</definedName>
    <definedName name="BExD5I5X2YA2YNCTCDSMEL4CWF4N" hidden="1">#REF!</definedName>
    <definedName name="BExD5QUSRFJWRQ1ZM50WYLCF74DF" localSheetId="8" hidden="1">#REF!</definedName>
    <definedName name="BExD5QUSRFJWRQ1ZM50WYLCF74DF" localSheetId="19" hidden="1">#REF!</definedName>
    <definedName name="BExD5QUSRFJWRQ1ZM50WYLCF74DF" hidden="1">#REF!</definedName>
    <definedName name="BExD5SSUIF6AJQHBHK8PNMFBPRYB" localSheetId="8" hidden="1">#REF!</definedName>
    <definedName name="BExD5SSUIF6AJQHBHK8PNMFBPRYB" localSheetId="19" hidden="1">#REF!</definedName>
    <definedName name="BExD5SSUIF6AJQHBHK8PNMFBPRYB" hidden="1">#REF!</definedName>
    <definedName name="BExD623C9LRX18BE0W2V6SZLQUXX" localSheetId="8" hidden="1">#REF!</definedName>
    <definedName name="BExD623C9LRX18BE0W2V6SZLQUXX" localSheetId="19" hidden="1">#REF!</definedName>
    <definedName name="BExD623C9LRX18BE0W2V6SZLQUXX" hidden="1">#REF!</definedName>
    <definedName name="BExD6CQA7UMJBXV7AIFAIHUF2ICX" localSheetId="8" hidden="1">#REF!</definedName>
    <definedName name="BExD6CQA7UMJBXV7AIFAIHUF2ICX" localSheetId="19" hidden="1">#REF!</definedName>
    <definedName name="BExD6CQA7UMJBXV7AIFAIHUF2ICX" hidden="1">#REF!</definedName>
    <definedName name="BExD6D18MCF5R8YJMPG21WE3GPJQ" localSheetId="8" hidden="1">#REF!</definedName>
    <definedName name="BExD6D18MCF5R8YJMPG21WE3GPJQ" localSheetId="19" hidden="1">#REF!</definedName>
    <definedName name="BExD6D18MCF5R8YJMPG21WE3GPJQ" hidden="1">#REF!</definedName>
    <definedName name="BExD6FKVK8WJWNYPVENR7Q8Q30PK" localSheetId="8" hidden="1">#REF!</definedName>
    <definedName name="BExD6FKVK8WJWNYPVENR7Q8Q30PK" localSheetId="19" hidden="1">#REF!</definedName>
    <definedName name="BExD6FKVK8WJWNYPVENR7Q8Q30PK" hidden="1">#REF!</definedName>
    <definedName name="BExD6GMP0LK8WKVWMIT1NNH8CHLF" localSheetId="8" hidden="1">#REF!</definedName>
    <definedName name="BExD6GMP0LK8WKVWMIT1NNH8CHLF" localSheetId="19" hidden="1">#REF!</definedName>
    <definedName name="BExD6GMP0LK8WKVWMIT1NNH8CHLF" hidden="1">#REF!</definedName>
    <definedName name="BExD6H2TE0WWAUIWVSSCLPZ6B88N" localSheetId="8" hidden="1">#REF!</definedName>
    <definedName name="BExD6H2TE0WWAUIWVSSCLPZ6B88N" localSheetId="19" hidden="1">#REF!</definedName>
    <definedName name="BExD6H2TE0WWAUIWVSSCLPZ6B88N" hidden="1">#REF!</definedName>
    <definedName name="BExD71LTOE015TV5RSAHM8NT8GVW" localSheetId="8" hidden="1">#REF!</definedName>
    <definedName name="BExD71LTOE015TV5RSAHM8NT8GVW" localSheetId="19" hidden="1">#REF!</definedName>
    <definedName name="BExD71LTOE015TV5RSAHM8NT8GVW" hidden="1">#REF!</definedName>
    <definedName name="BExD73USXVADC7EHGHVTQNCT06ZA" localSheetId="8" hidden="1">#REF!</definedName>
    <definedName name="BExD73USXVADC7EHGHVTQNCT06ZA" localSheetId="19" hidden="1">#REF!</definedName>
    <definedName name="BExD73USXVADC7EHGHVTQNCT06ZA" hidden="1">#REF!</definedName>
    <definedName name="BExD7GAIGULTB3YHM1OS9RBQOTEC" localSheetId="8" hidden="1">#REF!</definedName>
    <definedName name="BExD7GAIGULTB3YHM1OS9RBQOTEC" localSheetId="19" hidden="1">#REF!</definedName>
    <definedName name="BExD7GAIGULTB3YHM1OS9RBQOTEC" hidden="1">#REF!</definedName>
    <definedName name="BExD7IE1DHIS52UFDCTSKPJQNRD5" localSheetId="8" hidden="1">#REF!</definedName>
    <definedName name="BExD7IE1DHIS52UFDCTSKPJQNRD5" localSheetId="19" hidden="1">#REF!</definedName>
    <definedName name="BExD7IE1DHIS52UFDCTSKPJQNRD5" hidden="1">#REF!</definedName>
    <definedName name="BExD7IUBGUWHYC9UNZ1IY5XFYKQN" localSheetId="8" hidden="1">#REF!</definedName>
    <definedName name="BExD7IUBGUWHYC9UNZ1IY5XFYKQN" localSheetId="19" hidden="1">#REF!</definedName>
    <definedName name="BExD7IUBGUWHYC9UNZ1IY5XFYKQN" hidden="1">#REF!</definedName>
    <definedName name="BExD7JQOJ35HGL8U2OCEI2P2JT7I" localSheetId="8" hidden="1">#REF!</definedName>
    <definedName name="BExD7JQOJ35HGL8U2OCEI2P2JT7I" localSheetId="19" hidden="1">#REF!</definedName>
    <definedName name="BExD7JQOJ35HGL8U2OCEI2P2JT7I" hidden="1">#REF!</definedName>
    <definedName name="BExD7KSDKNDNH95NDT3S7GM3MUU2" localSheetId="8" hidden="1">#REF!</definedName>
    <definedName name="BExD7KSDKNDNH95NDT3S7GM3MUU2" localSheetId="19" hidden="1">#REF!</definedName>
    <definedName name="BExD7KSDKNDNH95NDT3S7GM3MUU2" hidden="1">#REF!</definedName>
    <definedName name="BExD8H5O087KQVWIVPUUID5VMGMS" localSheetId="8" hidden="1">#REF!</definedName>
    <definedName name="BExD8H5O087KQVWIVPUUID5VMGMS" localSheetId="19" hidden="1">#REF!</definedName>
    <definedName name="BExD8H5O087KQVWIVPUUID5VMGMS" hidden="1">#REF!</definedName>
    <definedName name="BExD8HLWJHFK6566YQLGOAPIWD7G" localSheetId="8" hidden="1">#REF!</definedName>
    <definedName name="BExD8HLWJHFK6566YQLGOAPIWD7G" localSheetId="19" hidden="1">#REF!</definedName>
    <definedName name="BExD8HLWJHFK6566YQLGOAPIWD7G" hidden="1">#REF!</definedName>
    <definedName name="BExD8OCLZMFN5K3VZYI4Q4ITVKUA" localSheetId="8" hidden="1">#REF!</definedName>
    <definedName name="BExD8OCLZMFN5K3VZYI4Q4ITVKUA" localSheetId="19" hidden="1">#REF!</definedName>
    <definedName name="BExD8OCLZMFN5K3VZYI4Q4ITVKUA" hidden="1">#REF!</definedName>
    <definedName name="BExD93C1R6LC0631ECHVFYH0R0PD" localSheetId="8" hidden="1">#REF!</definedName>
    <definedName name="BExD93C1R6LC0631ECHVFYH0R0PD" localSheetId="19" hidden="1">#REF!</definedName>
    <definedName name="BExD93C1R6LC0631ECHVFYH0R0PD" hidden="1">#REF!</definedName>
    <definedName name="BExD97TXIO0COVNN4OH3DEJ33YLM" localSheetId="8" hidden="1">#REF!</definedName>
    <definedName name="BExD97TXIO0COVNN4OH3DEJ33YLM" localSheetId="19" hidden="1">#REF!</definedName>
    <definedName name="BExD97TXIO0COVNN4OH3DEJ33YLM" hidden="1">#REF!</definedName>
    <definedName name="BExD99RZ1RFIMK6O1ZHSPJ68X9Y5" localSheetId="8" hidden="1">#REF!</definedName>
    <definedName name="BExD99RZ1RFIMK6O1ZHSPJ68X9Y5" localSheetId="19" hidden="1">#REF!</definedName>
    <definedName name="BExD99RZ1RFIMK6O1ZHSPJ68X9Y5" hidden="1">#REF!</definedName>
    <definedName name="BExD9ATSNNU6SJVYYUCUG2AFS57W" localSheetId="8" hidden="1">#REF!</definedName>
    <definedName name="BExD9ATSNNU6SJVYYUCUG2AFS57W" localSheetId="19" hidden="1">#REF!</definedName>
    <definedName name="BExD9ATSNNU6SJVYYUCUG2AFS57W" hidden="1">#REF!</definedName>
    <definedName name="BExD9JO1QOKHUKL6DOEKDLUBPPKZ" localSheetId="8" hidden="1">#REF!</definedName>
    <definedName name="BExD9JO1QOKHUKL6DOEKDLUBPPKZ" localSheetId="19" hidden="1">#REF!</definedName>
    <definedName name="BExD9JO1QOKHUKL6DOEKDLUBPPKZ" hidden="1">#REF!</definedName>
    <definedName name="BExD9L0ID3VSOU609GKWYTA5BFMA" localSheetId="8" hidden="1">#REF!</definedName>
    <definedName name="BExD9L0ID3VSOU609GKWYTA5BFMA" localSheetId="19" hidden="1">#REF!</definedName>
    <definedName name="BExD9L0ID3VSOU609GKWYTA5BFMA" hidden="1">#REF!</definedName>
    <definedName name="BExD9M7SEMG0JK2FUTTZXWIEBTKB" localSheetId="8" hidden="1">#REF!</definedName>
    <definedName name="BExD9M7SEMG0JK2FUTTZXWIEBTKB" localSheetId="19" hidden="1">#REF!</definedName>
    <definedName name="BExD9M7SEMG0JK2FUTTZXWIEBTKB" hidden="1">#REF!</definedName>
    <definedName name="BExD9MNYBYB1AICQL5165G472IE2" localSheetId="8" hidden="1">#REF!</definedName>
    <definedName name="BExD9MNYBYB1AICQL5165G472IE2" localSheetId="19" hidden="1">#REF!</definedName>
    <definedName name="BExD9MNYBYB1AICQL5165G472IE2" hidden="1">#REF!</definedName>
    <definedName name="BExD9PNSYT7GASEGUVL48MUQ02WO" localSheetId="8" hidden="1">#REF!</definedName>
    <definedName name="BExD9PNSYT7GASEGUVL48MUQ02WO" localSheetId="19" hidden="1">#REF!</definedName>
    <definedName name="BExD9PNSYT7GASEGUVL48MUQ02WO" hidden="1">#REF!</definedName>
    <definedName name="BExD9TK2MIWFH5SKUYU9ZKF4NPHQ" localSheetId="8" hidden="1">#REF!</definedName>
    <definedName name="BExD9TK2MIWFH5SKUYU9ZKF4NPHQ" localSheetId="19" hidden="1">#REF!</definedName>
    <definedName name="BExD9TK2MIWFH5SKUYU9ZKF4NPHQ" hidden="1">#REF!</definedName>
    <definedName name="BExDA23J1UL1EN1K0BLX2TKAX4U0" localSheetId="8" hidden="1">#REF!</definedName>
    <definedName name="BExDA23J1UL1EN1K0BLX2TKAX4U0" localSheetId="19" hidden="1">#REF!</definedName>
    <definedName name="BExDA23J1UL1EN1K0BLX2TKAX4U0" hidden="1">#REF!</definedName>
    <definedName name="BExDA6594R2INH5X2F55YRZSKRND" localSheetId="8" hidden="1">#REF!</definedName>
    <definedName name="BExDA6594R2INH5X2F55YRZSKRND" localSheetId="19" hidden="1">#REF!</definedName>
    <definedName name="BExDA6594R2INH5X2F55YRZSKRND" hidden="1">#REF!</definedName>
    <definedName name="BExDA6LD9061UULVKUUI4QP8SK13" localSheetId="8" hidden="1">#REF!</definedName>
    <definedName name="BExDA6LD9061UULVKUUI4QP8SK13" localSheetId="19" hidden="1">#REF!</definedName>
    <definedName name="BExDA6LD9061UULVKUUI4QP8SK13" hidden="1">#REF!</definedName>
    <definedName name="BExDAGMVMNLQ6QXASB9R6D8DIT12" localSheetId="8" hidden="1">#REF!</definedName>
    <definedName name="BExDAGMVMNLQ6QXASB9R6D8DIT12" localSheetId="19" hidden="1">#REF!</definedName>
    <definedName name="BExDAGMVMNLQ6QXASB9R6D8DIT12" hidden="1">#REF!</definedName>
    <definedName name="BExDAYBHU9ADLXI8VRC7F608RVGM" localSheetId="8" hidden="1">#REF!</definedName>
    <definedName name="BExDAYBHU9ADLXI8VRC7F608RVGM" localSheetId="19" hidden="1">#REF!</definedName>
    <definedName name="BExDAYBHU9ADLXI8VRC7F608RVGM" hidden="1">#REF!</definedName>
    <definedName name="BExDBDR1XR0FV0CYUCB2OJ7CJCZU" localSheetId="8" hidden="1">#REF!</definedName>
    <definedName name="BExDBDR1XR0FV0CYUCB2OJ7CJCZU" localSheetId="19" hidden="1">#REF!</definedName>
    <definedName name="BExDBDR1XR0FV0CYUCB2OJ7CJCZU" hidden="1">#REF!</definedName>
    <definedName name="BExDC7F818VN0S18ID7XRCRVYPJ4" localSheetId="8" hidden="1">#REF!</definedName>
    <definedName name="BExDC7F818VN0S18ID7XRCRVYPJ4" localSheetId="19" hidden="1">#REF!</definedName>
    <definedName name="BExDC7F818VN0S18ID7XRCRVYPJ4" hidden="1">#REF!</definedName>
    <definedName name="BExDCL7K96PC9VZYB70ZW3QPVIJE" localSheetId="8" hidden="1">#REF!</definedName>
    <definedName name="BExDCL7K96PC9VZYB70ZW3QPVIJE" localSheetId="19" hidden="1">#REF!</definedName>
    <definedName name="BExDCL7K96PC9VZYB70ZW3QPVIJE" hidden="1">#REF!</definedName>
    <definedName name="BExDCP3UZ3C2O4C1F7KMU0Z9U32N" localSheetId="8" hidden="1">#REF!</definedName>
    <definedName name="BExDCP3UZ3C2O4C1F7KMU0Z9U32N" localSheetId="19" hidden="1">#REF!</definedName>
    <definedName name="BExDCP3UZ3C2O4C1F7KMU0Z9U32N" hidden="1">#REF!</definedName>
    <definedName name="BExENU8ISP26W97JG63CN1XT9KB4" localSheetId="8" hidden="1">#REF!</definedName>
    <definedName name="BExENU8ISP26W97JG63CN1XT9KB4" localSheetId="19" hidden="1">#REF!</definedName>
    <definedName name="BExENU8ISP26W97JG63CN1XT9KB4" hidden="1">#REF!</definedName>
    <definedName name="BExEO14OTKLVDBTNB2ONGZ4YB20H" localSheetId="8" hidden="1">#REF!</definedName>
    <definedName name="BExEO14OTKLVDBTNB2ONGZ4YB20H" localSheetId="19" hidden="1">#REF!</definedName>
    <definedName name="BExEO14OTKLVDBTNB2ONGZ4YB20H" hidden="1">#REF!</definedName>
    <definedName name="BExEO80UUNTK4DX33Z5TYLM8NYZM" localSheetId="8" hidden="1">#REF!</definedName>
    <definedName name="BExEO80UUNTK4DX33Z5TYLM8NYZM" localSheetId="19" hidden="1">#REF!</definedName>
    <definedName name="BExEO80UUNTK4DX33Z5TYLM8NYZM" hidden="1">#REF!</definedName>
    <definedName name="BExEOBX3WECDMYCV9RLN49APTXMM" localSheetId="8" hidden="1">#REF!</definedName>
    <definedName name="BExEOBX3WECDMYCV9RLN49APTXMM" localSheetId="19" hidden="1">#REF!</definedName>
    <definedName name="BExEOBX3WECDMYCV9RLN49APTXMM" hidden="1">#REF!</definedName>
    <definedName name="BExEPN9VIYI0FVL0HLZQXJFO6TT0" localSheetId="8" hidden="1">#REF!</definedName>
    <definedName name="BExEPN9VIYI0FVL0HLZQXJFO6TT0" localSheetId="19" hidden="1">#REF!</definedName>
    <definedName name="BExEPN9VIYI0FVL0HLZQXJFO6TT0" hidden="1">#REF!</definedName>
    <definedName name="BExEPQPUOD4B6H60DKEB9159F7DR" localSheetId="8" hidden="1">#REF!</definedName>
    <definedName name="BExEPQPUOD4B6H60DKEB9159F7DR" localSheetId="19" hidden="1">#REF!</definedName>
    <definedName name="BExEPQPUOD4B6H60DKEB9159F7DR" hidden="1">#REF!</definedName>
    <definedName name="BExEPYT6VDSMR8MU2341Q5GM2Y9V" localSheetId="8" hidden="1">#REF!</definedName>
    <definedName name="BExEPYT6VDSMR8MU2341Q5GM2Y9V" localSheetId="19" hidden="1">#REF!</definedName>
    <definedName name="BExEPYT6VDSMR8MU2341Q5GM2Y9V" hidden="1">#REF!</definedName>
    <definedName name="BExEQ2ENYLMY8K1796XBB31CJHNN" localSheetId="8" hidden="1">#REF!</definedName>
    <definedName name="BExEQ2ENYLMY8K1796XBB31CJHNN" localSheetId="19" hidden="1">#REF!</definedName>
    <definedName name="BExEQ2ENYLMY8K1796XBB31CJHNN" hidden="1">#REF!</definedName>
    <definedName name="BExEQ2PFE4N40LEPGDPS90WDL6BN" localSheetId="8" hidden="1">#REF!</definedName>
    <definedName name="BExEQ2PFE4N40LEPGDPS90WDL6BN" localSheetId="19" hidden="1">#REF!</definedName>
    <definedName name="BExEQ2PFE4N40LEPGDPS90WDL6BN" hidden="1">#REF!</definedName>
    <definedName name="BExEQ2PFURT24NQYGYVE8NKX1EGA" localSheetId="8" hidden="1">#REF!</definedName>
    <definedName name="BExEQ2PFURT24NQYGYVE8NKX1EGA" localSheetId="19" hidden="1">#REF!</definedName>
    <definedName name="BExEQ2PFURT24NQYGYVE8NKX1EGA" hidden="1">#REF!</definedName>
    <definedName name="BExEQB8ZWXO6IIGOEPWTLOJGE2NR" localSheetId="8" hidden="1">#REF!</definedName>
    <definedName name="BExEQB8ZWXO6IIGOEPWTLOJGE2NR" localSheetId="19" hidden="1">#REF!</definedName>
    <definedName name="BExEQB8ZWXO6IIGOEPWTLOJGE2NR" hidden="1">#REF!</definedName>
    <definedName name="BExEQBZX0EL6LIKPY01197ACK65H" localSheetId="8" hidden="1">#REF!</definedName>
    <definedName name="BExEQBZX0EL6LIKPY01197ACK65H" localSheetId="19" hidden="1">#REF!</definedName>
    <definedName name="BExEQBZX0EL6LIKPY01197ACK65H" hidden="1">#REF!</definedName>
    <definedName name="BExEQDXZALJLD4OBF74IKZBR13SR" localSheetId="8" hidden="1">#REF!</definedName>
    <definedName name="BExEQDXZALJLD4OBF74IKZBR13SR" localSheetId="19" hidden="1">#REF!</definedName>
    <definedName name="BExEQDXZALJLD4OBF74IKZBR13SR" hidden="1">#REF!</definedName>
    <definedName name="BExEQFLE2RPWGMWQAI4JMKUEFRPT" localSheetId="8" hidden="1">#REF!</definedName>
    <definedName name="BExEQFLE2RPWGMWQAI4JMKUEFRPT" localSheetId="19" hidden="1">#REF!</definedName>
    <definedName name="BExEQFLE2RPWGMWQAI4JMKUEFRPT" hidden="1">#REF!</definedName>
    <definedName name="BExEQJHNJV9U65F5VGIGX0VM02VF" localSheetId="8" hidden="1">#REF!</definedName>
    <definedName name="BExEQJHNJV9U65F5VGIGX0VM02VF" localSheetId="19" hidden="1">#REF!</definedName>
    <definedName name="BExEQJHNJV9U65F5VGIGX0VM02VF" hidden="1">#REF!</definedName>
    <definedName name="BExEQTZAP8R69U31W4LKGTKKGKQE" localSheetId="8" hidden="1">#REF!</definedName>
    <definedName name="BExEQTZAP8R69U31W4LKGTKKGKQE" localSheetId="19" hidden="1">#REF!</definedName>
    <definedName name="BExEQTZAP8R69U31W4LKGTKKGKQE" hidden="1">#REF!</definedName>
    <definedName name="BExER2O72H1F9WV6S1J04C15PXX7" localSheetId="8" hidden="1">#REF!</definedName>
    <definedName name="BExER2O72H1F9WV6S1J04C15PXX7" localSheetId="19" hidden="1">#REF!</definedName>
    <definedName name="BExER2O72H1F9WV6S1J04C15PXX7" hidden="1">#REF!</definedName>
    <definedName name="BExERIPCI7N2NW7JRL59DVT0TTSU" localSheetId="8" hidden="1">#REF!</definedName>
    <definedName name="BExERIPCI7N2NW7JRL59DVT0TTSU" localSheetId="19" hidden="1">#REF!</definedName>
    <definedName name="BExERIPCI7N2NW7JRL59DVT0TTSU" hidden="1">#REF!</definedName>
    <definedName name="BExERRUIKIOATPZ9U4HQ0V52RJAU" localSheetId="8" hidden="1">#REF!</definedName>
    <definedName name="BExERRUIKIOATPZ9U4HQ0V52RJAU" localSheetId="19" hidden="1">#REF!</definedName>
    <definedName name="BExERRUIKIOATPZ9U4HQ0V52RJAU" hidden="1">#REF!</definedName>
    <definedName name="BExERSANFNM1O7T65PC5MJ301YET" localSheetId="8" hidden="1">#REF!</definedName>
    <definedName name="BExERSANFNM1O7T65PC5MJ301YET" localSheetId="19" hidden="1">#REF!</definedName>
    <definedName name="BExERSANFNM1O7T65PC5MJ301YET" hidden="1">#REF!</definedName>
    <definedName name="BExERU8P606C6QQZZL55U0ZQYQF1" localSheetId="8" hidden="1">#REF!</definedName>
    <definedName name="BExERU8P606C6QQZZL55U0ZQYQF1" localSheetId="19" hidden="1">#REF!</definedName>
    <definedName name="BExERU8P606C6QQZZL55U0ZQYQF1" hidden="1">#REF!</definedName>
    <definedName name="BExERWCEBKQRYWRQLYJ4UCMMKTHG" localSheetId="8" hidden="1">#REF!</definedName>
    <definedName name="BExERWCEBKQRYWRQLYJ4UCMMKTHG" localSheetId="19" hidden="1">#REF!</definedName>
    <definedName name="BExERWCEBKQRYWRQLYJ4UCMMKTHG" hidden="1">#REF!</definedName>
    <definedName name="BExERXE1QW042A2T25RI4DVUU59O" localSheetId="8" hidden="1">#REF!</definedName>
    <definedName name="BExERXE1QW042A2T25RI4DVUU59O" localSheetId="19" hidden="1">#REF!</definedName>
    <definedName name="BExERXE1QW042A2T25RI4DVUU59O" hidden="1">#REF!</definedName>
    <definedName name="BExES44RHHDL3V7FLV6M20834WF1" localSheetId="8" hidden="1">#REF!</definedName>
    <definedName name="BExES44RHHDL3V7FLV6M20834WF1" localSheetId="19" hidden="1">#REF!</definedName>
    <definedName name="BExES44RHHDL3V7FLV6M20834WF1" hidden="1">#REF!</definedName>
    <definedName name="BExES4A7VE2X3RYYTVRLKZD4I7WU" localSheetId="8" hidden="1">#REF!</definedName>
    <definedName name="BExES4A7VE2X3RYYTVRLKZD4I7WU" localSheetId="19" hidden="1">#REF!</definedName>
    <definedName name="BExES4A7VE2X3RYYTVRLKZD4I7WU" hidden="1">#REF!</definedName>
    <definedName name="BExESLYUFDACMPARVY264HKBCXLX" localSheetId="8" hidden="1">#REF!</definedName>
    <definedName name="BExESLYUFDACMPARVY264HKBCXLX" localSheetId="19" hidden="1">#REF!</definedName>
    <definedName name="BExESLYUFDACMPARVY264HKBCXLX" hidden="1">#REF!</definedName>
    <definedName name="BExESMKD95A649M0WRSG6CXXP326" localSheetId="8" hidden="1">#REF!</definedName>
    <definedName name="BExESMKD95A649M0WRSG6CXXP326" localSheetId="19" hidden="1">#REF!</definedName>
    <definedName name="BExESMKD95A649M0WRSG6CXXP326" hidden="1">#REF!</definedName>
    <definedName name="BExESR27ZXJG5VMY4PR9D940VS7T" localSheetId="8" hidden="1">#REF!</definedName>
    <definedName name="BExESR27ZXJG5VMY4PR9D940VS7T" localSheetId="19" hidden="1">#REF!</definedName>
    <definedName name="BExESR27ZXJG5VMY4PR9D940VS7T" hidden="1">#REF!</definedName>
    <definedName name="BExESVK1YRJM6UG6FBYOF9CNX29X" localSheetId="8" hidden="1">#REF!</definedName>
    <definedName name="BExESVK1YRJM6UG6FBYOF9CNX29X" localSheetId="19" hidden="1">#REF!</definedName>
    <definedName name="BExESVK1YRJM6UG6FBYOF9CNX29X" hidden="1">#REF!</definedName>
    <definedName name="BExESZ03KXL8DQ2591HLR56ZML94" localSheetId="8" hidden="1">#REF!</definedName>
    <definedName name="BExESZ03KXL8DQ2591HLR56ZML94" localSheetId="19" hidden="1">#REF!</definedName>
    <definedName name="BExESZ03KXL8DQ2591HLR56ZML94" hidden="1">#REF!</definedName>
    <definedName name="BExESZAW5N443NRTKIP59OEI1CR6" localSheetId="8" hidden="1">#REF!</definedName>
    <definedName name="BExESZAW5N443NRTKIP59OEI1CR6" localSheetId="19" hidden="1">#REF!</definedName>
    <definedName name="BExESZAW5N443NRTKIP59OEI1CR6" hidden="1">#REF!</definedName>
    <definedName name="BExET3HXQ60A4O2OLKX8QNXRI6LQ" localSheetId="8" hidden="1">#REF!</definedName>
    <definedName name="BExET3HXQ60A4O2OLKX8QNXRI6LQ" localSheetId="19" hidden="1">#REF!</definedName>
    <definedName name="BExET3HXQ60A4O2OLKX8QNXRI6LQ" hidden="1">#REF!</definedName>
    <definedName name="BExET4EAH366GROMVVMDCSUI1018" localSheetId="8" hidden="1">#REF!</definedName>
    <definedName name="BExET4EAH366GROMVVMDCSUI1018" localSheetId="19" hidden="1">#REF!</definedName>
    <definedName name="BExET4EAH366GROMVVMDCSUI1018" hidden="1">#REF!</definedName>
    <definedName name="BExETA3B1FCIOA80H94K90FWXQKE" localSheetId="8" hidden="1">#REF!</definedName>
    <definedName name="BExETA3B1FCIOA80H94K90FWXQKE" localSheetId="19" hidden="1">#REF!</definedName>
    <definedName name="BExETA3B1FCIOA80H94K90FWXQKE" hidden="1">#REF!</definedName>
    <definedName name="BExETAZOYT4CJIT8RRKC9F2HJG1D" localSheetId="8" hidden="1">#REF!</definedName>
    <definedName name="BExETAZOYT4CJIT8RRKC9F2HJG1D" localSheetId="19" hidden="1">#REF!</definedName>
    <definedName name="BExETAZOYT4CJIT8RRKC9F2HJG1D" hidden="1">#REF!</definedName>
    <definedName name="BExETB55BNG40G9YOI2H6UHIR9WU" localSheetId="8" hidden="1">#REF!</definedName>
    <definedName name="BExETB55BNG40G9YOI2H6UHIR9WU" localSheetId="19" hidden="1">#REF!</definedName>
    <definedName name="BExETB55BNG40G9YOI2H6UHIR9WU" hidden="1">#REF!</definedName>
    <definedName name="BExETF6QD5A9GEINE1KZRRC2LXWM" localSheetId="8" hidden="1">#REF!</definedName>
    <definedName name="BExETF6QD5A9GEINE1KZRRC2LXWM" localSheetId="19" hidden="1">#REF!</definedName>
    <definedName name="BExETF6QD5A9GEINE1KZRRC2LXWM" hidden="1">#REF!</definedName>
    <definedName name="BExETQ9XRXLUACN82805SPSPNKHI" localSheetId="8" hidden="1">#REF!</definedName>
    <definedName name="BExETQ9XRXLUACN82805SPSPNKHI" localSheetId="19" hidden="1">#REF!</definedName>
    <definedName name="BExETQ9XRXLUACN82805SPSPNKHI" hidden="1">#REF!</definedName>
    <definedName name="BExETR0YRMOR63E6DHLEHV9QVVON" localSheetId="8" hidden="1">#REF!</definedName>
    <definedName name="BExETR0YRMOR63E6DHLEHV9QVVON" localSheetId="19" hidden="1">#REF!</definedName>
    <definedName name="BExETR0YRMOR63E6DHLEHV9QVVON" hidden="1">#REF!</definedName>
    <definedName name="BExETVO51BGF7GGNGB21UD7OIF15" localSheetId="8" hidden="1">#REF!</definedName>
    <definedName name="BExETVO51BGF7GGNGB21UD7OIF15" localSheetId="19" hidden="1">#REF!</definedName>
    <definedName name="BExETVO51BGF7GGNGB21UD7OIF15" hidden="1">#REF!</definedName>
    <definedName name="BExETVTGY38YXYYF7N73OYN6FYY3" localSheetId="8" hidden="1">#REF!</definedName>
    <definedName name="BExETVTGY38YXYYF7N73OYN6FYY3" localSheetId="19" hidden="1">#REF!</definedName>
    <definedName name="BExETVTGY38YXYYF7N73OYN6FYY3" hidden="1">#REF!</definedName>
    <definedName name="BExETVTH8RADW05P2XUUV7V44TWW" localSheetId="8" hidden="1">#REF!</definedName>
    <definedName name="BExETVTH8RADW05P2XUUV7V44TWW" localSheetId="19" hidden="1">#REF!</definedName>
    <definedName name="BExETVTH8RADW05P2XUUV7V44TWW" hidden="1">#REF!</definedName>
    <definedName name="BExETW9PYUAV5QY6A4VCYZRIOUX4" localSheetId="8" hidden="1">#REF!</definedName>
    <definedName name="BExETW9PYUAV5QY6A4VCYZRIOUX4" localSheetId="19" hidden="1">#REF!</definedName>
    <definedName name="BExETW9PYUAV5QY6A4VCYZRIOUX4" hidden="1">#REF!</definedName>
    <definedName name="BExEUGNELLVZ7K2PYWP2TG8T65XQ" localSheetId="8" hidden="1">#REF!</definedName>
    <definedName name="BExEUGNELLVZ7K2PYWP2TG8T65XQ" localSheetId="19" hidden="1">#REF!</definedName>
    <definedName name="BExEUGNELLVZ7K2PYWP2TG8T65XQ" hidden="1">#REF!</definedName>
    <definedName name="BExEUHUG1NGJGB6F1UH5IKFZ9B9M" localSheetId="8" hidden="1">#REF!</definedName>
    <definedName name="BExEUHUG1NGJGB6F1UH5IKFZ9B9M" localSheetId="19" hidden="1">#REF!</definedName>
    <definedName name="BExEUHUG1NGJGB6F1UH5IKFZ9B9M" hidden="1">#REF!</definedName>
    <definedName name="BExEUNE4T242Y59C6MS28MXEUGCP" localSheetId="8" hidden="1">#REF!</definedName>
    <definedName name="BExEUNE4T242Y59C6MS28MXEUGCP" localSheetId="19" hidden="1">#REF!</definedName>
    <definedName name="BExEUNE4T242Y59C6MS28MXEUGCP" hidden="1">#REF!</definedName>
    <definedName name="BExEUNU7FYVTR4DD1D31SS7PNXX2" localSheetId="8" hidden="1">#REF!</definedName>
    <definedName name="BExEUNU7FYVTR4DD1D31SS7PNXX2" localSheetId="19" hidden="1">#REF!</definedName>
    <definedName name="BExEUNU7FYVTR4DD1D31SS7PNXX2" hidden="1">#REF!</definedName>
    <definedName name="BExEUOAHB0OT3BACAHNZ3B905C0P" localSheetId="8" hidden="1">#REF!</definedName>
    <definedName name="BExEUOAHB0OT3BACAHNZ3B905C0P" localSheetId="19" hidden="1">#REF!</definedName>
    <definedName name="BExEUOAHB0OT3BACAHNZ3B905C0P" hidden="1">#REF!</definedName>
    <definedName name="BExEV2TP7NA3ZR6RJGH5ER370OUM" localSheetId="8" hidden="1">#REF!</definedName>
    <definedName name="BExEV2TP7NA3ZR6RJGH5ER370OUM" localSheetId="19" hidden="1">#REF!</definedName>
    <definedName name="BExEV2TP7NA3ZR6RJGH5ER370OUM" hidden="1">#REF!</definedName>
    <definedName name="BExEV3Q7M5YTX3CY3QCP1SUIEP2E" localSheetId="8" hidden="1">#REF!</definedName>
    <definedName name="BExEV3Q7M5YTX3CY3QCP1SUIEP2E" localSheetId="19" hidden="1">#REF!</definedName>
    <definedName name="BExEV3Q7M5YTX3CY3QCP1SUIEP2E" hidden="1">#REF!</definedName>
    <definedName name="BExEV69USLNYO2QRJRC0J92XUF00" localSheetId="8" hidden="1">#REF!</definedName>
    <definedName name="BExEV69USLNYO2QRJRC0J92XUF00" localSheetId="19" hidden="1">#REF!</definedName>
    <definedName name="BExEV69USLNYO2QRJRC0J92XUF00" hidden="1">#REF!</definedName>
    <definedName name="BExEV6KNTQOCFD7GV726XQEVQ7R6" localSheetId="8" hidden="1">#REF!</definedName>
    <definedName name="BExEV6KNTQOCFD7GV726XQEVQ7R6" localSheetId="19" hidden="1">#REF!</definedName>
    <definedName name="BExEV6KNTQOCFD7GV726XQEVQ7R6" hidden="1">#REF!</definedName>
    <definedName name="BExEV6VGM4POO9QT9KH3QA3VYCWM" localSheetId="8" hidden="1">#REF!</definedName>
    <definedName name="BExEV6VGM4POO9QT9KH3QA3VYCWM" localSheetId="19" hidden="1">#REF!</definedName>
    <definedName name="BExEV6VGM4POO9QT9KH3QA3VYCWM" hidden="1">#REF!</definedName>
    <definedName name="BExEVCEYMOI0PGO7HAEOS9CVMU2O" localSheetId="8" hidden="1">#REF!</definedName>
    <definedName name="BExEVCEYMOI0PGO7HAEOS9CVMU2O" localSheetId="19" hidden="1">#REF!</definedName>
    <definedName name="BExEVCEYMOI0PGO7HAEOS9CVMU2O" hidden="1">#REF!</definedName>
    <definedName name="BExEVET98G3FU6QBF9LHYWSAMV0O" localSheetId="8" hidden="1">#REF!</definedName>
    <definedName name="BExEVET98G3FU6QBF9LHYWSAMV0O" localSheetId="19" hidden="1">#REF!</definedName>
    <definedName name="BExEVET98G3FU6QBF9LHYWSAMV0O" hidden="1">#REF!</definedName>
    <definedName name="BExEVNCUT0PDUYNJH7G6BSEWZOT2" localSheetId="8" hidden="1">#REF!</definedName>
    <definedName name="BExEVNCUT0PDUYNJH7G6BSEWZOT2" localSheetId="19" hidden="1">#REF!</definedName>
    <definedName name="BExEVNCUT0PDUYNJH7G6BSEWZOT2" hidden="1">#REF!</definedName>
    <definedName name="BExEVPGF4V5J0WQRZKUM8F9TTKZJ" localSheetId="8" hidden="1">#REF!</definedName>
    <definedName name="BExEVPGF4V5J0WQRZKUM8F9TTKZJ" localSheetId="19" hidden="1">#REF!</definedName>
    <definedName name="BExEVPGF4V5J0WQRZKUM8F9TTKZJ" hidden="1">#REF!</definedName>
    <definedName name="BExEVVLIEVWYRF2UUC1H0H5QU1CP" localSheetId="8" hidden="1">#REF!</definedName>
    <definedName name="BExEVVLIEVWYRF2UUC1H0H5QU1CP" localSheetId="19" hidden="1">#REF!</definedName>
    <definedName name="BExEVVLIEVWYRF2UUC1H0H5QU1CP" hidden="1">#REF!</definedName>
    <definedName name="BExEVWCKO8T84GW9Z3X47915XKSH" localSheetId="8" hidden="1">#REF!</definedName>
    <definedName name="BExEVWCKO8T84GW9Z3X47915XKSH" localSheetId="19" hidden="1">#REF!</definedName>
    <definedName name="BExEVWCKO8T84GW9Z3X47915XKSH" hidden="1">#REF!</definedName>
    <definedName name="BExEVZSJWMZ5L2ZE7AZC57CXKW6T" localSheetId="8" hidden="1">#REF!</definedName>
    <definedName name="BExEVZSJWMZ5L2ZE7AZC57CXKW6T" localSheetId="19" hidden="1">#REF!</definedName>
    <definedName name="BExEVZSJWMZ5L2ZE7AZC57CXKW6T" hidden="1">#REF!</definedName>
    <definedName name="BExEW0JL1GFFCXMDGW54CI7Y8FZN" localSheetId="8" hidden="1">#REF!</definedName>
    <definedName name="BExEW0JL1GFFCXMDGW54CI7Y8FZN" localSheetId="19" hidden="1">#REF!</definedName>
    <definedName name="BExEW0JL1GFFCXMDGW54CI7Y8FZN" hidden="1">#REF!</definedName>
    <definedName name="BExEW68M9WL8214QH9C7VCK7BN08" localSheetId="8" hidden="1">#REF!</definedName>
    <definedName name="BExEW68M9WL8214QH9C7VCK7BN08" localSheetId="19" hidden="1">#REF!</definedName>
    <definedName name="BExEW68M9WL8214QH9C7VCK7BN08" hidden="1">#REF!</definedName>
    <definedName name="BExEW8HFKH6F47KIHYBDRUEFZ2ZZ" localSheetId="8" hidden="1">#REF!</definedName>
    <definedName name="BExEW8HFKH6F47KIHYBDRUEFZ2ZZ" localSheetId="19" hidden="1">#REF!</definedName>
    <definedName name="BExEW8HFKH6F47KIHYBDRUEFZ2ZZ" hidden="1">#REF!</definedName>
    <definedName name="BExEWB6JHMITZPXHB6JATOCLLKLJ" localSheetId="8" hidden="1">#REF!</definedName>
    <definedName name="BExEWB6JHMITZPXHB6JATOCLLKLJ" localSheetId="19" hidden="1">#REF!</definedName>
    <definedName name="BExEWB6JHMITZPXHB6JATOCLLKLJ" hidden="1">#REF!</definedName>
    <definedName name="BExEWNBGQS1U2LW3W84T4LSJ9K00" localSheetId="8" hidden="1">#REF!</definedName>
    <definedName name="BExEWNBGQS1U2LW3W84T4LSJ9K00" localSheetId="19" hidden="1">#REF!</definedName>
    <definedName name="BExEWNBGQS1U2LW3W84T4LSJ9K00" hidden="1">#REF!</definedName>
    <definedName name="BExEWO7STL7HNZSTY8VQBPTX1WK6" localSheetId="8" hidden="1">#REF!</definedName>
    <definedName name="BExEWO7STL7HNZSTY8VQBPTX1WK6" localSheetId="19" hidden="1">#REF!</definedName>
    <definedName name="BExEWO7STL7HNZSTY8VQBPTX1WK6" hidden="1">#REF!</definedName>
    <definedName name="BExEWQ0M1N3KMKTDJ73H10QSG4W1" localSheetId="8" hidden="1">#REF!</definedName>
    <definedName name="BExEWQ0M1N3KMKTDJ73H10QSG4W1" localSheetId="19" hidden="1">#REF!</definedName>
    <definedName name="BExEWQ0M1N3KMKTDJ73H10QSG4W1" hidden="1">#REF!</definedName>
    <definedName name="BExEX43OR6NH8GF32YY2ZB6Y8WGP" localSheetId="8" hidden="1">#REF!</definedName>
    <definedName name="BExEX43OR6NH8GF32YY2ZB6Y8WGP" localSheetId="19" hidden="1">#REF!</definedName>
    <definedName name="BExEX43OR6NH8GF32YY2ZB6Y8WGP" hidden="1">#REF!</definedName>
    <definedName name="BExEX85F3OSW8NSCYGYPS9372Z1Q" localSheetId="8" hidden="1">#REF!</definedName>
    <definedName name="BExEX85F3OSW8NSCYGYPS9372Z1Q" localSheetId="19" hidden="1">#REF!</definedName>
    <definedName name="BExEX85F3OSW8NSCYGYPS9372Z1Q" hidden="1">#REF!</definedName>
    <definedName name="BExEX9HWY2G6928ZVVVQF77QCM2C" localSheetId="8" hidden="1">#REF!</definedName>
    <definedName name="BExEX9HWY2G6928ZVVVQF77QCM2C" localSheetId="19" hidden="1">#REF!</definedName>
    <definedName name="BExEX9HWY2G6928ZVVVQF77QCM2C" hidden="1">#REF!</definedName>
    <definedName name="BExEXBQWAYKMVBRJRHB8PFCSYFVN" localSheetId="8" hidden="1">#REF!</definedName>
    <definedName name="BExEXBQWAYKMVBRJRHB8PFCSYFVN" localSheetId="19" hidden="1">#REF!</definedName>
    <definedName name="BExEXBQWAYKMVBRJRHB8PFCSYFVN" hidden="1">#REF!</definedName>
    <definedName name="BExEXGE2TE9MQWLQVHL7XGQWL102" localSheetId="8" hidden="1">#REF!</definedName>
    <definedName name="BExEXGE2TE9MQWLQVHL7XGQWL102" localSheetId="19" hidden="1">#REF!</definedName>
    <definedName name="BExEXGE2TE9MQWLQVHL7XGQWL102" hidden="1">#REF!</definedName>
    <definedName name="BExEXRBZ0DI9E2UFLLKYWGN66B61" localSheetId="8" hidden="1">#REF!</definedName>
    <definedName name="BExEXRBZ0DI9E2UFLLKYWGN66B61" localSheetId="19" hidden="1">#REF!</definedName>
    <definedName name="BExEXRBZ0DI9E2UFLLKYWGN66B61" hidden="1">#REF!</definedName>
    <definedName name="BExEXW4FSOZ9C2SZSQIAA3W82I5K" localSheetId="8" hidden="1">#REF!</definedName>
    <definedName name="BExEXW4FSOZ9C2SZSQIAA3W82I5K" localSheetId="19" hidden="1">#REF!</definedName>
    <definedName name="BExEXW4FSOZ9C2SZSQIAA3W82I5K" hidden="1">#REF!</definedName>
    <definedName name="BExEXZ4H2ZUNEW5I6I74GK08QAQC" localSheetId="8" hidden="1">#REF!</definedName>
    <definedName name="BExEXZ4H2ZUNEW5I6I74GK08QAQC" localSheetId="19" hidden="1">#REF!</definedName>
    <definedName name="BExEXZ4H2ZUNEW5I6I74GK08QAQC" hidden="1">#REF!</definedName>
    <definedName name="BExEY42GK80HA9M84NTZ3NV9K2VI" localSheetId="8" hidden="1">#REF!</definedName>
    <definedName name="BExEY42GK80HA9M84NTZ3NV9K2VI" localSheetId="19" hidden="1">#REF!</definedName>
    <definedName name="BExEY42GK80HA9M84NTZ3NV9K2VI" hidden="1">#REF!</definedName>
    <definedName name="BExEYLG9FL9V1JPPNZ3FUDNSEJ4V" localSheetId="8" hidden="1">#REF!</definedName>
    <definedName name="BExEYLG9FL9V1JPPNZ3FUDNSEJ4V" localSheetId="19" hidden="1">#REF!</definedName>
    <definedName name="BExEYLG9FL9V1JPPNZ3FUDNSEJ4V" hidden="1">#REF!</definedName>
    <definedName name="BExEYOW8C1B3OUUCIGEC7L8OOW1Z" localSheetId="8" hidden="1">#REF!</definedName>
    <definedName name="BExEYOW8C1B3OUUCIGEC7L8OOW1Z" localSheetId="19" hidden="1">#REF!</definedName>
    <definedName name="BExEYOW8C1B3OUUCIGEC7L8OOW1Z" hidden="1">#REF!</definedName>
    <definedName name="BExEYPCI2LT224YS4M3T50V85FAG" localSheetId="8" hidden="1">#REF!</definedName>
    <definedName name="BExEYPCI2LT224YS4M3T50V85FAG" localSheetId="19" hidden="1">#REF!</definedName>
    <definedName name="BExEYPCI2LT224YS4M3T50V85FAG" hidden="1">#REF!</definedName>
    <definedName name="BExEYUQJXZT6N5HJH8ACJF6SRWEE" localSheetId="8" hidden="1">#REF!</definedName>
    <definedName name="BExEYUQJXZT6N5HJH8ACJF6SRWEE" localSheetId="19" hidden="1">#REF!</definedName>
    <definedName name="BExEYUQJXZT6N5HJH8ACJF6SRWEE" hidden="1">#REF!</definedName>
    <definedName name="BExEYYC7KLO4XJQW9GMGVVJQXF4C" localSheetId="8" hidden="1">#REF!</definedName>
    <definedName name="BExEYYC7KLO4XJQW9GMGVVJQXF4C" localSheetId="19" hidden="1">#REF!</definedName>
    <definedName name="BExEYYC7KLO4XJQW9GMGVVJQXF4C" hidden="1">#REF!</definedName>
    <definedName name="BExEZ1S6VZCG01ZPLBSS9Z1SBOJ2" localSheetId="8" hidden="1">#REF!</definedName>
    <definedName name="BExEZ1S6VZCG01ZPLBSS9Z1SBOJ2" localSheetId="19" hidden="1">#REF!</definedName>
    <definedName name="BExEZ1S6VZCG01ZPLBSS9Z1SBOJ2" hidden="1">#REF!</definedName>
    <definedName name="BExEZ6KV8TDKOO0Y66LSH9DCFW5M" localSheetId="8" hidden="1">#REF!</definedName>
    <definedName name="BExEZ6KV8TDKOO0Y66LSH9DCFW5M" localSheetId="19" hidden="1">#REF!</definedName>
    <definedName name="BExEZ6KV8TDKOO0Y66LSH9DCFW5M" hidden="1">#REF!</definedName>
    <definedName name="BExEZGBFNJR8DLPN0V11AU22L6WY" localSheetId="8" hidden="1">#REF!</definedName>
    <definedName name="BExEZGBFNJR8DLPN0V11AU22L6WY" localSheetId="19" hidden="1">#REF!</definedName>
    <definedName name="BExEZGBFNJR8DLPN0V11AU22L6WY" hidden="1">#REF!</definedName>
    <definedName name="BExEZVR61GWO1ZM3XHWUKRJJMQXV" localSheetId="8" hidden="1">#REF!</definedName>
    <definedName name="BExEZVR61GWO1ZM3XHWUKRJJMQXV" localSheetId="19" hidden="1">#REF!</definedName>
    <definedName name="BExEZVR61GWO1ZM3XHWUKRJJMQXV" hidden="1">#REF!</definedName>
    <definedName name="BExF02Y3V3QEPO2XLDSK47APK9XJ" localSheetId="8" hidden="1">#REF!</definedName>
    <definedName name="BExF02Y3V3QEPO2XLDSK47APK9XJ" localSheetId="19" hidden="1">#REF!</definedName>
    <definedName name="BExF02Y3V3QEPO2XLDSK47APK9XJ" hidden="1">#REF!</definedName>
    <definedName name="BExF03E824NHBODFUZ3PZ5HLF85X" localSheetId="8" hidden="1">#REF!</definedName>
    <definedName name="BExF03E824NHBODFUZ3PZ5HLF85X" localSheetId="19" hidden="1">#REF!</definedName>
    <definedName name="BExF03E824NHBODFUZ3PZ5HLF85X" hidden="1">#REF!</definedName>
    <definedName name="BExF09OS91RT7N7IW8JLMZ121ZP3" localSheetId="8" hidden="1">#REF!</definedName>
    <definedName name="BExF09OS91RT7N7IW8JLMZ121ZP3" localSheetId="19" hidden="1">#REF!</definedName>
    <definedName name="BExF09OS91RT7N7IW8JLMZ121ZP3" hidden="1">#REF!</definedName>
    <definedName name="BExF0D4SEQ7RRCAER8UQKUJ4HH0Q" localSheetId="8" hidden="1">#REF!</definedName>
    <definedName name="BExF0D4SEQ7RRCAER8UQKUJ4HH0Q" localSheetId="19" hidden="1">#REF!</definedName>
    <definedName name="BExF0D4SEQ7RRCAER8UQKUJ4HH0Q" hidden="1">#REF!</definedName>
    <definedName name="BExF0D4Z97PCG5JI9CC2TFB553AX" localSheetId="8" hidden="1">#REF!</definedName>
    <definedName name="BExF0D4Z97PCG5JI9CC2TFB553AX" localSheetId="19" hidden="1">#REF!</definedName>
    <definedName name="BExF0D4Z97PCG5JI9CC2TFB553AX" hidden="1">#REF!</definedName>
    <definedName name="BExF0DAB1PUE0V936NFEK68CCKTJ" localSheetId="8" hidden="1">#REF!</definedName>
    <definedName name="BExF0DAB1PUE0V936NFEK68CCKTJ" localSheetId="19" hidden="1">#REF!</definedName>
    <definedName name="BExF0DAB1PUE0V936NFEK68CCKTJ" hidden="1">#REF!</definedName>
    <definedName name="BExF0LOEHV42P2DV7QL8O7HOQ3N9" localSheetId="8" hidden="1">#REF!</definedName>
    <definedName name="BExF0LOEHV42P2DV7QL8O7HOQ3N9" localSheetId="19" hidden="1">#REF!</definedName>
    <definedName name="BExF0LOEHV42P2DV7QL8O7HOQ3N9" hidden="1">#REF!</definedName>
    <definedName name="BExF0QRT0ZP2578DKKC9SRW40F5L" localSheetId="8" hidden="1">#REF!</definedName>
    <definedName name="BExF0QRT0ZP2578DKKC9SRW40F5L" localSheetId="19" hidden="1">#REF!</definedName>
    <definedName name="BExF0QRT0ZP2578DKKC9SRW40F5L" hidden="1">#REF!</definedName>
    <definedName name="BExF0WRM9VO25RLSO03ZOCE8H7K5" localSheetId="8" hidden="1">#REF!</definedName>
    <definedName name="BExF0WRM9VO25RLSO03ZOCE8H7K5" localSheetId="19" hidden="1">#REF!</definedName>
    <definedName name="BExF0WRM9VO25RLSO03ZOCE8H7K5" hidden="1">#REF!</definedName>
    <definedName name="BExF0ZRI7W4RSLIDLHTSM0AWXO3S" localSheetId="8" hidden="1">#REF!</definedName>
    <definedName name="BExF0ZRI7W4RSLIDLHTSM0AWXO3S" localSheetId="19" hidden="1">#REF!</definedName>
    <definedName name="BExF0ZRI7W4RSLIDLHTSM0AWXO3S" hidden="1">#REF!</definedName>
    <definedName name="BExF19CT3MMZZ2T5EWMDNG3UOJ01" localSheetId="8" hidden="1">#REF!</definedName>
    <definedName name="BExF19CT3MMZZ2T5EWMDNG3UOJ01" localSheetId="19" hidden="1">#REF!</definedName>
    <definedName name="BExF19CT3MMZZ2T5EWMDNG3UOJ01" hidden="1">#REF!</definedName>
    <definedName name="BExF1C1VNHJBRW2XQKVSL1KSLFZ8" localSheetId="8" hidden="1">#REF!</definedName>
    <definedName name="BExF1C1VNHJBRW2XQKVSL1KSLFZ8" localSheetId="19" hidden="1">#REF!</definedName>
    <definedName name="BExF1C1VNHJBRW2XQKVSL1KSLFZ8" hidden="1">#REF!</definedName>
    <definedName name="BExF1M38U6NX17YJA8YU359B5Z4M" localSheetId="8" hidden="1">#REF!</definedName>
    <definedName name="BExF1M38U6NX17YJA8YU359B5Z4M" localSheetId="19" hidden="1">#REF!</definedName>
    <definedName name="BExF1M38U6NX17YJA8YU359B5Z4M" hidden="1">#REF!</definedName>
    <definedName name="BExF1MU4W3NPEY0OHRDWP5IANCBB" localSheetId="8" hidden="1">#REF!</definedName>
    <definedName name="BExF1MU4W3NPEY0OHRDWP5IANCBB" localSheetId="19" hidden="1">#REF!</definedName>
    <definedName name="BExF1MU4W3NPEY0OHRDWP5IANCBB" hidden="1">#REF!</definedName>
    <definedName name="BExF1MZN8MWMOKOARHJ1QAF9HPGT" localSheetId="8" hidden="1">#REF!</definedName>
    <definedName name="BExF1MZN8MWMOKOARHJ1QAF9HPGT" localSheetId="19" hidden="1">#REF!</definedName>
    <definedName name="BExF1MZN8MWMOKOARHJ1QAF9HPGT" hidden="1">#REF!</definedName>
    <definedName name="BExF1US4ZIQYSU5LBFYNRA9N0K2O" localSheetId="8" hidden="1">#REF!</definedName>
    <definedName name="BExF1US4ZIQYSU5LBFYNRA9N0K2O" localSheetId="19" hidden="1">#REF!</definedName>
    <definedName name="BExF1US4ZIQYSU5LBFYNRA9N0K2O" hidden="1">#REF!</definedName>
    <definedName name="BExF272JNPJCK1XLBG016XXBVFO8" localSheetId="8" hidden="1">#REF!</definedName>
    <definedName name="BExF272JNPJCK1XLBG016XXBVFO8" localSheetId="19" hidden="1">#REF!</definedName>
    <definedName name="BExF272JNPJCK1XLBG016XXBVFO8" hidden="1">#REF!</definedName>
    <definedName name="BExF2CWZN6E87RGTBMD4YQI2QT7R" localSheetId="8" hidden="1">#REF!</definedName>
    <definedName name="BExF2CWZN6E87RGTBMD4YQI2QT7R" localSheetId="19" hidden="1">#REF!</definedName>
    <definedName name="BExF2CWZN6E87RGTBMD4YQI2QT7R" hidden="1">#REF!</definedName>
    <definedName name="BExF2DYO1WQ7GMXSTAQRDBW1NSFG" localSheetId="8" hidden="1">#REF!</definedName>
    <definedName name="BExF2DYO1WQ7GMXSTAQRDBW1NSFG" localSheetId="19" hidden="1">#REF!</definedName>
    <definedName name="BExF2DYO1WQ7GMXSTAQRDBW1NSFG" hidden="1">#REF!</definedName>
    <definedName name="BExF2H9D3MC9XKLPZ6VIP4F7G4YN" localSheetId="8" hidden="1">#REF!</definedName>
    <definedName name="BExF2H9D3MC9XKLPZ6VIP4F7G4YN" localSheetId="19" hidden="1">#REF!</definedName>
    <definedName name="BExF2H9D3MC9XKLPZ6VIP4F7G4YN" hidden="1">#REF!</definedName>
    <definedName name="BExF2MSWNUY9Z6BZJQZ538PPTION" localSheetId="8" hidden="1">#REF!</definedName>
    <definedName name="BExF2MSWNUY9Z6BZJQZ538PPTION" localSheetId="19" hidden="1">#REF!</definedName>
    <definedName name="BExF2MSWNUY9Z6BZJQZ538PPTION" hidden="1">#REF!</definedName>
    <definedName name="BExF2QZYWHTYGUTTXR15CKCV3LS7" localSheetId="8" hidden="1">#REF!</definedName>
    <definedName name="BExF2QZYWHTYGUTTXR15CKCV3LS7" localSheetId="19" hidden="1">#REF!</definedName>
    <definedName name="BExF2QZYWHTYGUTTXR15CKCV3LS7" hidden="1">#REF!</definedName>
    <definedName name="BExF2T8Y6TSJ74RMSZOA9CEH4OZ6" localSheetId="8" hidden="1">#REF!</definedName>
    <definedName name="BExF2T8Y6TSJ74RMSZOA9CEH4OZ6" localSheetId="19" hidden="1">#REF!</definedName>
    <definedName name="BExF2T8Y6TSJ74RMSZOA9CEH4OZ6" hidden="1">#REF!</definedName>
    <definedName name="BExF31N3YM4F37EOOY8M8VI1KXN8" localSheetId="8" hidden="1">#REF!</definedName>
    <definedName name="BExF31N3YM4F37EOOY8M8VI1KXN8" localSheetId="19" hidden="1">#REF!</definedName>
    <definedName name="BExF31N3YM4F37EOOY8M8VI1KXN8" hidden="1">#REF!</definedName>
    <definedName name="BExF37C1YKBT79Z9SOJAG5MXQGTU" localSheetId="8" hidden="1">#REF!</definedName>
    <definedName name="BExF37C1YKBT79Z9SOJAG5MXQGTU" localSheetId="19" hidden="1">#REF!</definedName>
    <definedName name="BExF37C1YKBT79Z9SOJAG5MXQGTU" hidden="1">#REF!</definedName>
    <definedName name="BExF3A6HPA6DGYALZNHHJPMCUYZR" localSheetId="8" hidden="1">#REF!</definedName>
    <definedName name="BExF3A6HPA6DGYALZNHHJPMCUYZR" localSheetId="19" hidden="1">#REF!</definedName>
    <definedName name="BExF3A6HPA6DGYALZNHHJPMCUYZR" hidden="1">#REF!</definedName>
    <definedName name="BExF3GMJW5D7066GYKTMM3CVH1HE" localSheetId="8" hidden="1">#REF!</definedName>
    <definedName name="BExF3GMJW5D7066GYKTMM3CVH1HE" localSheetId="19" hidden="1">#REF!</definedName>
    <definedName name="BExF3GMJW5D7066GYKTMM3CVH1HE" hidden="1">#REF!</definedName>
    <definedName name="BExF3I9T44X7DV9HHV51DVDDPPZG" localSheetId="8" hidden="1">#REF!</definedName>
    <definedName name="BExF3I9T44X7DV9HHV51DVDDPPZG" localSheetId="19" hidden="1">#REF!</definedName>
    <definedName name="BExF3I9T44X7DV9HHV51DVDDPPZG" hidden="1">#REF!</definedName>
    <definedName name="BExF3IKLZ35F2D4DI7R7P7NZLVC3" localSheetId="8" hidden="1">#REF!</definedName>
    <definedName name="BExF3IKLZ35F2D4DI7R7P7NZLVC3" localSheetId="19" hidden="1">#REF!</definedName>
    <definedName name="BExF3IKLZ35F2D4DI7R7P7NZLVC3" hidden="1">#REF!</definedName>
    <definedName name="BExF3JMFX5DILOIFUDIO1HZUK875" localSheetId="8" hidden="1">#REF!</definedName>
    <definedName name="BExF3JMFX5DILOIFUDIO1HZUK875" localSheetId="19" hidden="1">#REF!</definedName>
    <definedName name="BExF3JMFX5DILOIFUDIO1HZUK875" hidden="1">#REF!</definedName>
    <definedName name="BExF3KIO2G9LJYXZ61H8PJJ6OQXV" localSheetId="8" hidden="1">#REF!</definedName>
    <definedName name="BExF3KIO2G9LJYXZ61H8PJJ6OQXV" localSheetId="19" hidden="1">#REF!</definedName>
    <definedName name="BExF3KIO2G9LJYXZ61H8PJJ6OQXV" hidden="1">#REF!</definedName>
    <definedName name="BExF3MGVCZHXDAUDZAGUYESZ3RC8" localSheetId="8" hidden="1">#REF!</definedName>
    <definedName name="BExF3MGVCZHXDAUDZAGUYESZ3RC8" localSheetId="19" hidden="1">#REF!</definedName>
    <definedName name="BExF3MGVCZHXDAUDZAGUYESZ3RC8" hidden="1">#REF!</definedName>
    <definedName name="BExF3NTC4BGZEM6B87TCFX277QCS" localSheetId="8" hidden="1">#REF!</definedName>
    <definedName name="BExF3NTC4BGZEM6B87TCFX277QCS" localSheetId="19" hidden="1">#REF!</definedName>
    <definedName name="BExF3NTC4BGZEM6B87TCFX277QCS" hidden="1">#REF!</definedName>
    <definedName name="BExF3Q2DOSQI9SIAXB522CN0WBZ7" localSheetId="8" hidden="1">#REF!</definedName>
    <definedName name="BExF3Q2DOSQI9SIAXB522CN0WBZ7" localSheetId="19" hidden="1">#REF!</definedName>
    <definedName name="BExF3Q2DOSQI9SIAXB522CN0WBZ7" hidden="1">#REF!</definedName>
    <definedName name="BExF3Q7NI90WT31QHYSJDIG0LLLJ" localSheetId="8" hidden="1">#REF!</definedName>
    <definedName name="BExF3Q7NI90WT31QHYSJDIG0LLLJ" localSheetId="19" hidden="1">#REF!</definedName>
    <definedName name="BExF3Q7NI90WT31QHYSJDIG0LLLJ" hidden="1">#REF!</definedName>
    <definedName name="BExF3QD55TIY1MSBSRK9TUJKBEWO" localSheetId="8" hidden="1">#REF!</definedName>
    <definedName name="BExF3QD55TIY1MSBSRK9TUJKBEWO" localSheetId="19" hidden="1">#REF!</definedName>
    <definedName name="BExF3QD55TIY1MSBSRK9TUJKBEWO" hidden="1">#REF!</definedName>
    <definedName name="BExF3QT8J6RIF1L3R700MBSKIOKW" localSheetId="8" hidden="1">#REF!</definedName>
    <definedName name="BExF3QT8J6RIF1L3R700MBSKIOKW" localSheetId="19" hidden="1">#REF!</definedName>
    <definedName name="BExF3QT8J6RIF1L3R700MBSKIOKW" hidden="1">#REF!</definedName>
    <definedName name="BExF42SSBVPMLK2UB3B7FPEIY9TU" localSheetId="8" hidden="1">#REF!</definedName>
    <definedName name="BExF42SSBVPMLK2UB3B7FPEIY9TU" localSheetId="19" hidden="1">#REF!</definedName>
    <definedName name="BExF42SSBVPMLK2UB3B7FPEIY9TU" hidden="1">#REF!</definedName>
    <definedName name="BExF4HXSWB50BKYPWA0HTT8W56H6" localSheetId="8" hidden="1">#REF!</definedName>
    <definedName name="BExF4HXSWB50BKYPWA0HTT8W56H6" localSheetId="19" hidden="1">#REF!</definedName>
    <definedName name="BExF4HXSWB50BKYPWA0HTT8W56H6" hidden="1">#REF!</definedName>
    <definedName name="BExF4J4Y60OUA8GY6YN8XVRUX80A" localSheetId="8" hidden="1">#REF!</definedName>
    <definedName name="BExF4J4Y60OUA8GY6YN8XVRUX80A" localSheetId="19" hidden="1">#REF!</definedName>
    <definedName name="BExF4J4Y60OUA8GY6YN8XVRUX80A" hidden="1">#REF!</definedName>
    <definedName name="BExF4KHF04IWW4LQ95FHQPFE4Y9K" localSheetId="8" hidden="1">#REF!</definedName>
    <definedName name="BExF4KHF04IWW4LQ95FHQPFE4Y9K" localSheetId="19" hidden="1">#REF!</definedName>
    <definedName name="BExF4KHF04IWW4LQ95FHQPFE4Y9K" hidden="1">#REF!</definedName>
    <definedName name="BExF4MVQM5Y0QRDLDFSKWWTF709C" localSheetId="8" hidden="1">#REF!</definedName>
    <definedName name="BExF4MVQM5Y0QRDLDFSKWWTF709C" localSheetId="19" hidden="1">#REF!</definedName>
    <definedName name="BExF4MVQM5Y0QRDLDFSKWWTF709C" hidden="1">#REF!</definedName>
    <definedName name="BExF4PVMZYV36E8HOYY06J81AMBI" localSheetId="8" hidden="1">#REF!</definedName>
    <definedName name="BExF4PVMZYV36E8HOYY06J81AMBI" localSheetId="19" hidden="1">#REF!</definedName>
    <definedName name="BExF4PVMZYV36E8HOYY06J81AMBI" hidden="1">#REF!</definedName>
    <definedName name="BExF4SF9NEX1FZE9N8EXT89PM54D" localSheetId="8" hidden="1">#REF!</definedName>
    <definedName name="BExF4SF9NEX1FZE9N8EXT89PM54D" localSheetId="19" hidden="1">#REF!</definedName>
    <definedName name="BExF4SF9NEX1FZE9N8EXT89PM54D" hidden="1">#REF!</definedName>
    <definedName name="BExF52GTGP8MHGII4KJ8TJGR8W8U" localSheetId="8" hidden="1">#REF!</definedName>
    <definedName name="BExF52GTGP8MHGII4KJ8TJGR8W8U" localSheetId="19" hidden="1">#REF!</definedName>
    <definedName name="BExF52GTGP8MHGII4KJ8TJGR8W8U" hidden="1">#REF!</definedName>
    <definedName name="BExF57K7L3UC1I2FSAWURR4SN0UN" localSheetId="8" hidden="1">#REF!</definedName>
    <definedName name="BExF57K7L3UC1I2FSAWURR4SN0UN" localSheetId="19" hidden="1">#REF!</definedName>
    <definedName name="BExF57K7L3UC1I2FSAWURR4SN0UN" hidden="1">#REF!</definedName>
    <definedName name="BExF5HR2GFV7O8LKG9SJ4BY78LYA" localSheetId="8" hidden="1">#REF!</definedName>
    <definedName name="BExF5HR2GFV7O8LKG9SJ4BY78LYA" localSheetId="19" hidden="1">#REF!</definedName>
    <definedName name="BExF5HR2GFV7O8LKG9SJ4BY78LYA" hidden="1">#REF!</definedName>
    <definedName name="BExF5ZFO2A29GHWR5ES64Z9OS16J" localSheetId="8" hidden="1">#REF!</definedName>
    <definedName name="BExF5ZFO2A29GHWR5ES64Z9OS16J" localSheetId="19" hidden="1">#REF!</definedName>
    <definedName name="BExF5ZFO2A29GHWR5ES64Z9OS16J" hidden="1">#REF!</definedName>
    <definedName name="BExF63S045JO7H2ZJCBTBVH3SUIF" localSheetId="8" hidden="1">#REF!</definedName>
    <definedName name="BExF63S045JO7H2ZJCBTBVH3SUIF" localSheetId="19" hidden="1">#REF!</definedName>
    <definedName name="BExF63S045JO7H2ZJCBTBVH3SUIF" hidden="1">#REF!</definedName>
    <definedName name="BExF642TEGTXCI9A61ZOONJCB0U1" localSheetId="8" hidden="1">#REF!</definedName>
    <definedName name="BExF642TEGTXCI9A61ZOONJCB0U1" localSheetId="19" hidden="1">#REF!</definedName>
    <definedName name="BExF642TEGTXCI9A61ZOONJCB0U1" hidden="1">#REF!</definedName>
    <definedName name="BExF67O951CF8UJF3KBDNR0E83C1" localSheetId="8" hidden="1">#REF!</definedName>
    <definedName name="BExF67O951CF8UJF3KBDNR0E83C1" localSheetId="19" hidden="1">#REF!</definedName>
    <definedName name="BExF67O951CF8UJF3KBDNR0E83C1" hidden="1">#REF!</definedName>
    <definedName name="BExF6EV7I35NVMIJGYTB6E24YVPA" localSheetId="8" hidden="1">#REF!</definedName>
    <definedName name="BExF6EV7I35NVMIJGYTB6E24YVPA" localSheetId="19" hidden="1">#REF!</definedName>
    <definedName name="BExF6EV7I35NVMIJGYTB6E24YVPA" hidden="1">#REF!</definedName>
    <definedName name="BExF6FGUF393KTMBT40S5BYAFG00" localSheetId="8" hidden="1">#REF!</definedName>
    <definedName name="BExF6FGUF393KTMBT40S5BYAFG00" localSheetId="19" hidden="1">#REF!</definedName>
    <definedName name="BExF6FGUF393KTMBT40S5BYAFG00" hidden="1">#REF!</definedName>
    <definedName name="BExF6GNYXWY8A0SY4PW1B6KJMMTM" localSheetId="8" hidden="1">#REF!</definedName>
    <definedName name="BExF6GNYXWY8A0SY4PW1B6KJMMTM" localSheetId="19" hidden="1">#REF!</definedName>
    <definedName name="BExF6GNYXWY8A0SY4PW1B6KJMMTM" hidden="1">#REF!</definedName>
    <definedName name="BExF6IB8K74Z0AFT05GPOKKZW7C9" localSheetId="8" hidden="1">#REF!</definedName>
    <definedName name="BExF6IB8K74Z0AFT05GPOKKZW7C9" localSheetId="19" hidden="1">#REF!</definedName>
    <definedName name="BExF6IB8K74Z0AFT05GPOKKZW7C9" hidden="1">#REF!</definedName>
    <definedName name="BExF6NUXJI11W2IAZNAM1QWC0459" localSheetId="8" hidden="1">#REF!</definedName>
    <definedName name="BExF6NUXJI11W2IAZNAM1QWC0459" localSheetId="19" hidden="1">#REF!</definedName>
    <definedName name="BExF6NUXJI11W2IAZNAM1QWC0459" hidden="1">#REF!</definedName>
    <definedName name="BExF6RR76KNVIXGJOVFO8GDILKGZ" localSheetId="8" hidden="1">#REF!</definedName>
    <definedName name="BExF6RR76KNVIXGJOVFO8GDILKGZ" localSheetId="19" hidden="1">#REF!</definedName>
    <definedName name="BExF6RR76KNVIXGJOVFO8GDILKGZ" hidden="1">#REF!</definedName>
    <definedName name="BExF6ZE8D5CMPJPRWT6S4HM56LPF" localSheetId="8" hidden="1">#REF!</definedName>
    <definedName name="BExF6ZE8D5CMPJPRWT6S4HM56LPF" localSheetId="19" hidden="1">#REF!</definedName>
    <definedName name="BExF6ZE8D5CMPJPRWT6S4HM56LPF" hidden="1">#REF!</definedName>
    <definedName name="BExF76FV8SF7AJK7B35AL7VTZF6D" localSheetId="8" hidden="1">#REF!</definedName>
    <definedName name="BExF76FV8SF7AJK7B35AL7VTZF6D" localSheetId="19" hidden="1">#REF!</definedName>
    <definedName name="BExF76FV8SF7AJK7B35AL7VTZF6D" hidden="1">#REF!</definedName>
    <definedName name="BExF7EOIMC1OYL1N7835KGOI0FIZ" localSheetId="8" hidden="1">#REF!</definedName>
    <definedName name="BExF7EOIMC1OYL1N7835KGOI0FIZ" localSheetId="19" hidden="1">#REF!</definedName>
    <definedName name="BExF7EOIMC1OYL1N7835KGOI0FIZ" hidden="1">#REF!</definedName>
    <definedName name="BExF7K88K7ASGV6RAOAGH52G04VR" localSheetId="8" hidden="1">#REF!</definedName>
    <definedName name="BExF7K88K7ASGV6RAOAGH52G04VR" localSheetId="19" hidden="1">#REF!</definedName>
    <definedName name="BExF7K88K7ASGV6RAOAGH52G04VR" hidden="1">#REF!</definedName>
    <definedName name="BExF7OVDRP3LHNAF2CX4V84CKKIR" localSheetId="8" hidden="1">#REF!</definedName>
    <definedName name="BExF7OVDRP3LHNAF2CX4V84CKKIR" localSheetId="19" hidden="1">#REF!</definedName>
    <definedName name="BExF7OVDRP3LHNAF2CX4V84CKKIR" hidden="1">#REF!</definedName>
    <definedName name="BExF7QO41X2A2SL8UXDNP99GY7U9" localSheetId="8" hidden="1">#REF!</definedName>
    <definedName name="BExF7QO41X2A2SL8UXDNP99GY7U9" localSheetId="19" hidden="1">#REF!</definedName>
    <definedName name="BExF7QO41X2A2SL8UXDNP99GY7U9" hidden="1">#REF!</definedName>
    <definedName name="BExF7QYWRJ8S4SID84VVXH3TN7X8" localSheetId="8" hidden="1">#REF!</definedName>
    <definedName name="BExF7QYWRJ8S4SID84VVXH3TN7X8" localSheetId="19" hidden="1">#REF!</definedName>
    <definedName name="BExF7QYWRJ8S4SID84VVXH3TN7X8" hidden="1">#REF!</definedName>
    <definedName name="BExF81GI8B8WBHXFTET68A9358BR" localSheetId="8" hidden="1">#REF!</definedName>
    <definedName name="BExF81GI8B8WBHXFTET68A9358BR" localSheetId="19" hidden="1">#REF!</definedName>
    <definedName name="BExF81GI8B8WBHXFTET68A9358BR" hidden="1">#REF!</definedName>
    <definedName name="BExGKN1EUJWHOYSSFY4XX6T9QVV5" localSheetId="8" hidden="1">#REF!</definedName>
    <definedName name="BExGKN1EUJWHOYSSFY4XX6T9QVV5" localSheetId="19" hidden="1">#REF!</definedName>
    <definedName name="BExGKN1EUJWHOYSSFY4XX6T9QVV5" hidden="1">#REF!</definedName>
    <definedName name="BExGL97US0Y3KXXASUTVR26XLT70" localSheetId="8" hidden="1">#REF!</definedName>
    <definedName name="BExGL97US0Y3KXXASUTVR26XLT70" localSheetId="19" hidden="1">#REF!</definedName>
    <definedName name="BExGL97US0Y3KXXASUTVR26XLT70" hidden="1">#REF!</definedName>
    <definedName name="BExGL9TEJAX73AMCXKXTMRO9T6QA" localSheetId="8" hidden="1">#REF!</definedName>
    <definedName name="BExGL9TEJAX73AMCXKXTMRO9T6QA" localSheetId="19" hidden="1">#REF!</definedName>
    <definedName name="BExGL9TEJAX73AMCXKXTMRO9T6QA" hidden="1">#REF!</definedName>
    <definedName name="BExGLBM5GKGBJDTZSMMBZBAVQ7N1" localSheetId="8" hidden="1">#REF!</definedName>
    <definedName name="BExGLBM5GKGBJDTZSMMBZBAVQ7N1" localSheetId="19" hidden="1">#REF!</definedName>
    <definedName name="BExGLBM5GKGBJDTZSMMBZBAVQ7N1" hidden="1">#REF!</definedName>
    <definedName name="BExGLC7R4C33RO0PID97ZPPVCW4M" localSheetId="8" hidden="1">#REF!</definedName>
    <definedName name="BExGLC7R4C33RO0PID97ZPPVCW4M" localSheetId="19" hidden="1">#REF!</definedName>
    <definedName name="BExGLC7R4C33RO0PID97ZPPVCW4M" hidden="1">#REF!</definedName>
    <definedName name="BExGLFIF7HCFSHNQHKEV6RY0WCO3" localSheetId="8" hidden="1">#REF!</definedName>
    <definedName name="BExGLFIF7HCFSHNQHKEV6RY0WCO3" localSheetId="19" hidden="1">#REF!</definedName>
    <definedName name="BExGLFIF7HCFSHNQHKEV6RY0WCO3" hidden="1">#REF!</definedName>
    <definedName name="BExGLPP9Z6SH15N8AV0F7H58S14K" localSheetId="8" hidden="1">#REF!</definedName>
    <definedName name="BExGLPP9Z6SH15N8AV0F7H58S14K" localSheetId="19" hidden="1">#REF!</definedName>
    <definedName name="BExGLPP9Z6SH15N8AV0F7H58S14K" hidden="1">#REF!</definedName>
    <definedName name="BExGLQATG820J44V2O4JEICPUUTR" localSheetId="8" hidden="1">#REF!</definedName>
    <definedName name="BExGLQATG820J44V2O4JEICPUUTR" localSheetId="19" hidden="1">#REF!</definedName>
    <definedName name="BExGLQATG820J44V2O4JEICPUUTR" hidden="1">#REF!</definedName>
    <definedName name="BExGLTARRL0J772UD2TXEYAVPY6E" localSheetId="8" hidden="1">#REF!</definedName>
    <definedName name="BExGLTARRL0J772UD2TXEYAVPY6E" localSheetId="19" hidden="1">#REF!</definedName>
    <definedName name="BExGLTARRL0J772UD2TXEYAVPY6E" hidden="1">#REF!</definedName>
    <definedName name="BExGLYE6RZTAAWHJBG2QFJPTDS2Q" localSheetId="8" hidden="1">#REF!</definedName>
    <definedName name="BExGLYE6RZTAAWHJBG2QFJPTDS2Q" localSheetId="19" hidden="1">#REF!</definedName>
    <definedName name="BExGLYE6RZTAAWHJBG2QFJPTDS2Q" hidden="1">#REF!</definedName>
    <definedName name="BExGM4DZ65OAQP7MA4LN6QMYZOFF" localSheetId="8" hidden="1">#REF!</definedName>
    <definedName name="BExGM4DZ65OAQP7MA4LN6QMYZOFF" localSheetId="19" hidden="1">#REF!</definedName>
    <definedName name="BExGM4DZ65OAQP7MA4LN6QMYZOFF" hidden="1">#REF!</definedName>
    <definedName name="BExGMCXCWEC9XNUOEMZ61TMI6CUO" localSheetId="8" hidden="1">#REF!</definedName>
    <definedName name="BExGMCXCWEC9XNUOEMZ61TMI6CUO" localSheetId="19" hidden="1">#REF!</definedName>
    <definedName name="BExGMCXCWEC9XNUOEMZ61TMI6CUO" hidden="1">#REF!</definedName>
    <definedName name="BExGMJDGIH0MEPC2TUSFUCY2ROTB" localSheetId="8" hidden="1">#REF!</definedName>
    <definedName name="BExGMJDGIH0MEPC2TUSFUCY2ROTB" localSheetId="19" hidden="1">#REF!</definedName>
    <definedName name="BExGMJDGIH0MEPC2TUSFUCY2ROTB" hidden="1">#REF!</definedName>
    <definedName name="BExGMKPW2HPKN0M0XKF3AZ8YP0D6" localSheetId="8" hidden="1">#REF!</definedName>
    <definedName name="BExGMKPW2HPKN0M0XKF3AZ8YP0D6" localSheetId="19" hidden="1">#REF!</definedName>
    <definedName name="BExGMKPW2HPKN0M0XKF3AZ8YP0D6" hidden="1">#REF!</definedName>
    <definedName name="BExGMOGUOL3NATNV0TIZH2J6DLLD" localSheetId="8" hidden="1">#REF!</definedName>
    <definedName name="BExGMOGUOL3NATNV0TIZH2J6DLLD" localSheetId="19" hidden="1">#REF!</definedName>
    <definedName name="BExGMOGUOL3NATNV0TIZH2J6DLLD" hidden="1">#REF!</definedName>
    <definedName name="BExGMP2F175LGL6QVSJGP6GKYHHA" localSheetId="8" hidden="1">#REF!</definedName>
    <definedName name="BExGMP2F175LGL6QVSJGP6GKYHHA" localSheetId="19" hidden="1">#REF!</definedName>
    <definedName name="BExGMP2F175LGL6QVSJGP6GKYHHA" hidden="1">#REF!</definedName>
    <definedName name="BExGMPIIP8GKML2VVA8OEFL43NCS" localSheetId="8" hidden="1">#REF!</definedName>
    <definedName name="BExGMPIIP8GKML2VVA8OEFL43NCS" localSheetId="19" hidden="1">#REF!</definedName>
    <definedName name="BExGMPIIP8GKML2VVA8OEFL43NCS" hidden="1">#REF!</definedName>
    <definedName name="BExGMZ3SRIXLXMWBVOXXV3M4U4YL" localSheetId="8" hidden="1">#REF!</definedName>
    <definedName name="BExGMZ3SRIXLXMWBVOXXV3M4U4YL" localSheetId="19" hidden="1">#REF!</definedName>
    <definedName name="BExGMZ3SRIXLXMWBVOXXV3M4U4YL" hidden="1">#REF!</definedName>
    <definedName name="BExGMZ3UBN48IXU1ZEFYECEMZ1IM" localSheetId="8" hidden="1">#REF!</definedName>
    <definedName name="BExGMZ3UBN48IXU1ZEFYECEMZ1IM" localSheetId="19" hidden="1">#REF!</definedName>
    <definedName name="BExGMZ3UBN48IXU1ZEFYECEMZ1IM" hidden="1">#REF!</definedName>
    <definedName name="BExGN4I0QATXNZCLZJM1KH1OIJQH" localSheetId="8" hidden="1">#REF!</definedName>
    <definedName name="BExGN4I0QATXNZCLZJM1KH1OIJQH" localSheetId="19" hidden="1">#REF!</definedName>
    <definedName name="BExGN4I0QATXNZCLZJM1KH1OIJQH" hidden="1">#REF!</definedName>
    <definedName name="BExGN9FZ2RWCMSY1YOBJKZMNIM9R" localSheetId="8" hidden="1">#REF!</definedName>
    <definedName name="BExGN9FZ2RWCMSY1YOBJKZMNIM9R" localSheetId="19" hidden="1">#REF!</definedName>
    <definedName name="BExGN9FZ2RWCMSY1YOBJKZMNIM9R" hidden="1">#REF!</definedName>
    <definedName name="BExGNDSIMTHOCXXG6QOGR6DA8SGG" localSheetId="8" hidden="1">#REF!</definedName>
    <definedName name="BExGNDSIMTHOCXXG6QOGR6DA8SGG" localSheetId="19" hidden="1">#REF!</definedName>
    <definedName name="BExGNDSIMTHOCXXG6QOGR6DA8SGG" hidden="1">#REF!</definedName>
    <definedName name="BExGNHOS7RBERG1J2M2HVGSRZL5G" localSheetId="8" hidden="1">#REF!</definedName>
    <definedName name="BExGNHOS7RBERG1J2M2HVGSRZL5G" localSheetId="19" hidden="1">#REF!</definedName>
    <definedName name="BExGNHOS7RBERG1J2M2HVGSRZL5G" hidden="1">#REF!</definedName>
    <definedName name="BExGNJ18W3Q55XAXY8XTFB80IVMV" localSheetId="8" hidden="1">#REF!</definedName>
    <definedName name="BExGNJ18W3Q55XAXY8XTFB80IVMV" localSheetId="19" hidden="1">#REF!</definedName>
    <definedName name="BExGNJ18W3Q55XAXY8XTFB80IVMV" hidden="1">#REF!</definedName>
    <definedName name="BExGNN2YQ9BDAZXT2GLCSAPXKIM7" localSheetId="8" hidden="1">#REF!</definedName>
    <definedName name="BExGNN2YQ9BDAZXT2GLCSAPXKIM7" localSheetId="19" hidden="1">#REF!</definedName>
    <definedName name="BExGNN2YQ9BDAZXT2GLCSAPXKIM7" hidden="1">#REF!</definedName>
    <definedName name="BExGNP6INLF5NZFP5ME6K7C9Y0NH" localSheetId="8" hidden="1">#REF!</definedName>
    <definedName name="BExGNP6INLF5NZFP5ME6K7C9Y0NH" localSheetId="19" hidden="1">#REF!</definedName>
    <definedName name="BExGNP6INLF5NZFP5ME6K7C9Y0NH" hidden="1">#REF!</definedName>
    <definedName name="BExGNSS0CKRPKHO25R3TDBEL2NHX" localSheetId="8" hidden="1">#REF!</definedName>
    <definedName name="BExGNSS0CKRPKHO25R3TDBEL2NHX" localSheetId="19" hidden="1">#REF!</definedName>
    <definedName name="BExGNSS0CKRPKHO25R3TDBEL2NHX" hidden="1">#REF!</definedName>
    <definedName name="BExGNYH0MO8NOVS85L15G0RWX4GW" localSheetId="8" hidden="1">#REF!</definedName>
    <definedName name="BExGNYH0MO8NOVS85L15G0RWX4GW" localSheetId="19" hidden="1">#REF!</definedName>
    <definedName name="BExGNYH0MO8NOVS85L15G0RWX4GW" hidden="1">#REF!</definedName>
    <definedName name="BExGNZO44DEG8CGIDYSEGDUQ531R" localSheetId="8" hidden="1">#REF!</definedName>
    <definedName name="BExGNZO44DEG8CGIDYSEGDUQ531R" localSheetId="19" hidden="1">#REF!</definedName>
    <definedName name="BExGNZO44DEG8CGIDYSEGDUQ531R" hidden="1">#REF!</definedName>
    <definedName name="BExGO22GMMPZVQY9RQ8MDKZDP5G3" localSheetId="8" hidden="1">#REF!</definedName>
    <definedName name="BExGO22GMMPZVQY9RQ8MDKZDP5G3" localSheetId="19" hidden="1">#REF!</definedName>
    <definedName name="BExGO22GMMPZVQY9RQ8MDKZDP5G3" hidden="1">#REF!</definedName>
    <definedName name="BExGO2O0V6UYDY26AX8OSN72F77N" localSheetId="8" hidden="1">#REF!</definedName>
    <definedName name="BExGO2O0V6UYDY26AX8OSN72F77N" localSheetId="19" hidden="1">#REF!</definedName>
    <definedName name="BExGO2O0V6UYDY26AX8OSN72F77N" hidden="1">#REF!</definedName>
    <definedName name="BExGO2YUBOVLYHY1QSIHRE1KLAFV" localSheetId="8" hidden="1">#REF!</definedName>
    <definedName name="BExGO2YUBOVLYHY1QSIHRE1KLAFV" localSheetId="19" hidden="1">#REF!</definedName>
    <definedName name="BExGO2YUBOVLYHY1QSIHRE1KLAFV" hidden="1">#REF!</definedName>
    <definedName name="BExGO70E2O70LF46V8T26YFPL4V8" localSheetId="8" hidden="1">#REF!</definedName>
    <definedName name="BExGO70E2O70LF46V8T26YFPL4V8" localSheetId="19" hidden="1">#REF!</definedName>
    <definedName name="BExGO70E2O70LF46V8T26YFPL4V8" hidden="1">#REF!</definedName>
    <definedName name="BExGOB25QJMQCQE76MRW9X58OIOO" localSheetId="8" hidden="1">#REF!</definedName>
    <definedName name="BExGOB25QJMQCQE76MRW9X58OIOO" localSheetId="19" hidden="1">#REF!</definedName>
    <definedName name="BExGOB25QJMQCQE76MRW9X58OIOO" hidden="1">#REF!</definedName>
    <definedName name="BExGODAZKJ9EXMQZNQR5YDBSS525" localSheetId="8" hidden="1">#REF!</definedName>
    <definedName name="BExGODAZKJ9EXMQZNQR5YDBSS525" localSheetId="19" hidden="1">#REF!</definedName>
    <definedName name="BExGODAZKJ9EXMQZNQR5YDBSS525" hidden="1">#REF!</definedName>
    <definedName name="BExGODR8ZSMUC11I56QHSZ686XV5" localSheetId="8" hidden="1">#REF!</definedName>
    <definedName name="BExGODR8ZSMUC11I56QHSZ686XV5" localSheetId="19" hidden="1">#REF!</definedName>
    <definedName name="BExGODR8ZSMUC11I56QHSZ686XV5" hidden="1">#REF!</definedName>
    <definedName name="BExGOXJDHUDPDT8I8IVGVW9J0R5Q" localSheetId="8" hidden="1">#REF!</definedName>
    <definedName name="BExGOXJDHUDPDT8I8IVGVW9J0R5Q" localSheetId="19" hidden="1">#REF!</definedName>
    <definedName name="BExGOXJDHUDPDT8I8IVGVW9J0R5Q" hidden="1">#REF!</definedName>
    <definedName name="BExGPAPYI1N5W3IH8H485BHSVOY3" localSheetId="8" hidden="1">#REF!</definedName>
    <definedName name="BExGPAPYI1N5W3IH8H485BHSVOY3" localSheetId="19" hidden="1">#REF!</definedName>
    <definedName name="BExGPAPYI1N5W3IH8H485BHSVOY3" hidden="1">#REF!</definedName>
    <definedName name="BExGPFO3GOKYO2922Y91GMQRCMOA" localSheetId="8" hidden="1">#REF!</definedName>
    <definedName name="BExGPFO3GOKYO2922Y91GMQRCMOA" localSheetId="19" hidden="1">#REF!</definedName>
    <definedName name="BExGPFO3GOKYO2922Y91GMQRCMOA" hidden="1">#REF!</definedName>
    <definedName name="BExGPHGT5KDOCMV2EFS4OVKTWBRD" localSheetId="8" hidden="1">#REF!</definedName>
    <definedName name="BExGPHGT5KDOCMV2EFS4OVKTWBRD" localSheetId="19" hidden="1">#REF!</definedName>
    <definedName name="BExGPHGT5KDOCMV2EFS4OVKTWBRD" hidden="1">#REF!</definedName>
    <definedName name="BExGPID72Y4Y619LWASUQZKZHJNC" localSheetId="8" hidden="1">#REF!</definedName>
    <definedName name="BExGPID72Y4Y619LWASUQZKZHJNC" localSheetId="19" hidden="1">#REF!</definedName>
    <definedName name="BExGPID72Y4Y619LWASUQZKZHJNC" hidden="1">#REF!</definedName>
    <definedName name="BExGPPENQIANVGLVQJ77DK5JPRTB" localSheetId="8" hidden="1">#REF!</definedName>
    <definedName name="BExGPPENQIANVGLVQJ77DK5JPRTB" localSheetId="19" hidden="1">#REF!</definedName>
    <definedName name="BExGPPENQIANVGLVQJ77DK5JPRTB" hidden="1">#REF!</definedName>
    <definedName name="BExGPSUUG7TL5F5PTYU6G4HPJV1B" localSheetId="8" hidden="1">#REF!</definedName>
    <definedName name="BExGPSUUG7TL5F5PTYU6G4HPJV1B" localSheetId="19" hidden="1">#REF!</definedName>
    <definedName name="BExGPSUUG7TL5F5PTYU6G4HPJV1B" hidden="1">#REF!</definedName>
    <definedName name="BExGQ1E950UYXYWQ84EZEQPWHVYY" localSheetId="8" hidden="1">#REF!</definedName>
    <definedName name="BExGQ1E950UYXYWQ84EZEQPWHVYY" localSheetId="19" hidden="1">#REF!</definedName>
    <definedName name="BExGQ1E950UYXYWQ84EZEQPWHVYY" hidden="1">#REF!</definedName>
    <definedName name="BExGQ1ZU4967P72AHF4V1D0FOL5C" localSheetId="8" hidden="1">#REF!</definedName>
    <definedName name="BExGQ1ZU4967P72AHF4V1D0FOL5C" localSheetId="19" hidden="1">#REF!</definedName>
    <definedName name="BExGQ1ZU4967P72AHF4V1D0FOL5C" hidden="1">#REF!</definedName>
    <definedName name="BExGQ36ZOMR9GV8T05M605MMOY3Y" localSheetId="8" hidden="1">#REF!</definedName>
    <definedName name="BExGQ36ZOMR9GV8T05M605MMOY3Y" localSheetId="19" hidden="1">#REF!</definedName>
    <definedName name="BExGQ36ZOMR9GV8T05M605MMOY3Y" hidden="1">#REF!</definedName>
    <definedName name="BExGQ4ZP0PPMLDNVBUG12W9FFVI9" localSheetId="8" hidden="1">#REF!</definedName>
    <definedName name="BExGQ4ZP0PPMLDNVBUG12W9FFVI9" localSheetId="19" hidden="1">#REF!</definedName>
    <definedName name="BExGQ4ZP0PPMLDNVBUG12W9FFVI9" hidden="1">#REF!</definedName>
    <definedName name="BExGQ61DTJ0SBFMDFBAK3XZ9O0ZO" localSheetId="8" hidden="1">#REF!</definedName>
    <definedName name="BExGQ61DTJ0SBFMDFBAK3XZ9O0ZO" localSheetId="19" hidden="1">#REF!</definedName>
    <definedName name="BExGQ61DTJ0SBFMDFBAK3XZ9O0ZO" hidden="1">#REF!</definedName>
    <definedName name="BExGQ6SG9XEOD0VMBAR22YPZWSTA" localSheetId="8" hidden="1">#REF!</definedName>
    <definedName name="BExGQ6SG9XEOD0VMBAR22YPZWSTA" localSheetId="19" hidden="1">#REF!</definedName>
    <definedName name="BExGQ6SG9XEOD0VMBAR22YPZWSTA" hidden="1">#REF!</definedName>
    <definedName name="BExGQ8FQN3FRAGH5H2V74848P5JX" localSheetId="8" hidden="1">#REF!</definedName>
    <definedName name="BExGQ8FQN3FRAGH5H2V74848P5JX" localSheetId="19" hidden="1">#REF!</definedName>
    <definedName name="BExGQ8FQN3FRAGH5H2V74848P5JX" hidden="1">#REF!</definedName>
    <definedName name="BExGQGJ1A7LNZUS8QSMOG8UNGLMK" localSheetId="8" hidden="1">#REF!</definedName>
    <definedName name="BExGQGJ1A7LNZUS8QSMOG8UNGLMK" localSheetId="19" hidden="1">#REF!</definedName>
    <definedName name="BExGQGJ1A7LNZUS8QSMOG8UNGLMK" hidden="1">#REF!</definedName>
    <definedName name="BExGQLBNZ35IK2VK33HJUAE4ADX2" localSheetId="8" hidden="1">#REF!</definedName>
    <definedName name="BExGQLBNZ35IK2VK33HJUAE4ADX2" localSheetId="19" hidden="1">#REF!</definedName>
    <definedName name="BExGQLBNZ35IK2VK33HJUAE4ADX2" hidden="1">#REF!</definedName>
    <definedName name="BExGQPO7ENFEQC0NC6MC9OZR2LHY" localSheetId="8" hidden="1">#REF!</definedName>
    <definedName name="BExGQPO7ENFEQC0NC6MC9OZR2LHY" localSheetId="19" hidden="1">#REF!</definedName>
    <definedName name="BExGQPO7ENFEQC0NC6MC9OZR2LHY" hidden="1">#REF!</definedName>
    <definedName name="BExGQX0H4EZMXBJTKJJE4ICJWN5O" localSheetId="8" hidden="1">#REF!</definedName>
    <definedName name="BExGQX0H4EZMXBJTKJJE4ICJWN5O" localSheetId="19" hidden="1">#REF!</definedName>
    <definedName name="BExGQX0H4EZMXBJTKJJE4ICJWN5O" hidden="1">#REF!</definedName>
    <definedName name="BExGR4CW3WRIID17GGX4MI9ZDHFE" localSheetId="8" hidden="1">#REF!</definedName>
    <definedName name="BExGR4CW3WRIID17GGX4MI9ZDHFE" localSheetId="19" hidden="1">#REF!</definedName>
    <definedName name="BExGR4CW3WRIID17GGX4MI9ZDHFE" hidden="1">#REF!</definedName>
    <definedName name="BExGR65GJX27MU2OL6NI5PB8XVB4" localSheetId="8" hidden="1">#REF!</definedName>
    <definedName name="BExGR65GJX27MU2OL6NI5PB8XVB4" localSheetId="19" hidden="1">#REF!</definedName>
    <definedName name="BExGR65GJX27MU2OL6NI5PB8XVB4" hidden="1">#REF!</definedName>
    <definedName name="BExGR6LQ97HETGS3CT96L4IK0JSH" localSheetId="8" hidden="1">#REF!</definedName>
    <definedName name="BExGR6LQ97HETGS3CT96L4IK0JSH" localSheetId="19" hidden="1">#REF!</definedName>
    <definedName name="BExGR6LQ97HETGS3CT96L4IK0JSH" hidden="1">#REF!</definedName>
    <definedName name="BExGR9ATP2LVT7B9OCPSLJ11H9SX" localSheetId="8" hidden="1">#REF!</definedName>
    <definedName name="BExGR9ATP2LVT7B9OCPSLJ11H9SX" localSheetId="19" hidden="1">#REF!</definedName>
    <definedName name="BExGR9ATP2LVT7B9OCPSLJ11H9SX" hidden="1">#REF!</definedName>
    <definedName name="BExGRILCZ3BMTGDY72B1Q9BUGW0J" localSheetId="8" hidden="1">#REF!</definedName>
    <definedName name="BExGRILCZ3BMTGDY72B1Q9BUGW0J" localSheetId="19" hidden="1">#REF!</definedName>
    <definedName name="BExGRILCZ3BMTGDY72B1Q9BUGW0J" hidden="1">#REF!</definedName>
    <definedName name="BExGRNZJ74Y6OYJB9F9Y9T3CAHOS" localSheetId="8" hidden="1">#REF!</definedName>
    <definedName name="BExGRNZJ74Y6OYJB9F9Y9T3CAHOS" localSheetId="19" hidden="1">#REF!</definedName>
    <definedName name="BExGRNZJ74Y6OYJB9F9Y9T3CAHOS" hidden="1">#REF!</definedName>
    <definedName name="BExGRPC5QJQ7UGQ4P7CFWVGRQGFW" localSheetId="8" hidden="1">#REF!</definedName>
    <definedName name="BExGRPC5QJQ7UGQ4P7CFWVGRQGFW" localSheetId="19" hidden="1">#REF!</definedName>
    <definedName name="BExGRPC5QJQ7UGQ4P7CFWVGRQGFW" hidden="1">#REF!</definedName>
    <definedName name="BExGRSMULUXOBEN8G0TK90PRKQ9O" localSheetId="8" hidden="1">#REF!</definedName>
    <definedName name="BExGRSMULUXOBEN8G0TK90PRKQ9O" localSheetId="19" hidden="1">#REF!</definedName>
    <definedName name="BExGRSMULUXOBEN8G0TK90PRKQ9O" hidden="1">#REF!</definedName>
    <definedName name="BExGRUKVVKDL8483WI70VN2QZDGD" localSheetId="8" hidden="1">#REF!</definedName>
    <definedName name="BExGRUKVVKDL8483WI70VN2QZDGD" localSheetId="19" hidden="1">#REF!</definedName>
    <definedName name="BExGRUKVVKDL8483WI70VN2QZDGD" hidden="1">#REF!</definedName>
    <definedName name="BExGS2IWR5DUNJ1U9PAKIV8CMBNI" localSheetId="8" hidden="1">#REF!</definedName>
    <definedName name="BExGS2IWR5DUNJ1U9PAKIV8CMBNI" localSheetId="19" hidden="1">#REF!</definedName>
    <definedName name="BExGS2IWR5DUNJ1U9PAKIV8CMBNI" hidden="1">#REF!</definedName>
    <definedName name="BExGS69P9FFTEOPDS0MWFKF45G47" localSheetId="8" hidden="1">#REF!</definedName>
    <definedName name="BExGS69P9FFTEOPDS0MWFKF45G47" localSheetId="19" hidden="1">#REF!</definedName>
    <definedName name="BExGS69P9FFTEOPDS0MWFKF45G47" hidden="1">#REF!</definedName>
    <definedName name="BExGS6F1JFHM5MUJ1RFO50WP6D05" localSheetId="8" hidden="1">#REF!</definedName>
    <definedName name="BExGS6F1JFHM5MUJ1RFO50WP6D05" localSheetId="19" hidden="1">#REF!</definedName>
    <definedName name="BExGS6F1JFHM5MUJ1RFO50WP6D05" hidden="1">#REF!</definedName>
    <definedName name="BExGSA5YB5ZGE4NHDVCZ55TQAJTL" localSheetId="8" hidden="1">#REF!</definedName>
    <definedName name="BExGSA5YB5ZGE4NHDVCZ55TQAJTL" localSheetId="19" hidden="1">#REF!</definedName>
    <definedName name="BExGSA5YB5ZGE4NHDVCZ55TQAJTL" hidden="1">#REF!</definedName>
    <definedName name="BExGSBYPYOBOB218ABCIM2X63GJ8" localSheetId="8" hidden="1">#REF!</definedName>
    <definedName name="BExGSBYPYOBOB218ABCIM2X63GJ8" localSheetId="19" hidden="1">#REF!</definedName>
    <definedName name="BExGSBYPYOBOB218ABCIM2X63GJ8" hidden="1">#REF!</definedName>
    <definedName name="BExGSCEUCQQVDEEKWJ677QTGUVTE" localSheetId="8" hidden="1">#REF!</definedName>
    <definedName name="BExGSCEUCQQVDEEKWJ677QTGUVTE" localSheetId="19" hidden="1">#REF!</definedName>
    <definedName name="BExGSCEUCQQVDEEKWJ677QTGUVTE" hidden="1">#REF!</definedName>
    <definedName name="BExGSQY65LH1PCKKM5WHDW83F35O" localSheetId="8" hidden="1">#REF!</definedName>
    <definedName name="BExGSQY65LH1PCKKM5WHDW83F35O" localSheetId="19" hidden="1">#REF!</definedName>
    <definedName name="BExGSQY65LH1PCKKM5WHDW83F35O" hidden="1">#REF!</definedName>
    <definedName name="BExGSYW1GKISF0PMUAK3XJK9PEW9" localSheetId="8" hidden="1">#REF!</definedName>
    <definedName name="BExGSYW1GKISF0PMUAK3XJK9PEW9" localSheetId="19" hidden="1">#REF!</definedName>
    <definedName name="BExGSYW1GKISF0PMUAK3XJK9PEW9" hidden="1">#REF!</definedName>
    <definedName name="BExGT0DZJB6LSF6L693UUB9EY1VQ" localSheetId="8" hidden="1">#REF!</definedName>
    <definedName name="BExGT0DZJB6LSF6L693UUB9EY1VQ" localSheetId="19" hidden="1">#REF!</definedName>
    <definedName name="BExGT0DZJB6LSF6L693UUB9EY1VQ" hidden="1">#REF!</definedName>
    <definedName name="BExGTEMKIEF46KBIDWCAOAN5U718" localSheetId="8" hidden="1">#REF!</definedName>
    <definedName name="BExGTEMKIEF46KBIDWCAOAN5U718" localSheetId="19" hidden="1">#REF!</definedName>
    <definedName name="BExGTEMKIEF46KBIDWCAOAN5U718" hidden="1">#REF!</definedName>
    <definedName name="BExGTGVFIF8HOQXR54SK065A8M4K" localSheetId="8" hidden="1">#REF!</definedName>
    <definedName name="BExGTGVFIF8HOQXR54SK065A8M4K" localSheetId="19" hidden="1">#REF!</definedName>
    <definedName name="BExGTGVFIF8HOQXR54SK065A8M4K" hidden="1">#REF!</definedName>
    <definedName name="BExGTIYX3OWPIINOGY1E4QQYSKHP" localSheetId="8" hidden="1">#REF!</definedName>
    <definedName name="BExGTIYX3OWPIINOGY1E4QQYSKHP" localSheetId="19" hidden="1">#REF!</definedName>
    <definedName name="BExGTIYX3OWPIINOGY1E4QQYSKHP" hidden="1">#REF!</definedName>
    <definedName name="BExGTKGUN0KUU3C0RL2LK98D8MEK" localSheetId="8" hidden="1">#REF!</definedName>
    <definedName name="BExGTKGUN0KUU3C0RL2LK98D8MEK" localSheetId="19" hidden="1">#REF!</definedName>
    <definedName name="BExGTKGUN0KUU3C0RL2LK98D8MEK" hidden="1">#REF!</definedName>
    <definedName name="BExGTV3U5SZUPLTWEMEY3IIN1L4L" localSheetId="8" hidden="1">#REF!</definedName>
    <definedName name="BExGTV3U5SZUPLTWEMEY3IIN1L4L" localSheetId="19" hidden="1">#REF!</definedName>
    <definedName name="BExGTV3U5SZUPLTWEMEY3IIN1L4L" hidden="1">#REF!</definedName>
    <definedName name="BExGTZ046J7VMUG4YPKFN2K8TWB7" localSheetId="8" hidden="1">#REF!</definedName>
    <definedName name="BExGTZ046J7VMUG4YPKFN2K8TWB7" localSheetId="19" hidden="1">#REF!</definedName>
    <definedName name="BExGTZ046J7VMUG4YPKFN2K8TWB7" hidden="1">#REF!</definedName>
    <definedName name="BExGTZ04EFFQ3Z3JMM0G35JYWUK3" localSheetId="8" hidden="1">#REF!</definedName>
    <definedName name="BExGTZ04EFFQ3Z3JMM0G35JYWUK3" localSheetId="19" hidden="1">#REF!</definedName>
    <definedName name="BExGTZ04EFFQ3Z3JMM0G35JYWUK3" hidden="1">#REF!</definedName>
    <definedName name="BExGU2G9OPRZRIU9YGF6NX9FUW0J" localSheetId="8" hidden="1">#REF!</definedName>
    <definedName name="BExGU2G9OPRZRIU9YGF6NX9FUW0J" localSheetId="19" hidden="1">#REF!</definedName>
    <definedName name="BExGU2G9OPRZRIU9YGF6NX9FUW0J" hidden="1">#REF!</definedName>
    <definedName name="BExGU6HTKLRZO8UOI3DTAM5RFDBA" localSheetId="8" hidden="1">#REF!</definedName>
    <definedName name="BExGU6HTKLRZO8UOI3DTAM5RFDBA" localSheetId="19" hidden="1">#REF!</definedName>
    <definedName name="BExGU6HTKLRZO8UOI3DTAM5RFDBA" hidden="1">#REF!</definedName>
    <definedName name="BExGUDDZXFFQHAF4UZF8ZB1HO7H6" localSheetId="8" hidden="1">#REF!</definedName>
    <definedName name="BExGUDDZXFFQHAF4UZF8ZB1HO7H6" localSheetId="19" hidden="1">#REF!</definedName>
    <definedName name="BExGUDDZXFFQHAF4UZF8ZB1HO7H6" hidden="1">#REF!</definedName>
    <definedName name="BExGUI6NCRHY7EAB6SK6EPPMWFG1" localSheetId="8" hidden="1">#REF!</definedName>
    <definedName name="BExGUI6NCRHY7EAB6SK6EPPMWFG1" localSheetId="19" hidden="1">#REF!</definedName>
    <definedName name="BExGUI6NCRHY7EAB6SK6EPPMWFG1" hidden="1">#REF!</definedName>
    <definedName name="BExGUIBXBRHGM97ZX6GBA4ZDQ79C" localSheetId="8" hidden="1">#REF!</definedName>
    <definedName name="BExGUIBXBRHGM97ZX6GBA4ZDQ79C" localSheetId="19" hidden="1">#REF!</definedName>
    <definedName name="BExGUIBXBRHGM97ZX6GBA4ZDQ79C" hidden="1">#REF!</definedName>
    <definedName name="BExGUM8D91UNPCOO4TKP9FGX85TF" localSheetId="8" hidden="1">#REF!</definedName>
    <definedName name="BExGUM8D91UNPCOO4TKP9FGX85TF" localSheetId="19" hidden="1">#REF!</definedName>
    <definedName name="BExGUM8D91UNPCOO4TKP9FGX85TF" hidden="1">#REF!</definedName>
    <definedName name="BExGUMDP0WYFBZL2MCB36WWJIC04" localSheetId="8" hidden="1">#REF!</definedName>
    <definedName name="BExGUMDP0WYFBZL2MCB36WWJIC04" localSheetId="19" hidden="1">#REF!</definedName>
    <definedName name="BExGUMDP0WYFBZL2MCB36WWJIC04" hidden="1">#REF!</definedName>
    <definedName name="BExGUQF9N9FKI7S0H30WUAEB5LPD" localSheetId="8" hidden="1">#REF!</definedName>
    <definedName name="BExGUQF9N9FKI7S0H30WUAEB5LPD" localSheetId="19" hidden="1">#REF!</definedName>
    <definedName name="BExGUQF9N9FKI7S0H30WUAEB5LPD" hidden="1">#REF!</definedName>
    <definedName name="BExGUR6BA03XPBK60SQUW197GJ5X" localSheetId="8" hidden="1">#REF!</definedName>
    <definedName name="BExGUR6BA03XPBK60SQUW197GJ5X" localSheetId="19" hidden="1">#REF!</definedName>
    <definedName name="BExGUR6BA03XPBK60SQUW197GJ5X" hidden="1">#REF!</definedName>
    <definedName name="BExGUVIP60TA4B7X2PFGMBFUSKGX" localSheetId="8" hidden="1">#REF!</definedName>
    <definedName name="BExGUVIP60TA4B7X2PFGMBFUSKGX" localSheetId="19" hidden="1">#REF!</definedName>
    <definedName name="BExGUVIP60TA4B7X2PFGMBFUSKGX" hidden="1">#REF!</definedName>
    <definedName name="BExGUVTIIWAK5T0F5FD428QDO46W" localSheetId="8" hidden="1">#REF!</definedName>
    <definedName name="BExGUVTIIWAK5T0F5FD428QDO46W" localSheetId="19" hidden="1">#REF!</definedName>
    <definedName name="BExGUVTIIWAK5T0F5FD428QDO46W" hidden="1">#REF!</definedName>
    <definedName name="BExGUZKF06F209XL1IZWVJEQ82EE" localSheetId="8" hidden="1">#REF!</definedName>
    <definedName name="BExGUZKF06F209XL1IZWVJEQ82EE" localSheetId="19" hidden="1">#REF!</definedName>
    <definedName name="BExGUZKF06F209XL1IZWVJEQ82EE" hidden="1">#REF!</definedName>
    <definedName name="BExGUZPWM950OZ8P1A3N86LXK97U" localSheetId="8" hidden="1">#REF!</definedName>
    <definedName name="BExGUZPWM950OZ8P1A3N86LXK97U" localSheetId="19" hidden="1">#REF!</definedName>
    <definedName name="BExGUZPWM950OZ8P1A3N86LXK97U" hidden="1">#REF!</definedName>
    <definedName name="BExGV2EVT380QHD4AP2RL9MR8L5L" localSheetId="8" hidden="1">#REF!</definedName>
    <definedName name="BExGV2EVT380QHD4AP2RL9MR8L5L" localSheetId="19" hidden="1">#REF!</definedName>
    <definedName name="BExGV2EVT380QHD4AP2RL9MR8L5L" hidden="1">#REF!</definedName>
    <definedName name="BExGVBUSKOI7KB24K40PTXJE6MER" localSheetId="8" hidden="1">#REF!</definedName>
    <definedName name="BExGVBUSKOI7KB24K40PTXJE6MER" localSheetId="19" hidden="1">#REF!</definedName>
    <definedName name="BExGVBUSKOI7KB24K40PTXJE6MER" hidden="1">#REF!</definedName>
    <definedName name="BExGVGSQSVWTL2MNI6TT8Y92W3KA" localSheetId="8" hidden="1">#REF!</definedName>
    <definedName name="BExGVGSQSVWTL2MNI6TT8Y92W3KA" localSheetId="19" hidden="1">#REF!</definedName>
    <definedName name="BExGVGSQSVWTL2MNI6TT8Y92W3KA" hidden="1">#REF!</definedName>
    <definedName name="BExGVHP63K0GSYU17R73XGX6W2U6" localSheetId="8" hidden="1">#REF!</definedName>
    <definedName name="BExGVHP63K0GSYU17R73XGX6W2U6" localSheetId="19" hidden="1">#REF!</definedName>
    <definedName name="BExGVHP63K0GSYU17R73XGX6W2U6" hidden="1">#REF!</definedName>
    <definedName name="BExGVN3DDSLKWSP9MVJS9QMNEUIK" localSheetId="8" hidden="1">#REF!</definedName>
    <definedName name="BExGVN3DDSLKWSP9MVJS9QMNEUIK" localSheetId="19" hidden="1">#REF!</definedName>
    <definedName name="BExGVN3DDSLKWSP9MVJS9QMNEUIK" hidden="1">#REF!</definedName>
    <definedName name="BExGVUVVMLOCR9DPVUZSQ141EE4J" localSheetId="8" hidden="1">#REF!</definedName>
    <definedName name="BExGVUVVMLOCR9DPVUZSQ141EE4J" localSheetId="19" hidden="1">#REF!</definedName>
    <definedName name="BExGVUVVMLOCR9DPVUZSQ141EE4J" hidden="1">#REF!</definedName>
    <definedName name="BExGVV6OOLDQ3TXZK51TTF3YX0WN" localSheetId="8" hidden="1">#REF!</definedName>
    <definedName name="BExGVV6OOLDQ3TXZK51TTF3YX0WN" localSheetId="19" hidden="1">#REF!</definedName>
    <definedName name="BExGVV6OOLDQ3TXZK51TTF3YX0WN" hidden="1">#REF!</definedName>
    <definedName name="BExGW0KVS7U0C87XFZ78QW991IEV" localSheetId="8" hidden="1">#REF!</definedName>
    <definedName name="BExGW0KVS7U0C87XFZ78QW991IEV" localSheetId="19" hidden="1">#REF!</definedName>
    <definedName name="BExGW0KVS7U0C87XFZ78QW991IEV" hidden="1">#REF!</definedName>
    <definedName name="BExGW0Q7QHE29TGNWAWQ6GR0V6TQ" localSheetId="8" hidden="1">#REF!</definedName>
    <definedName name="BExGW0Q7QHE29TGNWAWQ6GR0V6TQ" localSheetId="19" hidden="1">#REF!</definedName>
    <definedName name="BExGW0Q7QHE29TGNWAWQ6GR0V6TQ" hidden="1">#REF!</definedName>
    <definedName name="BExGW2Z7AMPG6H9EXA9ML6EZVGGA" localSheetId="8" hidden="1">#REF!</definedName>
    <definedName name="BExGW2Z7AMPG6H9EXA9ML6EZVGGA" localSheetId="19" hidden="1">#REF!</definedName>
    <definedName name="BExGW2Z7AMPG6H9EXA9ML6EZVGGA" hidden="1">#REF!</definedName>
    <definedName name="BExGWABG5VT5XO1A196RK61AXA8C" localSheetId="8" hidden="1">#REF!</definedName>
    <definedName name="BExGWABG5VT5XO1A196RK61AXA8C" localSheetId="19" hidden="1">#REF!</definedName>
    <definedName name="BExGWABG5VT5XO1A196RK61AXA8C" hidden="1">#REF!</definedName>
    <definedName name="BExGWEO0JDG84NYLEAV5NSOAGMJZ" localSheetId="8" hidden="1">#REF!</definedName>
    <definedName name="BExGWEO0JDG84NYLEAV5NSOAGMJZ" localSheetId="19" hidden="1">#REF!</definedName>
    <definedName name="BExGWEO0JDG84NYLEAV5NSOAGMJZ" hidden="1">#REF!</definedName>
    <definedName name="BExGWLEOC70Z8QAJTPT2PDHTNM4L" localSheetId="8" hidden="1">#REF!</definedName>
    <definedName name="BExGWLEOC70Z8QAJTPT2PDHTNM4L" localSheetId="19" hidden="1">#REF!</definedName>
    <definedName name="BExGWLEOC70Z8QAJTPT2PDHTNM4L" hidden="1">#REF!</definedName>
    <definedName name="BExGWNCXLCRTLBVMTXYJ5PHQI6SS" localSheetId="8" hidden="1">#REF!</definedName>
    <definedName name="BExGWNCXLCRTLBVMTXYJ5PHQI6SS" localSheetId="19" hidden="1">#REF!</definedName>
    <definedName name="BExGWNCXLCRTLBVMTXYJ5PHQI6SS" hidden="1">#REF!</definedName>
    <definedName name="BExGX4L8N6ERT0Q4EVVNA97EGD80" localSheetId="8" hidden="1">#REF!</definedName>
    <definedName name="BExGX4L8N6ERT0Q4EVVNA97EGD80" localSheetId="19" hidden="1">#REF!</definedName>
    <definedName name="BExGX4L8N6ERT0Q4EVVNA97EGD80" hidden="1">#REF!</definedName>
    <definedName name="BExGX5MWTL78XM0QCP4NT564ML39" localSheetId="8" hidden="1">#REF!</definedName>
    <definedName name="BExGX5MWTL78XM0QCP4NT564ML39" localSheetId="19" hidden="1">#REF!</definedName>
    <definedName name="BExGX5MWTL78XM0QCP4NT564ML39" hidden="1">#REF!</definedName>
    <definedName name="BExGX6U988MCFIGDA1282F92U9AA" localSheetId="8" hidden="1">#REF!</definedName>
    <definedName name="BExGX6U988MCFIGDA1282F92U9AA" localSheetId="19" hidden="1">#REF!</definedName>
    <definedName name="BExGX6U988MCFIGDA1282F92U9AA" hidden="1">#REF!</definedName>
    <definedName name="BExGX7FTB1CKAT5HUW6H531FIY6I" localSheetId="8" hidden="1">#REF!</definedName>
    <definedName name="BExGX7FTB1CKAT5HUW6H531FIY6I" localSheetId="19" hidden="1">#REF!</definedName>
    <definedName name="BExGX7FTB1CKAT5HUW6H531FIY6I" hidden="1">#REF!</definedName>
    <definedName name="BExGX9DVACJQIZ4GH6YAD2A7F70O" localSheetId="8" hidden="1">#REF!</definedName>
    <definedName name="BExGX9DVACJQIZ4GH6YAD2A7F70O" localSheetId="19" hidden="1">#REF!</definedName>
    <definedName name="BExGX9DVACJQIZ4GH6YAD2A7F70O" hidden="1">#REF!</definedName>
    <definedName name="BExGXCZBQISQ3IMF6DJH1OXNAQP8" localSheetId="8" hidden="1">#REF!</definedName>
    <definedName name="BExGXCZBQISQ3IMF6DJH1OXNAQP8" localSheetId="19" hidden="1">#REF!</definedName>
    <definedName name="BExGXCZBQISQ3IMF6DJH1OXNAQP8" hidden="1">#REF!</definedName>
    <definedName name="BExGXDVP2S2Y8Z8Q43I78RCIK3DD" localSheetId="8" hidden="1">#REF!</definedName>
    <definedName name="BExGXDVP2S2Y8Z8Q43I78RCIK3DD" localSheetId="19" hidden="1">#REF!</definedName>
    <definedName name="BExGXDVP2S2Y8Z8Q43I78RCIK3DD" hidden="1">#REF!</definedName>
    <definedName name="BExGXJ9W5JU7TT9S0BKL5Y6VVB39" localSheetId="8" hidden="1">#REF!</definedName>
    <definedName name="BExGXJ9W5JU7TT9S0BKL5Y6VVB39" localSheetId="19" hidden="1">#REF!</definedName>
    <definedName name="BExGXJ9W5JU7TT9S0BKL5Y6VVB39" hidden="1">#REF!</definedName>
    <definedName name="BExGXWB73RJ4BASBQTQ8EY0EC1EB" localSheetId="8" hidden="1">#REF!</definedName>
    <definedName name="BExGXWB73RJ4BASBQTQ8EY0EC1EB" localSheetId="19" hidden="1">#REF!</definedName>
    <definedName name="BExGXWB73RJ4BASBQTQ8EY0EC1EB" hidden="1">#REF!</definedName>
    <definedName name="BExGXZ0ABB43C7SMRKZHWOSU9EQX" localSheetId="8" hidden="1">#REF!</definedName>
    <definedName name="BExGXZ0ABB43C7SMRKZHWOSU9EQX" localSheetId="19" hidden="1">#REF!</definedName>
    <definedName name="BExGXZ0ABB43C7SMRKZHWOSU9EQX" hidden="1">#REF!</definedName>
    <definedName name="BExGY6SU3SYVCJ3AG2ITY59SAZ5A" localSheetId="8" hidden="1">#REF!</definedName>
    <definedName name="BExGY6SU3SYVCJ3AG2ITY59SAZ5A" localSheetId="19" hidden="1">#REF!</definedName>
    <definedName name="BExGY6SU3SYVCJ3AG2ITY59SAZ5A" hidden="1">#REF!</definedName>
    <definedName name="BExGY6YA4P5KMY2VHT0DYK3YTFAX" localSheetId="8" hidden="1">#REF!</definedName>
    <definedName name="BExGY6YA4P5KMY2VHT0DYK3YTFAX" localSheetId="19" hidden="1">#REF!</definedName>
    <definedName name="BExGY6YA4P5KMY2VHT0DYK3YTFAX" hidden="1">#REF!</definedName>
    <definedName name="BExGY8G88PVVRYHPHRPJZFSX6HSC" localSheetId="8" hidden="1">#REF!</definedName>
    <definedName name="BExGY8G88PVVRYHPHRPJZFSX6HSC" localSheetId="19" hidden="1">#REF!</definedName>
    <definedName name="BExGY8G88PVVRYHPHRPJZFSX6HSC" hidden="1">#REF!</definedName>
    <definedName name="BExGYC718HTZ80PNKYPVIYGRJVF6" localSheetId="8" hidden="1">#REF!</definedName>
    <definedName name="BExGYC718HTZ80PNKYPVIYGRJVF6" localSheetId="19" hidden="1">#REF!</definedName>
    <definedName name="BExGYC718HTZ80PNKYPVIYGRJVF6" hidden="1">#REF!</definedName>
    <definedName name="BExGYCNATXZY2FID93B17YWIPPRD" localSheetId="8" hidden="1">#REF!</definedName>
    <definedName name="BExGYCNATXZY2FID93B17YWIPPRD" localSheetId="19" hidden="1">#REF!</definedName>
    <definedName name="BExGYCNATXZY2FID93B17YWIPPRD" hidden="1">#REF!</definedName>
    <definedName name="BExGYGJJJ3BBCQAOA51WHP01HN73" localSheetId="8" hidden="1">#REF!</definedName>
    <definedName name="BExGYGJJJ3BBCQAOA51WHP01HN73" localSheetId="19" hidden="1">#REF!</definedName>
    <definedName name="BExGYGJJJ3BBCQAOA51WHP01HN73" hidden="1">#REF!</definedName>
    <definedName name="BExGYOS6TV2C72PLRFU8RP1I58GY" localSheetId="8" hidden="1">#REF!</definedName>
    <definedName name="BExGYOS6TV2C72PLRFU8RP1I58GY" localSheetId="19" hidden="1">#REF!</definedName>
    <definedName name="BExGYOS6TV2C72PLRFU8RP1I58GY" hidden="1">#REF!</definedName>
    <definedName name="BExGYXBM828PX0KPDVAZBWDL6MJZ" localSheetId="8" hidden="1">#REF!</definedName>
    <definedName name="BExGYXBM828PX0KPDVAZBWDL6MJZ" localSheetId="19" hidden="1">#REF!</definedName>
    <definedName name="BExGYXBM828PX0KPDVAZBWDL6MJZ" hidden="1">#REF!</definedName>
    <definedName name="BExGZJ78ZWZCVHZ3BKEKFJZ6MAEO" localSheetId="8" hidden="1">#REF!</definedName>
    <definedName name="BExGZJ78ZWZCVHZ3BKEKFJZ6MAEO" localSheetId="19" hidden="1">#REF!</definedName>
    <definedName name="BExGZJ78ZWZCVHZ3BKEKFJZ6MAEO" hidden="1">#REF!</definedName>
    <definedName name="BExGZOLH2QV73J3M9IWDDPA62TP4" localSheetId="8" hidden="1">#REF!</definedName>
    <definedName name="BExGZOLH2QV73J3M9IWDDPA62TP4" localSheetId="19" hidden="1">#REF!</definedName>
    <definedName name="BExGZOLH2QV73J3M9IWDDPA62TP4" hidden="1">#REF!</definedName>
    <definedName name="BExGZP1PWGFKVVVN4YDIS22DZPCR" localSheetId="8" hidden="1">#REF!</definedName>
    <definedName name="BExGZP1PWGFKVVVN4YDIS22DZPCR" localSheetId="19" hidden="1">#REF!</definedName>
    <definedName name="BExGZP1PWGFKVVVN4YDIS22DZPCR" hidden="1">#REF!</definedName>
    <definedName name="BExGZQUHCPM6G5U9OM8JU339JAG6" localSheetId="8" hidden="1">#REF!</definedName>
    <definedName name="BExGZQUHCPM6G5U9OM8JU339JAG6" localSheetId="19" hidden="1">#REF!</definedName>
    <definedName name="BExGZQUHCPM6G5U9OM8JU339JAG6" hidden="1">#REF!</definedName>
    <definedName name="BExH00FQKX09BD5WU4DB5KPXAUYA" localSheetId="8" hidden="1">#REF!</definedName>
    <definedName name="BExH00FQKX09BD5WU4DB5KPXAUYA" localSheetId="19" hidden="1">#REF!</definedName>
    <definedName name="BExH00FQKX09BD5WU4DB5KPXAUYA" hidden="1">#REF!</definedName>
    <definedName name="BExH00L21GZX5YJJGVMOAWBERLP5" localSheetId="8" hidden="1">#REF!</definedName>
    <definedName name="BExH00L21GZX5YJJGVMOAWBERLP5" localSheetId="19" hidden="1">#REF!</definedName>
    <definedName name="BExH00L21GZX5YJJGVMOAWBERLP5" hidden="1">#REF!</definedName>
    <definedName name="BExH02ZD6VAY1KQLAQYBBI6WWIZB" localSheetId="8" hidden="1">#REF!</definedName>
    <definedName name="BExH02ZD6VAY1KQLAQYBBI6WWIZB" localSheetId="19" hidden="1">#REF!</definedName>
    <definedName name="BExH02ZD6VAY1KQLAQYBBI6WWIZB" hidden="1">#REF!</definedName>
    <definedName name="BExH08Z6LQCGGSGSAILMHX4X7JMD" localSheetId="8" hidden="1">#REF!</definedName>
    <definedName name="BExH08Z6LQCGGSGSAILMHX4X7JMD" localSheetId="19" hidden="1">#REF!</definedName>
    <definedName name="BExH08Z6LQCGGSGSAILMHX4X7JMD" hidden="1">#REF!</definedName>
    <definedName name="BExH0KT9Z8HEVRRQRGQ8YHXRLIJA" localSheetId="8" hidden="1">#REF!</definedName>
    <definedName name="BExH0KT9Z8HEVRRQRGQ8YHXRLIJA" localSheetId="19" hidden="1">#REF!</definedName>
    <definedName name="BExH0KT9Z8HEVRRQRGQ8YHXRLIJA" hidden="1">#REF!</definedName>
    <definedName name="BExH0M0FDN12YBOCKL3XL2Z7T7Y8" localSheetId="8" hidden="1">#REF!</definedName>
    <definedName name="BExH0M0FDN12YBOCKL3XL2Z7T7Y8" localSheetId="19" hidden="1">#REF!</definedName>
    <definedName name="BExH0M0FDN12YBOCKL3XL2Z7T7Y8" hidden="1">#REF!</definedName>
    <definedName name="BExH0O9G06YPZ5TN9RYT326I1CP2" localSheetId="8" hidden="1">#REF!</definedName>
    <definedName name="BExH0O9G06YPZ5TN9RYT326I1CP2" localSheetId="19" hidden="1">#REF!</definedName>
    <definedName name="BExH0O9G06YPZ5TN9RYT326I1CP2" hidden="1">#REF!</definedName>
    <definedName name="BExH0PGM6RG0F3AAGULBIGOH91C2" localSheetId="8" hidden="1">#REF!</definedName>
    <definedName name="BExH0PGM6RG0F3AAGULBIGOH91C2" localSheetId="19" hidden="1">#REF!</definedName>
    <definedName name="BExH0PGM6RG0F3AAGULBIGOH91C2" hidden="1">#REF!</definedName>
    <definedName name="BExH0QIB3F0YZLM5XYHBCU5F0OVR" localSheetId="8" hidden="1">#REF!</definedName>
    <definedName name="BExH0QIB3F0YZLM5XYHBCU5F0OVR" localSheetId="19" hidden="1">#REF!</definedName>
    <definedName name="BExH0QIB3F0YZLM5XYHBCU5F0OVR" hidden="1">#REF!</definedName>
    <definedName name="BExH0RK5LJAAP7O67ZFB4RG6WPPL" localSheetId="8" hidden="1">#REF!</definedName>
    <definedName name="BExH0RK5LJAAP7O67ZFB4RG6WPPL" localSheetId="19" hidden="1">#REF!</definedName>
    <definedName name="BExH0RK5LJAAP7O67ZFB4RG6WPPL" hidden="1">#REF!</definedName>
    <definedName name="BExH0WNJAKTJRCKMTX8O4KNMIIJM" localSheetId="8" hidden="1">#REF!</definedName>
    <definedName name="BExH0WNJAKTJRCKMTX8O4KNMIIJM" localSheetId="19" hidden="1">#REF!</definedName>
    <definedName name="BExH0WNJAKTJRCKMTX8O4KNMIIJM" hidden="1">#REF!</definedName>
    <definedName name="BExH12Y4WX542WI3ZEM15AK4UM9J" localSheetId="8" hidden="1">#REF!</definedName>
    <definedName name="BExH12Y4WX542WI3ZEM15AK4UM9J" localSheetId="19" hidden="1">#REF!</definedName>
    <definedName name="BExH12Y4WX542WI3ZEM15AK4UM9J" hidden="1">#REF!</definedName>
    <definedName name="BExH18CCU7B8JWO8AWGEQRLWZG6J" localSheetId="8" hidden="1">#REF!</definedName>
    <definedName name="BExH18CCU7B8JWO8AWGEQRLWZG6J" localSheetId="19" hidden="1">#REF!</definedName>
    <definedName name="BExH18CCU7B8JWO8AWGEQRLWZG6J" hidden="1">#REF!</definedName>
    <definedName name="BExH1BN2H92IQKKP5IREFSS9FBF2" localSheetId="8" hidden="1">#REF!</definedName>
    <definedName name="BExH1BN2H92IQKKP5IREFSS9FBF2" localSheetId="19" hidden="1">#REF!</definedName>
    <definedName name="BExH1BN2H92IQKKP5IREFSS9FBF2" hidden="1">#REF!</definedName>
    <definedName name="BExH1FDTQXR9QQ31WDB7OPXU7MPT" localSheetId="8" hidden="1">#REF!</definedName>
    <definedName name="BExH1FDTQXR9QQ31WDB7OPXU7MPT" localSheetId="19" hidden="1">#REF!</definedName>
    <definedName name="BExH1FDTQXR9QQ31WDB7OPXU7MPT" hidden="1">#REF!</definedName>
    <definedName name="BExH1FOMEUIJNIDJAUY0ZQFBJSY9" localSheetId="8" hidden="1">#REF!</definedName>
    <definedName name="BExH1FOMEUIJNIDJAUY0ZQFBJSY9" localSheetId="19" hidden="1">#REF!</definedName>
    <definedName name="BExH1FOMEUIJNIDJAUY0ZQFBJSY9" hidden="1">#REF!</definedName>
    <definedName name="BExH1GA6TT290OTIZ8C3N610CYZ1" localSheetId="8" hidden="1">#REF!</definedName>
    <definedName name="BExH1GA6TT290OTIZ8C3N610CYZ1" localSheetId="19" hidden="1">#REF!</definedName>
    <definedName name="BExH1GA6TT290OTIZ8C3N610CYZ1" hidden="1">#REF!</definedName>
    <definedName name="BExH1I8E3HJSZLFRZZ1ZKX7TBJEP" localSheetId="8" hidden="1">#REF!</definedName>
    <definedName name="BExH1I8E3HJSZLFRZZ1ZKX7TBJEP" localSheetId="19" hidden="1">#REF!</definedName>
    <definedName name="BExH1I8E3HJSZLFRZZ1ZKX7TBJEP" hidden="1">#REF!</definedName>
    <definedName name="BExH1JFFHEBFX9BWJMNIA3N66R3Z" localSheetId="8" hidden="1">#REF!</definedName>
    <definedName name="BExH1JFFHEBFX9BWJMNIA3N66R3Z" localSheetId="19" hidden="1">#REF!</definedName>
    <definedName name="BExH1JFFHEBFX9BWJMNIA3N66R3Z" hidden="1">#REF!</definedName>
    <definedName name="BExH1XYRKX51T571O1SRBP9J1D98" localSheetId="8" hidden="1">#REF!</definedName>
    <definedName name="BExH1XYRKX51T571O1SRBP9J1D98" localSheetId="19" hidden="1">#REF!</definedName>
    <definedName name="BExH1XYRKX51T571O1SRBP9J1D98" hidden="1">#REF!</definedName>
    <definedName name="BExH1Z0GIUSVTF2H1G1I3PDGBNK2" localSheetId="8" hidden="1">#REF!</definedName>
    <definedName name="BExH1Z0GIUSVTF2H1G1I3PDGBNK2" localSheetId="19" hidden="1">#REF!</definedName>
    <definedName name="BExH1Z0GIUSVTF2H1G1I3PDGBNK2" hidden="1">#REF!</definedName>
    <definedName name="BExH225UTM6S9FW4MUDZS7F1PQSH" localSheetId="8" hidden="1">#REF!</definedName>
    <definedName name="BExH225UTM6S9FW4MUDZS7F1PQSH" localSheetId="19" hidden="1">#REF!</definedName>
    <definedName name="BExH225UTM6S9FW4MUDZS7F1PQSH" hidden="1">#REF!</definedName>
    <definedName name="BExH23271RF7AYZ542KHQTH68GQ7" localSheetId="8" hidden="1">#REF!</definedName>
    <definedName name="BExH23271RF7AYZ542KHQTH68GQ7" localSheetId="19" hidden="1">#REF!</definedName>
    <definedName name="BExH23271RF7AYZ542KHQTH68GQ7" hidden="1">#REF!</definedName>
    <definedName name="BExH2DP58R7D1BGUFBM2FHESVRF0" localSheetId="8" hidden="1">#REF!</definedName>
    <definedName name="BExH2DP58R7D1BGUFBM2FHESVRF0" localSheetId="19" hidden="1">#REF!</definedName>
    <definedName name="BExH2DP58R7D1BGUFBM2FHESVRF0" hidden="1">#REF!</definedName>
    <definedName name="BExH2GJQR4JALNB314RY0LDI49VH" localSheetId="8" hidden="1">#REF!</definedName>
    <definedName name="BExH2GJQR4JALNB314RY0LDI49VH" localSheetId="19" hidden="1">#REF!</definedName>
    <definedName name="BExH2GJQR4JALNB314RY0LDI49VH" hidden="1">#REF!</definedName>
    <definedName name="BExH2JZR49T7644JFVE7B3N7RZM9" localSheetId="8" hidden="1">#REF!</definedName>
    <definedName name="BExH2JZR49T7644JFVE7B3N7RZM9" localSheetId="19" hidden="1">#REF!</definedName>
    <definedName name="BExH2JZR49T7644JFVE7B3N7RZM9" hidden="1">#REF!</definedName>
    <definedName name="BExH2QVWL3AXHSB9EK2GQRD0DBRH" localSheetId="8" hidden="1">#REF!</definedName>
    <definedName name="BExH2QVWL3AXHSB9EK2GQRD0DBRH" localSheetId="19" hidden="1">#REF!</definedName>
    <definedName name="BExH2QVWL3AXHSB9EK2GQRD0DBRH" hidden="1">#REF!</definedName>
    <definedName name="BExH2WKXV8X5S2GSBBTWGI0NLNAH" localSheetId="8" hidden="1">#REF!</definedName>
    <definedName name="BExH2WKXV8X5S2GSBBTWGI0NLNAH" localSheetId="19" hidden="1">#REF!</definedName>
    <definedName name="BExH2WKXV8X5S2GSBBTWGI0NLNAH" hidden="1">#REF!</definedName>
    <definedName name="BExH2XS1UFYFGU0S0EBXX90W2WE8" localSheetId="8" hidden="1">#REF!</definedName>
    <definedName name="BExH2XS1UFYFGU0S0EBXX90W2WE8" localSheetId="19" hidden="1">#REF!</definedName>
    <definedName name="BExH2XS1UFYFGU0S0EBXX90W2WE8" hidden="1">#REF!</definedName>
    <definedName name="BExH2XS1X04DMUN544K5RU4XPDCI" localSheetId="8" hidden="1">#REF!</definedName>
    <definedName name="BExH2XS1X04DMUN544K5RU4XPDCI" localSheetId="19" hidden="1">#REF!</definedName>
    <definedName name="BExH2XS1X04DMUN544K5RU4XPDCI" hidden="1">#REF!</definedName>
    <definedName name="BExH2XS2TND9SB0GC295R4FP6K5Y" localSheetId="8" hidden="1">#REF!</definedName>
    <definedName name="BExH2XS2TND9SB0GC295R4FP6K5Y" localSheetId="19" hidden="1">#REF!</definedName>
    <definedName name="BExH2XS2TND9SB0GC295R4FP6K5Y" hidden="1">#REF!</definedName>
    <definedName name="BExH2ZA0SZ4SSITL50NA8LZ3OEX6" localSheetId="8" hidden="1">#REF!</definedName>
    <definedName name="BExH2ZA0SZ4SSITL50NA8LZ3OEX6" localSheetId="19" hidden="1">#REF!</definedName>
    <definedName name="BExH2ZA0SZ4SSITL50NA8LZ3OEX6" hidden="1">#REF!</definedName>
    <definedName name="BExH31Z3JNVJPESWKXHILGXZHP2M" localSheetId="8" hidden="1">#REF!</definedName>
    <definedName name="BExH31Z3JNVJPESWKXHILGXZHP2M" localSheetId="19" hidden="1">#REF!</definedName>
    <definedName name="BExH31Z3JNVJPESWKXHILGXZHP2M" hidden="1">#REF!</definedName>
    <definedName name="BExH3E9HZ3QJCDZW7WI7YACFQCHE" localSheetId="8" hidden="1">#REF!</definedName>
    <definedName name="BExH3E9HZ3QJCDZW7WI7YACFQCHE" localSheetId="19" hidden="1">#REF!</definedName>
    <definedName name="BExH3E9HZ3QJCDZW7WI7YACFQCHE" hidden="1">#REF!</definedName>
    <definedName name="BExH3IRB6764RQ5HBYRLH6XCT29X" localSheetId="8" hidden="1">#REF!</definedName>
    <definedName name="BExH3IRB6764RQ5HBYRLH6XCT29X" localSheetId="19" hidden="1">#REF!</definedName>
    <definedName name="BExH3IRB6764RQ5HBYRLH6XCT29X" hidden="1">#REF!</definedName>
    <definedName name="BExIG2U8V6RSB47SXLCQG3Q68YRO" localSheetId="8" hidden="1">#REF!</definedName>
    <definedName name="BExIG2U8V6RSB47SXLCQG3Q68YRO" localSheetId="19" hidden="1">#REF!</definedName>
    <definedName name="BExIG2U8V6RSB47SXLCQG3Q68YRO" hidden="1">#REF!</definedName>
    <definedName name="BExIGJBO8R13LV7CZ7C1YCP974NN" localSheetId="8" hidden="1">#REF!</definedName>
    <definedName name="BExIGJBO8R13LV7CZ7C1YCP974NN" localSheetId="19" hidden="1">#REF!</definedName>
    <definedName name="BExIGJBO8R13LV7CZ7C1YCP974NN" hidden="1">#REF!</definedName>
    <definedName name="BExIGWT86FPOEYTI8GXCGU5Y3KGK" localSheetId="8" hidden="1">#REF!</definedName>
    <definedName name="BExIGWT86FPOEYTI8GXCGU5Y3KGK" localSheetId="19" hidden="1">#REF!</definedName>
    <definedName name="BExIGWT86FPOEYTI8GXCGU5Y3KGK" hidden="1">#REF!</definedName>
    <definedName name="BExIHBHXA7E7VUTBVHXXXCH3A5CL" localSheetId="8" hidden="1">#REF!</definedName>
    <definedName name="BExIHBHXA7E7VUTBVHXXXCH3A5CL" localSheetId="19" hidden="1">#REF!</definedName>
    <definedName name="BExIHBHXA7E7VUTBVHXXXCH3A5CL" hidden="1">#REF!</definedName>
    <definedName name="BExIHBSOGRSH1GKS6GKBRAJ7GXFQ" localSheetId="8" hidden="1">#REF!</definedName>
    <definedName name="BExIHBSOGRSH1GKS6GKBRAJ7GXFQ" localSheetId="19" hidden="1">#REF!</definedName>
    <definedName name="BExIHBSOGRSH1GKS6GKBRAJ7GXFQ" hidden="1">#REF!</definedName>
    <definedName name="BExIHDFY73YM0AHAR2Z5OJTFKSL2" localSheetId="8" hidden="1">#REF!</definedName>
    <definedName name="BExIHDFY73YM0AHAR2Z5OJTFKSL2" localSheetId="19" hidden="1">#REF!</definedName>
    <definedName name="BExIHDFY73YM0AHAR2Z5OJTFKSL2" hidden="1">#REF!</definedName>
    <definedName name="BExIHPQCQTGEW8QOJVIQ4VX0P6DX" localSheetId="8" hidden="1">#REF!</definedName>
    <definedName name="BExIHPQCQTGEW8QOJVIQ4VX0P6DX" localSheetId="19" hidden="1">#REF!</definedName>
    <definedName name="BExIHPQCQTGEW8QOJVIQ4VX0P6DX" hidden="1">#REF!</definedName>
    <definedName name="BExII1KN91Q7DLW0UB7W2TJ5ACT9" localSheetId="8" hidden="1">#REF!</definedName>
    <definedName name="BExII1KN91Q7DLW0UB7W2TJ5ACT9" localSheetId="19" hidden="1">#REF!</definedName>
    <definedName name="BExII1KN91Q7DLW0UB7W2TJ5ACT9" hidden="1">#REF!</definedName>
    <definedName name="BExII50LI8I0CDOOZEMIVHVA2V95" localSheetId="8" hidden="1">#REF!</definedName>
    <definedName name="BExII50LI8I0CDOOZEMIVHVA2V95" localSheetId="19" hidden="1">#REF!</definedName>
    <definedName name="BExII50LI8I0CDOOZEMIVHVA2V95" hidden="1">#REF!</definedName>
    <definedName name="BExIINQWABWRGYDT02DOJQ5L7BQF" localSheetId="8" hidden="1">#REF!</definedName>
    <definedName name="BExIINQWABWRGYDT02DOJQ5L7BQF" localSheetId="19" hidden="1">#REF!</definedName>
    <definedName name="BExIINQWABWRGYDT02DOJQ5L7BQF" hidden="1">#REF!</definedName>
    <definedName name="BExIIXMY38TQD12CVV4S57L3I809" localSheetId="8" hidden="1">#REF!</definedName>
    <definedName name="BExIIXMY38TQD12CVV4S57L3I809" localSheetId="19" hidden="1">#REF!</definedName>
    <definedName name="BExIIXMY38TQD12CVV4S57L3I809" hidden="1">#REF!</definedName>
    <definedName name="BExIIY37NEVU2LGS1JE4VR9AN6W4" localSheetId="8" hidden="1">#REF!</definedName>
    <definedName name="BExIIY37NEVU2LGS1JE4VR9AN6W4" localSheetId="19" hidden="1">#REF!</definedName>
    <definedName name="BExIIY37NEVU2LGS1JE4VR9AN6W4" hidden="1">#REF!</definedName>
    <definedName name="BExIIYJAGXR8TPZ1KCYM7EGJ79UW" localSheetId="8" hidden="1">#REF!</definedName>
    <definedName name="BExIIYJAGXR8TPZ1KCYM7EGJ79UW" localSheetId="19" hidden="1">#REF!</definedName>
    <definedName name="BExIIYJAGXR8TPZ1KCYM7EGJ79UW" hidden="1">#REF!</definedName>
    <definedName name="BExIJ3160YCWGAVEU0208ZGXXG3P" localSheetId="8" hidden="1">#REF!</definedName>
    <definedName name="BExIJ3160YCWGAVEU0208ZGXXG3P" localSheetId="19" hidden="1">#REF!</definedName>
    <definedName name="BExIJ3160YCWGAVEU0208ZGXXG3P" hidden="1">#REF!</definedName>
    <definedName name="BExIJFGZJ5ED9D6KAY4PGQYLELAX" localSheetId="8" hidden="1">#REF!</definedName>
    <definedName name="BExIJFGZJ5ED9D6KAY4PGQYLELAX" localSheetId="19" hidden="1">#REF!</definedName>
    <definedName name="BExIJFGZJ5ED9D6KAY4PGQYLELAX" hidden="1">#REF!</definedName>
    <definedName name="BExIJQK80ZEKSTV62E59AYJYUNLI" localSheetId="8" hidden="1">#REF!</definedName>
    <definedName name="BExIJQK80ZEKSTV62E59AYJYUNLI" localSheetId="19" hidden="1">#REF!</definedName>
    <definedName name="BExIJQK80ZEKSTV62E59AYJYUNLI" hidden="1">#REF!</definedName>
    <definedName name="BExIJRLX3M0YQLU1D5Y9V7HM5QNM" localSheetId="8" hidden="1">#REF!</definedName>
    <definedName name="BExIJRLX3M0YQLU1D5Y9V7HM5QNM" localSheetId="19" hidden="1">#REF!</definedName>
    <definedName name="BExIJRLX3M0YQLU1D5Y9V7HM5QNM" hidden="1">#REF!</definedName>
    <definedName name="BExIJV22J0QA7286KNPMHO1ZUCB3" localSheetId="8" hidden="1">#REF!</definedName>
    <definedName name="BExIJV22J0QA7286KNPMHO1ZUCB3" localSheetId="19" hidden="1">#REF!</definedName>
    <definedName name="BExIJV22J0QA7286KNPMHO1ZUCB3" hidden="1">#REF!</definedName>
    <definedName name="BExIJVI6OC7B6ZE9V4PAOYZXKNER" localSheetId="8" hidden="1">#REF!</definedName>
    <definedName name="BExIJVI6OC7B6ZE9V4PAOYZXKNER" localSheetId="19" hidden="1">#REF!</definedName>
    <definedName name="BExIJVI6OC7B6ZE9V4PAOYZXKNER" hidden="1">#REF!</definedName>
    <definedName name="BExIJWK0NGTGQ4X7D5VIVXD14JHI" localSheetId="8" hidden="1">#REF!</definedName>
    <definedName name="BExIJWK0NGTGQ4X7D5VIVXD14JHI" localSheetId="19" hidden="1">#REF!</definedName>
    <definedName name="BExIJWK0NGTGQ4X7D5VIVXD14JHI" hidden="1">#REF!</definedName>
    <definedName name="BExIJWPCIYINEJUTXU74VK7WG031" localSheetId="8" hidden="1">#REF!</definedName>
    <definedName name="BExIJWPCIYINEJUTXU74VK7WG031" localSheetId="19" hidden="1">#REF!</definedName>
    <definedName name="BExIJWPCIYINEJUTXU74VK7WG031" hidden="1">#REF!</definedName>
    <definedName name="BExIKHTXPZR5A8OHB6HDP6QWDHAD" localSheetId="8" hidden="1">#REF!</definedName>
    <definedName name="BExIKHTXPZR5A8OHB6HDP6QWDHAD" localSheetId="19" hidden="1">#REF!</definedName>
    <definedName name="BExIKHTXPZR5A8OHB6HDP6QWDHAD" hidden="1">#REF!</definedName>
    <definedName name="BExIKMMJOETSAXJYY1SIKM58LMA2" localSheetId="8" hidden="1">#REF!</definedName>
    <definedName name="BExIKMMJOETSAXJYY1SIKM58LMA2" localSheetId="19" hidden="1">#REF!</definedName>
    <definedName name="BExIKMMJOETSAXJYY1SIKM58LMA2" hidden="1">#REF!</definedName>
    <definedName name="BExIKRF6AQ6VOO9KCIWSM6FY8M7D" localSheetId="8" hidden="1">#REF!</definedName>
    <definedName name="BExIKRF6AQ6VOO9KCIWSM6FY8M7D" localSheetId="19" hidden="1">#REF!</definedName>
    <definedName name="BExIKRF6AQ6VOO9KCIWSM6FY8M7D" hidden="1">#REF!</definedName>
    <definedName name="BExIKTYZESFT3LC0ASFMFKSE0D1X" localSheetId="8" hidden="1">#REF!</definedName>
    <definedName name="BExIKTYZESFT3LC0ASFMFKSE0D1X" localSheetId="19" hidden="1">#REF!</definedName>
    <definedName name="BExIKTYZESFT3LC0ASFMFKSE0D1X" hidden="1">#REF!</definedName>
    <definedName name="BExIKXVA6M8K0PTRYAGXS666L335" localSheetId="8" hidden="1">#REF!</definedName>
    <definedName name="BExIKXVA6M8K0PTRYAGXS666L335" localSheetId="19" hidden="1">#REF!</definedName>
    <definedName name="BExIKXVA6M8K0PTRYAGXS666L335" hidden="1">#REF!</definedName>
    <definedName name="BExIL0PMZ2SXK9R6MLP43KBU1J2P" localSheetId="8" hidden="1">#REF!</definedName>
    <definedName name="BExIL0PMZ2SXK9R6MLP43KBU1J2P" localSheetId="19" hidden="1">#REF!</definedName>
    <definedName name="BExIL0PMZ2SXK9R6MLP43KBU1J2P" hidden="1">#REF!</definedName>
    <definedName name="BExIL1WSMNNQQK98YHWHV5HVONIZ" localSheetId="8" hidden="1">#REF!</definedName>
    <definedName name="BExIL1WSMNNQQK98YHWHV5HVONIZ" localSheetId="19" hidden="1">#REF!</definedName>
    <definedName name="BExIL1WSMNNQQK98YHWHV5HVONIZ" hidden="1">#REF!</definedName>
    <definedName name="BExILAAXRTRAD18K74M6MGUEEPUM" localSheetId="8" hidden="1">#REF!</definedName>
    <definedName name="BExILAAXRTRAD18K74M6MGUEEPUM" localSheetId="19" hidden="1">#REF!</definedName>
    <definedName name="BExILAAXRTRAD18K74M6MGUEEPUM" hidden="1">#REF!</definedName>
    <definedName name="BExILG5F338C0FFLMVOKMKF8X5ZP" localSheetId="8" hidden="1">#REF!</definedName>
    <definedName name="BExILG5F338C0FFLMVOKMKF8X5ZP" localSheetId="19" hidden="1">#REF!</definedName>
    <definedName name="BExILG5F338C0FFLMVOKMKF8X5ZP" hidden="1">#REF!</definedName>
    <definedName name="BExILGQTQM0HOD0BJI90YO7GOIN3" localSheetId="8" hidden="1">#REF!</definedName>
    <definedName name="BExILGQTQM0HOD0BJI90YO7GOIN3" localSheetId="19" hidden="1">#REF!</definedName>
    <definedName name="BExILGQTQM0HOD0BJI90YO7GOIN3" hidden="1">#REF!</definedName>
    <definedName name="BExILPL7P2BNCD7MYCGTQ9F0R5JX" localSheetId="8" hidden="1">#REF!</definedName>
    <definedName name="BExILPL7P2BNCD7MYCGTQ9F0R5JX" localSheetId="19" hidden="1">#REF!</definedName>
    <definedName name="BExILPL7P2BNCD7MYCGTQ9F0R5JX" hidden="1">#REF!</definedName>
    <definedName name="BExILVVS4B1B4G7IO0LPUDWY9K8W" localSheetId="8" hidden="1">#REF!</definedName>
    <definedName name="BExILVVS4B1B4G7IO0LPUDWY9K8W" localSheetId="19" hidden="1">#REF!</definedName>
    <definedName name="BExILVVS4B1B4G7IO0LPUDWY9K8W" hidden="1">#REF!</definedName>
    <definedName name="BExIM9DBUB7ZGF4B20FVUO9QGOX2" localSheetId="8" hidden="1">#REF!</definedName>
    <definedName name="BExIM9DBUB7ZGF4B20FVUO9QGOX2" localSheetId="19" hidden="1">#REF!</definedName>
    <definedName name="BExIM9DBUB7ZGF4B20FVUO9QGOX2" hidden="1">#REF!</definedName>
    <definedName name="BExIMCTBZ4WAESGCDWJ64SB4F0L1" localSheetId="8" hidden="1">#REF!</definedName>
    <definedName name="BExIMCTBZ4WAESGCDWJ64SB4F0L1" localSheetId="19" hidden="1">#REF!</definedName>
    <definedName name="BExIMCTBZ4WAESGCDWJ64SB4F0L1" hidden="1">#REF!</definedName>
    <definedName name="BExIMGK9Z94TFPWWZFMD10HV0IF6" localSheetId="8" hidden="1">#REF!</definedName>
    <definedName name="BExIMGK9Z94TFPWWZFMD10HV0IF6" localSheetId="19" hidden="1">#REF!</definedName>
    <definedName name="BExIMGK9Z94TFPWWZFMD10HV0IF6" hidden="1">#REF!</definedName>
    <definedName name="BExIMPEGKG18TELVC33T4OQTNBWC" localSheetId="8" hidden="1">#REF!</definedName>
    <definedName name="BExIMPEGKG18TELVC33T4OQTNBWC" localSheetId="19" hidden="1">#REF!</definedName>
    <definedName name="BExIMPEGKG18TELVC33T4OQTNBWC" hidden="1">#REF!</definedName>
    <definedName name="BExIN4OR435DL1US13JQPOQK8GD5" localSheetId="8" hidden="1">#REF!</definedName>
    <definedName name="BExIN4OR435DL1US13JQPOQK8GD5" localSheetId="19" hidden="1">#REF!</definedName>
    <definedName name="BExIN4OR435DL1US13JQPOQK8GD5" hidden="1">#REF!</definedName>
    <definedName name="BExINI6A7H3KSFRFA6UBBDPKW37F" localSheetId="8" hidden="1">#REF!</definedName>
    <definedName name="BExINI6A7H3KSFRFA6UBBDPKW37F" localSheetId="19" hidden="1">#REF!</definedName>
    <definedName name="BExINI6A7H3KSFRFA6UBBDPKW37F" hidden="1">#REF!</definedName>
    <definedName name="BExINIMK8XC3JOBT2EXYFHHH52H0" localSheetId="8" hidden="1">#REF!</definedName>
    <definedName name="BExINIMK8XC3JOBT2EXYFHHH52H0" localSheetId="19" hidden="1">#REF!</definedName>
    <definedName name="BExINIMK8XC3JOBT2EXYFHHH52H0" hidden="1">#REF!</definedName>
    <definedName name="BExINLX401ZKEGWU168DS4JUM2J6" localSheetId="8" hidden="1">#REF!</definedName>
    <definedName name="BExINLX401ZKEGWU168DS4JUM2J6" localSheetId="19" hidden="1">#REF!</definedName>
    <definedName name="BExINLX401ZKEGWU168DS4JUM2J6" hidden="1">#REF!</definedName>
    <definedName name="BExINMYYJO1FTV1CZF6O5XCFAMQX" localSheetId="8" hidden="1">#REF!</definedName>
    <definedName name="BExINMYYJO1FTV1CZF6O5XCFAMQX" localSheetId="19" hidden="1">#REF!</definedName>
    <definedName name="BExINMYYJO1FTV1CZF6O5XCFAMQX" hidden="1">#REF!</definedName>
    <definedName name="BExINP2H4KI05FRFV5PKZFE00HKO" localSheetId="8" hidden="1">#REF!</definedName>
    <definedName name="BExINP2H4KI05FRFV5PKZFE00HKO" localSheetId="19" hidden="1">#REF!</definedName>
    <definedName name="BExINP2H4KI05FRFV5PKZFE00HKO" hidden="1">#REF!</definedName>
    <definedName name="BExINPTCEJ9RPDEBJEJH80NATGUQ" localSheetId="8" hidden="1">#REF!</definedName>
    <definedName name="BExINPTCEJ9RPDEBJEJH80NATGUQ" localSheetId="19" hidden="1">#REF!</definedName>
    <definedName name="BExINPTCEJ9RPDEBJEJH80NATGUQ" hidden="1">#REF!</definedName>
    <definedName name="BExINWEQMNJ70A6JRXC2LACBX1GX" localSheetId="8" hidden="1">#REF!</definedName>
    <definedName name="BExINWEQMNJ70A6JRXC2LACBX1GX" localSheetId="19" hidden="1">#REF!</definedName>
    <definedName name="BExINWEQMNJ70A6JRXC2LACBX1GX" hidden="1">#REF!</definedName>
    <definedName name="BExINZELVWYGU876QUUZCIMXPBQC" localSheetId="8" hidden="1">#REF!</definedName>
    <definedName name="BExINZELVWYGU876QUUZCIMXPBQC" localSheetId="19" hidden="1">#REF!</definedName>
    <definedName name="BExINZELVWYGU876QUUZCIMXPBQC" hidden="1">#REF!</definedName>
    <definedName name="BExIO9QZ59ZHRA8SX6QICH2AY8A2" localSheetId="8" hidden="1">#REF!</definedName>
    <definedName name="BExIO9QZ59ZHRA8SX6QICH2AY8A2" localSheetId="19" hidden="1">#REF!</definedName>
    <definedName name="BExIO9QZ59ZHRA8SX6QICH2AY8A2" hidden="1">#REF!</definedName>
    <definedName name="BExIOAHV525SMMGFDJFE7456JPBD" localSheetId="8" hidden="1">#REF!</definedName>
    <definedName name="BExIOAHV525SMMGFDJFE7456JPBD" localSheetId="19" hidden="1">#REF!</definedName>
    <definedName name="BExIOAHV525SMMGFDJFE7456JPBD" hidden="1">#REF!</definedName>
    <definedName name="BExIOCQUQHKUU1KONGSDOLQTQEIC" localSheetId="8" hidden="1">#REF!</definedName>
    <definedName name="BExIOCQUQHKUU1KONGSDOLQTQEIC" localSheetId="19" hidden="1">#REF!</definedName>
    <definedName name="BExIOCQUQHKUU1KONGSDOLQTQEIC" hidden="1">#REF!</definedName>
    <definedName name="BExIOFAGCDQQKALMX3V0KU94KUQO" localSheetId="8" hidden="1">#REF!</definedName>
    <definedName name="BExIOFAGCDQQKALMX3V0KU94KUQO" localSheetId="19" hidden="1">#REF!</definedName>
    <definedName name="BExIOFAGCDQQKALMX3V0KU94KUQO" hidden="1">#REF!</definedName>
    <definedName name="BExIOFL8Y5O61VLKTB4H20IJNWS1" localSheetId="8" hidden="1">#REF!</definedName>
    <definedName name="BExIOFL8Y5O61VLKTB4H20IJNWS1" localSheetId="19" hidden="1">#REF!</definedName>
    <definedName name="BExIOFL8Y5O61VLKTB4H20IJNWS1" hidden="1">#REF!</definedName>
    <definedName name="BExIOMBXRW5NS4ZPYX9G5QREZ5J6" localSheetId="8" hidden="1">#REF!</definedName>
    <definedName name="BExIOMBXRW5NS4ZPYX9G5QREZ5J6" localSheetId="19" hidden="1">#REF!</definedName>
    <definedName name="BExIOMBXRW5NS4ZPYX9G5QREZ5J6" hidden="1">#REF!</definedName>
    <definedName name="BExIORA3GK78T7C7SNBJJUONJ0LS" localSheetId="8" hidden="1">#REF!</definedName>
    <definedName name="BExIORA3GK78T7C7SNBJJUONJ0LS" localSheetId="19" hidden="1">#REF!</definedName>
    <definedName name="BExIORA3GK78T7C7SNBJJUONJ0LS" hidden="1">#REF!</definedName>
    <definedName name="BExIORFDXP4AVIEBLSTZ8ETSXMNM" localSheetId="8" hidden="1">#REF!</definedName>
    <definedName name="BExIORFDXP4AVIEBLSTZ8ETSXMNM" localSheetId="19" hidden="1">#REF!</definedName>
    <definedName name="BExIORFDXP4AVIEBLSTZ8ETSXMNM" hidden="1">#REF!</definedName>
    <definedName name="BExIOTZ5EFZ2NASVQ05RH15HRSW6" localSheetId="8" hidden="1">#REF!</definedName>
    <definedName name="BExIOTZ5EFZ2NASVQ05RH15HRSW6" localSheetId="19" hidden="1">#REF!</definedName>
    <definedName name="BExIOTZ5EFZ2NASVQ05RH15HRSW6" hidden="1">#REF!</definedName>
    <definedName name="BExIP8YNN6UUE1GZ223SWH7DLGKO" localSheetId="8" hidden="1">#REF!</definedName>
    <definedName name="BExIP8YNN6UUE1GZ223SWH7DLGKO" localSheetId="19" hidden="1">#REF!</definedName>
    <definedName name="BExIP8YNN6UUE1GZ223SWH7DLGKO" hidden="1">#REF!</definedName>
    <definedName name="BExIPAB4AOL592OJCC1CFAXTLF1A" localSheetId="8" hidden="1">#REF!</definedName>
    <definedName name="BExIPAB4AOL592OJCC1CFAXTLF1A" localSheetId="19" hidden="1">#REF!</definedName>
    <definedName name="BExIPAB4AOL592OJCC1CFAXTLF1A" hidden="1">#REF!</definedName>
    <definedName name="BExIPB25DKX4S2ZCKQN7KWSC3JBF" localSheetId="8" hidden="1">#REF!</definedName>
    <definedName name="BExIPB25DKX4S2ZCKQN7KWSC3JBF" localSheetId="19" hidden="1">#REF!</definedName>
    <definedName name="BExIPB25DKX4S2ZCKQN7KWSC3JBF" hidden="1">#REF!</definedName>
    <definedName name="BExIPCUX4I4S2N50TLMMLALYLH9S" localSheetId="8" hidden="1">#REF!</definedName>
    <definedName name="BExIPCUX4I4S2N50TLMMLALYLH9S" localSheetId="19" hidden="1">#REF!</definedName>
    <definedName name="BExIPCUX4I4S2N50TLMMLALYLH9S" hidden="1">#REF!</definedName>
    <definedName name="BExIPDLT8JYAMGE5HTN4D1YHZF3V" localSheetId="8" hidden="1">#REF!</definedName>
    <definedName name="BExIPDLT8JYAMGE5HTN4D1YHZF3V" localSheetId="19" hidden="1">#REF!</definedName>
    <definedName name="BExIPDLT8JYAMGE5HTN4D1YHZF3V" hidden="1">#REF!</definedName>
    <definedName name="BExIPG040Q08EWIWL6CAVR3GRI43" localSheetId="8" hidden="1">#REF!</definedName>
    <definedName name="BExIPG040Q08EWIWL6CAVR3GRI43" localSheetId="19" hidden="1">#REF!</definedName>
    <definedName name="BExIPG040Q08EWIWL6CAVR3GRI43" hidden="1">#REF!</definedName>
    <definedName name="BExIPKNFUDPDKOSH5GHDVNA8D66S" localSheetId="8" hidden="1">#REF!</definedName>
    <definedName name="BExIPKNFUDPDKOSH5GHDVNA8D66S" localSheetId="19" hidden="1">#REF!</definedName>
    <definedName name="BExIPKNFUDPDKOSH5GHDVNA8D66S" hidden="1">#REF!</definedName>
    <definedName name="BExIPVL5VEVK9Q7AYB7EC2VZWBEZ" localSheetId="8" hidden="1">#REF!</definedName>
    <definedName name="BExIPVL5VEVK9Q7AYB7EC2VZWBEZ" localSheetId="19" hidden="1">#REF!</definedName>
    <definedName name="BExIPVL5VEVK9Q7AYB7EC2VZWBEZ" hidden="1">#REF!</definedName>
    <definedName name="BExIQ1VS9A2FHVD9TUHKG9K8EVVP" localSheetId="8" hidden="1">#REF!</definedName>
    <definedName name="BExIQ1VS9A2FHVD9TUHKG9K8EVVP" localSheetId="19" hidden="1">#REF!</definedName>
    <definedName name="BExIQ1VS9A2FHVD9TUHKG9K8EVVP" hidden="1">#REF!</definedName>
    <definedName name="BExIQ3J19L30PSQ2CXNT6IHW0I7V" localSheetId="8" hidden="1">#REF!</definedName>
    <definedName name="BExIQ3J19L30PSQ2CXNT6IHW0I7V" localSheetId="19" hidden="1">#REF!</definedName>
    <definedName name="BExIQ3J19L30PSQ2CXNT6IHW0I7V" hidden="1">#REF!</definedName>
    <definedName name="BExIQ3OJ7M04XCY276IO0LJA5XUK" localSheetId="8" hidden="1">#REF!</definedName>
    <definedName name="BExIQ3OJ7M04XCY276IO0LJA5XUK" localSheetId="19" hidden="1">#REF!</definedName>
    <definedName name="BExIQ3OJ7M04XCY276IO0LJA5XUK" hidden="1">#REF!</definedName>
    <definedName name="BExIQ5S19ITB0NDRUN4XV7B905ED" localSheetId="8" hidden="1">#REF!</definedName>
    <definedName name="BExIQ5S19ITB0NDRUN4XV7B905ED" localSheetId="19" hidden="1">#REF!</definedName>
    <definedName name="BExIQ5S19ITB0NDRUN4XV7B905ED" hidden="1">#REF!</definedName>
    <definedName name="BExIQ810MMN2UN0EQ9CRQAFWA19X" localSheetId="8" hidden="1">#REF!</definedName>
    <definedName name="BExIQ810MMN2UN0EQ9CRQAFWA19X" localSheetId="19" hidden="1">#REF!</definedName>
    <definedName name="BExIQ810MMN2UN0EQ9CRQAFWA19X" hidden="1">#REF!</definedName>
    <definedName name="BExIQ9TMQT2EIXSVQW7GVSOAW2VJ" localSheetId="8" hidden="1">#REF!</definedName>
    <definedName name="BExIQ9TMQT2EIXSVQW7GVSOAW2VJ" localSheetId="19" hidden="1">#REF!</definedName>
    <definedName name="BExIQ9TMQT2EIXSVQW7GVSOAW2VJ" hidden="1">#REF!</definedName>
    <definedName name="BExIQBMDE1L6J4H27K1FMSHQKDSE" localSheetId="8" hidden="1">#REF!</definedName>
    <definedName name="BExIQBMDE1L6J4H27K1FMSHQKDSE" localSheetId="19" hidden="1">#REF!</definedName>
    <definedName name="BExIQBMDE1L6J4H27K1FMSHQKDSE" hidden="1">#REF!</definedName>
    <definedName name="BExIQE65LVXUOF3UZFO7SDHFJH22" localSheetId="8" hidden="1">#REF!</definedName>
    <definedName name="BExIQE65LVXUOF3UZFO7SDHFJH22" localSheetId="19" hidden="1">#REF!</definedName>
    <definedName name="BExIQE65LVXUOF3UZFO7SDHFJH22" hidden="1">#REF!</definedName>
    <definedName name="BExIQG9OO2KKBOWTMD1OXY36TEGA" localSheetId="8" hidden="1">#REF!</definedName>
    <definedName name="BExIQG9OO2KKBOWTMD1OXY36TEGA" localSheetId="19" hidden="1">#REF!</definedName>
    <definedName name="BExIQG9OO2KKBOWTMD1OXY36TEGA" hidden="1">#REF!</definedName>
    <definedName name="BExIQHWZ65ALA9VAFCJEGIL1145G" localSheetId="8" hidden="1">#REF!</definedName>
    <definedName name="BExIQHWZ65ALA9VAFCJEGIL1145G" localSheetId="19" hidden="1">#REF!</definedName>
    <definedName name="BExIQHWZ65ALA9VAFCJEGIL1145G" hidden="1">#REF!</definedName>
    <definedName name="BExIQX1XBB31HZTYEEVOBSE3C5A6" localSheetId="8" hidden="1">#REF!</definedName>
    <definedName name="BExIQX1XBB31HZTYEEVOBSE3C5A6" localSheetId="19" hidden="1">#REF!</definedName>
    <definedName name="BExIQX1XBB31HZTYEEVOBSE3C5A6" hidden="1">#REF!</definedName>
    <definedName name="BExIR2ALYRP9FW99DK2084J7IIDC" localSheetId="8" hidden="1">#REF!</definedName>
    <definedName name="BExIR2ALYRP9FW99DK2084J7IIDC" localSheetId="19" hidden="1">#REF!</definedName>
    <definedName name="BExIR2ALYRP9FW99DK2084J7IIDC" hidden="1">#REF!</definedName>
    <definedName name="BExIR8FQETPTQYW37DBVDWG3J4JW" localSheetId="8" hidden="1">#REF!</definedName>
    <definedName name="BExIR8FQETPTQYW37DBVDWG3J4JW" localSheetId="19" hidden="1">#REF!</definedName>
    <definedName name="BExIR8FQETPTQYW37DBVDWG3J4JW" hidden="1">#REF!</definedName>
    <definedName name="BExIRHKWQB1PP4ZLB0C3AVUBAFMD" localSheetId="8" hidden="1">#REF!</definedName>
    <definedName name="BExIRHKWQB1PP4ZLB0C3AVUBAFMD" localSheetId="19" hidden="1">#REF!</definedName>
    <definedName name="BExIRHKWQB1PP4ZLB0C3AVUBAFMD" hidden="1">#REF!</definedName>
    <definedName name="BExIRJTRJPQR3OTAGAV7JTA4VMPS" localSheetId="8" hidden="1">#REF!</definedName>
    <definedName name="BExIRJTRJPQR3OTAGAV7JTA4VMPS" localSheetId="19" hidden="1">#REF!</definedName>
    <definedName name="BExIRJTRJPQR3OTAGAV7JTA4VMPS" hidden="1">#REF!</definedName>
    <definedName name="BExIROH27RJOG6VI7ZHR0RZGAZZ4" localSheetId="8" hidden="1">#REF!</definedName>
    <definedName name="BExIROH27RJOG6VI7ZHR0RZGAZZ4" localSheetId="19" hidden="1">#REF!</definedName>
    <definedName name="BExIROH27RJOG6VI7ZHR0RZGAZZ4" hidden="1">#REF!</definedName>
    <definedName name="BExIRRBGTY01OQOI3U5SW59RFDFI" localSheetId="8" hidden="1">#REF!</definedName>
    <definedName name="BExIRRBGTY01OQOI3U5SW59RFDFI" localSheetId="19" hidden="1">#REF!</definedName>
    <definedName name="BExIRRBGTY01OQOI3U5SW59RFDFI" hidden="1">#REF!</definedName>
    <definedName name="BExIS4T0DRF57HYO7OGG72KBOFOI" localSheetId="8" hidden="1">#REF!</definedName>
    <definedName name="BExIS4T0DRF57HYO7OGG72KBOFOI" localSheetId="19" hidden="1">#REF!</definedName>
    <definedName name="BExIS4T0DRF57HYO7OGG72KBOFOI" hidden="1">#REF!</definedName>
    <definedName name="BExIS77BJDDK18PGI9DSEYZPIL7P" localSheetId="8" hidden="1">#REF!</definedName>
    <definedName name="BExIS77BJDDK18PGI9DSEYZPIL7P" localSheetId="19" hidden="1">#REF!</definedName>
    <definedName name="BExIS77BJDDK18PGI9DSEYZPIL7P" hidden="1">#REF!</definedName>
    <definedName name="BExIS8USL1T3Z97CZ30HJ98E2GXQ" localSheetId="8" hidden="1">#REF!</definedName>
    <definedName name="BExIS8USL1T3Z97CZ30HJ98E2GXQ" localSheetId="19" hidden="1">#REF!</definedName>
    <definedName name="BExIS8USL1T3Z97CZ30HJ98E2GXQ" hidden="1">#REF!</definedName>
    <definedName name="BExISC5B700MZUBFTQ9K4IKTF7HR" localSheetId="8" hidden="1">#REF!</definedName>
    <definedName name="BExISC5B700MZUBFTQ9K4IKTF7HR" localSheetId="19" hidden="1">#REF!</definedName>
    <definedName name="BExISC5B700MZUBFTQ9K4IKTF7HR" hidden="1">#REF!</definedName>
    <definedName name="BExISDHXS49S1H56ENBPRF1NLD5C" localSheetId="8" hidden="1">#REF!</definedName>
    <definedName name="BExISDHXS49S1H56ENBPRF1NLD5C" localSheetId="19" hidden="1">#REF!</definedName>
    <definedName name="BExISDHXS49S1H56ENBPRF1NLD5C" hidden="1">#REF!</definedName>
    <definedName name="BExISM1JLV54A21A164IURMPGUMU" localSheetId="8" hidden="1">#REF!</definedName>
    <definedName name="BExISM1JLV54A21A164IURMPGUMU" localSheetId="19" hidden="1">#REF!</definedName>
    <definedName name="BExISM1JLV54A21A164IURMPGUMU" hidden="1">#REF!</definedName>
    <definedName name="BExISRFKJYUZ4AKW44IJF7RF9Y90" localSheetId="8" hidden="1">#REF!</definedName>
    <definedName name="BExISRFKJYUZ4AKW44IJF7RF9Y90" localSheetId="19" hidden="1">#REF!</definedName>
    <definedName name="BExISRFKJYUZ4AKW44IJF7RF9Y90" hidden="1">#REF!</definedName>
    <definedName name="BExISSMVV57JAUB6CSGBMBFVNGWK" localSheetId="8" hidden="1">#REF!</definedName>
    <definedName name="BExISSMVV57JAUB6CSGBMBFVNGWK" localSheetId="19" hidden="1">#REF!</definedName>
    <definedName name="BExISSMVV57JAUB6CSGBMBFVNGWK" hidden="1">#REF!</definedName>
    <definedName name="BExIT16AD4HCD0WQCCA72AKLQHK1" localSheetId="8" hidden="1">#REF!</definedName>
    <definedName name="BExIT16AD4HCD0WQCCA72AKLQHK1" localSheetId="19" hidden="1">#REF!</definedName>
    <definedName name="BExIT16AD4HCD0WQCCA72AKLQHK1" hidden="1">#REF!</definedName>
    <definedName name="BExIT1MK8TBAK3SNP36A8FKDQSOK" localSheetId="8" hidden="1">#REF!</definedName>
    <definedName name="BExIT1MK8TBAK3SNP36A8FKDQSOK" localSheetId="19" hidden="1">#REF!</definedName>
    <definedName name="BExIT1MK8TBAK3SNP36A8FKDQSOK" hidden="1">#REF!</definedName>
    <definedName name="BExIT9PPVL7XGGIZS7G6QI6L7H9U" localSheetId="8" hidden="1">#REF!</definedName>
    <definedName name="BExIT9PPVL7XGGIZS7G6QI6L7H9U" localSheetId="19" hidden="1">#REF!</definedName>
    <definedName name="BExIT9PPVL7XGGIZS7G6QI6L7H9U" hidden="1">#REF!</definedName>
    <definedName name="BExITBNYANV2S8KD56GOGCKW393R" localSheetId="8" hidden="1">#REF!</definedName>
    <definedName name="BExITBNYANV2S8KD56GOGCKW393R" localSheetId="19" hidden="1">#REF!</definedName>
    <definedName name="BExITBNYANV2S8KD56GOGCKW393R" hidden="1">#REF!</definedName>
    <definedName name="BExITGB4FVAV0LE88D7JMX7FBYXI" localSheetId="8" hidden="1">#REF!</definedName>
    <definedName name="BExITGB4FVAV0LE88D7JMX7FBYXI" localSheetId="19" hidden="1">#REF!</definedName>
    <definedName name="BExITGB4FVAV0LE88D7JMX7FBYXI" hidden="1">#REF!</definedName>
    <definedName name="BExITI3TQ14K842P38QF0PNWSWNO" localSheetId="8" hidden="1">#REF!</definedName>
    <definedName name="BExITI3TQ14K842P38QF0PNWSWNO" localSheetId="19" hidden="1">#REF!</definedName>
    <definedName name="BExITI3TQ14K842P38QF0PNWSWNO" hidden="1">#REF!</definedName>
    <definedName name="BExIU9OGER4TPMETACWUEP1UENK0" localSheetId="8" hidden="1">#REF!</definedName>
    <definedName name="BExIU9OGER4TPMETACWUEP1UENK0" localSheetId="19" hidden="1">#REF!</definedName>
    <definedName name="BExIU9OGER4TPMETACWUEP1UENK0" hidden="1">#REF!</definedName>
    <definedName name="BExIUD4OJGH65NFNQ4VMCE3R4J1X" localSheetId="8" hidden="1">#REF!</definedName>
    <definedName name="BExIUD4OJGH65NFNQ4VMCE3R4J1X" localSheetId="19" hidden="1">#REF!</definedName>
    <definedName name="BExIUD4OJGH65NFNQ4VMCE3R4J1X" hidden="1">#REF!</definedName>
    <definedName name="BExIUQM0XWNNW3MJD26EOVIT7FSU" localSheetId="8" hidden="1">#REF!</definedName>
    <definedName name="BExIUQM0XWNNW3MJD26EOVIT7FSU" localSheetId="19" hidden="1">#REF!</definedName>
    <definedName name="BExIUQM0XWNNW3MJD26EOVIT7FSU" hidden="1">#REF!</definedName>
    <definedName name="BExIUTB5OAAXYW0OFMP0PS40SPOB" localSheetId="8" hidden="1">#REF!</definedName>
    <definedName name="BExIUTB5OAAXYW0OFMP0PS40SPOB" localSheetId="19" hidden="1">#REF!</definedName>
    <definedName name="BExIUTB5OAAXYW0OFMP0PS40SPOB" hidden="1">#REF!</definedName>
    <definedName name="BExIUUT2MHIOV6R3WHA0DPM1KBKY" localSheetId="8" hidden="1">#REF!</definedName>
    <definedName name="BExIUUT2MHIOV6R3WHA0DPM1KBKY" localSheetId="19" hidden="1">#REF!</definedName>
    <definedName name="BExIUUT2MHIOV6R3WHA0DPM1KBKY" hidden="1">#REF!</definedName>
    <definedName name="BExIUYPDT1AM6MWGWQS646PIZIWC" localSheetId="8" hidden="1">#REF!</definedName>
    <definedName name="BExIUYPDT1AM6MWGWQS646PIZIWC" localSheetId="19" hidden="1">#REF!</definedName>
    <definedName name="BExIUYPDT1AM6MWGWQS646PIZIWC" hidden="1">#REF!</definedName>
    <definedName name="BExIV0I2O9F8D1UK1SI8AEYR6U0A" localSheetId="8" hidden="1">#REF!</definedName>
    <definedName name="BExIV0I2O9F8D1UK1SI8AEYR6U0A" localSheetId="19" hidden="1">#REF!</definedName>
    <definedName name="BExIV0I2O9F8D1UK1SI8AEYR6U0A" hidden="1">#REF!</definedName>
    <definedName name="BExIV2LM38XPLRTWT0R44TMQ59E5" localSheetId="8" hidden="1">#REF!</definedName>
    <definedName name="BExIV2LM38XPLRTWT0R44TMQ59E5" localSheetId="19" hidden="1">#REF!</definedName>
    <definedName name="BExIV2LM38XPLRTWT0R44TMQ59E5" hidden="1">#REF!</definedName>
    <definedName name="BExIV3HY4S0YRV1F7XEMF2YHAR2I" localSheetId="8" hidden="1">#REF!</definedName>
    <definedName name="BExIV3HY4S0YRV1F7XEMF2YHAR2I" localSheetId="19" hidden="1">#REF!</definedName>
    <definedName name="BExIV3HY4S0YRV1F7XEMF2YHAR2I" hidden="1">#REF!</definedName>
    <definedName name="BExIV6HUZFRIFLXW2SICKGTAH1PV" localSheetId="8" hidden="1">#REF!</definedName>
    <definedName name="BExIV6HUZFRIFLXW2SICKGTAH1PV" localSheetId="19" hidden="1">#REF!</definedName>
    <definedName name="BExIV6HUZFRIFLXW2SICKGTAH1PV" hidden="1">#REF!</definedName>
    <definedName name="BExIVCXWL6H5LD9DHDIA4F5U9TQL" localSheetId="8" hidden="1">#REF!</definedName>
    <definedName name="BExIVCXWL6H5LD9DHDIA4F5U9TQL" localSheetId="19" hidden="1">#REF!</definedName>
    <definedName name="BExIVCXWL6H5LD9DHDIA4F5U9TQL" hidden="1">#REF!</definedName>
    <definedName name="BExIVEVYJ7KL8QNR5ZTOSD11I5A6" localSheetId="8" hidden="1">#REF!</definedName>
    <definedName name="BExIVEVYJ7KL8QNR5ZTOSD11I5A6" localSheetId="19" hidden="1">#REF!</definedName>
    <definedName name="BExIVEVYJ7KL8QNR5ZTOSD11I5A6" hidden="1">#REF!</definedName>
    <definedName name="BExIVJ30S9U8MA1TUBRND8DGF96D" localSheetId="8" hidden="1">#REF!</definedName>
    <definedName name="BExIVJ30S9U8MA1TUBRND8DGF96D" localSheetId="19" hidden="1">#REF!</definedName>
    <definedName name="BExIVJ30S9U8MA1TUBRND8DGF96D" hidden="1">#REF!</definedName>
    <definedName name="BExIVMOIPSEWSIHIDDLOXESQ28A0" localSheetId="8" hidden="1">#REF!</definedName>
    <definedName name="BExIVMOIPSEWSIHIDDLOXESQ28A0" localSheetId="19" hidden="1">#REF!</definedName>
    <definedName name="BExIVMOIPSEWSIHIDDLOXESQ28A0" hidden="1">#REF!</definedName>
    <definedName name="BExIVNVNJX9BYDLC88NG09YF5XQ6" localSheetId="8" hidden="1">#REF!</definedName>
    <definedName name="BExIVNVNJX9BYDLC88NG09YF5XQ6" localSheetId="19" hidden="1">#REF!</definedName>
    <definedName name="BExIVNVNJX9BYDLC88NG09YF5XQ6" hidden="1">#REF!</definedName>
    <definedName name="BExIVQVKLMGSRYT1LFZH0KUIA4OR" localSheetId="8" hidden="1">#REF!</definedName>
    <definedName name="BExIVQVKLMGSRYT1LFZH0KUIA4OR" localSheetId="19" hidden="1">#REF!</definedName>
    <definedName name="BExIVQVKLMGSRYT1LFZH0KUIA4OR" hidden="1">#REF!</definedName>
    <definedName name="BExIVYTFI35KNR2XSA6N8OJYUTUR" localSheetId="8" hidden="1">#REF!</definedName>
    <definedName name="BExIVYTFI35KNR2XSA6N8OJYUTUR" localSheetId="19" hidden="1">#REF!</definedName>
    <definedName name="BExIVYTFI35KNR2XSA6N8OJYUTUR" hidden="1">#REF!</definedName>
    <definedName name="BExIVZF05SNB8DE7VLQOFG9S41HS" localSheetId="8" hidden="1">#REF!</definedName>
    <definedName name="BExIVZF05SNB8DE7VLQOFG9S41HS" localSheetId="19" hidden="1">#REF!</definedName>
    <definedName name="BExIVZF05SNB8DE7VLQOFG9S41HS" hidden="1">#REF!</definedName>
    <definedName name="BExIWB3SY3WRIVIOF988DNNODBOA" localSheetId="8" hidden="1">#REF!</definedName>
    <definedName name="BExIWB3SY3WRIVIOF988DNNODBOA" localSheetId="19" hidden="1">#REF!</definedName>
    <definedName name="BExIWB3SY3WRIVIOF988DNNODBOA" hidden="1">#REF!</definedName>
    <definedName name="BExIWB99CG0H52LRD6QWPN4L6DV2" localSheetId="8" hidden="1">#REF!</definedName>
    <definedName name="BExIWB99CG0H52LRD6QWPN4L6DV2" localSheetId="19" hidden="1">#REF!</definedName>
    <definedName name="BExIWB99CG0H52LRD6QWPN4L6DV2" hidden="1">#REF!</definedName>
    <definedName name="BExIWG1W7XP9DFYYSZAIOSHM0QLQ" localSheetId="8" hidden="1">#REF!</definedName>
    <definedName name="BExIWG1W7XP9DFYYSZAIOSHM0QLQ" localSheetId="19" hidden="1">#REF!</definedName>
    <definedName name="BExIWG1W7XP9DFYYSZAIOSHM0QLQ" hidden="1">#REF!</definedName>
    <definedName name="BExIWH3KUK94B7833DD4TB0Y6KP9" localSheetId="8" hidden="1">#REF!</definedName>
    <definedName name="BExIWH3KUK94B7833DD4TB0Y6KP9" localSheetId="19" hidden="1">#REF!</definedName>
    <definedName name="BExIWH3KUK94B7833DD4TB0Y6KP9" hidden="1">#REF!</definedName>
    <definedName name="BExIWHZXYAALPLS8CSHZHJ82LBOH" localSheetId="8" hidden="1">#REF!</definedName>
    <definedName name="BExIWHZXYAALPLS8CSHZHJ82LBOH" localSheetId="19" hidden="1">#REF!</definedName>
    <definedName name="BExIWHZXYAALPLS8CSHZHJ82LBOH" hidden="1">#REF!</definedName>
    <definedName name="BExIWJY6FHR6KOO0P8U4IZ7VD42D" localSheetId="8" hidden="1">#REF!</definedName>
    <definedName name="BExIWJY6FHR6KOO0P8U4IZ7VD42D" localSheetId="19" hidden="1">#REF!</definedName>
    <definedName name="BExIWJY6FHR6KOO0P8U4IZ7VD42D" hidden="1">#REF!</definedName>
    <definedName name="BExIWKE9MGIDWORBI43AWTUNYFAN" localSheetId="8" hidden="1">#REF!</definedName>
    <definedName name="BExIWKE9MGIDWORBI43AWTUNYFAN" localSheetId="19" hidden="1">#REF!</definedName>
    <definedName name="BExIWKE9MGIDWORBI43AWTUNYFAN" hidden="1">#REF!</definedName>
    <definedName name="BExIWPHOYLSNGZKVD3RRKOEALEUG" localSheetId="8" hidden="1">#REF!</definedName>
    <definedName name="BExIWPHOYLSNGZKVD3RRKOEALEUG" localSheetId="19" hidden="1">#REF!</definedName>
    <definedName name="BExIWPHOYLSNGZKVD3RRKOEALEUG" hidden="1">#REF!</definedName>
    <definedName name="BExIWSHLD1QIZPL5ARLXOJ9Y2CAA" localSheetId="8" hidden="1">#REF!</definedName>
    <definedName name="BExIWSHLD1QIZPL5ARLXOJ9Y2CAA" localSheetId="19" hidden="1">#REF!</definedName>
    <definedName name="BExIWSHLD1QIZPL5ARLXOJ9Y2CAA" hidden="1">#REF!</definedName>
    <definedName name="BExIX34PM5DBTRHRQWP6PL6WIX88" localSheetId="8" hidden="1">#REF!</definedName>
    <definedName name="BExIX34PM5DBTRHRQWP6PL6WIX88" localSheetId="19" hidden="1">#REF!</definedName>
    <definedName name="BExIX34PM5DBTRHRQWP6PL6WIX88" hidden="1">#REF!</definedName>
    <definedName name="BExIX5OAP9KSUE5SIZCW9P39Q4WE" localSheetId="8" hidden="1">#REF!</definedName>
    <definedName name="BExIX5OAP9KSUE5SIZCW9P39Q4WE" localSheetId="19" hidden="1">#REF!</definedName>
    <definedName name="BExIX5OAP9KSUE5SIZCW9P39Q4WE" hidden="1">#REF!</definedName>
    <definedName name="BExIXGRJPVJMUDGSG7IHPXPNO69B" localSheetId="8" hidden="1">#REF!</definedName>
    <definedName name="BExIXGRJPVJMUDGSG7IHPXPNO69B" localSheetId="19" hidden="1">#REF!</definedName>
    <definedName name="BExIXGRJPVJMUDGSG7IHPXPNO69B" hidden="1">#REF!</definedName>
    <definedName name="BExIXGWVQ9WOO0NCJLXAU4PJPOPM" localSheetId="8" hidden="1">#REF!</definedName>
    <definedName name="BExIXGWVQ9WOO0NCJLXAU4PJPOPM" localSheetId="19" hidden="1">#REF!</definedName>
    <definedName name="BExIXGWVQ9WOO0NCJLXAU4PJPOPM" hidden="1">#REF!</definedName>
    <definedName name="BExIXLK6SEOTUWQVNLCH4SAKTVGQ" localSheetId="8" hidden="1">#REF!</definedName>
    <definedName name="BExIXLK6SEOTUWQVNLCH4SAKTVGQ" localSheetId="19" hidden="1">#REF!</definedName>
    <definedName name="BExIXLK6SEOTUWQVNLCH4SAKTVGQ" hidden="1">#REF!</definedName>
    <definedName name="BExIXM5R87ZL3FHALWZXYCPHGX3E" localSheetId="8" hidden="1">#REF!</definedName>
    <definedName name="BExIXM5R87ZL3FHALWZXYCPHGX3E" localSheetId="19" hidden="1">#REF!</definedName>
    <definedName name="BExIXM5R87ZL3FHALWZXYCPHGX3E" hidden="1">#REF!</definedName>
    <definedName name="BExIXN24YK8MIB3OZ905DHU9CDH1" localSheetId="8" hidden="1">#REF!</definedName>
    <definedName name="BExIXN24YK8MIB3OZ905DHU9CDH1" localSheetId="19" hidden="1">#REF!</definedName>
    <definedName name="BExIXN24YK8MIB3OZ905DHU9CDH1" hidden="1">#REF!</definedName>
    <definedName name="BExIXS036ZCKT2Z8XZKLZ8PFWQGL" localSheetId="8" hidden="1">#REF!</definedName>
    <definedName name="BExIXS036ZCKT2Z8XZKLZ8PFWQGL" localSheetId="19" hidden="1">#REF!</definedName>
    <definedName name="BExIXS036ZCKT2Z8XZKLZ8PFWQGL" hidden="1">#REF!</definedName>
    <definedName name="BExIXY5CF9PFM0P40AZ4U51TMWV0" localSheetId="8" hidden="1">#REF!</definedName>
    <definedName name="BExIXY5CF9PFM0P40AZ4U51TMWV0" localSheetId="19" hidden="1">#REF!</definedName>
    <definedName name="BExIXY5CF9PFM0P40AZ4U51TMWV0" hidden="1">#REF!</definedName>
    <definedName name="BExIYEXJBK8JDWIRSVV4RJSKZVV1" localSheetId="8" hidden="1">#REF!</definedName>
    <definedName name="BExIYEXJBK8JDWIRSVV4RJSKZVV1" localSheetId="19" hidden="1">#REF!</definedName>
    <definedName name="BExIYEXJBK8JDWIRSVV4RJSKZVV1" hidden="1">#REF!</definedName>
    <definedName name="BExIYFJ59KLIPRTGIHX9X07UVGT3" localSheetId="8" hidden="1">#REF!</definedName>
    <definedName name="BExIYFJ59KLIPRTGIHX9X07UVGT3" localSheetId="19" hidden="1">#REF!</definedName>
    <definedName name="BExIYFJ59KLIPRTGIHX9X07UVGT3" hidden="1">#REF!</definedName>
    <definedName name="BExIYHH7GZO6BU3DC4GRLH3FD3ZS" localSheetId="8" hidden="1">#REF!</definedName>
    <definedName name="BExIYHH7GZO6BU3DC4GRLH3FD3ZS" localSheetId="19" hidden="1">#REF!</definedName>
    <definedName name="BExIYHH7GZO6BU3DC4GRLH3FD3ZS" hidden="1">#REF!</definedName>
    <definedName name="BExIYHMPBTD67ZNUL9O76FZQHYPT" localSheetId="8" hidden="1">#REF!</definedName>
    <definedName name="BExIYHMPBTD67ZNUL9O76FZQHYPT" localSheetId="19" hidden="1">#REF!</definedName>
    <definedName name="BExIYHMPBTD67ZNUL9O76FZQHYPT" hidden="1">#REF!</definedName>
    <definedName name="BExIYI2RH0K4225XO970K2IQ1E79" localSheetId="8" hidden="1">#REF!</definedName>
    <definedName name="BExIYI2RH0K4225XO970K2IQ1E79" localSheetId="19" hidden="1">#REF!</definedName>
    <definedName name="BExIYI2RH0K4225XO970K2IQ1E79" hidden="1">#REF!</definedName>
    <definedName name="BExIYMPZ0KS2KOJFQAUQJ77L7701" localSheetId="8" hidden="1">#REF!</definedName>
    <definedName name="BExIYMPZ0KS2KOJFQAUQJ77L7701" localSheetId="19" hidden="1">#REF!</definedName>
    <definedName name="BExIYMPZ0KS2KOJFQAUQJ77L7701" hidden="1">#REF!</definedName>
    <definedName name="BExIYP9Q6FV9T0R9G3UDKLS4TTYX" localSheetId="8" hidden="1">#REF!</definedName>
    <definedName name="BExIYP9Q6FV9T0R9G3UDKLS4TTYX" localSheetId="19" hidden="1">#REF!</definedName>
    <definedName name="BExIYP9Q6FV9T0R9G3UDKLS4TTYX" hidden="1">#REF!</definedName>
    <definedName name="BExIYZGLDQ1TN7BIIN4RLDP31GIM" localSheetId="8" hidden="1">#REF!</definedName>
    <definedName name="BExIYZGLDQ1TN7BIIN4RLDP31GIM" localSheetId="19" hidden="1">#REF!</definedName>
    <definedName name="BExIYZGLDQ1TN7BIIN4RLDP31GIM" hidden="1">#REF!</definedName>
    <definedName name="BExIZ4K0EZJK6PW3L8SVKTJFSWW9" localSheetId="8" hidden="1">#REF!</definedName>
    <definedName name="BExIZ4K0EZJK6PW3L8SVKTJFSWW9" localSheetId="19" hidden="1">#REF!</definedName>
    <definedName name="BExIZ4K0EZJK6PW3L8SVKTJFSWW9" hidden="1">#REF!</definedName>
    <definedName name="BExIZAECOEZGBAO29QMV14E6XDIV" localSheetId="8" hidden="1">#REF!</definedName>
    <definedName name="BExIZAECOEZGBAO29QMV14E6XDIV" localSheetId="19" hidden="1">#REF!</definedName>
    <definedName name="BExIZAECOEZGBAO29QMV14E6XDIV" hidden="1">#REF!</definedName>
    <definedName name="BExIZHQR3N1546MQS83ZJ8I6SPZ3" localSheetId="8" hidden="1">#REF!</definedName>
    <definedName name="BExIZHQR3N1546MQS83ZJ8I6SPZ3" localSheetId="19" hidden="1">#REF!</definedName>
    <definedName name="BExIZHQR3N1546MQS83ZJ8I6SPZ3" hidden="1">#REF!</definedName>
    <definedName name="BExIZKVXYD5O2JBU81F2UFJZLLSI" localSheetId="8" hidden="1">#REF!</definedName>
    <definedName name="BExIZKVXYD5O2JBU81F2UFJZLLSI" localSheetId="19" hidden="1">#REF!</definedName>
    <definedName name="BExIZKVXYD5O2JBU81F2UFJZLLSI" hidden="1">#REF!</definedName>
    <definedName name="BExIZPZDHC8HGER83WHCZAHOX7LK" localSheetId="8" hidden="1">#REF!</definedName>
    <definedName name="BExIZPZDHC8HGER83WHCZAHOX7LK" localSheetId="19" hidden="1">#REF!</definedName>
    <definedName name="BExIZPZDHC8HGER83WHCZAHOX7LK" hidden="1">#REF!</definedName>
    <definedName name="BExIZQA5XCS39QKXMYR1MH2ZIGPS" localSheetId="8" hidden="1">#REF!</definedName>
    <definedName name="BExIZQA5XCS39QKXMYR1MH2ZIGPS" localSheetId="19" hidden="1">#REF!</definedName>
    <definedName name="BExIZQA5XCS39QKXMYR1MH2ZIGPS" hidden="1">#REF!</definedName>
    <definedName name="BExIZVDLRUNAL32D9KO9X7Y4PB3O" localSheetId="8" hidden="1">#REF!</definedName>
    <definedName name="BExIZVDLRUNAL32D9KO9X7Y4PB3O" localSheetId="19" hidden="1">#REF!</definedName>
    <definedName name="BExIZVDLRUNAL32D9KO9X7Y4PB3O" hidden="1">#REF!</definedName>
    <definedName name="BExIZY2PUZ0OF9YKK1B13IW0VS6G" localSheetId="8" hidden="1">#REF!</definedName>
    <definedName name="BExIZY2PUZ0OF9YKK1B13IW0VS6G" localSheetId="19" hidden="1">#REF!</definedName>
    <definedName name="BExIZY2PUZ0OF9YKK1B13IW0VS6G" hidden="1">#REF!</definedName>
    <definedName name="BExJ08KBRR2XMWW3VZMPSQKXHZUH" localSheetId="8" hidden="1">#REF!</definedName>
    <definedName name="BExJ08KBRR2XMWW3VZMPSQKXHZUH" localSheetId="19" hidden="1">#REF!</definedName>
    <definedName name="BExJ08KBRR2XMWW3VZMPSQKXHZUH" hidden="1">#REF!</definedName>
    <definedName name="BExJ0DYJWXGE7DA39PYL3WM05U9O" localSheetId="8" hidden="1">#REF!</definedName>
    <definedName name="BExJ0DYJWXGE7DA39PYL3WM05U9O" localSheetId="19" hidden="1">#REF!</definedName>
    <definedName name="BExJ0DYJWXGE7DA39PYL3WM05U9O" hidden="1">#REF!</definedName>
    <definedName name="BExJ0JYDEZPM2303TRBXOZ74M7N6" localSheetId="8" hidden="1">#REF!</definedName>
    <definedName name="BExJ0JYDEZPM2303TRBXOZ74M7N6" localSheetId="19" hidden="1">#REF!</definedName>
    <definedName name="BExJ0JYDEZPM2303TRBXOZ74M7N6" hidden="1">#REF!</definedName>
    <definedName name="BExJ0MY8SY5J5V50H3UKE78ODTVB" localSheetId="8" hidden="1">#REF!</definedName>
    <definedName name="BExJ0MY8SY5J5V50H3UKE78ODTVB" localSheetId="19" hidden="1">#REF!</definedName>
    <definedName name="BExJ0MY8SY5J5V50H3UKE78ODTVB" hidden="1">#REF!</definedName>
    <definedName name="BExJ0YC98G37ML4N8FLP8D95EFRF" localSheetId="8" hidden="1">#REF!</definedName>
    <definedName name="BExJ0YC98G37ML4N8FLP8D95EFRF" localSheetId="19" hidden="1">#REF!</definedName>
    <definedName name="BExJ0YC98G37ML4N8FLP8D95EFRF" hidden="1">#REF!</definedName>
    <definedName name="BExKCDYKAEV45AFXHVHZZ62E5BM3" localSheetId="8" hidden="1">#REF!</definedName>
    <definedName name="BExKCDYKAEV45AFXHVHZZ62E5BM3" localSheetId="19" hidden="1">#REF!</definedName>
    <definedName name="BExKCDYKAEV45AFXHVHZZ62E5BM3" hidden="1">#REF!</definedName>
    <definedName name="BExKCYXU0W2VQVDI3N3N37K2598P" localSheetId="8" hidden="1">#REF!</definedName>
    <definedName name="BExKCYXU0W2VQVDI3N3N37K2598P" localSheetId="19" hidden="1">#REF!</definedName>
    <definedName name="BExKCYXU0W2VQVDI3N3N37K2598P" hidden="1">#REF!</definedName>
    <definedName name="BExKDJX3Z1TS0WFDD9EAO42JHL9G" localSheetId="8" hidden="1">#REF!</definedName>
    <definedName name="BExKDJX3Z1TS0WFDD9EAO42JHL9G" localSheetId="19" hidden="1">#REF!</definedName>
    <definedName name="BExKDJX3Z1TS0WFDD9EAO42JHL9G" hidden="1">#REF!</definedName>
    <definedName name="BExKDK7WVA5I2WBACAZHAHN35D0I" localSheetId="8" hidden="1">#REF!</definedName>
    <definedName name="BExKDK7WVA5I2WBACAZHAHN35D0I" localSheetId="19" hidden="1">#REF!</definedName>
    <definedName name="BExKDK7WVA5I2WBACAZHAHN35D0I" hidden="1">#REF!</definedName>
    <definedName name="BExKDKO0W4AGQO1V7K6Q4VM750FT" localSheetId="8" hidden="1">#REF!</definedName>
    <definedName name="BExKDKO0W4AGQO1V7K6Q4VM750FT" localSheetId="19" hidden="1">#REF!</definedName>
    <definedName name="BExKDKO0W4AGQO1V7K6Q4VM750FT" hidden="1">#REF!</definedName>
    <definedName name="BExKDLF10G7W77J87QWH3ZGLUCLW" localSheetId="8" hidden="1">#REF!</definedName>
    <definedName name="BExKDLF10G7W77J87QWH3ZGLUCLW" localSheetId="19" hidden="1">#REF!</definedName>
    <definedName name="BExKDLF10G7W77J87QWH3ZGLUCLW" hidden="1">#REF!</definedName>
    <definedName name="BExKE2NDBQ14HOJH945N4W9ZZFJO" localSheetId="8" hidden="1">#REF!</definedName>
    <definedName name="BExKE2NDBQ14HOJH945N4W9ZZFJO" localSheetId="19" hidden="1">#REF!</definedName>
    <definedName name="BExKE2NDBQ14HOJH945N4W9ZZFJO" hidden="1">#REF!</definedName>
    <definedName name="BExKEFE0I3MT6ZLC4T1L9465HKTN" localSheetId="8" hidden="1">#REF!</definedName>
    <definedName name="BExKEFE0I3MT6ZLC4T1L9465HKTN" localSheetId="19" hidden="1">#REF!</definedName>
    <definedName name="BExKEFE0I3MT6ZLC4T1L9465HKTN" hidden="1">#REF!</definedName>
    <definedName name="BExKEK6O5BVJP4VY02FY7JNAZ6BT" localSheetId="8" hidden="1">#REF!</definedName>
    <definedName name="BExKEK6O5BVJP4VY02FY7JNAZ6BT" localSheetId="19" hidden="1">#REF!</definedName>
    <definedName name="BExKEK6O5BVJP4VY02FY7JNAZ6BT" hidden="1">#REF!</definedName>
    <definedName name="BExKEKXK6E6QX339ELPXDIRZSJE0" localSheetId="8" hidden="1">#REF!</definedName>
    <definedName name="BExKEKXK6E6QX339ELPXDIRZSJE0" localSheetId="19" hidden="1">#REF!</definedName>
    <definedName name="BExKEKXK6E6QX339ELPXDIRZSJE0" hidden="1">#REF!</definedName>
    <definedName name="BExKEMFI35R0D4WN4A59V9QH7I5S" localSheetId="8" hidden="1">#REF!</definedName>
    <definedName name="BExKEMFI35R0D4WN4A59V9QH7I5S" localSheetId="19" hidden="1">#REF!</definedName>
    <definedName name="BExKEMFI35R0D4WN4A59V9QH7I5S" hidden="1">#REF!</definedName>
    <definedName name="BExKEOOIBMP7N8033EY2CJYCBX6H" localSheetId="8" hidden="1">#REF!</definedName>
    <definedName name="BExKEOOIBMP7N8033EY2CJYCBX6H" localSheetId="19" hidden="1">#REF!</definedName>
    <definedName name="BExKEOOIBMP7N8033EY2CJYCBX6H" hidden="1">#REF!</definedName>
    <definedName name="BExKEW0RR5LA3VC46A2BEOOMQE56" localSheetId="8" hidden="1">#REF!</definedName>
    <definedName name="BExKEW0RR5LA3VC46A2BEOOMQE56" localSheetId="19" hidden="1">#REF!</definedName>
    <definedName name="BExKEW0RR5LA3VC46A2BEOOMQE56" hidden="1">#REF!</definedName>
    <definedName name="BExKF37PTJB4PE1PUQWG20ASBX4E" localSheetId="8" hidden="1">#REF!</definedName>
    <definedName name="BExKF37PTJB4PE1PUQWG20ASBX4E" localSheetId="19" hidden="1">#REF!</definedName>
    <definedName name="BExKF37PTJB4PE1PUQWG20ASBX4E" hidden="1">#REF!</definedName>
    <definedName name="BExKFA3VI1CZK21SM0N3LZWT9LA1" localSheetId="8" hidden="1">#REF!</definedName>
    <definedName name="BExKFA3VI1CZK21SM0N3LZWT9LA1" localSheetId="19" hidden="1">#REF!</definedName>
    <definedName name="BExKFA3VI1CZK21SM0N3LZWT9LA1" hidden="1">#REF!</definedName>
    <definedName name="BExKFBB29XXT9A2LVUXYSIVKPWGB" localSheetId="8" hidden="1">#REF!</definedName>
    <definedName name="BExKFBB29XXT9A2LVUXYSIVKPWGB" localSheetId="19" hidden="1">#REF!</definedName>
    <definedName name="BExKFBB29XXT9A2LVUXYSIVKPWGB" hidden="1">#REF!</definedName>
    <definedName name="BExKFINBFV5J2NFRCL4YUO3YF0ZE" localSheetId="8" hidden="1">#REF!</definedName>
    <definedName name="BExKFINBFV5J2NFRCL4YUO3YF0ZE" localSheetId="19" hidden="1">#REF!</definedName>
    <definedName name="BExKFINBFV5J2NFRCL4YUO3YF0ZE" hidden="1">#REF!</definedName>
    <definedName name="BExKFISRBFACTAMJSALEYMY66F6X" localSheetId="8" hidden="1">#REF!</definedName>
    <definedName name="BExKFISRBFACTAMJSALEYMY66F6X" localSheetId="19" hidden="1">#REF!</definedName>
    <definedName name="BExKFISRBFACTAMJSALEYMY66F6X" hidden="1">#REF!</definedName>
    <definedName name="BExKFOSK5DJ151C4E8544UWMYTOC" localSheetId="8" hidden="1">#REF!</definedName>
    <definedName name="BExKFOSK5DJ151C4E8544UWMYTOC" localSheetId="19" hidden="1">#REF!</definedName>
    <definedName name="BExKFOSK5DJ151C4E8544UWMYTOC" hidden="1">#REF!</definedName>
    <definedName name="BExKFWL3DE1V1VOVHAFYBE85QUB7" localSheetId="8" hidden="1">#REF!</definedName>
    <definedName name="BExKFWL3DE1V1VOVHAFYBE85QUB7" localSheetId="19" hidden="1">#REF!</definedName>
    <definedName name="BExKFWL3DE1V1VOVHAFYBE85QUB7" hidden="1">#REF!</definedName>
    <definedName name="BExKFXS9NDEWPZDVGLTMOM3CFO7N" localSheetId="8" hidden="1">#REF!</definedName>
    <definedName name="BExKFXS9NDEWPZDVGLTMOM3CFO7N" localSheetId="19" hidden="1">#REF!</definedName>
    <definedName name="BExKFXS9NDEWPZDVGLTMOM3CFO7N" hidden="1">#REF!</definedName>
    <definedName name="BExKFYJC4EVEV54F82K6VKP7Q3OU" localSheetId="8" hidden="1">#REF!</definedName>
    <definedName name="BExKFYJC4EVEV54F82K6VKP7Q3OU" localSheetId="19" hidden="1">#REF!</definedName>
    <definedName name="BExKFYJC4EVEV54F82K6VKP7Q3OU" hidden="1">#REF!</definedName>
    <definedName name="BExKG4IYHBKQQ8J8FN10GB2IKO33" localSheetId="8" hidden="1">#REF!</definedName>
    <definedName name="BExKG4IYHBKQQ8J8FN10GB2IKO33" localSheetId="19" hidden="1">#REF!</definedName>
    <definedName name="BExKG4IYHBKQQ8J8FN10GB2IKO33" hidden="1">#REF!</definedName>
    <definedName name="BExKGBVDO2JNJUFOFQMF0RJG03ZK" localSheetId="8" hidden="1">#REF!</definedName>
    <definedName name="BExKGBVDO2JNJUFOFQMF0RJG03ZK" localSheetId="19" hidden="1">#REF!</definedName>
    <definedName name="BExKGBVDO2JNJUFOFQMF0RJG03ZK" hidden="1">#REF!</definedName>
    <definedName name="BExKGF0L44S78D33WMQ1A75TRKB9" localSheetId="8" hidden="1">#REF!</definedName>
    <definedName name="BExKGF0L44S78D33WMQ1A75TRKB9" localSheetId="19" hidden="1">#REF!</definedName>
    <definedName name="BExKGF0L44S78D33WMQ1A75TRKB9" hidden="1">#REF!</definedName>
    <definedName name="BExKGFRN31B3G20LMQ4LRF879J68" localSheetId="8" hidden="1">#REF!</definedName>
    <definedName name="BExKGFRN31B3G20LMQ4LRF879J68" localSheetId="19" hidden="1">#REF!</definedName>
    <definedName name="BExKGFRN31B3G20LMQ4LRF879J68" hidden="1">#REF!</definedName>
    <definedName name="BExKGJD3U3ADZILP20U3EURP0UQP" localSheetId="8" hidden="1">#REF!</definedName>
    <definedName name="BExKGJD3U3ADZILP20U3EURP0UQP" localSheetId="19" hidden="1">#REF!</definedName>
    <definedName name="BExKGJD3U3ADZILP20U3EURP0UQP" hidden="1">#REF!</definedName>
    <definedName name="BExKGNK5YGKP0YHHTAAOV17Z9EIM" localSheetId="8" hidden="1">#REF!</definedName>
    <definedName name="BExKGNK5YGKP0YHHTAAOV17Z9EIM" localSheetId="19" hidden="1">#REF!</definedName>
    <definedName name="BExKGNK5YGKP0YHHTAAOV17Z9EIM" hidden="1">#REF!</definedName>
    <definedName name="BExKGQ3T3TWGZUSNVWJE1XWXHGRQ" localSheetId="8" hidden="1">#REF!</definedName>
    <definedName name="BExKGQ3T3TWGZUSNVWJE1XWXHGRQ" localSheetId="19" hidden="1">#REF!</definedName>
    <definedName name="BExKGQ3T3TWGZUSNVWJE1XWXHGRQ" hidden="1">#REF!</definedName>
    <definedName name="BExKGV77YH9YXIQTRKK2331QGYKF" localSheetId="8" hidden="1">#REF!</definedName>
    <definedName name="BExKGV77YH9YXIQTRKK2331QGYKF" localSheetId="19" hidden="1">#REF!</definedName>
    <definedName name="BExKGV77YH9YXIQTRKK2331QGYKF" hidden="1">#REF!</definedName>
    <definedName name="BExKH3FTZ5VGTB86W9M4AB39R0G8" localSheetId="8" hidden="1">#REF!</definedName>
    <definedName name="BExKH3FTZ5VGTB86W9M4AB39R0G8" localSheetId="19" hidden="1">#REF!</definedName>
    <definedName name="BExKH3FTZ5VGTB86W9M4AB39R0G8" hidden="1">#REF!</definedName>
    <definedName name="BExKH3FV5U5O6XZM7STS3NZKQFGJ" localSheetId="8" hidden="1">#REF!</definedName>
    <definedName name="BExKH3FV5U5O6XZM7STS3NZKQFGJ" localSheetId="19" hidden="1">#REF!</definedName>
    <definedName name="BExKH3FV5U5O6XZM7STS3NZKQFGJ" hidden="1">#REF!</definedName>
    <definedName name="BExKH3W5435VN8DZ68OCKI93SEO4" localSheetId="8" hidden="1">#REF!</definedName>
    <definedName name="BExKH3W5435VN8DZ68OCKI93SEO4" localSheetId="19" hidden="1">#REF!</definedName>
    <definedName name="BExKH3W5435VN8DZ68OCKI93SEO4" hidden="1">#REF!</definedName>
    <definedName name="BExKH9L4L5ZUAA98QAZ7DB7YH4QE" localSheetId="8" hidden="1">#REF!</definedName>
    <definedName name="BExKH9L4L5ZUAA98QAZ7DB7YH4QE" localSheetId="19" hidden="1">#REF!</definedName>
    <definedName name="BExKH9L4L5ZUAA98QAZ7DB7YH4QE" hidden="1">#REF!</definedName>
    <definedName name="BExKHAMUH8NR3HRV0V6FHJE3ROLN" localSheetId="8" hidden="1">#REF!</definedName>
    <definedName name="BExKHAMUH8NR3HRV0V6FHJE3ROLN" localSheetId="19" hidden="1">#REF!</definedName>
    <definedName name="BExKHAMUH8NR3HRV0V6FHJE3ROLN" hidden="1">#REF!</definedName>
    <definedName name="BExKHCFKOWFHO2WW0N7Y5XDXEWAO" localSheetId="8" hidden="1">#REF!</definedName>
    <definedName name="BExKHCFKOWFHO2WW0N7Y5XDXEWAO" localSheetId="19" hidden="1">#REF!</definedName>
    <definedName name="BExKHCFKOWFHO2WW0N7Y5XDXEWAO" hidden="1">#REF!</definedName>
    <definedName name="BExKHIVLONZ46HLMR50DEXKEUNEP" localSheetId="8" hidden="1">#REF!</definedName>
    <definedName name="BExKHIVLONZ46HLMR50DEXKEUNEP" localSheetId="19" hidden="1">#REF!</definedName>
    <definedName name="BExKHIVLONZ46HLMR50DEXKEUNEP" hidden="1">#REF!</definedName>
    <definedName name="BExKHPM9XA0ADDK7TUR0N38EXWEP" localSheetId="8" hidden="1">#REF!</definedName>
    <definedName name="BExKHPM9XA0ADDK7TUR0N38EXWEP" localSheetId="19" hidden="1">#REF!</definedName>
    <definedName name="BExKHPM9XA0ADDK7TUR0N38EXWEP" hidden="1">#REF!</definedName>
    <definedName name="BExKHQYXEM47TMIQRQVHE4T5LT8K" localSheetId="8" hidden="1">#REF!</definedName>
    <definedName name="BExKHQYXEM47TMIQRQVHE4T5LT8K" localSheetId="19" hidden="1">#REF!</definedName>
    <definedName name="BExKHQYXEM47TMIQRQVHE4T5LT8K" hidden="1">#REF!</definedName>
    <definedName name="BExKI4076KXCDE5KXL79KT36OKLO" localSheetId="8" hidden="1">#REF!</definedName>
    <definedName name="BExKI4076KXCDE5KXL79KT36OKLO" localSheetId="19" hidden="1">#REF!</definedName>
    <definedName name="BExKI4076KXCDE5KXL79KT36OKLO" hidden="1">#REF!</definedName>
    <definedName name="BExKI7AUWXBP1WBLFRIYSNQZDWCY" localSheetId="8" hidden="1">#REF!</definedName>
    <definedName name="BExKI7AUWXBP1WBLFRIYSNQZDWCY" localSheetId="19" hidden="1">#REF!</definedName>
    <definedName name="BExKI7AUWXBP1WBLFRIYSNQZDWCY" hidden="1">#REF!</definedName>
    <definedName name="BExKI7LO70WYISR7Q0Y1ZDWO9M3B" localSheetId="8" hidden="1">#REF!</definedName>
    <definedName name="BExKI7LO70WYISR7Q0Y1ZDWO9M3B" localSheetId="19" hidden="1">#REF!</definedName>
    <definedName name="BExKI7LO70WYISR7Q0Y1ZDWO9M3B" hidden="1">#REF!</definedName>
    <definedName name="BExKIF3EIT434ZQKMDXUBJCRLMK8" localSheetId="8" hidden="1">#REF!</definedName>
    <definedName name="BExKIF3EIT434ZQKMDXUBJCRLMK8" localSheetId="19" hidden="1">#REF!</definedName>
    <definedName name="BExKIF3EIT434ZQKMDXUBJCRLMK8" hidden="1">#REF!</definedName>
    <definedName name="BExKIGQV6TXIZG039HBOJU62WP2U" localSheetId="8" hidden="1">#REF!</definedName>
    <definedName name="BExKIGQV6TXIZG039HBOJU62WP2U" localSheetId="19" hidden="1">#REF!</definedName>
    <definedName name="BExKIGQV6TXIZG039HBOJU62WP2U" hidden="1">#REF!</definedName>
    <definedName name="BExKILE008SF3KTAN8WML3XKI1NZ" localSheetId="8" hidden="1">#REF!</definedName>
    <definedName name="BExKILE008SF3KTAN8WML3XKI1NZ" localSheetId="19" hidden="1">#REF!</definedName>
    <definedName name="BExKILE008SF3KTAN8WML3XKI1NZ" hidden="1">#REF!</definedName>
    <definedName name="BExKINSBB6RS7I489QHMCOMU4Z2X" localSheetId="8" hidden="1">#REF!</definedName>
    <definedName name="BExKINSBB6RS7I489QHMCOMU4Z2X" localSheetId="19" hidden="1">#REF!</definedName>
    <definedName name="BExKINSBB6RS7I489QHMCOMU4Z2X" hidden="1">#REF!</definedName>
    <definedName name="BExKINXMPEA03CETGL1VOW1XRJIR" localSheetId="8" hidden="1">#REF!</definedName>
    <definedName name="BExKINXMPEA03CETGL1VOW1XRJIR" localSheetId="19" hidden="1">#REF!</definedName>
    <definedName name="BExKINXMPEA03CETGL1VOW1XRJIR" hidden="1">#REF!</definedName>
    <definedName name="BExKITBU5LXLZYDJS3D3BAVWEY3U" localSheetId="8" hidden="1">#REF!</definedName>
    <definedName name="BExKITBU5LXLZYDJS3D3BAVWEY3U" localSheetId="19" hidden="1">#REF!</definedName>
    <definedName name="BExKITBU5LXLZYDJS3D3BAVWEY3U" hidden="1">#REF!</definedName>
    <definedName name="BExKIU87ZKSOC2DYZWFK6SAK9I8E" localSheetId="8" hidden="1">#REF!</definedName>
    <definedName name="BExKIU87ZKSOC2DYZWFK6SAK9I8E" localSheetId="19" hidden="1">#REF!</definedName>
    <definedName name="BExKIU87ZKSOC2DYZWFK6SAK9I8E" hidden="1">#REF!</definedName>
    <definedName name="BExKJ449HLYX2DJ9UF0H9GTPSQ73" localSheetId="8" hidden="1">#REF!</definedName>
    <definedName name="BExKJ449HLYX2DJ9UF0H9GTPSQ73" localSheetId="19" hidden="1">#REF!</definedName>
    <definedName name="BExKJ449HLYX2DJ9UF0H9GTPSQ73" hidden="1">#REF!</definedName>
    <definedName name="BExKJ5649R9IC0GKQD6QI2G7C99Q" localSheetId="8" hidden="1">#REF!</definedName>
    <definedName name="BExKJ5649R9IC0GKQD6QI2G7C99Q" localSheetId="19" hidden="1">#REF!</definedName>
    <definedName name="BExKJ5649R9IC0GKQD6QI2G7C99Q" hidden="1">#REF!</definedName>
    <definedName name="BExKJEB4FXIMV2AAE9S3FCGRK1R0" localSheetId="8" hidden="1">#REF!</definedName>
    <definedName name="BExKJEB4FXIMV2AAE9S3FCGRK1R0" localSheetId="19" hidden="1">#REF!</definedName>
    <definedName name="BExKJEB4FXIMV2AAE9S3FCGRK1R0" hidden="1">#REF!</definedName>
    <definedName name="BExKJELX2RUC8UEC56IZPYYZXHA7" localSheetId="8" hidden="1">#REF!</definedName>
    <definedName name="BExKJELX2RUC8UEC56IZPYYZXHA7" localSheetId="19" hidden="1">#REF!</definedName>
    <definedName name="BExKJELX2RUC8UEC56IZPYYZXHA7" hidden="1">#REF!</definedName>
    <definedName name="BExKJI7CV9I6ILFIZ3SVO4DGK64J" localSheetId="8" hidden="1">#REF!</definedName>
    <definedName name="BExKJI7CV9I6ILFIZ3SVO4DGK64J" localSheetId="19" hidden="1">#REF!</definedName>
    <definedName name="BExKJI7CV9I6ILFIZ3SVO4DGK64J" hidden="1">#REF!</definedName>
    <definedName name="BExKJINMXS61G2TZEXCJAWVV4F57" localSheetId="8" hidden="1">#REF!</definedName>
    <definedName name="BExKJINMXS61G2TZEXCJAWVV4F57" localSheetId="19" hidden="1">#REF!</definedName>
    <definedName name="BExKJINMXS61G2TZEXCJAWVV4F57" hidden="1">#REF!</definedName>
    <definedName name="BExKJK5ME8KB7HA0180L7OUZDDGV" localSheetId="8" hidden="1">#REF!</definedName>
    <definedName name="BExKJK5ME8KB7HA0180L7OUZDDGV" localSheetId="19" hidden="1">#REF!</definedName>
    <definedName name="BExKJK5ME8KB7HA0180L7OUZDDGV" hidden="1">#REF!</definedName>
    <definedName name="BExKJLY652HI5GNEEWQXOB08K2C1" localSheetId="8" hidden="1">#REF!</definedName>
    <definedName name="BExKJLY652HI5GNEEWQXOB08K2C1" localSheetId="19" hidden="1">#REF!</definedName>
    <definedName name="BExKJLY652HI5GNEEWQXOB08K2C1" hidden="1">#REF!</definedName>
    <definedName name="BExKJN5IF0VMDILJ5K8ZENF2QYV1" localSheetId="8" hidden="1">#REF!</definedName>
    <definedName name="BExKJN5IF0VMDILJ5K8ZENF2QYV1" localSheetId="19" hidden="1">#REF!</definedName>
    <definedName name="BExKJN5IF0VMDILJ5K8ZENF2QYV1" hidden="1">#REF!</definedName>
    <definedName name="BExKJUSJPFUIK20FTVAFJWR2OUYX" localSheetId="8" hidden="1">#REF!</definedName>
    <definedName name="BExKJUSJPFUIK20FTVAFJWR2OUYX" localSheetId="19" hidden="1">#REF!</definedName>
    <definedName name="BExKJUSJPFUIK20FTVAFJWR2OUYX" hidden="1">#REF!</definedName>
    <definedName name="BExKJXHNZTE5OMRQ1KTVM1DIQE9I" localSheetId="8" hidden="1">#REF!</definedName>
    <definedName name="BExKJXHNZTE5OMRQ1KTVM1DIQE9I" localSheetId="19" hidden="1">#REF!</definedName>
    <definedName name="BExKJXHNZTE5OMRQ1KTVM1DIQE9I" hidden="1">#REF!</definedName>
    <definedName name="BExKK8VP5RS3D0UXZVKA37C4SYBP" localSheetId="8" hidden="1">#REF!</definedName>
    <definedName name="BExKK8VP5RS3D0UXZVKA37C4SYBP" localSheetId="19" hidden="1">#REF!</definedName>
    <definedName name="BExKK8VP5RS3D0UXZVKA37C4SYBP" hidden="1">#REF!</definedName>
    <definedName name="BExKKIM9NPF6B3SPMPIQB27HQME4" localSheetId="8" hidden="1">#REF!</definedName>
    <definedName name="BExKKIM9NPF6B3SPMPIQB27HQME4" localSheetId="19" hidden="1">#REF!</definedName>
    <definedName name="BExKKIM9NPF6B3SPMPIQB27HQME4" hidden="1">#REF!</definedName>
    <definedName name="BExKKIX1BCBQ4R3K41QD8NTV0OV0" localSheetId="8" hidden="1">#REF!</definedName>
    <definedName name="BExKKIX1BCBQ4R3K41QD8NTV0OV0" localSheetId="19" hidden="1">#REF!</definedName>
    <definedName name="BExKKIX1BCBQ4R3K41QD8NTV0OV0" hidden="1">#REF!</definedName>
    <definedName name="BExKKJ2IHMOO66DQ0V2YABR4GV05" localSheetId="8" hidden="1">#REF!</definedName>
    <definedName name="BExKKJ2IHMOO66DQ0V2YABR4GV05" localSheetId="19" hidden="1">#REF!</definedName>
    <definedName name="BExKKJ2IHMOO66DQ0V2YABR4GV05" hidden="1">#REF!</definedName>
    <definedName name="BExKKQ3ZWADYV03YHMXDOAMU90EB" localSheetId="8" hidden="1">#REF!</definedName>
    <definedName name="BExKKQ3ZWADYV03YHMXDOAMU90EB" localSheetId="19" hidden="1">#REF!</definedName>
    <definedName name="BExKKQ3ZWADYV03YHMXDOAMU90EB" hidden="1">#REF!</definedName>
    <definedName name="BExKKUGD2HMJWQEYZ8H3X1BMXFS9" localSheetId="8" hidden="1">#REF!</definedName>
    <definedName name="BExKKUGD2HMJWQEYZ8H3X1BMXFS9" localSheetId="19" hidden="1">#REF!</definedName>
    <definedName name="BExKKUGD2HMJWQEYZ8H3X1BMXFS9" hidden="1">#REF!</definedName>
    <definedName name="BExKKX05KCZZZPKOR1NE5A8RGVT4" localSheetId="8" hidden="1">#REF!</definedName>
    <definedName name="BExKKX05KCZZZPKOR1NE5A8RGVT4" localSheetId="19" hidden="1">#REF!</definedName>
    <definedName name="BExKKX05KCZZZPKOR1NE5A8RGVT4" hidden="1">#REF!</definedName>
    <definedName name="BExKL3QUCLQLECGZM555PRF8EN56" localSheetId="8" hidden="1">#REF!</definedName>
    <definedName name="BExKL3QUCLQLECGZM555PRF8EN56" localSheetId="19" hidden="1">#REF!</definedName>
    <definedName name="BExKL3QUCLQLECGZM555PRF8EN56" hidden="1">#REF!</definedName>
    <definedName name="BExKL7CGLA62V9UQH9ZDEHIK8W4O" localSheetId="8" hidden="1">#REF!</definedName>
    <definedName name="BExKL7CGLA62V9UQH9ZDEHIK8W4O" localSheetId="19" hidden="1">#REF!</definedName>
    <definedName name="BExKL7CGLA62V9UQH9ZDEHIK8W4O" hidden="1">#REF!</definedName>
    <definedName name="BExKLD6S9L66QYREYHBE5J44OK7X" localSheetId="8" hidden="1">#REF!</definedName>
    <definedName name="BExKLD6S9L66QYREYHBE5J44OK7X" localSheetId="19" hidden="1">#REF!</definedName>
    <definedName name="BExKLD6S9L66QYREYHBE5J44OK7X" hidden="1">#REF!</definedName>
    <definedName name="BExKLEZK32L28GYJWVO63BZ5E1JD" localSheetId="8" hidden="1">#REF!</definedName>
    <definedName name="BExKLEZK32L28GYJWVO63BZ5E1JD" localSheetId="19" hidden="1">#REF!</definedName>
    <definedName name="BExKLEZK32L28GYJWVO63BZ5E1JD" hidden="1">#REF!</definedName>
    <definedName name="BExKLLKVVHT06LA55JB2FC871DC5" localSheetId="8" hidden="1">#REF!</definedName>
    <definedName name="BExKLLKVVHT06LA55JB2FC871DC5" localSheetId="19" hidden="1">#REF!</definedName>
    <definedName name="BExKLLKVVHT06LA55JB2FC871DC5" hidden="1">#REF!</definedName>
    <definedName name="BExKMKNALVJRCZS69GFJA4M1J08O" localSheetId="8" hidden="1">#REF!</definedName>
    <definedName name="BExKMKNALVJRCZS69GFJA4M1J08O" localSheetId="19" hidden="1">#REF!</definedName>
    <definedName name="BExKMKNALVJRCZS69GFJA4M1J08O" hidden="1">#REF!</definedName>
    <definedName name="BExKMMFZIDRFNSBCWVADJ4S2JE52" localSheetId="8" hidden="1">#REF!</definedName>
    <definedName name="BExKMMFZIDRFNSBCWVADJ4S2JE52" localSheetId="19" hidden="1">#REF!</definedName>
    <definedName name="BExKMMFZIDRFNSBCWVADJ4S2JE52" hidden="1">#REF!</definedName>
    <definedName name="BExKMRZJS845FERFW6HUXLFAOMYD" localSheetId="8" hidden="1">#REF!</definedName>
    <definedName name="BExKMRZJS845FERFW6HUXLFAOMYD" localSheetId="19" hidden="1">#REF!</definedName>
    <definedName name="BExKMRZJS845FERFW6HUXLFAOMYD" hidden="1">#REF!</definedName>
    <definedName name="BExKMS514WWPGUGRYGTH6XU97T8B" localSheetId="8" hidden="1">#REF!</definedName>
    <definedName name="BExKMS514WWPGUGRYGTH6XU97T8B" localSheetId="19" hidden="1">#REF!</definedName>
    <definedName name="BExKMS514WWPGUGRYGTH6XU97T8B" hidden="1">#REF!</definedName>
    <definedName name="BExKMUDV8AH8HQAD5HJVUW7GFDWU" localSheetId="8" hidden="1">#REF!</definedName>
    <definedName name="BExKMUDV8AH8HQAD5HJVUW7GFDWU" localSheetId="19" hidden="1">#REF!</definedName>
    <definedName name="BExKMUDV8AH8HQAD5HJVUW7GFDWU" hidden="1">#REF!</definedName>
    <definedName name="BExKMWBX4EH3EYJ07UFEM08NB40Z" localSheetId="8" hidden="1">#REF!</definedName>
    <definedName name="BExKMWBX4EH3EYJ07UFEM08NB40Z" localSheetId="19" hidden="1">#REF!</definedName>
    <definedName name="BExKMWBX4EH3EYJ07UFEM08NB40Z" hidden="1">#REF!</definedName>
    <definedName name="BExKN4Q70IU9OY91QRUSK3044MQD" localSheetId="8" hidden="1">#REF!</definedName>
    <definedName name="BExKN4Q70IU9OY91QRUSK3044MQD" localSheetId="19" hidden="1">#REF!</definedName>
    <definedName name="BExKN4Q70IU9OY91QRUSK3044MQD" hidden="1">#REF!</definedName>
    <definedName name="BExKNBGV2IR3S7M0BX4810KZB4V3" localSheetId="8" hidden="1">#REF!</definedName>
    <definedName name="BExKNBGV2IR3S7M0BX4810KZB4V3" localSheetId="19" hidden="1">#REF!</definedName>
    <definedName name="BExKNBGV2IR3S7M0BX4810KZB4V3" hidden="1">#REF!</definedName>
    <definedName name="BExKNCTBZTSY3MO42VU5PLV6YUHZ" localSheetId="8" hidden="1">#REF!</definedName>
    <definedName name="BExKNCTBZTSY3MO42VU5PLV6YUHZ" localSheetId="19" hidden="1">#REF!</definedName>
    <definedName name="BExKNCTBZTSY3MO42VU5PLV6YUHZ" hidden="1">#REF!</definedName>
    <definedName name="BExKNGV2YY749C42AQ2T9QNIE5C3" localSheetId="8" hidden="1">#REF!</definedName>
    <definedName name="BExKNGV2YY749C42AQ2T9QNIE5C3" localSheetId="19" hidden="1">#REF!</definedName>
    <definedName name="BExKNGV2YY749C42AQ2T9QNIE5C3" hidden="1">#REF!</definedName>
    <definedName name="BExKNH0F1WPNUEQITIUN5T4NDX9H" localSheetId="8" hidden="1">#REF!</definedName>
    <definedName name="BExKNH0F1WPNUEQITIUN5T4NDX9H" localSheetId="19" hidden="1">#REF!</definedName>
    <definedName name="BExKNH0F1WPNUEQITIUN5T4NDX9H" hidden="1">#REF!</definedName>
    <definedName name="BExKNV8UOHVWEHDJWI2WMJ9X6QHZ" localSheetId="8" hidden="1">#REF!</definedName>
    <definedName name="BExKNV8UOHVWEHDJWI2WMJ9X6QHZ" localSheetId="19" hidden="1">#REF!</definedName>
    <definedName name="BExKNV8UOHVWEHDJWI2WMJ9X6QHZ" hidden="1">#REF!</definedName>
    <definedName name="BExKNZLD7UATC1MYRNJD8H2NH4KU" localSheetId="8" hidden="1">#REF!</definedName>
    <definedName name="BExKNZLD7UATC1MYRNJD8H2NH4KU" localSheetId="19" hidden="1">#REF!</definedName>
    <definedName name="BExKNZLD7UATC1MYRNJD8H2NH4KU" hidden="1">#REF!</definedName>
    <definedName name="BExKNZQUKQQG2Y97R74G4O4BJP1L" localSheetId="8" hidden="1">#REF!</definedName>
    <definedName name="BExKNZQUKQQG2Y97R74G4O4BJP1L" localSheetId="19" hidden="1">#REF!</definedName>
    <definedName name="BExKNZQUKQQG2Y97R74G4O4BJP1L" hidden="1">#REF!</definedName>
    <definedName name="BExKO06X0EAD3ABEG1E8PWLDWHBA" localSheetId="8" hidden="1">#REF!</definedName>
    <definedName name="BExKO06X0EAD3ABEG1E8PWLDWHBA" localSheetId="19" hidden="1">#REF!</definedName>
    <definedName name="BExKO06X0EAD3ABEG1E8PWLDWHBA" hidden="1">#REF!</definedName>
    <definedName name="BExKO2AHHSGNI1AZOIOW21KPXKPE" localSheetId="8" hidden="1">#REF!</definedName>
    <definedName name="BExKO2AHHSGNI1AZOIOW21KPXKPE" localSheetId="19" hidden="1">#REF!</definedName>
    <definedName name="BExKO2AHHSGNI1AZOIOW21KPXKPE" hidden="1">#REF!</definedName>
    <definedName name="BExKO2FXWJWC5IZLDN8JHYILQJ2N" localSheetId="8" hidden="1">#REF!</definedName>
    <definedName name="BExKO2FXWJWC5IZLDN8JHYILQJ2N" localSheetId="19" hidden="1">#REF!</definedName>
    <definedName name="BExKO2FXWJWC5IZLDN8JHYILQJ2N" hidden="1">#REF!</definedName>
    <definedName name="BExKO438WZ8FKOU00NURGFMOYXWN" localSheetId="8" hidden="1">#REF!</definedName>
    <definedName name="BExKO438WZ8FKOU00NURGFMOYXWN" localSheetId="19" hidden="1">#REF!</definedName>
    <definedName name="BExKO438WZ8FKOU00NURGFMOYXWN" hidden="1">#REF!</definedName>
    <definedName name="BExKO551EZ73M80UFHBQE7BQVU4L" localSheetId="8" hidden="1">#REF!</definedName>
    <definedName name="BExKO551EZ73M80UFHBQE7BQVU4L" localSheetId="19" hidden="1">#REF!</definedName>
    <definedName name="BExKO551EZ73M80UFHBQE7BQVU4L" hidden="1">#REF!</definedName>
    <definedName name="BExKOBA4VTRV9YG31IM1PDDO3J9M" localSheetId="8" hidden="1">#REF!</definedName>
    <definedName name="BExKOBA4VTRV9YG31IM1PDDO3J9M" localSheetId="19" hidden="1">#REF!</definedName>
    <definedName name="BExKOBA4VTRV9YG31IM1PDDO3J9M" hidden="1">#REF!</definedName>
    <definedName name="BExKODIZGWW2EQD0FEYW6WK6XLCM" localSheetId="8" hidden="1">#REF!</definedName>
    <definedName name="BExKODIZGWW2EQD0FEYW6WK6XLCM" localSheetId="19" hidden="1">#REF!</definedName>
    <definedName name="BExKODIZGWW2EQD0FEYW6WK6XLCM" hidden="1">#REF!</definedName>
    <definedName name="BExKOPO2HPWVQGAKW8LOZMPIDEFG" localSheetId="8" hidden="1">#REF!</definedName>
    <definedName name="BExKOPO2HPWVQGAKW8LOZMPIDEFG" localSheetId="19" hidden="1">#REF!</definedName>
    <definedName name="BExKOPO2HPWVQGAKW8LOZMPIDEFG" hidden="1">#REF!</definedName>
    <definedName name="BExKP7SRQ3MN5BDYXV2XMBQNUH23" localSheetId="8" hidden="1">#REF!</definedName>
    <definedName name="BExKP7SRQ3MN5BDYXV2XMBQNUH23" localSheetId="19" hidden="1">#REF!</definedName>
    <definedName name="BExKP7SRQ3MN5BDYXV2XMBQNUH23" hidden="1">#REF!</definedName>
    <definedName name="BExKPEZP0QTKOTLIMMIFSVTHQEEK" localSheetId="8" hidden="1">#REF!</definedName>
    <definedName name="BExKPEZP0QTKOTLIMMIFSVTHQEEK" localSheetId="19" hidden="1">#REF!</definedName>
    <definedName name="BExKPEZP0QTKOTLIMMIFSVTHQEEK" hidden="1">#REF!</definedName>
    <definedName name="BExKPFFSVTL757PNITV8R9RN4452" localSheetId="8" hidden="1">#REF!</definedName>
    <definedName name="BExKPFFSVTL757PNITV8R9RN4452" localSheetId="19" hidden="1">#REF!</definedName>
    <definedName name="BExKPFFSVTL757PNITV8R9RN4452" hidden="1">#REF!</definedName>
    <definedName name="BExKPIL5ZWOXQAENH3VP3ZHA2N7N" localSheetId="8" hidden="1">#REF!</definedName>
    <definedName name="BExKPIL5ZWOXQAENH3VP3ZHA2N7N" localSheetId="19" hidden="1">#REF!</definedName>
    <definedName name="BExKPIL5ZWOXQAENH3VP3ZHA2N7N" hidden="1">#REF!</definedName>
    <definedName name="BExKPJHKPVROP9QX9BMBZMU2HEZ1" localSheetId="8" hidden="1">#REF!</definedName>
    <definedName name="BExKPJHKPVROP9QX9BMBZMU2HEZ1" localSheetId="19" hidden="1">#REF!</definedName>
    <definedName name="BExKPJHKPVROP9QX9BMBZMU2HEZ1" hidden="1">#REF!</definedName>
    <definedName name="BExKPLQJX0HJ8OTXBXH9IC9J2V0W" localSheetId="8" hidden="1">#REF!</definedName>
    <definedName name="BExKPLQJX0HJ8OTXBXH9IC9J2V0W" localSheetId="19" hidden="1">#REF!</definedName>
    <definedName name="BExKPLQJX0HJ8OTXBXH9IC9J2V0W" hidden="1">#REF!</definedName>
    <definedName name="BExKPN8C7GN36ZJZHLOB74LU6KT0" localSheetId="8" hidden="1">#REF!</definedName>
    <definedName name="BExKPN8C7GN36ZJZHLOB74LU6KT0" localSheetId="19" hidden="1">#REF!</definedName>
    <definedName name="BExKPN8C7GN36ZJZHLOB74LU6KT0" hidden="1">#REF!</definedName>
    <definedName name="BExKPX9VZ1J5021Q98K60HMPJU58" localSheetId="8" hidden="1">#REF!</definedName>
    <definedName name="BExKPX9VZ1J5021Q98K60HMPJU58" localSheetId="19" hidden="1">#REF!</definedName>
    <definedName name="BExKPX9VZ1J5021Q98K60HMPJU58" hidden="1">#REF!</definedName>
    <definedName name="BExKQGGEP203MUWSJVORTY7RFOFT" localSheetId="8" hidden="1">#REF!</definedName>
    <definedName name="BExKQGGEP203MUWSJVORTY7RFOFT" localSheetId="19" hidden="1">#REF!</definedName>
    <definedName name="BExKQGGEP203MUWSJVORTY7RFOFT" hidden="1">#REF!</definedName>
    <definedName name="BExKQJGAAWNM3NT19E9I0CQDBTU0" localSheetId="8" hidden="1">#REF!</definedName>
    <definedName name="BExKQJGAAWNM3NT19E9I0CQDBTU0" localSheetId="19" hidden="1">#REF!</definedName>
    <definedName name="BExKQJGAAWNM3NT19E9I0CQDBTU0" hidden="1">#REF!</definedName>
    <definedName name="BExKQM5GJ1ZN5REKFE7YVBQ0KXWF" localSheetId="8" hidden="1">#REF!</definedName>
    <definedName name="BExKQM5GJ1ZN5REKFE7YVBQ0KXWF" localSheetId="19" hidden="1">#REF!</definedName>
    <definedName name="BExKQM5GJ1ZN5REKFE7YVBQ0KXWF" hidden="1">#REF!</definedName>
    <definedName name="BExKQQ71278061G7ZFYGPWOMOMY2" localSheetId="8" hidden="1">#REF!</definedName>
    <definedName name="BExKQQ71278061G7ZFYGPWOMOMY2" localSheetId="19" hidden="1">#REF!</definedName>
    <definedName name="BExKQQ71278061G7ZFYGPWOMOMY2" hidden="1">#REF!</definedName>
    <definedName name="BExKQTXRG3ECU8NT47UR7643LO5G" localSheetId="8" hidden="1">#REF!</definedName>
    <definedName name="BExKQTXRG3ECU8NT47UR7643LO5G" localSheetId="19" hidden="1">#REF!</definedName>
    <definedName name="BExKQTXRG3ECU8NT47UR7643LO5G" hidden="1">#REF!</definedName>
    <definedName name="BExKQVL7HPOIZ4FHANDFMVOJLEPR" localSheetId="8" hidden="1">#REF!</definedName>
    <definedName name="BExKQVL7HPOIZ4FHANDFMVOJLEPR" localSheetId="19" hidden="1">#REF!</definedName>
    <definedName name="BExKQVL7HPOIZ4FHANDFMVOJLEPR" hidden="1">#REF!</definedName>
    <definedName name="BExKR3ZAJRYXZB4M7XZPK0I7E55W" localSheetId="8" hidden="1">#REF!</definedName>
    <definedName name="BExKR3ZAJRYXZB4M7XZPK0I7E55W" localSheetId="19" hidden="1">#REF!</definedName>
    <definedName name="BExKR3ZAJRYXZB4M7XZPK0I7E55W" hidden="1">#REF!</definedName>
    <definedName name="BExKR8RZSEHW184G0Z56B4EGNU72" localSheetId="8" hidden="1">#REF!</definedName>
    <definedName name="BExKR8RZSEHW184G0Z56B4EGNU72" localSheetId="19" hidden="1">#REF!</definedName>
    <definedName name="BExKR8RZSEHW184G0Z56B4EGNU72" hidden="1">#REF!</definedName>
    <definedName name="BExKRHM60KUPM7RGAAFRSKX4TMS5" localSheetId="8" hidden="1">#REF!</definedName>
    <definedName name="BExKRHM60KUPM7RGAAFRSKX4TMS5" localSheetId="19" hidden="1">#REF!</definedName>
    <definedName name="BExKRHM60KUPM7RGAAFRSKX4TMS5" hidden="1">#REF!</definedName>
    <definedName name="BExKRQB2LX164R610N3VXJPD3C1W" localSheetId="8" hidden="1">#REF!</definedName>
    <definedName name="BExKRQB2LX164R610N3VXJPD3C1W" localSheetId="19" hidden="1">#REF!</definedName>
    <definedName name="BExKRQB2LX164R610N3VXJPD3C1W" hidden="1">#REF!</definedName>
    <definedName name="BExKRVUSQ6PA7ZYQSTEQL3X7PB9P" localSheetId="8" hidden="1">#REF!</definedName>
    <definedName name="BExKRVUSQ6PA7ZYQSTEQL3X7PB9P" localSheetId="19" hidden="1">#REF!</definedName>
    <definedName name="BExKRVUSQ6PA7ZYQSTEQL3X7PB9P" hidden="1">#REF!</definedName>
    <definedName name="BExKRY3KZ7F7RB2KH8HXSQ85IEQO" localSheetId="8" hidden="1">#REF!</definedName>
    <definedName name="BExKRY3KZ7F7RB2KH8HXSQ85IEQO" localSheetId="19" hidden="1">#REF!</definedName>
    <definedName name="BExKRY3KZ7F7RB2KH8HXSQ85IEQO" hidden="1">#REF!</definedName>
    <definedName name="BExKS91CCVW1YKNE1EQ4MCE1E9JX" localSheetId="8" hidden="1">#REF!</definedName>
    <definedName name="BExKS91CCVW1YKNE1EQ4MCE1E9JX" localSheetId="19" hidden="1">#REF!</definedName>
    <definedName name="BExKS91CCVW1YKNE1EQ4MCE1E9JX" hidden="1">#REF!</definedName>
    <definedName name="BExKSA37DZTCK6H13HPIKR0ZFVL8" localSheetId="8" hidden="1">#REF!</definedName>
    <definedName name="BExKSA37DZTCK6H13HPIKR0ZFVL8" localSheetId="19" hidden="1">#REF!</definedName>
    <definedName name="BExKSA37DZTCK6H13HPIKR0ZFVL8" hidden="1">#REF!</definedName>
    <definedName name="BExKSB51O073JLM4PEU353GBBSMI" localSheetId="8" hidden="1">#REF!</definedName>
    <definedName name="BExKSB51O073JLM4PEU353GBBSMI" localSheetId="19" hidden="1">#REF!</definedName>
    <definedName name="BExKSB51O073JLM4PEU353GBBSMI" hidden="1">#REF!</definedName>
    <definedName name="BExKSC1EDUXA6RM44LZV6HMMHKLX" localSheetId="8" hidden="1">#REF!</definedName>
    <definedName name="BExKSC1EDUXA6RM44LZV6HMMHKLX" localSheetId="19" hidden="1">#REF!</definedName>
    <definedName name="BExKSC1EDUXA6RM44LZV6HMMHKLX" hidden="1">#REF!</definedName>
    <definedName name="BExKSFMOMSZYDE0WNC94F40S6636" localSheetId="8" hidden="1">#REF!</definedName>
    <definedName name="BExKSFMOMSZYDE0WNC94F40S6636" localSheetId="19" hidden="1">#REF!</definedName>
    <definedName name="BExKSFMOMSZYDE0WNC94F40S6636" hidden="1">#REF!</definedName>
    <definedName name="BExKSHQ9K79S8KYUWIV5M5LAHHF1" localSheetId="8" hidden="1">#REF!</definedName>
    <definedName name="BExKSHQ9K79S8KYUWIV5M5LAHHF1" localSheetId="19" hidden="1">#REF!</definedName>
    <definedName name="BExKSHQ9K79S8KYUWIV5M5LAHHF1" hidden="1">#REF!</definedName>
    <definedName name="BExKSJTWG9L3FCX8FLK4EMUJMF27" localSheetId="8" hidden="1">#REF!</definedName>
    <definedName name="BExKSJTWG9L3FCX8FLK4EMUJMF27" localSheetId="19" hidden="1">#REF!</definedName>
    <definedName name="BExKSJTWG9L3FCX8FLK4EMUJMF27" hidden="1">#REF!</definedName>
    <definedName name="BExKSU0MKNAVZYYPKCYTZDWQX4R8" localSheetId="8" hidden="1">#REF!</definedName>
    <definedName name="BExKSU0MKNAVZYYPKCYTZDWQX4R8" localSheetId="19" hidden="1">#REF!</definedName>
    <definedName name="BExKSU0MKNAVZYYPKCYTZDWQX4R8" hidden="1">#REF!</definedName>
    <definedName name="BExKSX60G1MUS689FXIGYP2F7C62" localSheetId="8" hidden="1">#REF!</definedName>
    <definedName name="BExKSX60G1MUS689FXIGYP2F7C62" localSheetId="19" hidden="1">#REF!</definedName>
    <definedName name="BExKSX60G1MUS689FXIGYP2F7C62" hidden="1">#REF!</definedName>
    <definedName name="BExKT2UZ7Y2VWF5NQE18SJRLD2RN" localSheetId="8" hidden="1">#REF!</definedName>
    <definedName name="BExKT2UZ7Y2VWF5NQE18SJRLD2RN" localSheetId="19" hidden="1">#REF!</definedName>
    <definedName name="BExKT2UZ7Y2VWF5NQE18SJRLD2RN" hidden="1">#REF!</definedName>
    <definedName name="BExKT3GJFNGAM09H5F615E36A38C" localSheetId="8" hidden="1">#REF!</definedName>
    <definedName name="BExKT3GJFNGAM09H5F615E36A38C" localSheetId="19" hidden="1">#REF!</definedName>
    <definedName name="BExKT3GJFNGAM09H5F615E36A38C" hidden="1">#REF!</definedName>
    <definedName name="BExKTD1UM9PTLYETG1RM502XDNC0" localSheetId="8" hidden="1">#REF!</definedName>
    <definedName name="BExKTD1UM9PTLYETG1RM502XDNC0" localSheetId="19" hidden="1">#REF!</definedName>
    <definedName name="BExKTD1UM9PTLYETG1RM502XDNC0" hidden="1">#REF!</definedName>
    <definedName name="BExKTJN26AY45CE6JUAX3OIL48F7" localSheetId="8" hidden="1">#REF!</definedName>
    <definedName name="BExKTJN26AY45CE6JUAX3OIL48F7" localSheetId="19" hidden="1">#REF!</definedName>
    <definedName name="BExKTJN26AY45CE6JUAX3OIL48F7" hidden="1">#REF!</definedName>
    <definedName name="BExKTQZGN8GI3XGSEXMPCCA3S19H" localSheetId="8" hidden="1">#REF!</definedName>
    <definedName name="BExKTQZGN8GI3XGSEXMPCCA3S19H" localSheetId="19" hidden="1">#REF!</definedName>
    <definedName name="BExKTQZGN8GI3XGSEXMPCCA3S19H" hidden="1">#REF!</definedName>
    <definedName name="BExKTUKYYU0F6TUW1RXV24LRAZFE" localSheetId="8" hidden="1">#REF!</definedName>
    <definedName name="BExKTUKYYU0F6TUW1RXV24LRAZFE" localSheetId="19" hidden="1">#REF!</definedName>
    <definedName name="BExKTUKYYU0F6TUW1RXV24LRAZFE" hidden="1">#REF!</definedName>
    <definedName name="BExKU3FBLHQBIUTN6XEZW5GC9OG1" localSheetId="8" hidden="1">#REF!</definedName>
    <definedName name="BExKU3FBLHQBIUTN6XEZW5GC9OG1" localSheetId="19" hidden="1">#REF!</definedName>
    <definedName name="BExKU3FBLHQBIUTN6XEZW5GC9OG1" hidden="1">#REF!</definedName>
    <definedName name="BExKU82I99FEUIZLODXJDOJC96CQ" localSheetId="8" hidden="1">#REF!</definedName>
    <definedName name="BExKU82I99FEUIZLODXJDOJC96CQ" localSheetId="19" hidden="1">#REF!</definedName>
    <definedName name="BExKU82I99FEUIZLODXJDOJC96CQ" hidden="1">#REF!</definedName>
    <definedName name="BExKUDM0DFSCM3D91SH0XLXJSL18" localSheetId="8" hidden="1">#REF!</definedName>
    <definedName name="BExKUDM0DFSCM3D91SH0XLXJSL18" localSheetId="19" hidden="1">#REF!</definedName>
    <definedName name="BExKUDM0DFSCM3D91SH0XLXJSL18" hidden="1">#REF!</definedName>
    <definedName name="BExKUHYKD9TJTMQOOBS4EX04FCEZ" localSheetId="8" hidden="1">#REF!</definedName>
    <definedName name="BExKUHYKD9TJTMQOOBS4EX04FCEZ" localSheetId="19" hidden="1">#REF!</definedName>
    <definedName name="BExKUHYKD9TJTMQOOBS4EX04FCEZ" hidden="1">#REF!</definedName>
    <definedName name="BExKULEKJLA77AUQPDUHSM94Y76Z" localSheetId="8" hidden="1">#REF!</definedName>
    <definedName name="BExKULEKJLA77AUQPDUHSM94Y76Z" localSheetId="19" hidden="1">#REF!</definedName>
    <definedName name="BExKULEKJLA77AUQPDUHSM94Y76Z" hidden="1">#REF!</definedName>
    <definedName name="BExKUXE506JSYMR4CV866RHRDYR9" localSheetId="8" hidden="1">#REF!</definedName>
    <definedName name="BExKUXE506JSYMR4CV866RHRDYR9" localSheetId="19" hidden="1">#REF!</definedName>
    <definedName name="BExKUXE506JSYMR4CV866RHRDYR9" hidden="1">#REF!</definedName>
    <definedName name="BExKV08R85MKI3MAX9E2HERNQUNL" localSheetId="8" hidden="1">#REF!</definedName>
    <definedName name="BExKV08R85MKI3MAX9E2HERNQUNL" localSheetId="19" hidden="1">#REF!</definedName>
    <definedName name="BExKV08R85MKI3MAX9E2HERNQUNL" hidden="1">#REF!</definedName>
    <definedName name="BExKV4AAUNNJL5JWD7PX6BFKVS6O" localSheetId="8" hidden="1">#REF!</definedName>
    <definedName name="BExKV4AAUNNJL5JWD7PX6BFKVS6O" localSheetId="19" hidden="1">#REF!</definedName>
    <definedName name="BExKV4AAUNNJL5JWD7PX6BFKVS6O" hidden="1">#REF!</definedName>
    <definedName name="BExKVDVK6HN74GQPTXICP9BFC8CF" localSheetId="8" hidden="1">#REF!</definedName>
    <definedName name="BExKVDVK6HN74GQPTXICP9BFC8CF" localSheetId="19" hidden="1">#REF!</definedName>
    <definedName name="BExKVDVK6HN74GQPTXICP9BFC8CF" hidden="1">#REF!</definedName>
    <definedName name="BExKVFZ3ZZGIC1QI8XN6BYFWN0ZY" localSheetId="8" hidden="1">#REF!</definedName>
    <definedName name="BExKVFZ3ZZGIC1QI8XN6BYFWN0ZY" localSheetId="19" hidden="1">#REF!</definedName>
    <definedName name="BExKVFZ3ZZGIC1QI8XN6BYFWN0ZY" hidden="1">#REF!</definedName>
    <definedName name="BExKVG4KGO28KPGTAFL1R8TTZ10N" localSheetId="8" hidden="1">#REF!</definedName>
    <definedName name="BExKVG4KGO28KPGTAFL1R8TTZ10N" localSheetId="19" hidden="1">#REF!</definedName>
    <definedName name="BExKVG4KGO28KPGTAFL1R8TTZ10N" hidden="1">#REF!</definedName>
    <definedName name="BExKW0CSH7DA02YSNV64PSEIXB2P" localSheetId="8" hidden="1">#REF!</definedName>
    <definedName name="BExKW0CSH7DA02YSNV64PSEIXB2P" localSheetId="19" hidden="1">#REF!</definedName>
    <definedName name="BExKW0CSH7DA02YSNV64PSEIXB2P" hidden="1">#REF!</definedName>
    <definedName name="BExM9NUG3Q31X01AI9ZJCZIX25CS" localSheetId="8" hidden="1">#REF!</definedName>
    <definedName name="BExM9NUG3Q31X01AI9ZJCZIX25CS" localSheetId="19" hidden="1">#REF!</definedName>
    <definedName name="BExM9NUG3Q31X01AI9ZJCZIX25CS" hidden="1">#REF!</definedName>
    <definedName name="BExM9OG182RP30MY23PG49LVPZ1C" localSheetId="8" hidden="1">#REF!</definedName>
    <definedName name="BExM9OG182RP30MY23PG49LVPZ1C" localSheetId="19" hidden="1">#REF!</definedName>
    <definedName name="BExM9OG182RP30MY23PG49LVPZ1C" hidden="1">#REF!</definedName>
    <definedName name="BExMA64MW1S18NH8DCKPCCEI5KCB" localSheetId="8" hidden="1">#REF!</definedName>
    <definedName name="BExMA64MW1S18NH8DCKPCCEI5KCB" localSheetId="19" hidden="1">#REF!</definedName>
    <definedName name="BExMA64MW1S18NH8DCKPCCEI5KCB" hidden="1">#REF!</definedName>
    <definedName name="BExMALEWFUEM8Y686IT03ECURUBR" localSheetId="8" hidden="1">#REF!</definedName>
    <definedName name="BExMALEWFUEM8Y686IT03ECURUBR" localSheetId="19" hidden="1">#REF!</definedName>
    <definedName name="BExMALEWFUEM8Y686IT03ECURUBR" hidden="1">#REF!</definedName>
    <definedName name="BExMAS0AQY7KMMTBTBPK0SWWDITB" localSheetId="8" hidden="1">#REF!</definedName>
    <definedName name="BExMAS0AQY7KMMTBTBPK0SWWDITB" localSheetId="19" hidden="1">#REF!</definedName>
    <definedName name="BExMAS0AQY7KMMTBTBPK0SWWDITB" hidden="1">#REF!</definedName>
    <definedName name="BExMAXJS82ZJ8RS22VLE0V0LDUII" localSheetId="8" hidden="1">#REF!</definedName>
    <definedName name="BExMAXJS82ZJ8RS22VLE0V0LDUII" localSheetId="19" hidden="1">#REF!</definedName>
    <definedName name="BExMAXJS82ZJ8RS22VLE0V0LDUII" hidden="1">#REF!</definedName>
    <definedName name="BExMB4QRS0R3MTB4CMUHFZ84LNZQ" localSheetId="8" hidden="1">#REF!</definedName>
    <definedName name="BExMB4QRS0R3MTB4CMUHFZ84LNZQ" localSheetId="19" hidden="1">#REF!</definedName>
    <definedName name="BExMB4QRS0R3MTB4CMUHFZ84LNZQ" hidden="1">#REF!</definedName>
    <definedName name="BExMB7AICZ233JKSCEUSR9RQXRS0" localSheetId="8" hidden="1">#REF!</definedName>
    <definedName name="BExMB7AICZ233JKSCEUSR9RQXRS0" localSheetId="19" hidden="1">#REF!</definedName>
    <definedName name="BExMB7AICZ233JKSCEUSR9RQXRS0" hidden="1">#REF!</definedName>
    <definedName name="BExMBC35WKQY5CWQJLV4D05O6971" localSheetId="8" hidden="1">#REF!</definedName>
    <definedName name="BExMBC35WKQY5CWQJLV4D05O6971" localSheetId="19" hidden="1">#REF!</definedName>
    <definedName name="BExMBC35WKQY5CWQJLV4D05O6971" hidden="1">#REF!</definedName>
    <definedName name="BExMBFTZV4Q1A5KG25C1N9PHQNSW" localSheetId="8" hidden="1">#REF!</definedName>
    <definedName name="BExMBFTZV4Q1A5KG25C1N9PHQNSW" localSheetId="19" hidden="1">#REF!</definedName>
    <definedName name="BExMBFTZV4Q1A5KG25C1N9PHQNSW" hidden="1">#REF!</definedName>
    <definedName name="BExMBFZFXQDH3H55R89930TFTU36" localSheetId="8" hidden="1">#REF!</definedName>
    <definedName name="BExMBFZFXQDH3H55R89930TFTU36" localSheetId="19" hidden="1">#REF!</definedName>
    <definedName name="BExMBFZFXQDH3H55R89930TFTU36" hidden="1">#REF!</definedName>
    <definedName name="BExMBK6ISK3U7KHZKUJXIDKGF6VW" localSheetId="8" hidden="1">#REF!</definedName>
    <definedName name="BExMBK6ISK3U7KHZKUJXIDKGF6VW" localSheetId="19" hidden="1">#REF!</definedName>
    <definedName name="BExMBK6ISK3U7KHZKUJXIDKGF6VW" hidden="1">#REF!</definedName>
    <definedName name="BExMBYPQDG9AYDQ5E8IECVFREPO6" localSheetId="8" hidden="1">#REF!</definedName>
    <definedName name="BExMBYPQDG9AYDQ5E8IECVFREPO6" localSheetId="19" hidden="1">#REF!</definedName>
    <definedName name="BExMBYPQDG9AYDQ5E8IECVFREPO6" hidden="1">#REF!</definedName>
    <definedName name="BExMC7PESEESXVMDCGGIP5LPMUGY" localSheetId="8" hidden="1">#REF!</definedName>
    <definedName name="BExMC7PESEESXVMDCGGIP5LPMUGY" localSheetId="19" hidden="1">#REF!</definedName>
    <definedName name="BExMC7PESEESXVMDCGGIP5LPMUGY" hidden="1">#REF!</definedName>
    <definedName name="BExMC8AZUTX8LG89K2JJR7ZG62XX" localSheetId="8" hidden="1">#REF!</definedName>
    <definedName name="BExMC8AZUTX8LG89K2JJR7ZG62XX" localSheetId="19" hidden="1">#REF!</definedName>
    <definedName name="BExMC8AZUTX8LG89K2JJR7ZG62XX" hidden="1">#REF!</definedName>
    <definedName name="BExMCA96YR10V72G2R0SCIKPZLIZ" localSheetId="8" hidden="1">#REF!</definedName>
    <definedName name="BExMCA96YR10V72G2R0SCIKPZLIZ" localSheetId="19" hidden="1">#REF!</definedName>
    <definedName name="BExMCA96YR10V72G2R0SCIKPZLIZ" hidden="1">#REF!</definedName>
    <definedName name="BExMCB5JU5I2VQDUBS4O42BTEVKI" localSheetId="8" hidden="1">#REF!</definedName>
    <definedName name="BExMCB5JU5I2VQDUBS4O42BTEVKI" localSheetId="19" hidden="1">#REF!</definedName>
    <definedName name="BExMCB5JU5I2VQDUBS4O42BTEVKI" hidden="1">#REF!</definedName>
    <definedName name="BExMCFSQFSEMPY5IXDIRKZDASDBR" localSheetId="8" hidden="1">#REF!</definedName>
    <definedName name="BExMCFSQFSEMPY5IXDIRKZDASDBR" localSheetId="19" hidden="1">#REF!</definedName>
    <definedName name="BExMCFSQFSEMPY5IXDIRKZDASDBR" hidden="1">#REF!</definedName>
    <definedName name="BExMCH58I9XOLK7WEE6VSJGYPJGL" localSheetId="8" hidden="1">#REF!</definedName>
    <definedName name="BExMCH58I9XOLK7WEE6VSJGYPJGL" localSheetId="19" hidden="1">#REF!</definedName>
    <definedName name="BExMCH58I9XOLK7WEE6VSJGYPJGL" hidden="1">#REF!</definedName>
    <definedName name="BExMCMZOEYWVOOJ98TBHTTCS7XB8" localSheetId="8" hidden="1">#REF!</definedName>
    <definedName name="BExMCMZOEYWVOOJ98TBHTTCS7XB8" localSheetId="19" hidden="1">#REF!</definedName>
    <definedName name="BExMCMZOEYWVOOJ98TBHTTCS7XB8" hidden="1">#REF!</definedName>
    <definedName name="BExMCS8EF2W3FS9QADNKREYSI8P0" localSheetId="8" hidden="1">#REF!</definedName>
    <definedName name="BExMCS8EF2W3FS9QADNKREYSI8P0" localSheetId="19" hidden="1">#REF!</definedName>
    <definedName name="BExMCS8EF2W3FS9QADNKREYSI8P0" hidden="1">#REF!</definedName>
    <definedName name="BExMCSU0KZGHALEL7N5DJBVL94K7" localSheetId="8" hidden="1">#REF!</definedName>
    <definedName name="BExMCSU0KZGHALEL7N5DJBVL94K7" localSheetId="19" hidden="1">#REF!</definedName>
    <definedName name="BExMCSU0KZGHALEL7N5DJBVL94K7" hidden="1">#REF!</definedName>
    <definedName name="BExMCUS7GSOM96J0HJ7EH0FFM2AC" localSheetId="8" hidden="1">#REF!</definedName>
    <definedName name="BExMCUS7GSOM96J0HJ7EH0FFM2AC" localSheetId="19" hidden="1">#REF!</definedName>
    <definedName name="BExMCUS7GSOM96J0HJ7EH0FFM2AC" hidden="1">#REF!</definedName>
    <definedName name="BExMCYTT6TVDWMJXO1NZANRTVNAN" localSheetId="8" hidden="1">#REF!</definedName>
    <definedName name="BExMCYTT6TVDWMJXO1NZANRTVNAN" localSheetId="19" hidden="1">#REF!</definedName>
    <definedName name="BExMCYTT6TVDWMJXO1NZANRTVNAN" hidden="1">#REF!</definedName>
    <definedName name="BExMD54CT1VTE5YGBM90H90NF28M" localSheetId="8" hidden="1">#REF!</definedName>
    <definedName name="BExMD54CT1VTE5YGBM90H90NF28M" localSheetId="19" hidden="1">#REF!</definedName>
    <definedName name="BExMD54CT1VTE5YGBM90H90NF28M" hidden="1">#REF!</definedName>
    <definedName name="BExMD5F6IAV108XYJLXUO9HD0IT6" localSheetId="8" hidden="1">#REF!</definedName>
    <definedName name="BExMD5F6IAV108XYJLXUO9HD0IT6" localSheetId="19" hidden="1">#REF!</definedName>
    <definedName name="BExMD5F6IAV108XYJLXUO9HD0IT6" hidden="1">#REF!</definedName>
    <definedName name="BExMDANV66W9T3XAXID40XFJ0J93" localSheetId="8" hidden="1">#REF!</definedName>
    <definedName name="BExMDANV66W9T3XAXID40XFJ0J93" localSheetId="19" hidden="1">#REF!</definedName>
    <definedName name="BExMDANV66W9T3XAXID40XFJ0J93" hidden="1">#REF!</definedName>
    <definedName name="BExMDGD1KQP7NNR78X2ZX4FCBQ1S" localSheetId="8" hidden="1">#REF!</definedName>
    <definedName name="BExMDGD1KQP7NNR78X2ZX4FCBQ1S" localSheetId="19" hidden="1">#REF!</definedName>
    <definedName name="BExMDGD1KQP7NNR78X2ZX4FCBQ1S" hidden="1">#REF!</definedName>
    <definedName name="BExMDIRDK0DI8P86HB7WPH8QWLSQ" localSheetId="8" hidden="1">#REF!</definedName>
    <definedName name="BExMDIRDK0DI8P86HB7WPH8QWLSQ" localSheetId="19" hidden="1">#REF!</definedName>
    <definedName name="BExMDIRDK0DI8P86HB7WPH8QWLSQ" hidden="1">#REF!</definedName>
    <definedName name="BExMDOWGDLP3BZZB4ZPI31VS10FP" localSheetId="8" hidden="1">#REF!</definedName>
    <definedName name="BExMDOWGDLP3BZZB4ZPI31VS10FP" localSheetId="19" hidden="1">#REF!</definedName>
    <definedName name="BExMDOWGDLP3BZZB4ZPI31VS10FP" hidden="1">#REF!</definedName>
    <definedName name="BExMDPI2FVMORSWDDCVAJ85WYAYO" localSheetId="8" hidden="1">#REF!</definedName>
    <definedName name="BExMDPI2FVMORSWDDCVAJ85WYAYO" localSheetId="19" hidden="1">#REF!</definedName>
    <definedName name="BExMDPI2FVMORSWDDCVAJ85WYAYO" hidden="1">#REF!</definedName>
    <definedName name="BExMDUWB7VWHFFR266QXO46BNV2S" localSheetId="8" hidden="1">#REF!</definedName>
    <definedName name="BExMDUWB7VWHFFR266QXO46BNV2S" localSheetId="19" hidden="1">#REF!</definedName>
    <definedName name="BExMDUWB7VWHFFR266QXO46BNV2S" hidden="1">#REF!</definedName>
    <definedName name="BExME2U47N8LZG0BPJ49ANY5QVV2" localSheetId="8" hidden="1">#REF!</definedName>
    <definedName name="BExME2U47N8LZG0BPJ49ANY5QVV2" localSheetId="19" hidden="1">#REF!</definedName>
    <definedName name="BExME2U47N8LZG0BPJ49ANY5QVV2" hidden="1">#REF!</definedName>
    <definedName name="BExME88DH5DUKMUFI9FNVECXFD2E" localSheetId="8" hidden="1">#REF!</definedName>
    <definedName name="BExME88DH5DUKMUFI9FNVECXFD2E" localSheetId="19" hidden="1">#REF!</definedName>
    <definedName name="BExME88DH5DUKMUFI9FNVECXFD2E" hidden="1">#REF!</definedName>
    <definedName name="BExME9A7MOGAK7YTTQYXP5DL6VYA" localSheetId="8" hidden="1">#REF!</definedName>
    <definedName name="BExME9A7MOGAK7YTTQYXP5DL6VYA" localSheetId="19" hidden="1">#REF!</definedName>
    <definedName name="BExME9A7MOGAK7YTTQYXP5DL6VYA" hidden="1">#REF!</definedName>
    <definedName name="BExMEOV9YFRY5C3GDLU60GIX10BY" localSheetId="8" hidden="1">#REF!</definedName>
    <definedName name="BExMEOV9YFRY5C3GDLU60GIX10BY" localSheetId="19" hidden="1">#REF!</definedName>
    <definedName name="BExMEOV9YFRY5C3GDLU60GIX10BY" hidden="1">#REF!</definedName>
    <definedName name="BExMEUK2Q5GZGZFZ77Z2IYUKOOYW" localSheetId="8" hidden="1">#REF!</definedName>
    <definedName name="BExMEUK2Q5GZGZFZ77Z2IYUKOOYW" localSheetId="19" hidden="1">#REF!</definedName>
    <definedName name="BExMEUK2Q5GZGZFZ77Z2IYUKOOYW" hidden="1">#REF!</definedName>
    <definedName name="BExMEWT36INWIP0VNS94NEP3WZ4U" localSheetId="8" hidden="1">#REF!</definedName>
    <definedName name="BExMEWT36INWIP0VNS94NEP3WZ4U" localSheetId="19" hidden="1">#REF!</definedName>
    <definedName name="BExMEWT36INWIP0VNS94NEP3WZ4U" hidden="1">#REF!</definedName>
    <definedName name="BExMEY09ESM4H2YGKEQQRYUD114R" localSheetId="8" hidden="1">#REF!</definedName>
    <definedName name="BExMEY09ESM4H2YGKEQQRYUD114R" localSheetId="19" hidden="1">#REF!</definedName>
    <definedName name="BExMEY09ESM4H2YGKEQQRYUD114R" hidden="1">#REF!</definedName>
    <definedName name="BExMF0UU4SBJHOJ4SG09QMF1TC7H" localSheetId="8" hidden="1">#REF!</definedName>
    <definedName name="BExMF0UU4SBJHOJ4SG09QMF1TC7H" localSheetId="19" hidden="1">#REF!</definedName>
    <definedName name="BExMF0UU4SBJHOJ4SG09QMF1TC7H" hidden="1">#REF!</definedName>
    <definedName name="BExMF2YDPQWGK3CSN8LJG16MLFQZ" localSheetId="8" hidden="1">#REF!</definedName>
    <definedName name="BExMF2YDPQWGK3CSN8LJG16MLFQZ" localSheetId="19" hidden="1">#REF!</definedName>
    <definedName name="BExMF2YDPQWGK3CSN8LJG16MLFQZ" hidden="1">#REF!</definedName>
    <definedName name="BExMF4G4IUPQY1Y5GEY5N3E04CL6" localSheetId="8" hidden="1">#REF!</definedName>
    <definedName name="BExMF4G4IUPQY1Y5GEY5N3E04CL6" localSheetId="19" hidden="1">#REF!</definedName>
    <definedName name="BExMF4G4IUPQY1Y5GEY5N3E04CL6" hidden="1">#REF!</definedName>
    <definedName name="BExMF9UIGYMOAQK0ELUWP0S0HZZY" localSheetId="8" hidden="1">#REF!</definedName>
    <definedName name="BExMF9UIGYMOAQK0ELUWP0S0HZZY" localSheetId="19" hidden="1">#REF!</definedName>
    <definedName name="BExMF9UIGYMOAQK0ELUWP0S0HZZY" hidden="1">#REF!</definedName>
    <definedName name="BExMFDLBSWFMRDYJ2DZETI3EXKN2" localSheetId="8" hidden="1">#REF!</definedName>
    <definedName name="BExMFDLBSWFMRDYJ2DZETI3EXKN2" localSheetId="19" hidden="1">#REF!</definedName>
    <definedName name="BExMFDLBSWFMRDYJ2DZETI3EXKN2" hidden="1">#REF!</definedName>
    <definedName name="BExMFLDTMRTCHKA37LQW67BG8D5C" localSheetId="8" hidden="1">#REF!</definedName>
    <definedName name="BExMFLDTMRTCHKA37LQW67BG8D5C" localSheetId="19" hidden="1">#REF!</definedName>
    <definedName name="BExMFLDTMRTCHKA37LQW67BG8D5C" hidden="1">#REF!</definedName>
    <definedName name="BExMFTH63LTWA2JYJTJYMT5K2OF2" localSheetId="8" hidden="1">#REF!</definedName>
    <definedName name="BExMFTH63LTWA2JYJTJYMT5K2OF2" localSheetId="19" hidden="1">#REF!</definedName>
    <definedName name="BExMFTH63LTWA2JYJTJYMT5K2OF2" hidden="1">#REF!</definedName>
    <definedName name="BExMFY4AG5T27EVMCCNE00GOAR66" localSheetId="8" hidden="1">#REF!</definedName>
    <definedName name="BExMFY4AG5T27EVMCCNE00GOAR66" localSheetId="19" hidden="1">#REF!</definedName>
    <definedName name="BExMFY4AG5T27EVMCCNE00GOAR66" hidden="1">#REF!</definedName>
    <definedName name="BExMGQQNOFER1MEVQ961XARTRIOB" localSheetId="8" hidden="1">#REF!</definedName>
    <definedName name="BExMGQQNOFER1MEVQ961XARTRIOB" localSheetId="19" hidden="1">#REF!</definedName>
    <definedName name="BExMGQQNOFER1MEVQ961XARTRIOB" hidden="1">#REF!</definedName>
    <definedName name="BExMH189E60TZBQFN2UWVA1UZA7X" localSheetId="8" hidden="1">#REF!</definedName>
    <definedName name="BExMH189E60TZBQFN2UWVA1UZA7X" localSheetId="19" hidden="1">#REF!</definedName>
    <definedName name="BExMH189E60TZBQFN2UWVA1UZA7X" hidden="1">#REF!</definedName>
    <definedName name="BExMH3H9TW5TJCNU5Z1EWXP3BAEP" localSheetId="8" hidden="1">#REF!</definedName>
    <definedName name="BExMH3H9TW5TJCNU5Z1EWXP3BAEP" localSheetId="19" hidden="1">#REF!</definedName>
    <definedName name="BExMH3H9TW5TJCNU5Z1EWXP3BAEP" hidden="1">#REF!</definedName>
    <definedName name="BExMH5A1B01SYXROP70DOKTQ5D6Z" localSheetId="8" hidden="1">#REF!</definedName>
    <definedName name="BExMH5A1B01SYXROP70DOKTQ5D6Z" localSheetId="19" hidden="1">#REF!</definedName>
    <definedName name="BExMH5A1B01SYXROP70DOKTQ5D6Z" hidden="1">#REF!</definedName>
    <definedName name="BExMHCGUJ8A3L31NU0XU0FGXE4P3" localSheetId="8" hidden="1">#REF!</definedName>
    <definedName name="BExMHCGUJ8A3L31NU0XU0FGXE4P3" localSheetId="19" hidden="1">#REF!</definedName>
    <definedName name="BExMHCGUJ8A3L31NU0XU0FGXE4P3" hidden="1">#REF!</definedName>
    <definedName name="BExMHOWPB34KPZ76M2KIX2C9R2VB" localSheetId="8" hidden="1">#REF!</definedName>
    <definedName name="BExMHOWPB34KPZ76M2KIX2C9R2VB" localSheetId="19" hidden="1">#REF!</definedName>
    <definedName name="BExMHOWPB34KPZ76M2KIX2C9R2VB" hidden="1">#REF!</definedName>
    <definedName name="BExMHSSYC6KVHA3QDTSYPN92TWMI" localSheetId="8" hidden="1">#REF!</definedName>
    <definedName name="BExMHSSYC6KVHA3QDTSYPN92TWMI" localSheetId="19" hidden="1">#REF!</definedName>
    <definedName name="BExMHSSYC6KVHA3QDTSYPN92TWMI" hidden="1">#REF!</definedName>
    <definedName name="BExMI3AJ9477KDL4T9DHET4LJJTW" localSheetId="8" hidden="1">#REF!</definedName>
    <definedName name="BExMI3AJ9477KDL4T9DHET4LJJTW" localSheetId="19" hidden="1">#REF!</definedName>
    <definedName name="BExMI3AJ9477KDL4T9DHET4LJJTW" hidden="1">#REF!</definedName>
    <definedName name="BExMI6QQ20XHD0NWJUN741B37182" localSheetId="8" hidden="1">#REF!</definedName>
    <definedName name="BExMI6QQ20XHD0NWJUN741B37182" localSheetId="19" hidden="1">#REF!</definedName>
    <definedName name="BExMI6QQ20XHD0NWJUN741B37182" hidden="1">#REF!</definedName>
    <definedName name="BExMI7MYDIMC9K16SBAFUY33RHK6" localSheetId="8" hidden="1">#REF!</definedName>
    <definedName name="BExMI7MYDIMC9K16SBAFUY33RHK6" localSheetId="19" hidden="1">#REF!</definedName>
    <definedName name="BExMI7MYDIMC9K16SBAFUY33RHK6" hidden="1">#REF!</definedName>
    <definedName name="BExMI8JB94SBD9EMNJEK7Y2T6GYU" localSheetId="8" hidden="1">#REF!</definedName>
    <definedName name="BExMI8JB94SBD9EMNJEK7Y2T6GYU" localSheetId="19" hidden="1">#REF!</definedName>
    <definedName name="BExMI8JB94SBD9EMNJEK7Y2T6GYU" hidden="1">#REF!</definedName>
    <definedName name="BExMI8OS85YTW3KYVE4YD0R7Z6UV" localSheetId="8" hidden="1">#REF!</definedName>
    <definedName name="BExMI8OS85YTW3KYVE4YD0R7Z6UV" localSheetId="19" hidden="1">#REF!</definedName>
    <definedName name="BExMI8OS85YTW3KYVE4YD0R7Z6UV" hidden="1">#REF!</definedName>
    <definedName name="BExMI9QNOMVZ44I3BFMGU1EL1RSY" localSheetId="8" hidden="1">#REF!</definedName>
    <definedName name="BExMI9QNOMVZ44I3BFMGU1EL1RSY" localSheetId="19" hidden="1">#REF!</definedName>
    <definedName name="BExMI9QNOMVZ44I3BFMGU1EL1RSY" hidden="1">#REF!</definedName>
    <definedName name="BExMIBOOZU40JS3F89OMPSRCE9MM" localSheetId="8" hidden="1">#REF!</definedName>
    <definedName name="BExMIBOOZU40JS3F89OMPSRCE9MM" localSheetId="19" hidden="1">#REF!</definedName>
    <definedName name="BExMIBOOZU40JS3F89OMPSRCE9MM" hidden="1">#REF!</definedName>
    <definedName name="BExMIIQ5MBWSIHTFWAQADXMZC22Q" localSheetId="8" hidden="1">#REF!</definedName>
    <definedName name="BExMIIQ5MBWSIHTFWAQADXMZC22Q" localSheetId="19" hidden="1">#REF!</definedName>
    <definedName name="BExMIIQ5MBWSIHTFWAQADXMZC22Q" hidden="1">#REF!</definedName>
    <definedName name="BExMIL4I2GE866I25CR5JBLJWJ6A" localSheetId="8" hidden="1">#REF!</definedName>
    <definedName name="BExMIL4I2GE866I25CR5JBLJWJ6A" localSheetId="19" hidden="1">#REF!</definedName>
    <definedName name="BExMIL4I2GE866I25CR5JBLJWJ6A" hidden="1">#REF!</definedName>
    <definedName name="BExMIRKIPF27SNO82SPFSB3T5U17" localSheetId="8" hidden="1">#REF!</definedName>
    <definedName name="BExMIRKIPF27SNO82SPFSB3T5U17" localSheetId="19" hidden="1">#REF!</definedName>
    <definedName name="BExMIRKIPF27SNO82SPFSB3T5U17" hidden="1">#REF!</definedName>
    <definedName name="BExMIV0KC8555D5E42ZGWG15Y0MO" localSheetId="8" hidden="1">#REF!</definedName>
    <definedName name="BExMIV0KC8555D5E42ZGWG15Y0MO" localSheetId="19" hidden="1">#REF!</definedName>
    <definedName name="BExMIV0KC8555D5E42ZGWG15Y0MO" hidden="1">#REF!</definedName>
    <definedName name="BExMIZT6AN7E6YMW2S87CTCN2UXH" localSheetId="8" hidden="1">#REF!</definedName>
    <definedName name="BExMIZT6AN7E6YMW2S87CTCN2UXH" localSheetId="19" hidden="1">#REF!</definedName>
    <definedName name="BExMIZT6AN7E6YMW2S87CTCN2UXH" hidden="1">#REF!</definedName>
    <definedName name="BExMJB76UESLVRD81AJBOB78JDTT" localSheetId="8" hidden="1">#REF!</definedName>
    <definedName name="BExMJB76UESLVRD81AJBOB78JDTT" localSheetId="19" hidden="1">#REF!</definedName>
    <definedName name="BExMJB76UESLVRD81AJBOB78JDTT" hidden="1">#REF!</definedName>
    <definedName name="BExMJI8OLFZQCGOW3F99ETW8A21E" localSheetId="8" hidden="1">#REF!</definedName>
    <definedName name="BExMJI8OLFZQCGOW3F99ETW8A21E" localSheetId="19" hidden="1">#REF!</definedName>
    <definedName name="BExMJI8OLFZQCGOW3F99ETW8A21E" hidden="1">#REF!</definedName>
    <definedName name="BExMJNC8ZFB9DRFOJ961ZAJ8U3A8" localSheetId="8" hidden="1">#REF!</definedName>
    <definedName name="BExMJNC8ZFB9DRFOJ961ZAJ8U3A8" localSheetId="19" hidden="1">#REF!</definedName>
    <definedName name="BExMJNC8ZFB9DRFOJ961ZAJ8U3A8" hidden="1">#REF!</definedName>
    <definedName name="BExMJTBV8A3D31W2IQHP9RDFPPHQ" localSheetId="8" hidden="1">#REF!</definedName>
    <definedName name="BExMJTBV8A3D31W2IQHP9RDFPPHQ" localSheetId="19" hidden="1">#REF!</definedName>
    <definedName name="BExMJTBV8A3D31W2IQHP9RDFPPHQ" hidden="1">#REF!</definedName>
    <definedName name="BExMK2RTXN4QJWEUNX002XK8VQP8" localSheetId="8" hidden="1">#REF!</definedName>
    <definedName name="BExMK2RTXN4QJWEUNX002XK8VQP8" localSheetId="19" hidden="1">#REF!</definedName>
    <definedName name="BExMK2RTXN4QJWEUNX002XK8VQP8" hidden="1">#REF!</definedName>
    <definedName name="BExMKBGQDUZ8AWXYHA3QVMSDVZ3D" localSheetId="8" hidden="1">#REF!</definedName>
    <definedName name="BExMKBGQDUZ8AWXYHA3QVMSDVZ3D" localSheetId="19" hidden="1">#REF!</definedName>
    <definedName name="BExMKBGQDUZ8AWXYHA3QVMSDVZ3D" hidden="1">#REF!</definedName>
    <definedName name="BExMKBM1467553LDFZRRKVSHN374" localSheetId="8" hidden="1">#REF!</definedName>
    <definedName name="BExMKBM1467553LDFZRRKVSHN374" localSheetId="19" hidden="1">#REF!</definedName>
    <definedName name="BExMKBM1467553LDFZRRKVSHN374" hidden="1">#REF!</definedName>
    <definedName name="BExMKGK5FJUC0AU8MABRGDC5ZM70" localSheetId="8" hidden="1">#REF!</definedName>
    <definedName name="BExMKGK5FJUC0AU8MABRGDC5ZM70" localSheetId="19" hidden="1">#REF!</definedName>
    <definedName name="BExMKGK5FJUC0AU8MABRGDC5ZM70" hidden="1">#REF!</definedName>
    <definedName name="BExMKP92JGBM5BJO174H9A4HQIB9" localSheetId="8" hidden="1">#REF!</definedName>
    <definedName name="BExMKP92JGBM5BJO174H9A4HQIB9" localSheetId="19" hidden="1">#REF!</definedName>
    <definedName name="BExMKP92JGBM5BJO174H9A4HQIB9" hidden="1">#REF!</definedName>
    <definedName name="BExMKPEDT6IOYLLC3KJKRZOETC3Y" localSheetId="8" hidden="1">#REF!</definedName>
    <definedName name="BExMKPEDT6IOYLLC3KJKRZOETC3Y" localSheetId="19" hidden="1">#REF!</definedName>
    <definedName name="BExMKPEDT6IOYLLC3KJKRZOETC3Y" hidden="1">#REF!</definedName>
    <definedName name="BExMKTW7R5SOV4PHAFGHU3W73DYE" localSheetId="8" hidden="1">#REF!</definedName>
    <definedName name="BExMKTW7R5SOV4PHAFGHU3W73DYE" localSheetId="19" hidden="1">#REF!</definedName>
    <definedName name="BExMKTW7R5SOV4PHAFGHU3W73DYE" hidden="1">#REF!</definedName>
    <definedName name="BExMKU7051J2W1RQXGZGE62NBRUZ" localSheetId="8" hidden="1">#REF!</definedName>
    <definedName name="BExMKU7051J2W1RQXGZGE62NBRUZ" localSheetId="19" hidden="1">#REF!</definedName>
    <definedName name="BExMKU7051J2W1RQXGZGE62NBRUZ" hidden="1">#REF!</definedName>
    <definedName name="BExMKUN3WPECJR2XRID2R7GZRGNX" localSheetId="8" hidden="1">#REF!</definedName>
    <definedName name="BExMKUN3WPECJR2XRID2R7GZRGNX" localSheetId="19" hidden="1">#REF!</definedName>
    <definedName name="BExMKUN3WPECJR2XRID2R7GZRGNX" hidden="1">#REF!</definedName>
    <definedName name="BExMKZ535P011X4TNV16GCOH4H21" localSheetId="8" hidden="1">#REF!</definedName>
    <definedName name="BExMKZ535P011X4TNV16GCOH4H21" localSheetId="19" hidden="1">#REF!</definedName>
    <definedName name="BExMKZ535P011X4TNV16GCOH4H21" hidden="1">#REF!</definedName>
    <definedName name="BExML3XQNDIMX55ZCHHXKUV3D6E6" localSheetId="8" hidden="1">#REF!</definedName>
    <definedName name="BExML3XQNDIMX55ZCHHXKUV3D6E6" localSheetId="19" hidden="1">#REF!</definedName>
    <definedName name="BExML3XQNDIMX55ZCHHXKUV3D6E6" hidden="1">#REF!</definedName>
    <definedName name="BExML5QGSWHLI18BGY4CGOTD3UWH" localSheetId="8" hidden="1">#REF!</definedName>
    <definedName name="BExML5QGSWHLI18BGY4CGOTD3UWH" localSheetId="19" hidden="1">#REF!</definedName>
    <definedName name="BExML5QGSWHLI18BGY4CGOTD3UWH" hidden="1">#REF!</definedName>
    <definedName name="BExML6BVFCV80776USR7X70HVRZT" localSheetId="8" hidden="1">#REF!</definedName>
    <definedName name="BExML6BVFCV80776USR7X70HVRZT" localSheetId="19" hidden="1">#REF!</definedName>
    <definedName name="BExML6BVFCV80776USR7X70HVRZT" hidden="1">#REF!</definedName>
    <definedName name="BExMLO5Z61RE85X8HHX2G4IU3AZW" localSheetId="8" hidden="1">#REF!</definedName>
    <definedName name="BExMLO5Z61RE85X8HHX2G4IU3AZW" localSheetId="19" hidden="1">#REF!</definedName>
    <definedName name="BExMLO5Z61RE85X8HHX2G4IU3AZW" hidden="1">#REF!</definedName>
    <definedName name="BExMLVI7UORSHM9FMO8S2EI0TMTS" localSheetId="8" hidden="1">#REF!</definedName>
    <definedName name="BExMLVI7UORSHM9FMO8S2EI0TMTS" localSheetId="19" hidden="1">#REF!</definedName>
    <definedName name="BExMLVI7UORSHM9FMO8S2EI0TMTS" hidden="1">#REF!</definedName>
    <definedName name="BExMM5UCOT2HSSN0ZIPZW55GSOVO" localSheetId="8" hidden="1">#REF!</definedName>
    <definedName name="BExMM5UCOT2HSSN0ZIPZW55GSOVO" localSheetId="19" hidden="1">#REF!</definedName>
    <definedName name="BExMM5UCOT2HSSN0ZIPZW55GSOVO" hidden="1">#REF!</definedName>
    <definedName name="BExMM8ZRS5RQ8H1H55RVPVTDL5NL" localSheetId="8" hidden="1">#REF!</definedName>
    <definedName name="BExMM8ZRS5RQ8H1H55RVPVTDL5NL" localSheetId="19" hidden="1">#REF!</definedName>
    <definedName name="BExMM8ZRS5RQ8H1H55RVPVTDL5NL" hidden="1">#REF!</definedName>
    <definedName name="BExMMH8EAZB09XXQ5X4LR0P4NHG9" localSheetId="8" hidden="1">#REF!</definedName>
    <definedName name="BExMMH8EAZB09XXQ5X4LR0P4NHG9" localSheetId="19" hidden="1">#REF!</definedName>
    <definedName name="BExMMH8EAZB09XXQ5X4LR0P4NHG9" hidden="1">#REF!</definedName>
    <definedName name="BExMMIQH5BABNZVCIQ7TBCQ10AY5" localSheetId="8" hidden="1">#REF!</definedName>
    <definedName name="BExMMIQH5BABNZVCIQ7TBCQ10AY5" localSheetId="19" hidden="1">#REF!</definedName>
    <definedName name="BExMMIQH5BABNZVCIQ7TBCQ10AY5" hidden="1">#REF!</definedName>
    <definedName name="BExMMNIZ2T7M22WECMUQXEF4NJ71" localSheetId="8" hidden="1">#REF!</definedName>
    <definedName name="BExMMNIZ2T7M22WECMUQXEF4NJ71" localSheetId="19" hidden="1">#REF!</definedName>
    <definedName name="BExMMNIZ2T7M22WECMUQXEF4NJ71" hidden="1">#REF!</definedName>
    <definedName name="BExMMPMIOU7BURTV0L1K6ACW9X73" localSheetId="8" hidden="1">#REF!</definedName>
    <definedName name="BExMMPMIOU7BURTV0L1K6ACW9X73" localSheetId="19" hidden="1">#REF!</definedName>
    <definedName name="BExMMPMIOU7BURTV0L1K6ACW9X73" hidden="1">#REF!</definedName>
    <definedName name="BExMMQ835AJDHS4B419SS645P67Q" localSheetId="8" hidden="1">#REF!</definedName>
    <definedName name="BExMMQ835AJDHS4B419SS645P67Q" localSheetId="19" hidden="1">#REF!</definedName>
    <definedName name="BExMMQ835AJDHS4B419SS645P67Q" hidden="1">#REF!</definedName>
    <definedName name="BExMMQIUVPCOBISTEJJYNCCLUCPY" localSheetId="8" hidden="1">#REF!</definedName>
    <definedName name="BExMMQIUVPCOBISTEJJYNCCLUCPY" localSheetId="19" hidden="1">#REF!</definedName>
    <definedName name="BExMMQIUVPCOBISTEJJYNCCLUCPY" hidden="1">#REF!</definedName>
    <definedName name="BExMMTIXETA5VAKBSOFDD5SRU887" localSheetId="8" hidden="1">#REF!</definedName>
    <definedName name="BExMMTIXETA5VAKBSOFDD5SRU887" localSheetId="19" hidden="1">#REF!</definedName>
    <definedName name="BExMMTIXETA5VAKBSOFDD5SRU887" hidden="1">#REF!</definedName>
    <definedName name="BExMMV0P6P5YS3C35G0JYYHI7992" localSheetId="8" hidden="1">#REF!</definedName>
    <definedName name="BExMMV0P6P5YS3C35G0JYYHI7992" localSheetId="19" hidden="1">#REF!</definedName>
    <definedName name="BExMMV0P6P5YS3C35G0JYYHI7992" hidden="1">#REF!</definedName>
    <definedName name="BExMNJLFWZBRN9PZF1IO9CYWV1B2" localSheetId="8" hidden="1">#REF!</definedName>
    <definedName name="BExMNJLFWZBRN9PZF1IO9CYWV1B2" localSheetId="19" hidden="1">#REF!</definedName>
    <definedName name="BExMNJLFWZBRN9PZF1IO9CYWV1B2" hidden="1">#REF!</definedName>
    <definedName name="BExMNKCJ0FA57YEUUAJE43U1QN5P" localSheetId="8" hidden="1">#REF!</definedName>
    <definedName name="BExMNKCJ0FA57YEUUAJE43U1QN5P" localSheetId="19" hidden="1">#REF!</definedName>
    <definedName name="BExMNKCJ0FA57YEUUAJE43U1QN5P" hidden="1">#REF!</definedName>
    <definedName name="BExMNKN5D1WEF2OOJVP6LZ6DLU3Y" localSheetId="8" hidden="1">#REF!</definedName>
    <definedName name="BExMNKN5D1WEF2OOJVP6LZ6DLU3Y" localSheetId="19" hidden="1">#REF!</definedName>
    <definedName name="BExMNKN5D1WEF2OOJVP6LZ6DLU3Y" hidden="1">#REF!</definedName>
    <definedName name="BExMNR38HMPLWAJRQ9MMS3ZAZ9IU" localSheetId="8" hidden="1">#REF!</definedName>
    <definedName name="BExMNR38HMPLWAJRQ9MMS3ZAZ9IU" localSheetId="19" hidden="1">#REF!</definedName>
    <definedName name="BExMNR38HMPLWAJRQ9MMS3ZAZ9IU" hidden="1">#REF!</definedName>
    <definedName name="BExMNRDZULKJMVY2VKIIRM2M5A1M" localSheetId="8" hidden="1">#REF!</definedName>
    <definedName name="BExMNRDZULKJMVY2VKIIRM2M5A1M" localSheetId="19" hidden="1">#REF!</definedName>
    <definedName name="BExMNRDZULKJMVY2VKIIRM2M5A1M" hidden="1">#REF!</definedName>
    <definedName name="BExMNVFKZIBQSCAH71DIF1CJG89T" localSheetId="8" hidden="1">#REF!</definedName>
    <definedName name="BExMNVFKZIBQSCAH71DIF1CJG89T" localSheetId="19" hidden="1">#REF!</definedName>
    <definedName name="BExMNVFKZIBQSCAH71DIF1CJG89T" hidden="1">#REF!</definedName>
    <definedName name="BExMNVVUQAGQY9SA29FGI7D7R5MN" localSheetId="8" hidden="1">#REF!</definedName>
    <definedName name="BExMNVVUQAGQY9SA29FGI7D7R5MN" localSheetId="19" hidden="1">#REF!</definedName>
    <definedName name="BExMNVVUQAGQY9SA29FGI7D7R5MN" hidden="1">#REF!</definedName>
    <definedName name="BExMO9IOWKTWHO8LQJJQI5P3INWY" localSheetId="8" hidden="1">#REF!</definedName>
    <definedName name="BExMO9IOWKTWHO8LQJJQI5P3INWY" localSheetId="19" hidden="1">#REF!</definedName>
    <definedName name="BExMO9IOWKTWHO8LQJJQI5P3INWY" hidden="1">#REF!</definedName>
    <definedName name="BExMOI29DOEK5R1A5QZPUDKF7N6T" localSheetId="8" hidden="1">#REF!</definedName>
    <definedName name="BExMOI29DOEK5R1A5QZPUDKF7N6T" localSheetId="19" hidden="1">#REF!</definedName>
    <definedName name="BExMOI29DOEK5R1A5QZPUDKF7N6T" hidden="1">#REF!</definedName>
    <definedName name="BExMONRAU0S904NLJHPI47RVQDBH" localSheetId="8" hidden="1">#REF!</definedName>
    <definedName name="BExMONRAU0S904NLJHPI47RVQDBH" localSheetId="19" hidden="1">#REF!</definedName>
    <definedName name="BExMONRAU0S904NLJHPI47RVQDBH" hidden="1">#REF!</definedName>
    <definedName name="BExMPAJ5AJAXGKGK3F6H3ODS6RF4" localSheetId="8" hidden="1">#REF!</definedName>
    <definedName name="BExMPAJ5AJAXGKGK3F6H3ODS6RF4" localSheetId="19" hidden="1">#REF!</definedName>
    <definedName name="BExMPAJ5AJAXGKGK3F6H3ODS6RF4" hidden="1">#REF!</definedName>
    <definedName name="BExMPD2X55FFBVJ6CBUKNPROIOEU" localSheetId="8" hidden="1">#REF!</definedName>
    <definedName name="BExMPD2X55FFBVJ6CBUKNPROIOEU" localSheetId="19" hidden="1">#REF!</definedName>
    <definedName name="BExMPD2X55FFBVJ6CBUKNPROIOEU" hidden="1">#REF!</definedName>
    <definedName name="BExMPGZ848E38FUH1JBQN97DGWAT" localSheetId="8" hidden="1">#REF!</definedName>
    <definedName name="BExMPGZ848E38FUH1JBQN97DGWAT" localSheetId="19" hidden="1">#REF!</definedName>
    <definedName name="BExMPGZ848E38FUH1JBQN97DGWAT" hidden="1">#REF!</definedName>
    <definedName name="BExMPMTICOSMQENOFKQ18K0ZT4S8" localSheetId="8" hidden="1">#REF!</definedName>
    <definedName name="BExMPMTICOSMQENOFKQ18K0ZT4S8" localSheetId="19" hidden="1">#REF!</definedName>
    <definedName name="BExMPMTICOSMQENOFKQ18K0ZT4S8" hidden="1">#REF!</definedName>
    <definedName name="BExMPMZ07II0R4KGWQQ7PGS3RZS4" localSheetId="8" hidden="1">#REF!</definedName>
    <definedName name="BExMPMZ07II0R4KGWQQ7PGS3RZS4" localSheetId="19" hidden="1">#REF!</definedName>
    <definedName name="BExMPMZ07II0R4KGWQQ7PGS3RZS4" hidden="1">#REF!</definedName>
    <definedName name="BExMPOBH04JMDO6Z8DMSEJZM4ANN" localSheetId="8" hidden="1">#REF!</definedName>
    <definedName name="BExMPOBH04JMDO6Z8DMSEJZM4ANN" localSheetId="19" hidden="1">#REF!</definedName>
    <definedName name="BExMPOBH04JMDO6Z8DMSEJZM4ANN" hidden="1">#REF!</definedName>
    <definedName name="BExMPSD77XQ3HA6A4FZOJK8G2JP3" localSheetId="8" hidden="1">#REF!</definedName>
    <definedName name="BExMPSD77XQ3HA6A4FZOJK8G2JP3" localSheetId="19" hidden="1">#REF!</definedName>
    <definedName name="BExMPSD77XQ3HA6A4FZOJK8G2JP3" hidden="1">#REF!</definedName>
    <definedName name="BExMQ4I3Q7F0BMPHSFMFW9TZ87UD" localSheetId="8" hidden="1">#REF!</definedName>
    <definedName name="BExMQ4I3Q7F0BMPHSFMFW9TZ87UD" localSheetId="19" hidden="1">#REF!</definedName>
    <definedName name="BExMQ4I3Q7F0BMPHSFMFW9TZ87UD" hidden="1">#REF!</definedName>
    <definedName name="BExMQ4SWDWI4N16AZ0T5CJ6HH8WC" localSheetId="8" hidden="1">#REF!</definedName>
    <definedName name="BExMQ4SWDWI4N16AZ0T5CJ6HH8WC" localSheetId="19" hidden="1">#REF!</definedName>
    <definedName name="BExMQ4SWDWI4N16AZ0T5CJ6HH8WC" hidden="1">#REF!</definedName>
    <definedName name="BExMQ71WHW50GVX45JU951AGPLFQ" localSheetId="8" hidden="1">#REF!</definedName>
    <definedName name="BExMQ71WHW50GVX45JU951AGPLFQ" localSheetId="19" hidden="1">#REF!</definedName>
    <definedName name="BExMQ71WHW50GVX45JU951AGPLFQ" hidden="1">#REF!</definedName>
    <definedName name="BExMQGXSLPT4A6N47LE6FBVHWBOF" localSheetId="8" hidden="1">#REF!</definedName>
    <definedName name="BExMQGXSLPT4A6N47LE6FBVHWBOF" localSheetId="19" hidden="1">#REF!</definedName>
    <definedName name="BExMQGXSLPT4A6N47LE6FBVHWBOF" hidden="1">#REF!</definedName>
    <definedName name="BExMQNZGFHW75W9HWRCR0FEF0XF0" localSheetId="8" hidden="1">#REF!</definedName>
    <definedName name="BExMQNZGFHW75W9HWRCR0FEF0XF0" localSheetId="19" hidden="1">#REF!</definedName>
    <definedName name="BExMQNZGFHW75W9HWRCR0FEF0XF0" hidden="1">#REF!</definedName>
    <definedName name="BExMQRKVQPDFPD0WQUA9QND8OV7P" localSheetId="8" hidden="1">#REF!</definedName>
    <definedName name="BExMQRKVQPDFPD0WQUA9QND8OV7P" localSheetId="19" hidden="1">#REF!</definedName>
    <definedName name="BExMQRKVQPDFPD0WQUA9QND8OV7P" hidden="1">#REF!</definedName>
    <definedName name="BExMQSBR7PL4KLB1Q4961QO45Y4G" localSheetId="8" hidden="1">#REF!</definedName>
    <definedName name="BExMQSBR7PL4KLB1Q4961QO45Y4G" localSheetId="19" hidden="1">#REF!</definedName>
    <definedName name="BExMQSBR7PL4KLB1Q4961QO45Y4G" hidden="1">#REF!</definedName>
    <definedName name="BExMR1MA4I1X77714ZEPUVC8W398" localSheetId="8" hidden="1">#REF!</definedName>
    <definedName name="BExMR1MA4I1X77714ZEPUVC8W398" localSheetId="19" hidden="1">#REF!</definedName>
    <definedName name="BExMR1MA4I1X77714ZEPUVC8W398" hidden="1">#REF!</definedName>
    <definedName name="BExMR8YQHA7N77HGHY4Y6R30I3XT" localSheetId="8" hidden="1">#REF!</definedName>
    <definedName name="BExMR8YQHA7N77HGHY4Y6R30I3XT" localSheetId="19" hidden="1">#REF!</definedName>
    <definedName name="BExMR8YQHA7N77HGHY4Y6R30I3XT" hidden="1">#REF!</definedName>
    <definedName name="BExMRENOIARWRYOIVPDIEBVNRDO7" localSheetId="8" hidden="1">#REF!</definedName>
    <definedName name="BExMRENOIARWRYOIVPDIEBVNRDO7" localSheetId="19" hidden="1">#REF!</definedName>
    <definedName name="BExMRENOIARWRYOIVPDIEBVNRDO7" hidden="1">#REF!</definedName>
    <definedName name="BExMRF3SCIUZL945WMMDCT29MTLN" localSheetId="8" hidden="1">#REF!</definedName>
    <definedName name="BExMRF3SCIUZL945WMMDCT29MTLN" localSheetId="19" hidden="1">#REF!</definedName>
    <definedName name="BExMRF3SCIUZL945WMMDCT29MTLN" hidden="1">#REF!</definedName>
    <definedName name="BExMRRJNUMGRSDD5GGKKGEIZ6FTS" localSheetId="8" hidden="1">#REF!</definedName>
    <definedName name="BExMRRJNUMGRSDD5GGKKGEIZ6FTS" localSheetId="19" hidden="1">#REF!</definedName>
    <definedName name="BExMRRJNUMGRSDD5GGKKGEIZ6FTS" hidden="1">#REF!</definedName>
    <definedName name="BExMRU3ACIU0RD2BNWO55LH5U2BR" localSheetId="8" hidden="1">#REF!</definedName>
    <definedName name="BExMRU3ACIU0RD2BNWO55LH5U2BR" localSheetId="19" hidden="1">#REF!</definedName>
    <definedName name="BExMRU3ACIU0RD2BNWO55LH5U2BR" hidden="1">#REF!</definedName>
    <definedName name="BExMRWC9LD1LDAVIUQHQWIYMK129" localSheetId="8" hidden="1">#REF!</definedName>
    <definedName name="BExMRWC9LD1LDAVIUQHQWIYMK129" localSheetId="19" hidden="1">#REF!</definedName>
    <definedName name="BExMRWC9LD1LDAVIUQHQWIYMK129" hidden="1">#REF!</definedName>
    <definedName name="BExMSBH3T898ERC4BT51ZURKDCH1" localSheetId="8" hidden="1">#REF!</definedName>
    <definedName name="BExMSBH3T898ERC4BT51ZURKDCH1" localSheetId="19" hidden="1">#REF!</definedName>
    <definedName name="BExMSBH3T898ERC4BT51ZURKDCH1" hidden="1">#REF!</definedName>
    <definedName name="BExMSQRCC40AP8BDUPL2I2DNC210" localSheetId="8" hidden="1">#REF!</definedName>
    <definedName name="BExMSQRCC40AP8BDUPL2I2DNC210" localSheetId="19" hidden="1">#REF!</definedName>
    <definedName name="BExMSQRCC40AP8BDUPL2I2DNC210" hidden="1">#REF!</definedName>
    <definedName name="BExO4J9LR712G00TVA82VNTG8O7H" localSheetId="8" hidden="1">#REF!</definedName>
    <definedName name="BExO4J9LR712G00TVA82VNTG8O7H" localSheetId="19" hidden="1">#REF!</definedName>
    <definedName name="BExO4J9LR712G00TVA82VNTG8O7H" hidden="1">#REF!</definedName>
    <definedName name="BExO55G2KVZ7MIJ30N827CLH0I2A" localSheetId="8" hidden="1">#REF!</definedName>
    <definedName name="BExO55G2KVZ7MIJ30N827CLH0I2A" localSheetId="19" hidden="1">#REF!</definedName>
    <definedName name="BExO55G2KVZ7MIJ30N827CLH0I2A" hidden="1">#REF!</definedName>
    <definedName name="BExO5A8PZD9EUHC5CMPU6N3SQ15L" localSheetId="8" hidden="1">#REF!</definedName>
    <definedName name="BExO5A8PZD9EUHC5CMPU6N3SQ15L" localSheetId="19" hidden="1">#REF!</definedName>
    <definedName name="BExO5A8PZD9EUHC5CMPU6N3SQ15L" hidden="1">#REF!</definedName>
    <definedName name="BExO5XMAHL7CY3X0B1OPKZ28DCJ5" localSheetId="8" hidden="1">#REF!</definedName>
    <definedName name="BExO5XMAHL7CY3X0B1OPKZ28DCJ5" localSheetId="19" hidden="1">#REF!</definedName>
    <definedName name="BExO5XMAHL7CY3X0B1OPKZ28DCJ5" hidden="1">#REF!</definedName>
    <definedName name="BExO66LZJKY4PTQVREELI6POS4AY" localSheetId="8" hidden="1">#REF!</definedName>
    <definedName name="BExO66LZJKY4PTQVREELI6POS4AY" localSheetId="19" hidden="1">#REF!</definedName>
    <definedName name="BExO66LZJKY4PTQVREELI6POS4AY" hidden="1">#REF!</definedName>
    <definedName name="BExO6LLHCYTF7CIVHKAO0NMET14Q" localSheetId="8" hidden="1">#REF!</definedName>
    <definedName name="BExO6LLHCYTF7CIVHKAO0NMET14Q" localSheetId="19" hidden="1">#REF!</definedName>
    <definedName name="BExO6LLHCYTF7CIVHKAO0NMET14Q" hidden="1">#REF!</definedName>
    <definedName name="BExO6NOZIPWELHV0XX25APL9UNOP" localSheetId="8" hidden="1">#REF!</definedName>
    <definedName name="BExO6NOZIPWELHV0XX25APL9UNOP" localSheetId="19" hidden="1">#REF!</definedName>
    <definedName name="BExO6NOZIPWELHV0XX25APL9UNOP" hidden="1">#REF!</definedName>
    <definedName name="BExO71MMHEBC11LG4HXDEQNHOII2" localSheetId="8" hidden="1">#REF!</definedName>
    <definedName name="BExO71MMHEBC11LG4HXDEQNHOII2" localSheetId="19" hidden="1">#REF!</definedName>
    <definedName name="BExO71MMHEBC11LG4HXDEQNHOII2" hidden="1">#REF!</definedName>
    <definedName name="BExO71S28H4XYOYYLAXOO93QV4TF" localSheetId="8" hidden="1">#REF!</definedName>
    <definedName name="BExO71S28H4XYOYYLAXOO93QV4TF" localSheetId="19" hidden="1">#REF!</definedName>
    <definedName name="BExO71S28H4XYOYYLAXOO93QV4TF" hidden="1">#REF!</definedName>
    <definedName name="BExO7BIP1737MIY7S6K4XYMTIO95" localSheetId="8" hidden="1">#REF!</definedName>
    <definedName name="BExO7BIP1737MIY7S6K4XYMTIO95" localSheetId="19" hidden="1">#REF!</definedName>
    <definedName name="BExO7BIP1737MIY7S6K4XYMTIO95" hidden="1">#REF!</definedName>
    <definedName name="BExO7OUQS3XTUQ2LDKGQ8AAQ3OJJ" localSheetId="8" hidden="1">#REF!</definedName>
    <definedName name="BExO7OUQS3XTUQ2LDKGQ8AAQ3OJJ" localSheetId="19" hidden="1">#REF!</definedName>
    <definedName name="BExO7OUQS3XTUQ2LDKGQ8AAQ3OJJ" hidden="1">#REF!</definedName>
    <definedName name="BExO85HMYXZJ7SONWBKKIAXMCI3C" localSheetId="8" hidden="1">#REF!</definedName>
    <definedName name="BExO85HMYXZJ7SONWBKKIAXMCI3C" localSheetId="19" hidden="1">#REF!</definedName>
    <definedName name="BExO85HMYXZJ7SONWBKKIAXMCI3C" hidden="1">#REF!</definedName>
    <definedName name="BExO863922O4PBGQMUNEQKGN3K96" localSheetId="8" hidden="1">#REF!</definedName>
    <definedName name="BExO863922O4PBGQMUNEQKGN3K96" localSheetId="19" hidden="1">#REF!</definedName>
    <definedName name="BExO863922O4PBGQMUNEQKGN3K96" hidden="1">#REF!</definedName>
    <definedName name="BExO89ZIOXN0HOKHY24F7HDZ87UT" localSheetId="8" hidden="1">#REF!</definedName>
    <definedName name="BExO89ZIOXN0HOKHY24F7HDZ87UT" localSheetId="19" hidden="1">#REF!</definedName>
    <definedName name="BExO89ZIOXN0HOKHY24F7HDZ87UT" hidden="1">#REF!</definedName>
    <definedName name="BExO8A4SWOKD9WI5E6DITCL3LZZC" localSheetId="8" hidden="1">#REF!</definedName>
    <definedName name="BExO8A4SWOKD9WI5E6DITCL3LZZC" localSheetId="19" hidden="1">#REF!</definedName>
    <definedName name="BExO8A4SWOKD9WI5E6DITCL3LZZC" hidden="1">#REF!</definedName>
    <definedName name="BExO8CDTBCABLEUD6PE2UM2EZ6C4" localSheetId="8" hidden="1">#REF!</definedName>
    <definedName name="BExO8CDTBCABLEUD6PE2UM2EZ6C4" localSheetId="19" hidden="1">#REF!</definedName>
    <definedName name="BExO8CDTBCABLEUD6PE2UM2EZ6C4" hidden="1">#REF!</definedName>
    <definedName name="BExO8UTAGQWDBQZEEF4HUNMLQCVU" localSheetId="8" hidden="1">#REF!</definedName>
    <definedName name="BExO8UTAGQWDBQZEEF4HUNMLQCVU" localSheetId="19" hidden="1">#REF!</definedName>
    <definedName name="BExO8UTAGQWDBQZEEF4HUNMLQCVU" hidden="1">#REF!</definedName>
    <definedName name="BExO937E20IHMGQOZMECL3VZC7OX" localSheetId="8" hidden="1">#REF!</definedName>
    <definedName name="BExO937E20IHMGQOZMECL3VZC7OX" localSheetId="19" hidden="1">#REF!</definedName>
    <definedName name="BExO937E20IHMGQOZMECL3VZC7OX" hidden="1">#REF!</definedName>
    <definedName name="BExO94UTJKQQ7TJTTJRTSR70YVJC" localSheetId="8" hidden="1">#REF!</definedName>
    <definedName name="BExO94UTJKQQ7TJTTJRTSR70YVJC" localSheetId="19" hidden="1">#REF!</definedName>
    <definedName name="BExO94UTJKQQ7TJTTJRTSR70YVJC" hidden="1">#REF!</definedName>
    <definedName name="BExO9EALFB2R8VULHML1AVRPHME0" localSheetId="8" hidden="1">#REF!</definedName>
    <definedName name="BExO9EALFB2R8VULHML1AVRPHME0" localSheetId="19" hidden="1">#REF!</definedName>
    <definedName name="BExO9EALFB2R8VULHML1AVRPHME0" hidden="1">#REF!</definedName>
    <definedName name="BExO9J3A438976RXIUX5U9SU5T55" localSheetId="8" hidden="1">#REF!</definedName>
    <definedName name="BExO9J3A438976RXIUX5U9SU5T55" localSheetId="19" hidden="1">#REF!</definedName>
    <definedName name="BExO9J3A438976RXIUX5U9SU5T55" hidden="1">#REF!</definedName>
    <definedName name="BExO9RS5RXFJ1911HL3CCK6M74EP" localSheetId="8" hidden="1">#REF!</definedName>
    <definedName name="BExO9RS5RXFJ1911HL3CCK6M74EP" localSheetId="19" hidden="1">#REF!</definedName>
    <definedName name="BExO9RS5RXFJ1911HL3CCK6M74EP" hidden="1">#REF!</definedName>
    <definedName name="BExO9SDRI1M6KMHXSG3AE5L0F2U3" localSheetId="8" hidden="1">#REF!</definedName>
    <definedName name="BExO9SDRI1M6KMHXSG3AE5L0F2U3" localSheetId="19" hidden="1">#REF!</definedName>
    <definedName name="BExO9SDRI1M6KMHXSG3AE5L0F2U3" hidden="1">#REF!</definedName>
    <definedName name="BExO9US253B9UNAYT7DWLMK2BO44" localSheetId="8" hidden="1">#REF!</definedName>
    <definedName name="BExO9US253B9UNAYT7DWLMK2BO44" localSheetId="19" hidden="1">#REF!</definedName>
    <definedName name="BExO9US253B9UNAYT7DWLMK2BO44" hidden="1">#REF!</definedName>
    <definedName name="BExO9V2U2YXAY904GYYGU6TD8Y7M" localSheetId="8" hidden="1">#REF!</definedName>
    <definedName name="BExO9V2U2YXAY904GYYGU6TD8Y7M" localSheetId="19" hidden="1">#REF!</definedName>
    <definedName name="BExO9V2U2YXAY904GYYGU6TD8Y7M" hidden="1">#REF!</definedName>
    <definedName name="BExOAAIG18X4V98C7122L5F65P5C" localSheetId="8" hidden="1">#REF!</definedName>
    <definedName name="BExOAAIG18X4V98C7122L5F65P5C" localSheetId="19" hidden="1">#REF!</definedName>
    <definedName name="BExOAAIG18X4V98C7122L5F65P5C" hidden="1">#REF!</definedName>
    <definedName name="BExOAQ3GKCT7YZW1EMVU3EILSZL2" localSheetId="8" hidden="1">#REF!</definedName>
    <definedName name="BExOAQ3GKCT7YZW1EMVU3EILSZL2" localSheetId="19" hidden="1">#REF!</definedName>
    <definedName name="BExOAQ3GKCT7YZW1EMVU3EILSZL2" hidden="1">#REF!</definedName>
    <definedName name="BExOATZQ6SF8DASYLBQ0Z6D2WPSC" localSheetId="8" hidden="1">#REF!</definedName>
    <definedName name="BExOATZQ6SF8DASYLBQ0Z6D2WPSC" localSheetId="19" hidden="1">#REF!</definedName>
    <definedName name="BExOATZQ6SF8DASYLBQ0Z6D2WPSC" hidden="1">#REF!</definedName>
    <definedName name="BExOB9KT2THGV4SPLDVFTFXS4B14" localSheetId="8" hidden="1">#REF!</definedName>
    <definedName name="BExOB9KT2THGV4SPLDVFTFXS4B14" localSheetId="19" hidden="1">#REF!</definedName>
    <definedName name="BExOB9KT2THGV4SPLDVFTFXS4B14" hidden="1">#REF!</definedName>
    <definedName name="BExOBEZ0IE2WBEYY3D3CMRI72N1K" localSheetId="8" hidden="1">#REF!</definedName>
    <definedName name="BExOBEZ0IE2WBEYY3D3CMRI72N1K" localSheetId="19" hidden="1">#REF!</definedName>
    <definedName name="BExOBEZ0IE2WBEYY3D3CMRI72N1K" hidden="1">#REF!</definedName>
    <definedName name="BExOBF9TFH4NSBTR7JD2Q1165NIU" localSheetId="8" hidden="1">#REF!</definedName>
    <definedName name="BExOBF9TFH4NSBTR7JD2Q1165NIU" localSheetId="19" hidden="1">#REF!</definedName>
    <definedName name="BExOBF9TFH4NSBTR7JD2Q1165NIU" hidden="1">#REF!</definedName>
    <definedName name="BExOBIPU8760ITY0C8N27XZ3KWEF" localSheetId="8" hidden="1">#REF!</definedName>
    <definedName name="BExOBIPU8760ITY0C8N27XZ3KWEF" localSheetId="19" hidden="1">#REF!</definedName>
    <definedName name="BExOBIPU8760ITY0C8N27XZ3KWEF" hidden="1">#REF!</definedName>
    <definedName name="BExOBM0I5L0MZ1G4H9MGMD87SBMZ" localSheetId="8" hidden="1">#REF!</definedName>
    <definedName name="BExOBM0I5L0MZ1G4H9MGMD87SBMZ" localSheetId="19" hidden="1">#REF!</definedName>
    <definedName name="BExOBM0I5L0MZ1G4H9MGMD87SBMZ" hidden="1">#REF!</definedName>
    <definedName name="BExOBOUXMP88KJY2BX2JLUJH5N0K" localSheetId="8" hidden="1">#REF!</definedName>
    <definedName name="BExOBOUXMP88KJY2BX2JLUJH5N0K" localSheetId="19" hidden="1">#REF!</definedName>
    <definedName name="BExOBOUXMP88KJY2BX2JLUJH5N0K" hidden="1">#REF!</definedName>
    <definedName name="BExOBP0FKQ4SVR59FB48UNLKCOR6" localSheetId="8" hidden="1">#REF!</definedName>
    <definedName name="BExOBP0FKQ4SVR59FB48UNLKCOR6" localSheetId="19" hidden="1">#REF!</definedName>
    <definedName name="BExOBP0FKQ4SVR59FB48UNLKCOR6" hidden="1">#REF!</definedName>
    <definedName name="BExOBTNR0XX9V82O76VVWUQABHT8" localSheetId="8" hidden="1">#REF!</definedName>
    <definedName name="BExOBTNR0XX9V82O76VVWUQABHT8" localSheetId="19" hidden="1">#REF!</definedName>
    <definedName name="BExOBTNR0XX9V82O76VVWUQABHT8" hidden="1">#REF!</definedName>
    <definedName name="BExOBYAVUCQ0IGM0Y6A75QHP0Q1A" localSheetId="8" hidden="1">#REF!</definedName>
    <definedName name="BExOBYAVUCQ0IGM0Y6A75QHP0Q1A" localSheetId="19" hidden="1">#REF!</definedName>
    <definedName name="BExOBYAVUCQ0IGM0Y6A75QHP0Q1A" hidden="1">#REF!</definedName>
    <definedName name="BExOC3UEHB1CZNINSQHZANWJYKR8" localSheetId="8" hidden="1">#REF!</definedName>
    <definedName name="BExOC3UEHB1CZNINSQHZANWJYKR8" localSheetId="19" hidden="1">#REF!</definedName>
    <definedName name="BExOC3UEHB1CZNINSQHZANWJYKR8" hidden="1">#REF!</definedName>
    <definedName name="BExOCBSF3XGO9YJ23LX2H78VOUR7" localSheetId="8" hidden="1">#REF!</definedName>
    <definedName name="BExOCBSF3XGO9YJ23LX2H78VOUR7" localSheetId="19" hidden="1">#REF!</definedName>
    <definedName name="BExOCBSF3XGO9YJ23LX2H78VOUR7" hidden="1">#REF!</definedName>
    <definedName name="BExOCEHJCLIUR23CB4TC9OEFJGFX" localSheetId="8" hidden="1">#REF!</definedName>
    <definedName name="BExOCEHJCLIUR23CB4TC9OEFJGFX" localSheetId="19" hidden="1">#REF!</definedName>
    <definedName name="BExOCEHJCLIUR23CB4TC9OEFJGFX" hidden="1">#REF!</definedName>
    <definedName name="BExOCKXFMOW6WPFEVX1I7R7FNDSS" localSheetId="8" hidden="1">#REF!</definedName>
    <definedName name="BExOCKXFMOW6WPFEVX1I7R7FNDSS" localSheetId="19" hidden="1">#REF!</definedName>
    <definedName name="BExOCKXFMOW6WPFEVX1I7R7FNDSS" hidden="1">#REF!</definedName>
    <definedName name="BExOCM4L30L6FV3N2PR4O6X8WY2M" localSheetId="8" hidden="1">#REF!</definedName>
    <definedName name="BExOCM4L30L6FV3N2PR4O6X8WY2M" localSheetId="19" hidden="1">#REF!</definedName>
    <definedName name="BExOCM4L30L6FV3N2PR4O6X8WY2M" hidden="1">#REF!</definedName>
    <definedName name="BExOCYEXOB95DH5NOB0M5NOYX398" localSheetId="8" hidden="1">#REF!</definedName>
    <definedName name="BExOCYEXOB95DH5NOB0M5NOYX398" localSheetId="19" hidden="1">#REF!</definedName>
    <definedName name="BExOCYEXOB95DH5NOB0M5NOYX398" hidden="1">#REF!</definedName>
    <definedName name="BExOD4ERMDMFD8X1016N4EXOUR0S" localSheetId="8" hidden="1">#REF!</definedName>
    <definedName name="BExOD4ERMDMFD8X1016N4EXOUR0S" localSheetId="19" hidden="1">#REF!</definedName>
    <definedName name="BExOD4ERMDMFD8X1016N4EXOUR0S" hidden="1">#REF!</definedName>
    <definedName name="BExOD55RS7BQUHRQ6H3USVGKR0P7" localSheetId="8" hidden="1">#REF!</definedName>
    <definedName name="BExOD55RS7BQUHRQ6H3USVGKR0P7" localSheetId="19" hidden="1">#REF!</definedName>
    <definedName name="BExOD55RS7BQUHRQ6H3USVGKR0P7" hidden="1">#REF!</definedName>
    <definedName name="BExODEWDDEABM4ZY3XREJIBZ8IVP" localSheetId="8" hidden="1">#REF!</definedName>
    <definedName name="BExODEWDDEABM4ZY3XREJIBZ8IVP" localSheetId="19" hidden="1">#REF!</definedName>
    <definedName name="BExODEWDDEABM4ZY3XREJIBZ8IVP" hidden="1">#REF!</definedName>
    <definedName name="BExODICDVVLFKWA22B3L0CKKTAZA" localSheetId="8" hidden="1">#REF!</definedName>
    <definedName name="BExODICDVVLFKWA22B3L0CKKTAZA" localSheetId="19" hidden="1">#REF!</definedName>
    <definedName name="BExODICDVVLFKWA22B3L0CKKTAZA" hidden="1">#REF!</definedName>
    <definedName name="BExODZFEIWV26E8RFU7XQYX1J458" localSheetId="8" hidden="1">#REF!</definedName>
    <definedName name="BExODZFEIWV26E8RFU7XQYX1J458" localSheetId="19" hidden="1">#REF!</definedName>
    <definedName name="BExODZFEIWV26E8RFU7XQYX1J458" hidden="1">#REF!</definedName>
    <definedName name="BExOE0S111KPTELH26PPXE94J3GJ" localSheetId="8" hidden="1">#REF!</definedName>
    <definedName name="BExOE0S111KPTELH26PPXE94J3GJ" localSheetId="19" hidden="1">#REF!</definedName>
    <definedName name="BExOE0S111KPTELH26PPXE94J3GJ" hidden="1">#REF!</definedName>
    <definedName name="BExOE5KH3JKKPZO401YAB3A11G1U" localSheetId="8" hidden="1">#REF!</definedName>
    <definedName name="BExOE5KH3JKKPZO401YAB3A11G1U" localSheetId="19" hidden="1">#REF!</definedName>
    <definedName name="BExOE5KH3JKKPZO401YAB3A11G1U" hidden="1">#REF!</definedName>
    <definedName name="BExOEBKG55EROA2VL360A06LKASE" localSheetId="8" hidden="1">#REF!</definedName>
    <definedName name="BExOEBKG55EROA2VL360A06LKASE" localSheetId="19" hidden="1">#REF!</definedName>
    <definedName name="BExOEBKG55EROA2VL360A06LKASE" hidden="1">#REF!</definedName>
    <definedName name="BExOEFWUBETCPIYF89P9SBDOI3X5" localSheetId="8" hidden="1">#REF!</definedName>
    <definedName name="BExOEFWUBETCPIYF89P9SBDOI3X5" localSheetId="19" hidden="1">#REF!</definedName>
    <definedName name="BExOEFWUBETCPIYF89P9SBDOI3X5" hidden="1">#REF!</definedName>
    <definedName name="BExOEL08MN74RQKVY0P43PFHPTVB" localSheetId="8" hidden="1">#REF!</definedName>
    <definedName name="BExOEL08MN74RQKVY0P43PFHPTVB" localSheetId="19" hidden="1">#REF!</definedName>
    <definedName name="BExOEL08MN74RQKVY0P43PFHPTVB" hidden="1">#REF!</definedName>
    <definedName name="BExOERG5LWXYYEN1DY1H2FWRJS9T" localSheetId="8" hidden="1">#REF!</definedName>
    <definedName name="BExOERG5LWXYYEN1DY1H2FWRJS9T" localSheetId="19" hidden="1">#REF!</definedName>
    <definedName name="BExOERG5LWXYYEN1DY1H2FWRJS9T" hidden="1">#REF!</definedName>
    <definedName name="BExOEV1S6JJVO5PP4BZ20SNGZR7D" localSheetId="8" hidden="1">#REF!</definedName>
    <definedName name="BExOEV1S6JJVO5PP4BZ20SNGZR7D" localSheetId="19" hidden="1">#REF!</definedName>
    <definedName name="BExOEV1S6JJVO5PP4BZ20SNGZR7D" hidden="1">#REF!</definedName>
    <definedName name="BExOEVNDLRXW33RF3AMMCDLTLROJ" localSheetId="8" hidden="1">#REF!</definedName>
    <definedName name="BExOEVNDLRXW33RF3AMMCDLTLROJ" localSheetId="19" hidden="1">#REF!</definedName>
    <definedName name="BExOEVNDLRXW33RF3AMMCDLTLROJ" hidden="1">#REF!</definedName>
    <definedName name="BExOEZOXV3VXUB6VGSS85GXATYAC" localSheetId="8" hidden="1">#REF!</definedName>
    <definedName name="BExOEZOXV3VXUB6VGSS85GXATYAC" localSheetId="19" hidden="1">#REF!</definedName>
    <definedName name="BExOEZOXV3VXUB6VGSS85GXATYAC" hidden="1">#REF!</definedName>
    <definedName name="BExOFDBSAZV60157PIDWCSSUN3MJ" localSheetId="8" hidden="1">#REF!</definedName>
    <definedName name="BExOFDBSAZV60157PIDWCSSUN3MJ" localSheetId="19" hidden="1">#REF!</definedName>
    <definedName name="BExOFDBSAZV60157PIDWCSSUN3MJ" hidden="1">#REF!</definedName>
    <definedName name="BExOFEDNCYI2TPTMQ8SJN3AW4YMF" localSheetId="8" hidden="1">#REF!</definedName>
    <definedName name="BExOFEDNCYI2TPTMQ8SJN3AW4YMF" localSheetId="19" hidden="1">#REF!</definedName>
    <definedName name="BExOFEDNCYI2TPTMQ8SJN3AW4YMF" hidden="1">#REF!</definedName>
    <definedName name="BExOFVLXVD6RVHSQO8KZOOACSV24" localSheetId="8" hidden="1">#REF!</definedName>
    <definedName name="BExOFVLXVD6RVHSQO8KZOOACSV24" localSheetId="19" hidden="1">#REF!</definedName>
    <definedName name="BExOFVLXVD6RVHSQO8KZOOACSV24" hidden="1">#REF!</definedName>
    <definedName name="BExOG2SW3XOGP9VAPQ3THV3VWV12" localSheetId="8" hidden="1">#REF!</definedName>
    <definedName name="BExOG2SW3XOGP9VAPQ3THV3VWV12" localSheetId="19" hidden="1">#REF!</definedName>
    <definedName name="BExOG2SW3XOGP9VAPQ3THV3VWV12" hidden="1">#REF!</definedName>
    <definedName name="BExOG45J81K4OPA40KW5VQU54KY3" localSheetId="8" hidden="1">#REF!</definedName>
    <definedName name="BExOG45J81K4OPA40KW5VQU54KY3" localSheetId="19" hidden="1">#REF!</definedName>
    <definedName name="BExOG45J81K4OPA40KW5VQU54KY3" hidden="1">#REF!</definedName>
    <definedName name="BExOGFE2SCL8HHT4DFAXKLUTJZOG" localSheetId="8" hidden="1">#REF!</definedName>
    <definedName name="BExOGFE2SCL8HHT4DFAXKLUTJZOG" localSheetId="19" hidden="1">#REF!</definedName>
    <definedName name="BExOGFE2SCL8HHT4DFAXKLUTJZOG" hidden="1">#REF!</definedName>
    <definedName name="BExOGH1IMADJCZMFDE6NMBBKO558" localSheetId="8" hidden="1">#REF!</definedName>
    <definedName name="BExOGH1IMADJCZMFDE6NMBBKO558" localSheetId="19" hidden="1">#REF!</definedName>
    <definedName name="BExOGH1IMADJCZMFDE6NMBBKO558" hidden="1">#REF!</definedName>
    <definedName name="BExOGT6D0LJ3C22RDW8COECKB1J5" localSheetId="8" hidden="1">#REF!</definedName>
    <definedName name="BExOGT6D0LJ3C22RDW8COECKB1J5" localSheetId="19" hidden="1">#REF!</definedName>
    <definedName name="BExOGT6D0LJ3C22RDW8COECKB1J5" hidden="1">#REF!</definedName>
    <definedName name="BExOGTMI1HT31M1RGWVRAVHAK7DE" localSheetId="8" hidden="1">#REF!</definedName>
    <definedName name="BExOGTMI1HT31M1RGWVRAVHAK7DE" localSheetId="19" hidden="1">#REF!</definedName>
    <definedName name="BExOGTMI1HT31M1RGWVRAVHAK7DE" hidden="1">#REF!</definedName>
    <definedName name="BExOGXO9JE5XSE9GC3I6O21UEKAO" localSheetId="8" hidden="1">#REF!</definedName>
    <definedName name="BExOGXO9JE5XSE9GC3I6O21UEKAO" localSheetId="19" hidden="1">#REF!</definedName>
    <definedName name="BExOGXO9JE5XSE9GC3I6O21UEKAO" hidden="1">#REF!</definedName>
    <definedName name="BExOH9ICQA5WPLVJIKJVPWUPKSYO" localSheetId="8" hidden="1">#REF!</definedName>
    <definedName name="BExOH9ICQA5WPLVJIKJVPWUPKSYO" localSheetId="19" hidden="1">#REF!</definedName>
    <definedName name="BExOH9ICQA5WPLVJIKJVPWUPKSYO" hidden="1">#REF!</definedName>
    <definedName name="BExOH9ICZ13C1LAW8OTYTR9S7ZP3" localSheetId="8" hidden="1">#REF!</definedName>
    <definedName name="BExOH9ICZ13C1LAW8OTYTR9S7ZP3" localSheetId="19" hidden="1">#REF!</definedName>
    <definedName name="BExOH9ICZ13C1LAW8OTYTR9S7ZP3" hidden="1">#REF!</definedName>
    <definedName name="BExOHGEJ8V8OXT32FSU173XLXBDH" localSheetId="8" hidden="1">#REF!</definedName>
    <definedName name="BExOHGEJ8V8OXT32FSU173XLXBDH" localSheetId="19" hidden="1">#REF!</definedName>
    <definedName name="BExOHGEJ8V8OXT32FSU173XLXBDH" hidden="1">#REF!</definedName>
    <definedName name="BExOHL75H3OT4WAKKPUXIVXWFVDS" localSheetId="8" hidden="1">#REF!</definedName>
    <definedName name="BExOHL75H3OT4WAKKPUXIVXWFVDS" localSheetId="19" hidden="1">#REF!</definedName>
    <definedName name="BExOHL75H3OT4WAKKPUXIVXWFVDS" hidden="1">#REF!</definedName>
    <definedName name="BExOHLHXXJL6363CC082M9M5VVXQ" localSheetId="8" hidden="1">#REF!</definedName>
    <definedName name="BExOHLHXXJL6363CC082M9M5VVXQ" localSheetId="19" hidden="1">#REF!</definedName>
    <definedName name="BExOHLHXXJL6363CC082M9M5VVXQ" hidden="1">#REF!</definedName>
    <definedName name="BExOHNAO5UDXSO73BK2ARHWKS90Y" localSheetId="8" hidden="1">#REF!</definedName>
    <definedName name="BExOHNAO5UDXSO73BK2ARHWKS90Y" localSheetId="19" hidden="1">#REF!</definedName>
    <definedName name="BExOHNAO5UDXSO73BK2ARHWKS90Y" hidden="1">#REF!</definedName>
    <definedName name="BExOHR1G1I9A9CI1HG94EWBLWNM2" localSheetId="8" hidden="1">#REF!</definedName>
    <definedName name="BExOHR1G1I9A9CI1HG94EWBLWNM2" localSheetId="19" hidden="1">#REF!</definedName>
    <definedName name="BExOHR1G1I9A9CI1HG94EWBLWNM2" hidden="1">#REF!</definedName>
    <definedName name="BExOHTQPP8LQ98L6PYUI6QW08YID" localSheetId="8" hidden="1">#REF!</definedName>
    <definedName name="BExOHTQPP8LQ98L6PYUI6QW08YID" localSheetId="19" hidden="1">#REF!</definedName>
    <definedName name="BExOHTQPP8LQ98L6PYUI6QW08YID" hidden="1">#REF!</definedName>
    <definedName name="BExOHUHN7UXHYAJFJJFU805UZ0NB" localSheetId="8" hidden="1">#REF!</definedName>
    <definedName name="BExOHUHN7UXHYAJFJJFU805UZ0NB" localSheetId="19" hidden="1">#REF!</definedName>
    <definedName name="BExOHUHN7UXHYAJFJJFU805UZ0NB" hidden="1">#REF!</definedName>
    <definedName name="BExOHX6Q6NJI793PGX59O5EKTP4G" localSheetId="8" hidden="1">#REF!</definedName>
    <definedName name="BExOHX6Q6NJI793PGX59O5EKTP4G" localSheetId="19" hidden="1">#REF!</definedName>
    <definedName name="BExOHX6Q6NJI793PGX59O5EKTP4G" hidden="1">#REF!</definedName>
    <definedName name="BExOI5VMTHH7Y8MQQ1N635CHYI0P" localSheetId="8" hidden="1">#REF!</definedName>
    <definedName name="BExOI5VMTHH7Y8MQQ1N635CHYI0P" localSheetId="19" hidden="1">#REF!</definedName>
    <definedName name="BExOI5VMTHH7Y8MQQ1N635CHYI0P" hidden="1">#REF!</definedName>
    <definedName name="BExOIEVCP4Y6VDS23AK84MCYYHRT" localSheetId="8" hidden="1">#REF!</definedName>
    <definedName name="BExOIEVCP4Y6VDS23AK84MCYYHRT" localSheetId="19" hidden="1">#REF!</definedName>
    <definedName name="BExOIEVCP4Y6VDS23AK84MCYYHRT" hidden="1">#REF!</definedName>
    <definedName name="BExOIFRP0HEHF5D7JSZ0X8ADJ79U" localSheetId="8" hidden="1">#REF!</definedName>
    <definedName name="BExOIFRP0HEHF5D7JSZ0X8ADJ79U" localSheetId="19" hidden="1">#REF!</definedName>
    <definedName name="BExOIFRP0HEHF5D7JSZ0X8ADJ79U" hidden="1">#REF!</definedName>
    <definedName name="BExOIHPQIXR0NDR5WD01BZKPKEO3" localSheetId="8" hidden="1">#REF!</definedName>
    <definedName name="BExOIHPQIXR0NDR5WD01BZKPKEO3" localSheetId="19" hidden="1">#REF!</definedName>
    <definedName name="BExOIHPQIXR0NDR5WD01BZKPKEO3" hidden="1">#REF!</definedName>
    <definedName name="BExOIM7L0Z3LSII9P7ZTV4KJ8RMA" localSheetId="8" hidden="1">#REF!</definedName>
    <definedName name="BExOIM7L0Z3LSII9P7ZTV4KJ8RMA" localSheetId="19" hidden="1">#REF!</definedName>
    <definedName name="BExOIM7L0Z3LSII9P7ZTV4KJ8RMA" hidden="1">#REF!</definedName>
    <definedName name="BExOIWJVMJ6MG6JC4SPD1L00OHU1" localSheetId="8" hidden="1">#REF!</definedName>
    <definedName name="BExOIWJVMJ6MG6JC4SPD1L00OHU1" localSheetId="19" hidden="1">#REF!</definedName>
    <definedName name="BExOIWJVMJ6MG6JC4SPD1L00OHU1" hidden="1">#REF!</definedName>
    <definedName name="BExOIYCN8Z4JK3OOG86KYUCV0ME8" localSheetId="8" hidden="1">#REF!</definedName>
    <definedName name="BExOIYCN8Z4JK3OOG86KYUCV0ME8" localSheetId="19" hidden="1">#REF!</definedName>
    <definedName name="BExOIYCN8Z4JK3OOG86KYUCV0ME8" hidden="1">#REF!</definedName>
    <definedName name="BExOJ3AKZ9BCBZT3KD8WMSLK6MN2" localSheetId="8" hidden="1">#REF!</definedName>
    <definedName name="BExOJ3AKZ9BCBZT3KD8WMSLK6MN2" localSheetId="19" hidden="1">#REF!</definedName>
    <definedName name="BExOJ3AKZ9BCBZT3KD8WMSLK6MN2" hidden="1">#REF!</definedName>
    <definedName name="BExOJ7XQK71I4YZDD29AKOOWZ47E" localSheetId="8" hidden="1">#REF!</definedName>
    <definedName name="BExOJ7XQK71I4YZDD29AKOOWZ47E" localSheetId="19" hidden="1">#REF!</definedName>
    <definedName name="BExOJ7XQK71I4YZDD29AKOOWZ47E" hidden="1">#REF!</definedName>
    <definedName name="BExOJAXS2THXXIJMV2F2LZKMI589" localSheetId="8" hidden="1">#REF!</definedName>
    <definedName name="BExOJAXS2THXXIJMV2F2LZKMI589" localSheetId="19" hidden="1">#REF!</definedName>
    <definedName name="BExOJAXS2THXXIJMV2F2LZKMI589" hidden="1">#REF!</definedName>
    <definedName name="BExOJDXKJ43BMD5CFWEMSU5R1BP9" localSheetId="8" hidden="1">#REF!</definedName>
    <definedName name="BExOJDXKJ43BMD5CFWEMSU5R1BP9" localSheetId="19" hidden="1">#REF!</definedName>
    <definedName name="BExOJDXKJ43BMD5CFWEMSU5R1BP9" hidden="1">#REF!</definedName>
    <definedName name="BExOJHZ9KOD9LEP7ES426LHOCXEY" localSheetId="8" hidden="1">#REF!</definedName>
    <definedName name="BExOJHZ9KOD9LEP7ES426LHOCXEY" localSheetId="19" hidden="1">#REF!</definedName>
    <definedName name="BExOJHZ9KOD9LEP7ES426LHOCXEY" hidden="1">#REF!</definedName>
    <definedName name="BExOJM0W6XGSW5MXPTTX0GNF6SFT" localSheetId="8" hidden="1">#REF!</definedName>
    <definedName name="BExOJM0W6XGSW5MXPTTX0GNF6SFT" localSheetId="19" hidden="1">#REF!</definedName>
    <definedName name="BExOJM0W6XGSW5MXPTTX0GNF6SFT" hidden="1">#REF!</definedName>
    <definedName name="BExOJQ7XL1X94G2GP88DSU6OTRKY" localSheetId="8" hidden="1">#REF!</definedName>
    <definedName name="BExOJQ7XL1X94G2GP88DSU6OTRKY" localSheetId="19" hidden="1">#REF!</definedName>
    <definedName name="BExOJQ7XL1X94G2GP88DSU6OTRKY" hidden="1">#REF!</definedName>
    <definedName name="BExOJXEUJJ9SYRJXKYYV2NCCDT2R" localSheetId="8" hidden="1">#REF!</definedName>
    <definedName name="BExOJXEUJJ9SYRJXKYYV2NCCDT2R" localSheetId="19" hidden="1">#REF!</definedName>
    <definedName name="BExOJXEUJJ9SYRJXKYYV2NCCDT2R" hidden="1">#REF!</definedName>
    <definedName name="BExOK0EQYM9JUMAGWOUN7QDH7VMZ" localSheetId="8" hidden="1">#REF!</definedName>
    <definedName name="BExOK0EQYM9JUMAGWOUN7QDH7VMZ" localSheetId="19" hidden="1">#REF!</definedName>
    <definedName name="BExOK0EQYM9JUMAGWOUN7QDH7VMZ" hidden="1">#REF!</definedName>
    <definedName name="BExOK10DBCM0O0CLRF8BB6EEWGB2" localSheetId="8" hidden="1">#REF!</definedName>
    <definedName name="BExOK10DBCM0O0CLRF8BB6EEWGB2" localSheetId="19" hidden="1">#REF!</definedName>
    <definedName name="BExOK10DBCM0O0CLRF8BB6EEWGB2" hidden="1">#REF!</definedName>
    <definedName name="BExOK45QZPFPJ08Z5BZOFLNGPHCZ" localSheetId="8" hidden="1">#REF!</definedName>
    <definedName name="BExOK45QZPFPJ08Z5BZOFLNGPHCZ" localSheetId="19" hidden="1">#REF!</definedName>
    <definedName name="BExOK45QZPFPJ08Z5BZOFLNGPHCZ" hidden="1">#REF!</definedName>
    <definedName name="BExOK4WM9O7QNG6O57FOASI5QSN1" localSheetId="8" hidden="1">#REF!</definedName>
    <definedName name="BExOK4WM9O7QNG6O57FOASI5QSN1" localSheetId="19" hidden="1">#REF!</definedName>
    <definedName name="BExOK4WM9O7QNG6O57FOASI5QSN1" hidden="1">#REF!</definedName>
    <definedName name="BExOK57E3HXBUDOQB4M87JK9OPNE" localSheetId="8" hidden="1">#REF!</definedName>
    <definedName name="BExOK57E3HXBUDOQB4M87JK9OPNE" localSheetId="19" hidden="1">#REF!</definedName>
    <definedName name="BExOK57E3HXBUDOQB4M87JK9OPNE" hidden="1">#REF!</definedName>
    <definedName name="BExOKJLBFD15HACQ01HQLY1U5SE2" localSheetId="8" hidden="1">#REF!</definedName>
    <definedName name="BExOKJLBFD15HACQ01HQLY1U5SE2" localSheetId="19" hidden="1">#REF!</definedName>
    <definedName name="BExOKJLBFD15HACQ01HQLY1U5SE2" hidden="1">#REF!</definedName>
    <definedName name="BExOKTXMJP351VXKH8VT6SXUNIMF" localSheetId="8" hidden="1">#REF!</definedName>
    <definedName name="BExOKTXMJP351VXKH8VT6SXUNIMF" localSheetId="19" hidden="1">#REF!</definedName>
    <definedName name="BExOKTXMJP351VXKH8VT6SXUNIMF" hidden="1">#REF!</definedName>
    <definedName name="BExOKU8GMLOCNVORDE329819XN67" localSheetId="8" hidden="1">#REF!</definedName>
    <definedName name="BExOKU8GMLOCNVORDE329819XN67" localSheetId="19" hidden="1">#REF!</definedName>
    <definedName name="BExOKU8GMLOCNVORDE329819XN67" hidden="1">#REF!</definedName>
    <definedName name="BExOL0Z3Z7IAMHPB91EO2MF49U57" localSheetId="8" hidden="1">#REF!</definedName>
    <definedName name="BExOL0Z3Z7IAMHPB91EO2MF49U57" localSheetId="19" hidden="1">#REF!</definedName>
    <definedName name="BExOL0Z3Z7IAMHPB91EO2MF49U57" hidden="1">#REF!</definedName>
    <definedName name="BExOL7KH12VAR0LG741SIOJTLWFD" localSheetId="8" hidden="1">#REF!</definedName>
    <definedName name="BExOL7KH12VAR0LG741SIOJTLWFD" localSheetId="19" hidden="1">#REF!</definedName>
    <definedName name="BExOL7KH12VAR0LG741SIOJTLWFD" hidden="1">#REF!</definedName>
    <definedName name="BExOLGUYDBS2V3UOK4DVPUW5JZN7" localSheetId="8" hidden="1">#REF!</definedName>
    <definedName name="BExOLGUYDBS2V3UOK4DVPUW5JZN7" localSheetId="19" hidden="1">#REF!</definedName>
    <definedName name="BExOLGUYDBS2V3UOK4DVPUW5JZN7" hidden="1">#REF!</definedName>
    <definedName name="BExOLICXFHJLILCJVFMJE5MGGWKR" localSheetId="8" hidden="1">#REF!</definedName>
    <definedName name="BExOLICXFHJLILCJVFMJE5MGGWKR" localSheetId="19" hidden="1">#REF!</definedName>
    <definedName name="BExOLICXFHJLILCJVFMJE5MGGWKR" hidden="1">#REF!</definedName>
    <definedName name="BExOLOI0WJS3QC12I3ISL0D9AWOF" localSheetId="8" hidden="1">#REF!</definedName>
    <definedName name="BExOLOI0WJS3QC12I3ISL0D9AWOF" localSheetId="19" hidden="1">#REF!</definedName>
    <definedName name="BExOLOI0WJS3QC12I3ISL0D9AWOF" hidden="1">#REF!</definedName>
    <definedName name="BExOLQ5A7IWI0W12J7315E7LBI0O" localSheetId="8" hidden="1">#REF!</definedName>
    <definedName name="BExOLQ5A7IWI0W12J7315E7LBI0O" localSheetId="19" hidden="1">#REF!</definedName>
    <definedName name="BExOLQ5A7IWI0W12J7315E7LBI0O" hidden="1">#REF!</definedName>
    <definedName name="BExOLYZNG5RBD0BTS1OEZJNU92Q5" localSheetId="8" hidden="1">#REF!</definedName>
    <definedName name="BExOLYZNG5RBD0BTS1OEZJNU92Q5" localSheetId="19" hidden="1">#REF!</definedName>
    <definedName name="BExOLYZNG5RBD0BTS1OEZJNU92Q5" hidden="1">#REF!</definedName>
    <definedName name="BExOM136CSOYSV2NE3NAU04Z4414" localSheetId="8" hidden="1">#REF!</definedName>
    <definedName name="BExOM136CSOYSV2NE3NAU04Z4414" localSheetId="19" hidden="1">#REF!</definedName>
    <definedName name="BExOM136CSOYSV2NE3NAU04Z4414" hidden="1">#REF!</definedName>
    <definedName name="BExOM3HIJ3UZPOKJI68KPBJAHPDC" localSheetId="8" hidden="1">#REF!</definedName>
    <definedName name="BExOM3HIJ3UZPOKJI68KPBJAHPDC" localSheetId="19" hidden="1">#REF!</definedName>
    <definedName name="BExOM3HIJ3UZPOKJI68KPBJAHPDC" hidden="1">#REF!</definedName>
    <definedName name="BExOM5QC0I90GVJG1G7NFAIINKAQ" localSheetId="8" hidden="1">#REF!</definedName>
    <definedName name="BExOM5QC0I90GVJG1G7NFAIINKAQ" localSheetId="19" hidden="1">#REF!</definedName>
    <definedName name="BExOM5QC0I90GVJG1G7NFAIINKAQ" hidden="1">#REF!</definedName>
    <definedName name="BExOMKPURE33YQ3K1JG9NVQD4W49" localSheetId="8" hidden="1">#REF!</definedName>
    <definedName name="BExOMKPURE33YQ3K1JG9NVQD4W49" localSheetId="19" hidden="1">#REF!</definedName>
    <definedName name="BExOMKPURE33YQ3K1JG9NVQD4W49" hidden="1">#REF!</definedName>
    <definedName name="BExOMP7NGCLUNFK50QD2LPKRG078" localSheetId="8" hidden="1">#REF!</definedName>
    <definedName name="BExOMP7NGCLUNFK50QD2LPKRG078" localSheetId="19" hidden="1">#REF!</definedName>
    <definedName name="BExOMP7NGCLUNFK50QD2LPKRG078" hidden="1">#REF!</definedName>
    <definedName name="BExOMPNX2853XA8AUM0BLA7CS86A" localSheetId="8" hidden="1">#REF!</definedName>
    <definedName name="BExOMPNX2853XA8AUM0BLA7CS86A" localSheetId="19" hidden="1">#REF!</definedName>
    <definedName name="BExOMPNX2853XA8AUM0BLA7CS86A" hidden="1">#REF!</definedName>
    <definedName name="BExOMU0A6XMY48SZRYL4WQZD13BI" localSheetId="8" hidden="1">#REF!</definedName>
    <definedName name="BExOMU0A6XMY48SZRYL4WQZD13BI" localSheetId="19" hidden="1">#REF!</definedName>
    <definedName name="BExOMU0A6XMY48SZRYL4WQZD13BI" hidden="1">#REF!</definedName>
    <definedName name="BExOMVT0HSNC59DJP4CLISASGHKL" localSheetId="8" hidden="1">#REF!</definedName>
    <definedName name="BExOMVT0HSNC59DJP4CLISASGHKL" localSheetId="19" hidden="1">#REF!</definedName>
    <definedName name="BExOMVT0HSNC59DJP4CLISASGHKL" hidden="1">#REF!</definedName>
    <definedName name="BExON0AX35F2SI0UCVMGWGVIUNI3" localSheetId="8" hidden="1">#REF!</definedName>
    <definedName name="BExON0AX35F2SI0UCVMGWGVIUNI3" localSheetId="19" hidden="1">#REF!</definedName>
    <definedName name="BExON0AX35F2SI0UCVMGWGVIUNI3" hidden="1">#REF!</definedName>
    <definedName name="BExON1I19LN0T10YIIYC5NE9UGMR" localSheetId="8" hidden="1">#REF!</definedName>
    <definedName name="BExON1I19LN0T10YIIYC5NE9UGMR" localSheetId="19" hidden="1">#REF!</definedName>
    <definedName name="BExON1I19LN0T10YIIYC5NE9UGMR" hidden="1">#REF!</definedName>
    <definedName name="BExON41U4296DV3DPG6I5EF3OEYF" localSheetId="8" hidden="1">#REF!</definedName>
    <definedName name="BExON41U4296DV3DPG6I5EF3OEYF" localSheetId="19" hidden="1">#REF!</definedName>
    <definedName name="BExON41U4296DV3DPG6I5EF3OEYF" hidden="1">#REF!</definedName>
    <definedName name="BExONB3A7CO4YD8RB41PHC93BQ9M" localSheetId="8" hidden="1">#REF!</definedName>
    <definedName name="BExONB3A7CO4YD8RB41PHC93BQ9M" localSheetId="19" hidden="1">#REF!</definedName>
    <definedName name="BExONB3A7CO4YD8RB41PHC93BQ9M" hidden="1">#REF!</definedName>
    <definedName name="BExONFQH6UUXF8V0GI4BRIST9RFO" localSheetId="8" hidden="1">#REF!</definedName>
    <definedName name="BExONFQH6UUXF8V0GI4BRIST9RFO" localSheetId="19" hidden="1">#REF!</definedName>
    <definedName name="BExONFQH6UUXF8V0GI4BRIST9RFO" hidden="1">#REF!</definedName>
    <definedName name="BExONIL31DZWU7IFVN3VV0XTXJA1" localSheetId="8" hidden="1">#REF!</definedName>
    <definedName name="BExONIL31DZWU7IFVN3VV0XTXJA1" localSheetId="19" hidden="1">#REF!</definedName>
    <definedName name="BExONIL31DZWU7IFVN3VV0XTXJA1" hidden="1">#REF!</definedName>
    <definedName name="BExONJ1BU17R0F5A2UP1UGJBOGKS" localSheetId="8" hidden="1">#REF!</definedName>
    <definedName name="BExONJ1BU17R0F5A2UP1UGJBOGKS" localSheetId="19" hidden="1">#REF!</definedName>
    <definedName name="BExONJ1BU17R0F5A2UP1UGJBOGKS" hidden="1">#REF!</definedName>
    <definedName name="BExONKZDHE8SS0P4YRLGEQR9KYHF" localSheetId="8" hidden="1">#REF!</definedName>
    <definedName name="BExONKZDHE8SS0P4YRLGEQR9KYHF" localSheetId="19" hidden="1">#REF!</definedName>
    <definedName name="BExONKZDHE8SS0P4YRLGEQR9KYHF" hidden="1">#REF!</definedName>
    <definedName name="BExONNZ9VMHVX3J6NLNJY7KZA61O" localSheetId="8" hidden="1">#REF!</definedName>
    <definedName name="BExONNZ9VMHVX3J6NLNJY7KZA61O" localSheetId="19" hidden="1">#REF!</definedName>
    <definedName name="BExONNZ9VMHVX3J6NLNJY7KZA61O" hidden="1">#REF!</definedName>
    <definedName name="BExONRQ1BAA4F3TXP2MYQ4YCZ09S" localSheetId="8" hidden="1">#REF!</definedName>
    <definedName name="BExONRQ1BAA4F3TXP2MYQ4YCZ09S" localSheetId="19" hidden="1">#REF!</definedName>
    <definedName name="BExONRQ1BAA4F3TXP2MYQ4YCZ09S" hidden="1">#REF!</definedName>
    <definedName name="BExONU4ENMND8RLZX0L5EHPYQQSB" localSheetId="8" hidden="1">#REF!</definedName>
    <definedName name="BExONU4ENMND8RLZX0L5EHPYQQSB" localSheetId="19" hidden="1">#REF!</definedName>
    <definedName name="BExONU4ENMND8RLZX0L5EHPYQQSB" hidden="1">#REF!</definedName>
    <definedName name="BExONXPUEU6ZRSIX4PDJ1DXY679I" localSheetId="8" hidden="1">#REF!</definedName>
    <definedName name="BExONXPUEU6ZRSIX4PDJ1DXY679I" localSheetId="19" hidden="1">#REF!</definedName>
    <definedName name="BExONXPUEU6ZRSIX4PDJ1DXY679I" hidden="1">#REF!</definedName>
    <definedName name="BExOO0KEG2WL5WKKMHN0S2UTIUNG" localSheetId="8" hidden="1">#REF!</definedName>
    <definedName name="BExOO0KEG2WL5WKKMHN0S2UTIUNG" localSheetId="19" hidden="1">#REF!</definedName>
    <definedName name="BExOO0KEG2WL5WKKMHN0S2UTIUNG" hidden="1">#REF!</definedName>
    <definedName name="BExOO1WWIZSGB0YTGKESB45TSVMZ" localSheetId="8" hidden="1">#REF!</definedName>
    <definedName name="BExOO1WWIZSGB0YTGKESB45TSVMZ" localSheetId="19" hidden="1">#REF!</definedName>
    <definedName name="BExOO1WWIZSGB0YTGKESB45TSVMZ" hidden="1">#REF!</definedName>
    <definedName name="BExOO4B8FPAFYPHCTYTX37P1TQM5" localSheetId="8" hidden="1">#REF!</definedName>
    <definedName name="BExOO4B8FPAFYPHCTYTX37P1TQM5" localSheetId="19" hidden="1">#REF!</definedName>
    <definedName name="BExOO4B8FPAFYPHCTYTX37P1TQM5" hidden="1">#REF!</definedName>
    <definedName name="BExOOIULUDOJRMYABWV5CCL906X6" localSheetId="8" hidden="1">#REF!</definedName>
    <definedName name="BExOOIULUDOJRMYABWV5CCL906X6" localSheetId="19" hidden="1">#REF!</definedName>
    <definedName name="BExOOIULUDOJRMYABWV5CCL906X6" hidden="1">#REF!</definedName>
    <definedName name="BExOOJLIWKJW5S7XWJXD8TYV5HQ9" localSheetId="8" hidden="1">#REF!</definedName>
    <definedName name="BExOOJLIWKJW5S7XWJXD8TYV5HQ9" localSheetId="19" hidden="1">#REF!</definedName>
    <definedName name="BExOOJLIWKJW5S7XWJXD8TYV5HQ9" hidden="1">#REF!</definedName>
    <definedName name="BExOOQ1JVWQ9LYXD0V94BRXKTA1I" localSheetId="8" hidden="1">#REF!</definedName>
    <definedName name="BExOOQ1JVWQ9LYXD0V94BRXKTA1I" localSheetId="19" hidden="1">#REF!</definedName>
    <definedName name="BExOOQ1JVWQ9LYXD0V94BRXKTA1I" hidden="1">#REF!</definedName>
    <definedName name="BExOOTN0KTXJCL7E476XBN1CJ553" localSheetId="8" hidden="1">#REF!</definedName>
    <definedName name="BExOOTN0KTXJCL7E476XBN1CJ553" localSheetId="19" hidden="1">#REF!</definedName>
    <definedName name="BExOOTN0KTXJCL7E476XBN1CJ553" hidden="1">#REF!</definedName>
    <definedName name="BExOOVVUJIJNAYDICUUQQ9O7O3TW" localSheetId="8" hidden="1">#REF!</definedName>
    <definedName name="BExOOVVUJIJNAYDICUUQQ9O7O3TW" localSheetId="19" hidden="1">#REF!</definedName>
    <definedName name="BExOOVVUJIJNAYDICUUQQ9O7O3TW" hidden="1">#REF!</definedName>
    <definedName name="BExOP9DDU5MZJKWGFT0MKL44YKIV" localSheetId="8" hidden="1">#REF!</definedName>
    <definedName name="BExOP9DDU5MZJKWGFT0MKL44YKIV" localSheetId="19" hidden="1">#REF!</definedName>
    <definedName name="BExOP9DDU5MZJKWGFT0MKL44YKIV" hidden="1">#REF!</definedName>
    <definedName name="BExOP9DEBV5W5P4Q25J3XCJBP5S9" localSheetId="8" hidden="1">#REF!</definedName>
    <definedName name="BExOP9DEBV5W5P4Q25J3XCJBP5S9" localSheetId="19" hidden="1">#REF!</definedName>
    <definedName name="BExOP9DEBV5W5P4Q25J3XCJBP5S9" hidden="1">#REF!</definedName>
    <definedName name="BExOPFNYRBL0BFM23LZBJTADNOE4" localSheetId="8" hidden="1">#REF!</definedName>
    <definedName name="BExOPFNYRBL0BFM23LZBJTADNOE4" localSheetId="19" hidden="1">#REF!</definedName>
    <definedName name="BExOPFNYRBL0BFM23LZBJTADNOE4" hidden="1">#REF!</definedName>
    <definedName name="BExOPINVFSIZMCVT9YGT2AODVCX3" localSheetId="8" hidden="1">#REF!</definedName>
    <definedName name="BExOPINVFSIZMCVT9YGT2AODVCX3" localSheetId="19" hidden="1">#REF!</definedName>
    <definedName name="BExOPINVFSIZMCVT9YGT2AODVCX3" hidden="1">#REF!</definedName>
    <definedName name="BExOQ1JN4SAC44RTMZIGHSW023WA" localSheetId="8" hidden="1">#REF!</definedName>
    <definedName name="BExOQ1JN4SAC44RTMZIGHSW023WA" localSheetId="19" hidden="1">#REF!</definedName>
    <definedName name="BExOQ1JN4SAC44RTMZIGHSW023WA" hidden="1">#REF!</definedName>
    <definedName name="BExOQ256YMF115DJL3KBPNKABJ90" localSheetId="8" hidden="1">#REF!</definedName>
    <definedName name="BExOQ256YMF115DJL3KBPNKABJ90" localSheetId="19" hidden="1">#REF!</definedName>
    <definedName name="BExOQ256YMF115DJL3KBPNKABJ90" hidden="1">#REF!</definedName>
    <definedName name="BExQ19DEUOLC11IW32E2AMVZLFF1" localSheetId="8" hidden="1">#REF!</definedName>
    <definedName name="BExQ19DEUOLC11IW32E2AMVZLFF1" localSheetId="19" hidden="1">#REF!</definedName>
    <definedName name="BExQ19DEUOLC11IW32E2AMVZLFF1" hidden="1">#REF!</definedName>
    <definedName name="BExQ1OCW3L24TN0BYVRE2NE3IK1O" localSheetId="8" hidden="1">#REF!</definedName>
    <definedName name="BExQ1OCW3L24TN0BYVRE2NE3IK1O" localSheetId="19" hidden="1">#REF!</definedName>
    <definedName name="BExQ1OCW3L24TN0BYVRE2NE3IK1O" hidden="1">#REF!</definedName>
    <definedName name="BExQ29C73XR33S3668YYSYZAIHTG" localSheetId="8" hidden="1">#REF!</definedName>
    <definedName name="BExQ29C73XR33S3668YYSYZAIHTG" localSheetId="19" hidden="1">#REF!</definedName>
    <definedName name="BExQ29C73XR33S3668YYSYZAIHTG" hidden="1">#REF!</definedName>
    <definedName name="BExQ2FS228IUDUP2023RA1D4AO4C" localSheetId="8" hidden="1">#REF!</definedName>
    <definedName name="BExQ2FS228IUDUP2023RA1D4AO4C" localSheetId="19" hidden="1">#REF!</definedName>
    <definedName name="BExQ2FS228IUDUP2023RA1D4AO4C" hidden="1">#REF!</definedName>
    <definedName name="BExQ2L0XYWLY9VPZWXYYFRIRQRJ1" localSheetId="8" hidden="1">#REF!</definedName>
    <definedName name="BExQ2L0XYWLY9VPZWXYYFRIRQRJ1" localSheetId="19" hidden="1">#REF!</definedName>
    <definedName name="BExQ2L0XYWLY9VPZWXYYFRIRQRJ1" hidden="1">#REF!</definedName>
    <definedName name="BExQ2M841F5Z1BQYR8DG5FKK0LIU" localSheetId="8" hidden="1">#REF!</definedName>
    <definedName name="BExQ2M841F5Z1BQYR8DG5FKK0LIU" localSheetId="19" hidden="1">#REF!</definedName>
    <definedName name="BExQ2M841F5Z1BQYR8DG5FKK0LIU" hidden="1">#REF!</definedName>
    <definedName name="BExQ2STHO7AXYTS1VPPHQMX1WT30" localSheetId="8" hidden="1">#REF!</definedName>
    <definedName name="BExQ2STHO7AXYTS1VPPHQMX1WT30" localSheetId="19" hidden="1">#REF!</definedName>
    <definedName name="BExQ2STHO7AXYTS1VPPHQMX1WT30" hidden="1">#REF!</definedName>
    <definedName name="BExQ2XWXHMQMQ99FF9293AEQHABB" localSheetId="8" hidden="1">#REF!</definedName>
    <definedName name="BExQ2XWXHMQMQ99FF9293AEQHABB" localSheetId="19" hidden="1">#REF!</definedName>
    <definedName name="BExQ2XWXHMQMQ99FF9293AEQHABB" hidden="1">#REF!</definedName>
    <definedName name="BExQ300G8I8TK45A0MVHV15422EU" localSheetId="8" hidden="1">#REF!</definedName>
    <definedName name="BExQ300G8I8TK45A0MVHV15422EU" localSheetId="19" hidden="1">#REF!</definedName>
    <definedName name="BExQ300G8I8TK45A0MVHV15422EU" hidden="1">#REF!</definedName>
    <definedName name="BExQ305RBEODGNAETZ0EZQLLDZZD" localSheetId="8" hidden="1">#REF!</definedName>
    <definedName name="BExQ305RBEODGNAETZ0EZQLLDZZD" localSheetId="19" hidden="1">#REF!</definedName>
    <definedName name="BExQ305RBEODGNAETZ0EZQLLDZZD" hidden="1">#REF!</definedName>
    <definedName name="BExQ37SZQJSC2C73FY2IJY852LVP" localSheetId="8" hidden="1">#REF!</definedName>
    <definedName name="BExQ37SZQJSC2C73FY2IJY852LVP" localSheetId="19" hidden="1">#REF!</definedName>
    <definedName name="BExQ37SZQJSC2C73FY2IJY852LVP" hidden="1">#REF!</definedName>
    <definedName name="BExQ39R28MXSG2SEV956F0KZ20AN" localSheetId="8" hidden="1">#REF!</definedName>
    <definedName name="BExQ39R28MXSG2SEV956F0KZ20AN" localSheetId="19" hidden="1">#REF!</definedName>
    <definedName name="BExQ39R28MXSG2SEV956F0KZ20AN" hidden="1">#REF!</definedName>
    <definedName name="BExQ3D1P3M5Z3HLMEZ17E0BLEE4U" localSheetId="8" hidden="1">#REF!</definedName>
    <definedName name="BExQ3D1P3M5Z3HLMEZ17E0BLEE4U" localSheetId="19" hidden="1">#REF!</definedName>
    <definedName name="BExQ3D1P3M5Z3HLMEZ17E0BLEE4U" hidden="1">#REF!</definedName>
    <definedName name="BExQ3EZX6BA2WHKI84SG78UPRTSE" localSheetId="8" hidden="1">#REF!</definedName>
    <definedName name="BExQ3EZX6BA2WHKI84SG78UPRTSE" localSheetId="19" hidden="1">#REF!</definedName>
    <definedName name="BExQ3EZX6BA2WHKI84SG78UPRTSE" hidden="1">#REF!</definedName>
    <definedName name="BExQ3KOX6620WUSBG7PGACNC936P" localSheetId="8" hidden="1">#REF!</definedName>
    <definedName name="BExQ3KOX6620WUSBG7PGACNC936P" localSheetId="19" hidden="1">#REF!</definedName>
    <definedName name="BExQ3KOX6620WUSBG7PGACNC936P" hidden="1">#REF!</definedName>
    <definedName name="BExQ3O4W7QF8BOXTUT4IOGF6YKUD" localSheetId="8" hidden="1">#REF!</definedName>
    <definedName name="BExQ3O4W7QF8BOXTUT4IOGF6YKUD" localSheetId="19" hidden="1">#REF!</definedName>
    <definedName name="BExQ3O4W7QF8BOXTUT4IOGF6YKUD" hidden="1">#REF!</definedName>
    <definedName name="BExQ3PXOWSN8561ZR8IEY8ZASI3B" localSheetId="8" hidden="1">#REF!</definedName>
    <definedName name="BExQ3PXOWSN8561ZR8IEY8ZASI3B" localSheetId="19" hidden="1">#REF!</definedName>
    <definedName name="BExQ3PXOWSN8561ZR8IEY8ZASI3B" hidden="1">#REF!</definedName>
    <definedName name="BExQ3TZF04IPY0B0UG9CQQ5736UA" localSheetId="8" hidden="1">#REF!</definedName>
    <definedName name="BExQ3TZF04IPY0B0UG9CQQ5736UA" localSheetId="19" hidden="1">#REF!</definedName>
    <definedName name="BExQ3TZF04IPY0B0UG9CQQ5736UA" hidden="1">#REF!</definedName>
    <definedName name="BExQ42IU9MNDYLODP41DL6YTZMAR" localSheetId="8" hidden="1">#REF!</definedName>
    <definedName name="BExQ42IU9MNDYLODP41DL6YTZMAR" localSheetId="19" hidden="1">#REF!</definedName>
    <definedName name="BExQ42IU9MNDYLODP41DL6YTZMAR" hidden="1">#REF!</definedName>
    <definedName name="BExQ42O4PHH156IHXSW0JAYAC0NJ" localSheetId="8" hidden="1">#REF!</definedName>
    <definedName name="BExQ42O4PHH156IHXSW0JAYAC0NJ" localSheetId="19" hidden="1">#REF!</definedName>
    <definedName name="BExQ42O4PHH156IHXSW0JAYAC0NJ" hidden="1">#REF!</definedName>
    <definedName name="BExQ452HF7N1HYPXJXQ8WD6SOWUV" localSheetId="8" hidden="1">#REF!</definedName>
    <definedName name="BExQ452HF7N1HYPXJXQ8WD6SOWUV" localSheetId="19" hidden="1">#REF!</definedName>
    <definedName name="BExQ452HF7N1HYPXJXQ8WD6SOWUV" hidden="1">#REF!</definedName>
    <definedName name="BExQ4BTBSHPHVEDRCXC2ROW8PLFC" localSheetId="8" hidden="1">#REF!</definedName>
    <definedName name="BExQ4BTBSHPHVEDRCXC2ROW8PLFC" localSheetId="19" hidden="1">#REF!</definedName>
    <definedName name="BExQ4BTBSHPHVEDRCXC2ROW8PLFC" hidden="1">#REF!</definedName>
    <definedName name="BExQ4DGKF54SRKQUTUT4B1CZSS62" localSheetId="8" hidden="1">#REF!</definedName>
    <definedName name="BExQ4DGKF54SRKQUTUT4B1CZSS62" localSheetId="19" hidden="1">#REF!</definedName>
    <definedName name="BExQ4DGKF54SRKQUTUT4B1CZSS62" hidden="1">#REF!</definedName>
    <definedName name="BExQ4T74LQ5PYTV1MUQUW75A4BDY" localSheetId="8" hidden="1">#REF!</definedName>
    <definedName name="BExQ4T74LQ5PYTV1MUQUW75A4BDY" localSheetId="19" hidden="1">#REF!</definedName>
    <definedName name="BExQ4T74LQ5PYTV1MUQUW75A4BDY" hidden="1">#REF!</definedName>
    <definedName name="BExQ4XJHD7EJCNH7S1MJDZJ2MNWG" localSheetId="8" hidden="1">#REF!</definedName>
    <definedName name="BExQ4XJHD7EJCNH7S1MJDZJ2MNWG" localSheetId="19" hidden="1">#REF!</definedName>
    <definedName name="BExQ4XJHD7EJCNH7S1MJDZJ2MNWG" hidden="1">#REF!</definedName>
    <definedName name="BExQ5039ZCEWBUJHU682G4S89J03" localSheetId="8" hidden="1">#REF!</definedName>
    <definedName name="BExQ5039ZCEWBUJHU682G4S89J03" localSheetId="19" hidden="1">#REF!</definedName>
    <definedName name="BExQ5039ZCEWBUJHU682G4S89J03" hidden="1">#REF!</definedName>
    <definedName name="BExQ56Z9W6YHZHRXOFFI8EFA7CDI" localSheetId="8" hidden="1">#REF!</definedName>
    <definedName name="BExQ56Z9W6YHZHRXOFFI8EFA7CDI" localSheetId="19" hidden="1">#REF!</definedName>
    <definedName name="BExQ56Z9W6YHZHRXOFFI8EFA7CDI" hidden="1">#REF!</definedName>
    <definedName name="BExQ58MP5FO5Q5CIXVMMYWWPEFW3" localSheetId="8" hidden="1">#REF!</definedName>
    <definedName name="BExQ58MP5FO5Q5CIXVMMYWWPEFW3" localSheetId="19" hidden="1">#REF!</definedName>
    <definedName name="BExQ58MP5FO5Q5CIXVMMYWWPEFW3" hidden="1">#REF!</definedName>
    <definedName name="BExQ5KX3Z668H1KUCKZ9J24HUQ1F" localSheetId="8" hidden="1">#REF!</definedName>
    <definedName name="BExQ5KX3Z668H1KUCKZ9J24HUQ1F" localSheetId="19" hidden="1">#REF!</definedName>
    <definedName name="BExQ5KX3Z668H1KUCKZ9J24HUQ1F" hidden="1">#REF!</definedName>
    <definedName name="BExQ5SPMSOCJYLAY20NB5A6O32RE" localSheetId="8" hidden="1">#REF!</definedName>
    <definedName name="BExQ5SPMSOCJYLAY20NB5A6O32RE" localSheetId="19" hidden="1">#REF!</definedName>
    <definedName name="BExQ5SPMSOCJYLAY20NB5A6O32RE" hidden="1">#REF!</definedName>
    <definedName name="BExQ5UICMGTMK790KTLK49MAGXRC" localSheetId="8" hidden="1">#REF!</definedName>
    <definedName name="BExQ5UICMGTMK790KTLK49MAGXRC" localSheetId="19" hidden="1">#REF!</definedName>
    <definedName name="BExQ5UICMGTMK790KTLK49MAGXRC" hidden="1">#REF!</definedName>
    <definedName name="BExQ5YUUK9FD0QGTY4WD0W90O7OL" localSheetId="8" hidden="1">#REF!</definedName>
    <definedName name="BExQ5YUUK9FD0QGTY4WD0W90O7OL" localSheetId="19" hidden="1">#REF!</definedName>
    <definedName name="BExQ5YUUK9FD0QGTY4WD0W90O7OL" hidden="1">#REF!</definedName>
    <definedName name="BExQ62WGBSDPG7ZU34W0N8X45R3X" localSheetId="8" hidden="1">#REF!</definedName>
    <definedName name="BExQ62WGBSDPG7ZU34W0N8X45R3X" localSheetId="19" hidden="1">#REF!</definedName>
    <definedName name="BExQ62WGBSDPG7ZU34W0N8X45R3X" hidden="1">#REF!</definedName>
    <definedName name="BExQ63793YQ9BH7JLCNRIATIGTRG" localSheetId="8" hidden="1">#REF!</definedName>
    <definedName name="BExQ63793YQ9BH7JLCNRIATIGTRG" localSheetId="19" hidden="1">#REF!</definedName>
    <definedName name="BExQ63793YQ9BH7JLCNRIATIGTRG" hidden="1">#REF!</definedName>
    <definedName name="BExQ6CN1EF2UPZ57ZYMGK8TUJQSS" localSheetId="8" hidden="1">#REF!</definedName>
    <definedName name="BExQ6CN1EF2UPZ57ZYMGK8TUJQSS" localSheetId="19" hidden="1">#REF!</definedName>
    <definedName name="BExQ6CN1EF2UPZ57ZYMGK8TUJQSS" hidden="1">#REF!</definedName>
    <definedName name="BExQ6FSF8BMWVLJI7Y7MKPG9SU5O" localSheetId="8" hidden="1">#REF!</definedName>
    <definedName name="BExQ6FSF8BMWVLJI7Y7MKPG9SU5O" localSheetId="19" hidden="1">#REF!</definedName>
    <definedName name="BExQ6FSF8BMWVLJI7Y7MKPG9SU5O" hidden="1">#REF!</definedName>
    <definedName name="BExQ6M2YXJ8AMRJF3QGHC40ADAHZ" localSheetId="8" hidden="1">#REF!</definedName>
    <definedName name="BExQ6M2YXJ8AMRJF3QGHC40ADAHZ" localSheetId="19" hidden="1">#REF!</definedName>
    <definedName name="BExQ6M2YXJ8AMRJF3QGHC40ADAHZ" hidden="1">#REF!</definedName>
    <definedName name="BExQ6M8B0X44N9TV56ATUVHGDI00" localSheetId="8" hidden="1">#REF!</definedName>
    <definedName name="BExQ6M8B0X44N9TV56ATUVHGDI00" localSheetId="19" hidden="1">#REF!</definedName>
    <definedName name="BExQ6M8B0X44N9TV56ATUVHGDI00" hidden="1">#REF!</definedName>
    <definedName name="BExQ6POH065GV0I74XXVD0VUPBJW" localSheetId="8" hidden="1">#REF!</definedName>
    <definedName name="BExQ6POH065GV0I74XXVD0VUPBJW" localSheetId="19" hidden="1">#REF!</definedName>
    <definedName name="BExQ6POH065GV0I74XXVD0VUPBJW" hidden="1">#REF!</definedName>
    <definedName name="BExQ6WV9KPSMXPPLGZ3KK4WNYTHU" localSheetId="8" hidden="1">#REF!</definedName>
    <definedName name="BExQ6WV9KPSMXPPLGZ3KK4WNYTHU" localSheetId="19" hidden="1">#REF!</definedName>
    <definedName name="BExQ6WV9KPSMXPPLGZ3KK4WNYTHU" hidden="1">#REF!</definedName>
    <definedName name="BExQ7541G92R52ECOIYO6UXIWJJ4" localSheetId="8" hidden="1">#REF!</definedName>
    <definedName name="BExQ7541G92R52ECOIYO6UXIWJJ4" localSheetId="19" hidden="1">#REF!</definedName>
    <definedName name="BExQ7541G92R52ECOIYO6UXIWJJ4" hidden="1">#REF!</definedName>
    <definedName name="BExQ783XTMM2A9I3UKCFWJH1PP2N" localSheetId="8" hidden="1">#REF!</definedName>
    <definedName name="BExQ783XTMM2A9I3UKCFWJH1PP2N" localSheetId="19" hidden="1">#REF!</definedName>
    <definedName name="BExQ783XTMM2A9I3UKCFWJH1PP2N" hidden="1">#REF!</definedName>
    <definedName name="BExQ79LX01ZPQB8EGD1ZHR2VK2H3" localSheetId="8" hidden="1">#REF!</definedName>
    <definedName name="BExQ79LX01ZPQB8EGD1ZHR2VK2H3" localSheetId="19" hidden="1">#REF!</definedName>
    <definedName name="BExQ79LX01ZPQB8EGD1ZHR2VK2H3" hidden="1">#REF!</definedName>
    <definedName name="BExQ7B3V9MGDK2OIJ61XXFBFLJFZ" localSheetId="8" hidden="1">#REF!</definedName>
    <definedName name="BExQ7B3V9MGDK2OIJ61XXFBFLJFZ" localSheetId="19" hidden="1">#REF!</definedName>
    <definedName name="BExQ7B3V9MGDK2OIJ61XXFBFLJFZ" hidden="1">#REF!</definedName>
    <definedName name="BExQ7CB046NVPF9ZXDGA7OXOLSLX" localSheetId="8" hidden="1">#REF!</definedName>
    <definedName name="BExQ7CB046NVPF9ZXDGA7OXOLSLX" localSheetId="19" hidden="1">#REF!</definedName>
    <definedName name="BExQ7CB046NVPF9ZXDGA7OXOLSLX" hidden="1">#REF!</definedName>
    <definedName name="BExQ7IWDCGGOO1HTJ97YGO1CK3R9" localSheetId="8" hidden="1">#REF!</definedName>
    <definedName name="BExQ7IWDCGGOO1HTJ97YGO1CK3R9" localSheetId="19" hidden="1">#REF!</definedName>
    <definedName name="BExQ7IWDCGGOO1HTJ97YGO1CK3R9" hidden="1">#REF!</definedName>
    <definedName name="BExQ7JNFIEGS2HKNBALH3Q2N5G7Z" localSheetId="8" hidden="1">#REF!</definedName>
    <definedName name="BExQ7JNFIEGS2HKNBALH3Q2N5G7Z" localSheetId="19" hidden="1">#REF!</definedName>
    <definedName name="BExQ7JNFIEGS2HKNBALH3Q2N5G7Z" hidden="1">#REF!</definedName>
    <definedName name="BExQ7MY3U2Z1IZ71U5LJUD00VVB4" localSheetId="8" hidden="1">#REF!</definedName>
    <definedName name="BExQ7MY3U2Z1IZ71U5LJUD00VVB4" localSheetId="19" hidden="1">#REF!</definedName>
    <definedName name="BExQ7MY3U2Z1IZ71U5LJUD00VVB4" hidden="1">#REF!</definedName>
    <definedName name="BExQ7XL2Q1GVUFL1F9KK0K0EXMWG" localSheetId="8" hidden="1">#REF!</definedName>
    <definedName name="BExQ7XL2Q1GVUFL1F9KK0K0EXMWG" localSheetId="19" hidden="1">#REF!</definedName>
    <definedName name="BExQ7XL2Q1GVUFL1F9KK0K0EXMWG" hidden="1">#REF!</definedName>
    <definedName name="BExQ8469L3ZRZ3KYZPYMSJIDL7Y5" localSheetId="8" hidden="1">#REF!</definedName>
    <definedName name="BExQ8469L3ZRZ3KYZPYMSJIDL7Y5" localSheetId="19" hidden="1">#REF!</definedName>
    <definedName name="BExQ8469L3ZRZ3KYZPYMSJIDL7Y5" hidden="1">#REF!</definedName>
    <definedName name="BExQ84MJB94HL3BWRN50M4NCB6Z0" localSheetId="8" hidden="1">#REF!</definedName>
    <definedName name="BExQ84MJB94HL3BWRN50M4NCB6Z0" localSheetId="19" hidden="1">#REF!</definedName>
    <definedName name="BExQ84MJB94HL3BWRN50M4NCB6Z0" hidden="1">#REF!</definedName>
    <definedName name="BExQ8583ZE00NW7T9OF11OT9IA14" localSheetId="8" hidden="1">#REF!</definedName>
    <definedName name="BExQ8583ZE00NW7T9OF11OT9IA14" localSheetId="19" hidden="1">#REF!</definedName>
    <definedName name="BExQ8583ZE00NW7T9OF11OT9IA14" hidden="1">#REF!</definedName>
    <definedName name="BExQ8A0RPE3IMIFIZLUE7KD2N21W" localSheetId="8" hidden="1">#REF!</definedName>
    <definedName name="BExQ8A0RPE3IMIFIZLUE7KD2N21W" localSheetId="19" hidden="1">#REF!</definedName>
    <definedName name="BExQ8A0RPE3IMIFIZLUE7KD2N21W" hidden="1">#REF!</definedName>
    <definedName name="BExQ8ABK6H1ADV2R2OYT8NFFYG2N" localSheetId="8" hidden="1">#REF!</definedName>
    <definedName name="BExQ8ABK6H1ADV2R2OYT8NFFYG2N" localSheetId="19" hidden="1">#REF!</definedName>
    <definedName name="BExQ8ABK6H1ADV2R2OYT8NFFYG2N" hidden="1">#REF!</definedName>
    <definedName name="BExQ8DM90XJ6GCJIK9LC5O82I2TJ" localSheetId="8" hidden="1">#REF!</definedName>
    <definedName name="BExQ8DM90XJ6GCJIK9LC5O82I2TJ" localSheetId="19" hidden="1">#REF!</definedName>
    <definedName name="BExQ8DM90XJ6GCJIK9LC5O82I2TJ" hidden="1">#REF!</definedName>
    <definedName name="BExQ8G0K46ZORA0QVQTDI7Z8LXGF" localSheetId="8" hidden="1">#REF!</definedName>
    <definedName name="BExQ8G0K46ZORA0QVQTDI7Z8LXGF" localSheetId="19" hidden="1">#REF!</definedName>
    <definedName name="BExQ8G0K46ZORA0QVQTDI7Z8LXGF" hidden="1">#REF!</definedName>
    <definedName name="BExQ8O3WEU8HNTTGKTW5T0QSKCLP" localSheetId="8" hidden="1">#REF!</definedName>
    <definedName name="BExQ8O3WEU8HNTTGKTW5T0QSKCLP" localSheetId="19" hidden="1">#REF!</definedName>
    <definedName name="BExQ8O3WEU8HNTTGKTW5T0QSKCLP" hidden="1">#REF!</definedName>
    <definedName name="BExQ8ZCEDBOBJA3D9LDP5TU2WYGR" localSheetId="8" hidden="1">#REF!</definedName>
    <definedName name="BExQ8ZCEDBOBJA3D9LDP5TU2WYGR" localSheetId="19" hidden="1">#REF!</definedName>
    <definedName name="BExQ8ZCEDBOBJA3D9LDP5TU2WYGR" hidden="1">#REF!</definedName>
    <definedName name="BExQ94LAW6MAQBWY25WTBFV5PPZJ" localSheetId="8" hidden="1">#REF!</definedName>
    <definedName name="BExQ94LAW6MAQBWY25WTBFV5PPZJ" localSheetId="19" hidden="1">#REF!</definedName>
    <definedName name="BExQ94LAW6MAQBWY25WTBFV5PPZJ" hidden="1">#REF!</definedName>
    <definedName name="BExQ968K8V66L55PCVI3B4VR4FW6" localSheetId="8" hidden="1">#REF!</definedName>
    <definedName name="BExQ968K8V66L55PCVI3B4VR4FW6" localSheetId="19" hidden="1">#REF!</definedName>
    <definedName name="BExQ968K8V66L55PCVI3B4VR4FW6" hidden="1">#REF!</definedName>
    <definedName name="BExQ97QIPOSSRK978N8P234Y1XA4" localSheetId="8" hidden="1">#REF!</definedName>
    <definedName name="BExQ97QIPOSSRK978N8P234Y1XA4" localSheetId="19" hidden="1">#REF!</definedName>
    <definedName name="BExQ97QIPOSSRK978N8P234Y1XA4" hidden="1">#REF!</definedName>
    <definedName name="BExQ9DFHXLBKBS9DWH05G83SL12Z" localSheetId="8" hidden="1">#REF!</definedName>
    <definedName name="BExQ9DFHXLBKBS9DWH05G83SL12Z" localSheetId="19" hidden="1">#REF!</definedName>
    <definedName name="BExQ9DFHXLBKBS9DWH05G83SL12Z" hidden="1">#REF!</definedName>
    <definedName name="BExQ9E6FBAXTHGF3RXANFIA77GXP" localSheetId="8" hidden="1">#REF!</definedName>
    <definedName name="BExQ9E6FBAXTHGF3RXANFIA77GXP" localSheetId="19" hidden="1">#REF!</definedName>
    <definedName name="BExQ9E6FBAXTHGF3RXANFIA77GXP" hidden="1">#REF!</definedName>
    <definedName name="BExQ9J4ID0TGFFFJSQ9PFAMXOYZ1" localSheetId="8" hidden="1">#REF!</definedName>
    <definedName name="BExQ9J4ID0TGFFFJSQ9PFAMXOYZ1" localSheetId="19" hidden="1">#REF!</definedName>
    <definedName name="BExQ9J4ID0TGFFFJSQ9PFAMXOYZ1" hidden="1">#REF!</definedName>
    <definedName name="BExQ9KX9734KIAK7IMRLHCPYDHO2" localSheetId="8" hidden="1">#REF!</definedName>
    <definedName name="BExQ9KX9734KIAK7IMRLHCPYDHO2" localSheetId="19" hidden="1">#REF!</definedName>
    <definedName name="BExQ9KX9734KIAK7IMRLHCPYDHO2" hidden="1">#REF!</definedName>
    <definedName name="BExQ9L81FF4I7816VTPFBDWVU4CW" localSheetId="8" hidden="1">#REF!</definedName>
    <definedName name="BExQ9L81FF4I7816VTPFBDWVU4CW" localSheetId="19" hidden="1">#REF!</definedName>
    <definedName name="BExQ9L81FF4I7816VTPFBDWVU4CW" hidden="1">#REF!</definedName>
    <definedName name="BExQ9M4E2ACZOWWWP1JJIQO8AHUM" localSheetId="8" hidden="1">#REF!</definedName>
    <definedName name="BExQ9M4E2ACZOWWWP1JJIQO8AHUM" localSheetId="19" hidden="1">#REF!</definedName>
    <definedName name="BExQ9M4E2ACZOWWWP1JJIQO8AHUM" hidden="1">#REF!</definedName>
    <definedName name="BExQ9TBCP5IJKSQLYEBE6FQLF16I" localSheetId="8" hidden="1">#REF!</definedName>
    <definedName name="BExQ9TBCP5IJKSQLYEBE6FQLF16I" localSheetId="19" hidden="1">#REF!</definedName>
    <definedName name="BExQ9TBCP5IJKSQLYEBE6FQLF16I" hidden="1">#REF!</definedName>
    <definedName name="BExQ9UTANMJCK7LJ4OQMD6F2Q01L" localSheetId="8" hidden="1">#REF!</definedName>
    <definedName name="BExQ9UTANMJCK7LJ4OQMD6F2Q01L" localSheetId="19" hidden="1">#REF!</definedName>
    <definedName name="BExQ9UTANMJCK7LJ4OQMD6F2Q01L" hidden="1">#REF!</definedName>
    <definedName name="BExQ9ZLYHWABXAA9NJDW8ZS0UQ9P" localSheetId="8" hidden="1">#REF!</definedName>
    <definedName name="BExQ9ZLYHWABXAA9NJDW8ZS0UQ9P" localSheetId="19" hidden="1">#REF!</definedName>
    <definedName name="BExQ9ZLYHWABXAA9NJDW8ZS0UQ9P" hidden="1">#REF!</definedName>
    <definedName name="BExQ9ZWQ19KSRZNZNPY6ZNWEST1J" localSheetId="8" hidden="1">#REF!</definedName>
    <definedName name="BExQ9ZWQ19KSRZNZNPY6ZNWEST1J" localSheetId="19" hidden="1">#REF!</definedName>
    <definedName name="BExQ9ZWQ19KSRZNZNPY6ZNWEST1J" hidden="1">#REF!</definedName>
    <definedName name="BExQA324HSCK40ENJUT9CS9EC71B" localSheetId="8" hidden="1">#REF!</definedName>
    <definedName name="BExQA324HSCK40ENJUT9CS9EC71B" localSheetId="19" hidden="1">#REF!</definedName>
    <definedName name="BExQA324HSCK40ENJUT9CS9EC71B" hidden="1">#REF!</definedName>
    <definedName name="BExQA55GY0STSNBWQCWN8E31ZXCS" localSheetId="8" hidden="1">#REF!</definedName>
    <definedName name="BExQA55GY0STSNBWQCWN8E31ZXCS" localSheetId="19" hidden="1">#REF!</definedName>
    <definedName name="BExQA55GY0STSNBWQCWN8E31ZXCS" hidden="1">#REF!</definedName>
    <definedName name="BExQA7URC7M82I0T9RUF90GCS15S" localSheetId="8" hidden="1">#REF!</definedName>
    <definedName name="BExQA7URC7M82I0T9RUF90GCS15S" localSheetId="19" hidden="1">#REF!</definedName>
    <definedName name="BExQA7URC7M82I0T9RUF90GCS15S" hidden="1">#REF!</definedName>
    <definedName name="BExQA9HZIN9XEMHEEVHT99UU9Z82" localSheetId="8" hidden="1">#REF!</definedName>
    <definedName name="BExQA9HZIN9XEMHEEVHT99UU9Z82" localSheetId="19" hidden="1">#REF!</definedName>
    <definedName name="BExQA9HZIN9XEMHEEVHT99UU9Z82" hidden="1">#REF!</definedName>
    <definedName name="BExQAELFYH92K8CJL155181UDORO" localSheetId="8" hidden="1">#REF!</definedName>
    <definedName name="BExQAELFYH92K8CJL155181UDORO" localSheetId="19" hidden="1">#REF!</definedName>
    <definedName name="BExQAELFYH92K8CJL155181UDORO" hidden="1">#REF!</definedName>
    <definedName name="BExQAG8PP8R5NJKNQD1U4QOSD6X5" localSheetId="8" hidden="1">#REF!</definedName>
    <definedName name="BExQAG8PP8R5NJKNQD1U4QOSD6X5" localSheetId="19" hidden="1">#REF!</definedName>
    <definedName name="BExQAG8PP8R5NJKNQD1U4QOSD6X5" hidden="1">#REF!</definedName>
    <definedName name="BExQAVTR32SDHZQ69KNYF6UXXKS2" localSheetId="8" hidden="1">#REF!</definedName>
    <definedName name="BExQAVTR32SDHZQ69KNYF6UXXKS2" localSheetId="19" hidden="1">#REF!</definedName>
    <definedName name="BExQAVTR32SDHZQ69KNYF6UXXKS2" hidden="1">#REF!</definedName>
    <definedName name="BExQBBETZJ7LHJ9CLAL3GEKQFEGR" localSheetId="8" hidden="1">#REF!</definedName>
    <definedName name="BExQBBETZJ7LHJ9CLAL3GEKQFEGR" localSheetId="19" hidden="1">#REF!</definedName>
    <definedName name="BExQBBETZJ7LHJ9CLAL3GEKQFEGR" hidden="1">#REF!</definedName>
    <definedName name="BExQBDICMZTSA1X73TMHNO4JSFLN" localSheetId="8" hidden="1">#REF!</definedName>
    <definedName name="BExQBDICMZTSA1X73TMHNO4JSFLN" localSheetId="19" hidden="1">#REF!</definedName>
    <definedName name="BExQBDICMZTSA1X73TMHNO4JSFLN" hidden="1">#REF!</definedName>
    <definedName name="BExQBEER6CRCRPSSL61S0OMH57ZA" localSheetId="8" hidden="1">#REF!</definedName>
    <definedName name="BExQBEER6CRCRPSSL61S0OMH57ZA" localSheetId="19" hidden="1">#REF!</definedName>
    <definedName name="BExQBEER6CRCRPSSL61S0OMH57ZA" hidden="1">#REF!</definedName>
    <definedName name="BExQBFR753FNBMC27WEQJT8UKANJ" localSheetId="8" hidden="1">#REF!</definedName>
    <definedName name="BExQBFR753FNBMC27WEQJT8UKANJ" localSheetId="19" hidden="1">#REF!</definedName>
    <definedName name="BExQBFR753FNBMC27WEQJT8UKANJ" hidden="1">#REF!</definedName>
    <definedName name="BExQBIGGY5TXI2FJVVZSLZ0LTZYH" localSheetId="8" hidden="1">#REF!</definedName>
    <definedName name="BExQBIGGY5TXI2FJVVZSLZ0LTZYH" localSheetId="19" hidden="1">#REF!</definedName>
    <definedName name="BExQBIGGY5TXI2FJVVZSLZ0LTZYH" hidden="1">#REF!</definedName>
    <definedName name="BExQBM1RUSIQ85LLMM2159BYDPIP" localSheetId="8" hidden="1">#REF!</definedName>
    <definedName name="BExQBM1RUSIQ85LLMM2159BYDPIP" localSheetId="19" hidden="1">#REF!</definedName>
    <definedName name="BExQBM1RUSIQ85LLMM2159BYDPIP" hidden="1">#REF!</definedName>
    <definedName name="BExQBOWE543K7PGA5S7SVU2QKPM3" localSheetId="8" hidden="1">#REF!</definedName>
    <definedName name="BExQBOWE543K7PGA5S7SVU2QKPM3" localSheetId="19" hidden="1">#REF!</definedName>
    <definedName name="BExQBOWE543K7PGA5S7SVU2QKPM3" hidden="1">#REF!</definedName>
    <definedName name="BExQBPSOZ47V81YAEURP0NQJNTJH" localSheetId="8" hidden="1">#REF!</definedName>
    <definedName name="BExQBPSOZ47V81YAEURP0NQJNTJH" localSheetId="19" hidden="1">#REF!</definedName>
    <definedName name="BExQBPSOZ47V81YAEURP0NQJNTJH" hidden="1">#REF!</definedName>
    <definedName name="BExQC5TWT21CGBKD0IHAXTIN2QB8" localSheetId="8" hidden="1">#REF!</definedName>
    <definedName name="BExQC5TWT21CGBKD0IHAXTIN2QB8" localSheetId="19" hidden="1">#REF!</definedName>
    <definedName name="BExQC5TWT21CGBKD0IHAXTIN2QB8" hidden="1">#REF!</definedName>
    <definedName name="BExQC94JL9F5GW4S8DQCAF4WB2DA" localSheetId="8" hidden="1">#REF!</definedName>
    <definedName name="BExQC94JL9F5GW4S8DQCAF4WB2DA" localSheetId="19" hidden="1">#REF!</definedName>
    <definedName name="BExQC94JL9F5GW4S8DQCAF4WB2DA" hidden="1">#REF!</definedName>
    <definedName name="BExQCKTD8AT0824LGWREXM1B5D1X" localSheetId="8" hidden="1">#REF!</definedName>
    <definedName name="BExQCKTD8AT0824LGWREXM1B5D1X" localSheetId="19" hidden="1">#REF!</definedName>
    <definedName name="BExQCKTD8AT0824LGWREXM1B5D1X" hidden="1">#REF!</definedName>
    <definedName name="BExQCQ7KF4HVXSD72FF3DJGNNO3M" localSheetId="8" hidden="1">#REF!</definedName>
    <definedName name="BExQCQ7KF4HVXSD72FF3DJGNNO3M" localSheetId="19" hidden="1">#REF!</definedName>
    <definedName name="BExQCQ7KF4HVXSD72FF3DJGNNO3M" hidden="1">#REF!</definedName>
    <definedName name="BExQCRPJXI0WNJUFFAC39C0PFUFK" localSheetId="8" hidden="1">#REF!</definedName>
    <definedName name="BExQCRPJXI0WNJUFFAC39C0PFUFK" localSheetId="19" hidden="1">#REF!</definedName>
    <definedName name="BExQCRPJXI0WNJUFFAC39C0PFUFK" hidden="1">#REF!</definedName>
    <definedName name="BExQD571YWOXKR2SX85K5MKQ0AO2" localSheetId="8" hidden="1">#REF!</definedName>
    <definedName name="BExQD571YWOXKR2SX85K5MKQ0AO2" localSheetId="19" hidden="1">#REF!</definedName>
    <definedName name="BExQD571YWOXKR2SX85K5MKQ0AO2" hidden="1">#REF!</definedName>
    <definedName name="BExQDB6VCHN8PNX8EA6JNIEQ2JC2" localSheetId="8" hidden="1">#REF!</definedName>
    <definedName name="BExQDB6VCHN8PNX8EA6JNIEQ2JC2" localSheetId="19" hidden="1">#REF!</definedName>
    <definedName name="BExQDB6VCHN8PNX8EA6JNIEQ2JC2" hidden="1">#REF!</definedName>
    <definedName name="BExQDE1B6U2Q9B73KBENABP71YM1" localSheetId="8" hidden="1">#REF!</definedName>
    <definedName name="BExQDE1B6U2Q9B73KBENABP71YM1" localSheetId="19" hidden="1">#REF!</definedName>
    <definedName name="BExQDE1B6U2Q9B73KBENABP71YM1" hidden="1">#REF!</definedName>
    <definedName name="BExQDGQCN7ZW41QDUHOBJUGQAX40" localSheetId="8" hidden="1">#REF!</definedName>
    <definedName name="BExQDGQCN7ZW41QDUHOBJUGQAX40" localSheetId="19" hidden="1">#REF!</definedName>
    <definedName name="BExQDGQCN7ZW41QDUHOBJUGQAX40" hidden="1">#REF!</definedName>
    <definedName name="BExQED8ZZUEH0WRNOHXI7V9TVC8K" localSheetId="8" hidden="1">#REF!</definedName>
    <definedName name="BExQED8ZZUEH0WRNOHXI7V9TVC8K" localSheetId="19" hidden="1">#REF!</definedName>
    <definedName name="BExQED8ZZUEH0WRNOHXI7V9TVC8K" hidden="1">#REF!</definedName>
    <definedName name="BExQEF1PIJIB9J24OB0M4X1WLBB0" localSheetId="8" hidden="1">#REF!</definedName>
    <definedName name="BExQEF1PIJIB9J24OB0M4X1WLBB0" localSheetId="19" hidden="1">#REF!</definedName>
    <definedName name="BExQEF1PIJIB9J24OB0M4X1WLBB0" hidden="1">#REF!</definedName>
    <definedName name="BExQEMUA4HEFM4OVO8M8MA8PIAW1" localSheetId="8" hidden="1">#REF!</definedName>
    <definedName name="BExQEMUA4HEFM4OVO8M8MA8PIAW1" localSheetId="19" hidden="1">#REF!</definedName>
    <definedName name="BExQEMUA4HEFM4OVO8M8MA8PIAW1" hidden="1">#REF!</definedName>
    <definedName name="BExQEP38QPDKB85WG2WOL17IMB5S" localSheetId="8" hidden="1">#REF!</definedName>
    <definedName name="BExQEP38QPDKB85WG2WOL17IMB5S" localSheetId="19" hidden="1">#REF!</definedName>
    <definedName name="BExQEP38QPDKB85WG2WOL17IMB5S" hidden="1">#REF!</definedName>
    <definedName name="BExQEQ4XZQFIKUXNU9H7WE7AMZ1U" localSheetId="8" hidden="1">#REF!</definedName>
    <definedName name="BExQEQ4XZQFIKUXNU9H7WE7AMZ1U" localSheetId="19" hidden="1">#REF!</definedName>
    <definedName name="BExQEQ4XZQFIKUXNU9H7WE7AMZ1U" hidden="1">#REF!</definedName>
    <definedName name="BExQF1OEB07CRAP6ALNNMJNJ3P2D" localSheetId="8" hidden="1">#REF!</definedName>
    <definedName name="BExQF1OEB07CRAP6ALNNMJNJ3P2D" localSheetId="19" hidden="1">#REF!</definedName>
    <definedName name="BExQF1OEB07CRAP6ALNNMJNJ3P2D" hidden="1">#REF!</definedName>
    <definedName name="BExQF8KKL224NYD20XYLLM2RE7EW" localSheetId="8" hidden="1">#REF!</definedName>
    <definedName name="BExQF8KKL224NYD20XYLLM2RE7EW" localSheetId="19" hidden="1">#REF!</definedName>
    <definedName name="BExQF8KKL224NYD20XYLLM2RE7EW" hidden="1">#REF!</definedName>
    <definedName name="BExQF9X2AQPFJZTCHTU5PTTR0JAH" localSheetId="8" hidden="1">#REF!</definedName>
    <definedName name="BExQF9X2AQPFJZTCHTU5PTTR0JAH" localSheetId="19" hidden="1">#REF!</definedName>
    <definedName name="BExQF9X2AQPFJZTCHTU5PTTR0JAH" hidden="1">#REF!</definedName>
    <definedName name="BExQFAINO9ODQZX6NSM8EBTRD04E" localSheetId="8" hidden="1">#REF!</definedName>
    <definedName name="BExQFAINO9ODQZX6NSM8EBTRD04E" localSheetId="19" hidden="1">#REF!</definedName>
    <definedName name="BExQFAINO9ODQZX6NSM8EBTRD04E" hidden="1">#REF!</definedName>
    <definedName name="BExQFC0M9KKFMQKPLPEO2RQDB7MM" localSheetId="8" hidden="1">#REF!</definedName>
    <definedName name="BExQFC0M9KKFMQKPLPEO2RQDB7MM" localSheetId="19" hidden="1">#REF!</definedName>
    <definedName name="BExQFC0M9KKFMQKPLPEO2RQDB7MM" hidden="1">#REF!</definedName>
    <definedName name="BExQFEEV7627R8TYZCM28C6V6WHE" localSheetId="8" hidden="1">#REF!</definedName>
    <definedName name="BExQFEEV7627R8TYZCM28C6V6WHE" localSheetId="19" hidden="1">#REF!</definedName>
    <definedName name="BExQFEEV7627R8TYZCM28C6V6WHE" hidden="1">#REF!</definedName>
    <definedName name="BExQFEK8NUD04X2OBRA275ADPSDL" localSheetId="8" hidden="1">#REF!</definedName>
    <definedName name="BExQFEK8NUD04X2OBRA275ADPSDL" localSheetId="19" hidden="1">#REF!</definedName>
    <definedName name="BExQFEK8NUD04X2OBRA275ADPSDL" hidden="1">#REF!</definedName>
    <definedName name="BExQFGYIWDR4W0YF7XR6E4EWWJ02" localSheetId="8" hidden="1">#REF!</definedName>
    <definedName name="BExQFGYIWDR4W0YF7XR6E4EWWJ02" localSheetId="19" hidden="1">#REF!</definedName>
    <definedName name="BExQFGYIWDR4W0YF7XR6E4EWWJ02" hidden="1">#REF!</definedName>
    <definedName name="BExQFPNFKA36IAPS22LAUMBDI4KE" localSheetId="8" hidden="1">#REF!</definedName>
    <definedName name="BExQFPNFKA36IAPS22LAUMBDI4KE" localSheetId="19" hidden="1">#REF!</definedName>
    <definedName name="BExQFPNFKA36IAPS22LAUMBDI4KE" hidden="1">#REF!</definedName>
    <definedName name="BExQFPSWEMA8WBUZ4WK20LR13VSU" localSheetId="8" hidden="1">#REF!</definedName>
    <definedName name="BExQFPSWEMA8WBUZ4WK20LR13VSU" localSheetId="19" hidden="1">#REF!</definedName>
    <definedName name="BExQFPSWEMA8WBUZ4WK20LR13VSU" hidden="1">#REF!</definedName>
    <definedName name="BExQFVSPOSCCPF1TLJPIWYWYB8A9" localSheetId="8" hidden="1">#REF!</definedName>
    <definedName name="BExQFVSPOSCCPF1TLJPIWYWYB8A9" localSheetId="19" hidden="1">#REF!</definedName>
    <definedName name="BExQFVSPOSCCPF1TLJPIWYWYB8A9" hidden="1">#REF!</definedName>
    <definedName name="BExQFWJQXNQAW6LUMOEDS6KMJMYL" localSheetId="8" hidden="1">#REF!</definedName>
    <definedName name="BExQFWJQXNQAW6LUMOEDS6KMJMYL" localSheetId="19" hidden="1">#REF!</definedName>
    <definedName name="BExQFWJQXNQAW6LUMOEDS6KMJMYL" hidden="1">#REF!</definedName>
    <definedName name="BExQG8TYRD2G42UA5ZPCRLNKUDMX" localSheetId="8" hidden="1">#REF!</definedName>
    <definedName name="BExQG8TYRD2G42UA5ZPCRLNKUDMX" localSheetId="19" hidden="1">#REF!</definedName>
    <definedName name="BExQG8TYRD2G42UA5ZPCRLNKUDMX" hidden="1">#REF!</definedName>
    <definedName name="BExQG9A8OZ31BDN5QEGQGWG59A43" localSheetId="8" hidden="1">#REF!</definedName>
    <definedName name="BExQG9A8OZ31BDN5QEGQGWG59A43" localSheetId="19" hidden="1">#REF!</definedName>
    <definedName name="BExQG9A8OZ31BDN5QEGQGWG59A43" hidden="1">#REF!</definedName>
    <definedName name="BExQGGBQ2CMSPV4NV4RA7NMBQER6" localSheetId="8" hidden="1">#REF!</definedName>
    <definedName name="BExQGGBQ2CMSPV4NV4RA7NMBQER6" localSheetId="19" hidden="1">#REF!</definedName>
    <definedName name="BExQGGBQ2CMSPV4NV4RA7NMBQER6" hidden="1">#REF!</definedName>
    <definedName name="BExQGO48J9MPCDQ96RBB9UN9AIGT" localSheetId="8" hidden="1">#REF!</definedName>
    <definedName name="BExQGO48J9MPCDQ96RBB9UN9AIGT" localSheetId="19" hidden="1">#REF!</definedName>
    <definedName name="BExQGO48J9MPCDQ96RBB9UN9AIGT" hidden="1">#REF!</definedName>
    <definedName name="BExQGSBB6MJWDW7AYWA0MSFTXKRR" localSheetId="8" hidden="1">#REF!</definedName>
    <definedName name="BExQGSBB6MJWDW7AYWA0MSFTXKRR" localSheetId="19" hidden="1">#REF!</definedName>
    <definedName name="BExQGSBB6MJWDW7AYWA0MSFTXKRR" hidden="1">#REF!</definedName>
    <definedName name="BExQH0UURAJ13AVO5UI04HSRGVYW" localSheetId="8" hidden="1">#REF!</definedName>
    <definedName name="BExQH0UURAJ13AVO5UI04HSRGVYW" localSheetId="19" hidden="1">#REF!</definedName>
    <definedName name="BExQH0UURAJ13AVO5UI04HSRGVYW" hidden="1">#REF!</definedName>
    <definedName name="BExQH5I0FUT0822E2ITR6M5724UF" localSheetId="8" hidden="1">#REF!</definedName>
    <definedName name="BExQH5I0FUT0822E2ITR6M5724UF" localSheetId="19" hidden="1">#REF!</definedName>
    <definedName name="BExQH5I0FUT0822E2ITR6M5724UF" hidden="1">#REF!</definedName>
    <definedName name="BExQH6ZZY0NR8SE48PSI9D0CU1TC" localSheetId="8" hidden="1">#REF!</definedName>
    <definedName name="BExQH6ZZY0NR8SE48PSI9D0CU1TC" localSheetId="19" hidden="1">#REF!</definedName>
    <definedName name="BExQH6ZZY0NR8SE48PSI9D0CU1TC" hidden="1">#REF!</definedName>
    <definedName name="BExQH9P2MCXAJOVEO4GFQT6MNW22" localSheetId="8" hidden="1">#REF!</definedName>
    <definedName name="BExQH9P2MCXAJOVEO4GFQT6MNW22" localSheetId="19" hidden="1">#REF!</definedName>
    <definedName name="BExQH9P2MCXAJOVEO4GFQT6MNW22" hidden="1">#REF!</definedName>
    <definedName name="BExQHCZSBYUY8OKKJXFYWKBBM6AH" localSheetId="8" hidden="1">#REF!</definedName>
    <definedName name="BExQHCZSBYUY8OKKJXFYWKBBM6AH" localSheetId="19" hidden="1">#REF!</definedName>
    <definedName name="BExQHCZSBYUY8OKKJXFYWKBBM6AH" hidden="1">#REF!</definedName>
    <definedName name="BExQHML1J3V7M9VZ3S2S198637RP" localSheetId="8" hidden="1">#REF!</definedName>
    <definedName name="BExQHML1J3V7M9VZ3S2S198637RP" localSheetId="19" hidden="1">#REF!</definedName>
    <definedName name="BExQHML1J3V7M9VZ3S2S198637RP" hidden="1">#REF!</definedName>
    <definedName name="BExQHPKXZ1K33V2F90NZIQRZYIAW" localSheetId="8" hidden="1">#REF!</definedName>
    <definedName name="BExQHPKXZ1K33V2F90NZIQRZYIAW" localSheetId="19" hidden="1">#REF!</definedName>
    <definedName name="BExQHPKXZ1K33V2F90NZIQRZYIAW" hidden="1">#REF!</definedName>
    <definedName name="BExQHRDNW8YFGT2B35K9CYSS1VAI" localSheetId="8" hidden="1">#REF!</definedName>
    <definedName name="BExQHRDNW8YFGT2B35K9CYSS1VAI" localSheetId="19" hidden="1">#REF!</definedName>
    <definedName name="BExQHRDNW8YFGT2B35K9CYSS1VAI" hidden="1">#REF!</definedName>
    <definedName name="BExQHRZ9FBLUG6G6CC88UZA6V39L" localSheetId="8" hidden="1">#REF!</definedName>
    <definedName name="BExQHRZ9FBLUG6G6CC88UZA6V39L" localSheetId="19" hidden="1">#REF!</definedName>
    <definedName name="BExQHRZ9FBLUG6G6CC88UZA6V39L" hidden="1">#REF!</definedName>
    <definedName name="BExQHVF9KD06AG2RXUQJ9X4PVGX4" localSheetId="8" hidden="1">#REF!</definedName>
    <definedName name="BExQHVF9KD06AG2RXUQJ9X4PVGX4" localSheetId="19" hidden="1">#REF!</definedName>
    <definedName name="BExQHVF9KD06AG2RXUQJ9X4PVGX4" hidden="1">#REF!</definedName>
    <definedName name="BExQHZBHVN2L4HC7ACTR73T5OCV0" localSheetId="8" hidden="1">#REF!</definedName>
    <definedName name="BExQHZBHVN2L4HC7ACTR73T5OCV0" localSheetId="19" hidden="1">#REF!</definedName>
    <definedName name="BExQHZBHVN2L4HC7ACTR73T5OCV0" hidden="1">#REF!</definedName>
    <definedName name="BExQI3O3BBL6MXZNJD1S3UD8WBUU" localSheetId="8" hidden="1">#REF!</definedName>
    <definedName name="BExQI3O3BBL6MXZNJD1S3UD8WBUU" localSheetId="19" hidden="1">#REF!</definedName>
    <definedName name="BExQI3O3BBL6MXZNJD1S3UD8WBUU" hidden="1">#REF!</definedName>
    <definedName name="BExQI7431UOEBYKYPVVMNXBZ2ZP2" localSheetId="8" hidden="1">#REF!</definedName>
    <definedName name="BExQI7431UOEBYKYPVVMNXBZ2ZP2" localSheetId="19" hidden="1">#REF!</definedName>
    <definedName name="BExQI7431UOEBYKYPVVMNXBZ2ZP2" hidden="1">#REF!</definedName>
    <definedName name="BExQI85V9TNLDJT5LTRZS10Y26SG" localSheetId="8" hidden="1">#REF!</definedName>
    <definedName name="BExQI85V9TNLDJT5LTRZS10Y26SG" localSheetId="19" hidden="1">#REF!</definedName>
    <definedName name="BExQI85V9TNLDJT5LTRZS10Y26SG" hidden="1">#REF!</definedName>
    <definedName name="BExQI9ICYVAAXE7L1BQSE1VWSQA9" localSheetId="8" hidden="1">#REF!</definedName>
    <definedName name="BExQI9ICYVAAXE7L1BQSE1VWSQA9" localSheetId="19" hidden="1">#REF!</definedName>
    <definedName name="BExQI9ICYVAAXE7L1BQSE1VWSQA9" hidden="1">#REF!</definedName>
    <definedName name="BExQIAPKHVEV8CU1L3TTHJW67FJ5" localSheetId="8" hidden="1">#REF!</definedName>
    <definedName name="BExQIAPKHVEV8CU1L3TTHJW67FJ5" localSheetId="19" hidden="1">#REF!</definedName>
    <definedName name="BExQIAPKHVEV8CU1L3TTHJW67FJ5" hidden="1">#REF!</definedName>
    <definedName name="BExQIAV02RGEQG6AF0CWXU3MS9BZ" localSheetId="8" hidden="1">#REF!</definedName>
    <definedName name="BExQIAV02RGEQG6AF0CWXU3MS9BZ" localSheetId="19" hidden="1">#REF!</definedName>
    <definedName name="BExQIAV02RGEQG6AF0CWXU3MS9BZ" hidden="1">#REF!</definedName>
    <definedName name="BExQIBB4I3Z6AUU0HYV1DHRS13M4" localSheetId="8" hidden="1">#REF!</definedName>
    <definedName name="BExQIBB4I3Z6AUU0HYV1DHRS13M4" localSheetId="19" hidden="1">#REF!</definedName>
    <definedName name="BExQIBB4I3Z6AUU0HYV1DHRS13M4" hidden="1">#REF!</definedName>
    <definedName name="BExQIBWPAXU7HJZLKGJZY3EB7MIS" localSheetId="8" hidden="1">#REF!</definedName>
    <definedName name="BExQIBWPAXU7HJZLKGJZY3EB7MIS" localSheetId="19" hidden="1">#REF!</definedName>
    <definedName name="BExQIBWPAXU7HJZLKGJZY3EB7MIS" hidden="1">#REF!</definedName>
    <definedName name="BExQIHLP9AT969BKBF22IGW76GLI" localSheetId="8" hidden="1">#REF!</definedName>
    <definedName name="BExQIHLP9AT969BKBF22IGW76GLI" localSheetId="19" hidden="1">#REF!</definedName>
    <definedName name="BExQIHLP9AT969BKBF22IGW76GLI" hidden="1">#REF!</definedName>
    <definedName name="BExQIS8O6R36CI01XRY9ISM99TW9" localSheetId="8" hidden="1">#REF!</definedName>
    <definedName name="BExQIS8O6R36CI01XRY9ISM99TW9" localSheetId="19" hidden="1">#REF!</definedName>
    <definedName name="BExQIS8O6R36CI01XRY9ISM99TW9" hidden="1">#REF!</definedName>
    <definedName name="BExQIVJB9MJ25NDUHTCVMSODJY2C" localSheetId="8" hidden="1">#REF!</definedName>
    <definedName name="BExQIVJB9MJ25NDUHTCVMSODJY2C" localSheetId="19" hidden="1">#REF!</definedName>
    <definedName name="BExQIVJB9MJ25NDUHTCVMSODJY2C" hidden="1">#REF!</definedName>
    <definedName name="BExQIWAEMVTWAU39DWIXT17K2A9Z" localSheetId="8" hidden="1">#REF!</definedName>
    <definedName name="BExQIWAEMVTWAU39DWIXT17K2A9Z" localSheetId="19" hidden="1">#REF!</definedName>
    <definedName name="BExQIWAEMVTWAU39DWIXT17K2A9Z" hidden="1">#REF!</definedName>
    <definedName name="BExQJ72T8UR0U461ZLEGOOEPCDIG" localSheetId="8" hidden="1">#REF!</definedName>
    <definedName name="BExQJ72T8UR0U461ZLEGOOEPCDIG" localSheetId="19" hidden="1">#REF!</definedName>
    <definedName name="BExQJ72T8UR0U461ZLEGOOEPCDIG" hidden="1">#REF!</definedName>
    <definedName name="BExQJAZ2QDORCR0K8PR9VHQZ4Y3P" localSheetId="8" hidden="1">#REF!</definedName>
    <definedName name="BExQJAZ2QDORCR0K8PR9VHQZ4Y3P" localSheetId="19" hidden="1">#REF!</definedName>
    <definedName name="BExQJAZ2QDORCR0K8PR9VHQZ4Y3P" hidden="1">#REF!</definedName>
    <definedName name="BExQJBF7LAX128WR7VTMJC88ZLPG" localSheetId="8" hidden="1">#REF!</definedName>
    <definedName name="BExQJBF7LAX128WR7VTMJC88ZLPG" localSheetId="19" hidden="1">#REF!</definedName>
    <definedName name="BExQJBF7LAX128WR7VTMJC88ZLPG" hidden="1">#REF!</definedName>
    <definedName name="BExQJEVCKX6KZHNCLYXY7D0MX5KN" localSheetId="8" hidden="1">#REF!</definedName>
    <definedName name="BExQJEVCKX6KZHNCLYXY7D0MX5KN" localSheetId="19" hidden="1">#REF!</definedName>
    <definedName name="BExQJEVCKX6KZHNCLYXY7D0MX5KN" hidden="1">#REF!</definedName>
    <definedName name="BExQJJYSDX8B0J1QGF2HL071KKA3" localSheetId="8" hidden="1">#REF!</definedName>
    <definedName name="BExQJJYSDX8B0J1QGF2HL071KKA3" localSheetId="19" hidden="1">#REF!</definedName>
    <definedName name="BExQJJYSDX8B0J1QGF2HL071KKA3" hidden="1">#REF!</definedName>
    <definedName name="BExQK1HV6SQQ7CP8H8IUKI9TYXTD" localSheetId="8" hidden="1">#REF!</definedName>
    <definedName name="BExQK1HV6SQQ7CP8H8IUKI9TYXTD" localSheetId="19" hidden="1">#REF!</definedName>
    <definedName name="BExQK1HV6SQQ7CP8H8IUKI9TYXTD" hidden="1">#REF!</definedName>
    <definedName name="BExQK3LE5CSBW1E4H4KHW548FL2R" localSheetId="8" hidden="1">#REF!</definedName>
    <definedName name="BExQK3LE5CSBW1E4H4KHW548FL2R" localSheetId="19" hidden="1">#REF!</definedName>
    <definedName name="BExQK3LE5CSBW1E4H4KHW548FL2R" hidden="1">#REF!</definedName>
    <definedName name="BExQKG6LD6PLNDGNGO9DJXY865BR" localSheetId="8" hidden="1">#REF!</definedName>
    <definedName name="BExQKG6LD6PLNDGNGO9DJXY865BR" localSheetId="19" hidden="1">#REF!</definedName>
    <definedName name="BExQKG6LD6PLNDGNGO9DJXY865BR" hidden="1">#REF!</definedName>
    <definedName name="BExQKUKG8I4CGS9QYSD0H7NHP4JN" localSheetId="8" hidden="1">#REF!</definedName>
    <definedName name="BExQKUKG8I4CGS9QYSD0H7NHP4JN" localSheetId="19" hidden="1">#REF!</definedName>
    <definedName name="BExQKUKG8I4CGS9QYSD0H7NHP4JN" hidden="1">#REF!</definedName>
    <definedName name="BExQL2NSE8OYZFXQH8A23RMVMFW7" localSheetId="8" hidden="1">#REF!</definedName>
    <definedName name="BExQL2NSE8OYZFXQH8A23RMVMFW7" localSheetId="19" hidden="1">#REF!</definedName>
    <definedName name="BExQL2NSE8OYZFXQH8A23RMVMFW7" hidden="1">#REF!</definedName>
    <definedName name="BExQL4GJ3LZJL6JDEHT7UDXW90TV" localSheetId="8" hidden="1">#REF!</definedName>
    <definedName name="BExQL4GJ3LZJL6JDEHT7UDXW90TV" localSheetId="19" hidden="1">#REF!</definedName>
    <definedName name="BExQL4GJ3LZJL6JDEHT7UDXW90TV" hidden="1">#REF!</definedName>
    <definedName name="BExQLE1TOW3A287TQB0AVWENT8O1" localSheetId="8" hidden="1">#REF!</definedName>
    <definedName name="BExQLE1TOW3A287TQB0AVWENT8O1" localSheetId="19" hidden="1">#REF!</definedName>
    <definedName name="BExQLE1TOW3A287TQB0AVWENT8O1" hidden="1">#REF!</definedName>
    <definedName name="BExRYOYB4A3E5F6MTROY69LR0PMG" localSheetId="8" hidden="1">#REF!</definedName>
    <definedName name="BExRYOYB4A3E5F6MTROY69LR0PMG" localSheetId="19" hidden="1">#REF!</definedName>
    <definedName name="BExRYOYB4A3E5F6MTROY69LR0PMG" hidden="1">#REF!</definedName>
    <definedName name="BExRYZLA9EW71H4SXQR525S72LLP" localSheetId="8" hidden="1">#REF!</definedName>
    <definedName name="BExRYZLA9EW71H4SXQR525S72LLP" localSheetId="19" hidden="1">#REF!</definedName>
    <definedName name="BExRYZLA9EW71H4SXQR525S72LLP" hidden="1">#REF!</definedName>
    <definedName name="BExRZ66M8G9FQ0VFP077QSZBSOA5" localSheetId="8" hidden="1">#REF!</definedName>
    <definedName name="BExRZ66M8G9FQ0VFP077QSZBSOA5" localSheetId="19" hidden="1">#REF!</definedName>
    <definedName name="BExRZ66M8G9FQ0VFP077QSZBSOA5" hidden="1">#REF!</definedName>
    <definedName name="BExRZ8FMQQL46I8AQWU17LRNZD5T" localSheetId="8" hidden="1">#REF!</definedName>
    <definedName name="BExRZ8FMQQL46I8AQWU17LRNZD5T" localSheetId="19" hidden="1">#REF!</definedName>
    <definedName name="BExRZ8FMQQL46I8AQWU17LRNZD5T" hidden="1">#REF!</definedName>
    <definedName name="BExRZIRRIXRUMZ5GOO95S7460BMP" localSheetId="8" hidden="1">#REF!</definedName>
    <definedName name="BExRZIRRIXRUMZ5GOO95S7460BMP" localSheetId="19" hidden="1">#REF!</definedName>
    <definedName name="BExRZIRRIXRUMZ5GOO95S7460BMP" hidden="1">#REF!</definedName>
    <definedName name="BExRZJTNBKKPK7SB4LA31O3OH6PO" localSheetId="8" hidden="1">#REF!</definedName>
    <definedName name="BExRZJTNBKKPK7SB4LA31O3OH6PO" localSheetId="19" hidden="1">#REF!</definedName>
    <definedName name="BExRZJTNBKKPK7SB4LA31O3OH6PO" hidden="1">#REF!</definedName>
    <definedName name="BExRZK9RAHMM0ZLTNSK7A4LDC42D" localSheetId="8" hidden="1">#REF!</definedName>
    <definedName name="BExRZK9RAHMM0ZLTNSK7A4LDC42D" localSheetId="19" hidden="1">#REF!</definedName>
    <definedName name="BExRZK9RAHMM0ZLTNSK7A4LDC42D" hidden="1">#REF!</definedName>
    <definedName name="BExRZNF461H0WDF36L3U0UQSJGZB" localSheetId="8" hidden="1">#REF!</definedName>
    <definedName name="BExRZNF461H0WDF36L3U0UQSJGZB" localSheetId="19" hidden="1">#REF!</definedName>
    <definedName name="BExRZNF461H0WDF36L3U0UQSJGZB" hidden="1">#REF!</definedName>
    <definedName name="BExRZOGSR69INI6GAEPHDWSNK5Q4" localSheetId="8" hidden="1">#REF!</definedName>
    <definedName name="BExRZOGSR69INI6GAEPHDWSNK5Q4" localSheetId="19" hidden="1">#REF!</definedName>
    <definedName name="BExRZOGSR69INI6GAEPHDWSNK5Q4" hidden="1">#REF!</definedName>
    <definedName name="BExS0ASQBKRTPDWFK0KUDFOS9LE5" localSheetId="8" hidden="1">#REF!</definedName>
    <definedName name="BExS0ASQBKRTPDWFK0KUDFOS9LE5" localSheetId="19" hidden="1">#REF!</definedName>
    <definedName name="BExS0ASQBKRTPDWFK0KUDFOS9LE5" hidden="1">#REF!</definedName>
    <definedName name="BExS0GHQUF6YT0RU3TKDEO8CSJYB" localSheetId="8" hidden="1">#REF!</definedName>
    <definedName name="BExS0GHQUF6YT0RU3TKDEO8CSJYB" localSheetId="19" hidden="1">#REF!</definedName>
    <definedName name="BExS0GHQUF6YT0RU3TKDEO8CSJYB" hidden="1">#REF!</definedName>
    <definedName name="BExS0K8IHC45I78DMZBOJ1P13KQA" localSheetId="8" hidden="1">#REF!</definedName>
    <definedName name="BExS0K8IHC45I78DMZBOJ1P13KQA" localSheetId="19" hidden="1">#REF!</definedName>
    <definedName name="BExS0K8IHC45I78DMZBOJ1P13KQA" hidden="1">#REF!</definedName>
    <definedName name="BExS0L4WP69XXUFHED98XIEPB593" localSheetId="8" hidden="1">#REF!</definedName>
    <definedName name="BExS0L4WP69XXUFHED98XIEPB593" localSheetId="19" hidden="1">#REF!</definedName>
    <definedName name="BExS0L4WP69XXUFHED98XIEPB593" hidden="1">#REF!</definedName>
    <definedName name="BExS0Z2O2N4AJXFEPN87NU9ZGAHG" localSheetId="8" hidden="1">#REF!</definedName>
    <definedName name="BExS0Z2O2N4AJXFEPN87NU9ZGAHG" localSheetId="19" hidden="1">#REF!</definedName>
    <definedName name="BExS0Z2O2N4AJXFEPN87NU9ZGAHG" hidden="1">#REF!</definedName>
    <definedName name="BExS15IJV0WW662NXQUVT3FGP4ST" localSheetId="8" hidden="1">#REF!</definedName>
    <definedName name="BExS15IJV0WW662NXQUVT3FGP4ST" localSheetId="19" hidden="1">#REF!</definedName>
    <definedName name="BExS15IJV0WW662NXQUVT3FGP4ST" hidden="1">#REF!</definedName>
    <definedName name="BExS18T8TBNEPF4AU1VJ268XLF3L" localSheetId="8" hidden="1">#REF!</definedName>
    <definedName name="BExS18T8TBNEPF4AU1VJ268XLF3L" localSheetId="19" hidden="1">#REF!</definedName>
    <definedName name="BExS18T8TBNEPF4AU1VJ268XLF3L" hidden="1">#REF!</definedName>
    <definedName name="BExS194110MR25BYJI3CJ2EGZ8XT" localSheetId="8" hidden="1">#REF!</definedName>
    <definedName name="BExS194110MR25BYJI3CJ2EGZ8XT" localSheetId="19" hidden="1">#REF!</definedName>
    <definedName name="BExS194110MR25BYJI3CJ2EGZ8XT" hidden="1">#REF!</definedName>
    <definedName name="BExS1BNVGNSGD4EP90QL8WXYWZ66" localSheetId="8" hidden="1">#REF!</definedName>
    <definedName name="BExS1BNVGNSGD4EP90QL8WXYWZ66" localSheetId="19" hidden="1">#REF!</definedName>
    <definedName name="BExS1BNVGNSGD4EP90QL8WXYWZ66" hidden="1">#REF!</definedName>
    <definedName name="BExS1UE39N6NCND7MAARSBWXS6HU" localSheetId="8" hidden="1">#REF!</definedName>
    <definedName name="BExS1UE39N6NCND7MAARSBWXS6HU" localSheetId="19" hidden="1">#REF!</definedName>
    <definedName name="BExS1UE39N6NCND7MAARSBWXS6HU" hidden="1">#REF!</definedName>
    <definedName name="BExS226HTWL5WVC76MP5A1IBI8WD" localSheetId="8" hidden="1">#REF!</definedName>
    <definedName name="BExS226HTWL5WVC76MP5A1IBI8WD" localSheetId="19" hidden="1">#REF!</definedName>
    <definedName name="BExS226HTWL5WVC76MP5A1IBI8WD" hidden="1">#REF!</definedName>
    <definedName name="BExS26OI2QNNAH2WMDD95Z400048" localSheetId="8" hidden="1">#REF!</definedName>
    <definedName name="BExS26OI2QNNAH2WMDD95Z400048" localSheetId="19" hidden="1">#REF!</definedName>
    <definedName name="BExS26OI2QNNAH2WMDD95Z400048" hidden="1">#REF!</definedName>
    <definedName name="BExS2D4EI622QRKZKVDPRE66M4XA" localSheetId="8" hidden="1">#REF!</definedName>
    <definedName name="BExS2D4EI622QRKZKVDPRE66M4XA" localSheetId="19" hidden="1">#REF!</definedName>
    <definedName name="BExS2D4EI622QRKZKVDPRE66M4XA" hidden="1">#REF!</definedName>
    <definedName name="BExS2DF6B4ZUF3VZLI4G6LJ3BF38" localSheetId="8" hidden="1">#REF!</definedName>
    <definedName name="BExS2DF6B4ZUF3VZLI4G6LJ3BF38" localSheetId="19" hidden="1">#REF!</definedName>
    <definedName name="BExS2DF6B4ZUF3VZLI4G6LJ3BF38" hidden="1">#REF!</definedName>
    <definedName name="BExS2GKEA6VM3PDWKD7XI0KRUHTW" localSheetId="8" hidden="1">#REF!</definedName>
    <definedName name="BExS2GKEA6VM3PDWKD7XI0KRUHTW" localSheetId="19" hidden="1">#REF!</definedName>
    <definedName name="BExS2GKEA6VM3PDWKD7XI0KRUHTW" hidden="1">#REF!</definedName>
    <definedName name="BExS2I2HVU314TXI2DYFRY8XV913" localSheetId="8" hidden="1">#REF!</definedName>
    <definedName name="BExS2I2HVU314TXI2DYFRY8XV913" localSheetId="19" hidden="1">#REF!</definedName>
    <definedName name="BExS2I2HVU314TXI2DYFRY8XV913" hidden="1">#REF!</definedName>
    <definedName name="BExS2QB5FS5LYTFYO4BROTWG3OV5" localSheetId="8" hidden="1">#REF!</definedName>
    <definedName name="BExS2QB5FS5LYTFYO4BROTWG3OV5" localSheetId="19" hidden="1">#REF!</definedName>
    <definedName name="BExS2QB5FS5LYTFYO4BROTWG3OV5" hidden="1">#REF!</definedName>
    <definedName name="BExS2TLU1HONYV6S3ZD9T12D7CIG" localSheetId="8" hidden="1">#REF!</definedName>
    <definedName name="BExS2TLU1HONYV6S3ZD9T12D7CIG" localSheetId="19" hidden="1">#REF!</definedName>
    <definedName name="BExS2TLU1HONYV6S3ZD9T12D7CIG" hidden="1">#REF!</definedName>
    <definedName name="BExS2WLQUVBRZJWQTWUU4CYDY4IN" localSheetId="8" hidden="1">#REF!</definedName>
    <definedName name="BExS2WLQUVBRZJWQTWUU4CYDY4IN" localSheetId="19" hidden="1">#REF!</definedName>
    <definedName name="BExS2WLQUVBRZJWQTWUU4CYDY4IN" hidden="1">#REF!</definedName>
    <definedName name="BExS2YJQV4NUX6135T90Z1Y5R26Q" localSheetId="8" hidden="1">#REF!</definedName>
    <definedName name="BExS2YJQV4NUX6135T90Z1Y5R26Q" localSheetId="19" hidden="1">#REF!</definedName>
    <definedName name="BExS2YJQV4NUX6135T90Z1Y5R26Q" hidden="1">#REF!</definedName>
    <definedName name="BExS318UV9I2FXPQQWUKKX00QLPJ" localSheetId="8" hidden="1">#REF!</definedName>
    <definedName name="BExS318UV9I2FXPQQWUKKX00QLPJ" localSheetId="19" hidden="1">#REF!</definedName>
    <definedName name="BExS318UV9I2FXPQQWUKKX00QLPJ" hidden="1">#REF!</definedName>
    <definedName name="BExS3LBS0SMTHALVM4NRI1BAV1NP" localSheetId="8" hidden="1">#REF!</definedName>
    <definedName name="BExS3LBS0SMTHALVM4NRI1BAV1NP" localSheetId="19" hidden="1">#REF!</definedName>
    <definedName name="BExS3LBS0SMTHALVM4NRI1BAV1NP" hidden="1">#REF!</definedName>
    <definedName name="BExS3MTQ75VBXDGEBURP6YT8RROE" localSheetId="8" hidden="1">#REF!</definedName>
    <definedName name="BExS3MTQ75VBXDGEBURP6YT8RROE" localSheetId="19" hidden="1">#REF!</definedName>
    <definedName name="BExS3MTQ75VBXDGEBURP6YT8RROE" hidden="1">#REF!</definedName>
    <definedName name="BExS3OMGYO0DFN5186UFKEXZ2RX3" localSheetId="8" hidden="1">#REF!</definedName>
    <definedName name="BExS3OMGYO0DFN5186UFKEXZ2RX3" localSheetId="19" hidden="1">#REF!</definedName>
    <definedName name="BExS3OMGYO0DFN5186UFKEXZ2RX3" hidden="1">#REF!</definedName>
    <definedName name="BExS3SDERJ27OER67TIGOVZU13A2" localSheetId="8" hidden="1">#REF!</definedName>
    <definedName name="BExS3SDERJ27OER67TIGOVZU13A2" localSheetId="19" hidden="1">#REF!</definedName>
    <definedName name="BExS3SDERJ27OER67TIGOVZU13A2" hidden="1">#REF!</definedName>
    <definedName name="BExS3STIH9SFG0R6H30P191QZE98" localSheetId="8" hidden="1">#REF!</definedName>
    <definedName name="BExS3STIH9SFG0R6H30P191QZE98" localSheetId="19" hidden="1">#REF!</definedName>
    <definedName name="BExS3STIH9SFG0R6H30P191QZE98" hidden="1">#REF!</definedName>
    <definedName name="BExS46R5WDNU5KL04FKY5LHJUCB8" localSheetId="8" hidden="1">#REF!</definedName>
    <definedName name="BExS46R5WDNU5KL04FKY5LHJUCB8" localSheetId="19" hidden="1">#REF!</definedName>
    <definedName name="BExS46R5WDNU5KL04FKY5LHJUCB8" hidden="1">#REF!</definedName>
    <definedName name="BExS4ASWKM93XA275AXHYP8AG6SU" localSheetId="8" hidden="1">#REF!</definedName>
    <definedName name="BExS4ASWKM93XA275AXHYP8AG6SU" localSheetId="19" hidden="1">#REF!</definedName>
    <definedName name="BExS4ASWKM93XA275AXHYP8AG6SU" hidden="1">#REF!</definedName>
    <definedName name="BExS4IANBC4RO7HIK0MZZ2RPQU78" localSheetId="8" hidden="1">#REF!</definedName>
    <definedName name="BExS4IANBC4RO7HIK0MZZ2RPQU78" localSheetId="19" hidden="1">#REF!</definedName>
    <definedName name="BExS4IANBC4RO7HIK0MZZ2RPQU78" hidden="1">#REF!</definedName>
    <definedName name="BExS4JN3Y6SVBKILQK0R9HS45Y52" localSheetId="8" hidden="1">#REF!</definedName>
    <definedName name="BExS4JN3Y6SVBKILQK0R9HS45Y52" localSheetId="19" hidden="1">#REF!</definedName>
    <definedName name="BExS4JN3Y6SVBKILQK0R9HS45Y52" hidden="1">#REF!</definedName>
    <definedName name="BExS4P6S41O6Z6BED77U3GD9PNH1" localSheetId="8" hidden="1">#REF!</definedName>
    <definedName name="BExS4P6S41O6Z6BED77U3GD9PNH1" localSheetId="19" hidden="1">#REF!</definedName>
    <definedName name="BExS4P6S41O6Z6BED77U3GD9PNH1" hidden="1">#REF!</definedName>
    <definedName name="BExS4PXPURUHFBOKYFJD5J1J2RXC" localSheetId="8" hidden="1">#REF!</definedName>
    <definedName name="BExS4PXPURUHFBOKYFJD5J1J2RXC" localSheetId="19" hidden="1">#REF!</definedName>
    <definedName name="BExS4PXPURUHFBOKYFJD5J1J2RXC" hidden="1">#REF!</definedName>
    <definedName name="BExS4T32HD3YGJ91HTJ2IGVX6V4O" localSheetId="8" hidden="1">#REF!</definedName>
    <definedName name="BExS4T32HD3YGJ91HTJ2IGVX6V4O" localSheetId="19" hidden="1">#REF!</definedName>
    <definedName name="BExS4T32HD3YGJ91HTJ2IGVX6V4O" hidden="1">#REF!</definedName>
    <definedName name="BExS51H0N51UT0FZOPZRCF1GU063" localSheetId="8" hidden="1">#REF!</definedName>
    <definedName name="BExS51H0N51UT0FZOPZRCF1GU063" localSheetId="19" hidden="1">#REF!</definedName>
    <definedName name="BExS51H0N51UT0FZOPZRCF1GU063" hidden="1">#REF!</definedName>
    <definedName name="BExS54X72TJFC41FJK72MLRR2OO7" localSheetId="8" hidden="1">#REF!</definedName>
    <definedName name="BExS54X72TJFC41FJK72MLRR2OO7" localSheetId="19" hidden="1">#REF!</definedName>
    <definedName name="BExS54X72TJFC41FJK72MLRR2OO7" hidden="1">#REF!</definedName>
    <definedName name="BExS59F0PA1V2ZC7S5TN6IT41SXP" localSheetId="8" hidden="1">#REF!</definedName>
    <definedName name="BExS59F0PA1V2ZC7S5TN6IT41SXP" localSheetId="19" hidden="1">#REF!</definedName>
    <definedName name="BExS59F0PA1V2ZC7S5TN6IT41SXP" hidden="1">#REF!</definedName>
    <definedName name="BExS5L3TGB8JVW9ROYWTKYTUPW27" localSheetId="8" hidden="1">#REF!</definedName>
    <definedName name="BExS5L3TGB8JVW9ROYWTKYTUPW27" localSheetId="19" hidden="1">#REF!</definedName>
    <definedName name="BExS5L3TGB8JVW9ROYWTKYTUPW27" hidden="1">#REF!</definedName>
    <definedName name="BExS6GKQ96EHVLYWNJDWXZXUZW90" localSheetId="8" hidden="1">#REF!</definedName>
    <definedName name="BExS6GKQ96EHVLYWNJDWXZXUZW90" localSheetId="19" hidden="1">#REF!</definedName>
    <definedName name="BExS6GKQ96EHVLYWNJDWXZXUZW90" hidden="1">#REF!</definedName>
    <definedName name="BExS6ITKSZFRR01YD5B0F676SYN7" localSheetId="8" hidden="1">#REF!</definedName>
    <definedName name="BExS6ITKSZFRR01YD5B0F676SYN7" localSheetId="19" hidden="1">#REF!</definedName>
    <definedName name="BExS6ITKSZFRR01YD5B0F676SYN7" hidden="1">#REF!</definedName>
    <definedName name="BExS6N0LI574IAC89EFW6CLTCQ33" localSheetId="8" hidden="1">#REF!</definedName>
    <definedName name="BExS6N0LI574IAC89EFW6CLTCQ33" localSheetId="19" hidden="1">#REF!</definedName>
    <definedName name="BExS6N0LI574IAC89EFW6CLTCQ33" hidden="1">#REF!</definedName>
    <definedName name="BExS6N0NEF7XCTT5R600QZ71A44O" localSheetId="8" hidden="1">#REF!</definedName>
    <definedName name="BExS6N0NEF7XCTT5R600QZ71A44O" localSheetId="19" hidden="1">#REF!</definedName>
    <definedName name="BExS6N0NEF7XCTT5R600QZ71A44O" hidden="1">#REF!</definedName>
    <definedName name="BExS6WRDBF3ST86ZOBBUL3GTCR11" localSheetId="8" hidden="1">#REF!</definedName>
    <definedName name="BExS6WRDBF3ST86ZOBBUL3GTCR11" localSheetId="19" hidden="1">#REF!</definedName>
    <definedName name="BExS6WRDBF3ST86ZOBBUL3GTCR11" hidden="1">#REF!</definedName>
    <definedName name="BExS6XNRKR0C3MTA0LV5B60UB908" localSheetId="8" hidden="1">#REF!</definedName>
    <definedName name="BExS6XNRKR0C3MTA0LV5B60UB908" localSheetId="19" hidden="1">#REF!</definedName>
    <definedName name="BExS6XNRKR0C3MTA0LV5B60UB908" hidden="1">#REF!</definedName>
    <definedName name="BExS73NELZEK2MDOLXO2Q7H3EG71" localSheetId="8" hidden="1">#REF!</definedName>
    <definedName name="BExS73NELZEK2MDOLXO2Q7H3EG71" localSheetId="19" hidden="1">#REF!</definedName>
    <definedName name="BExS73NELZEK2MDOLXO2Q7H3EG71" hidden="1">#REF!</definedName>
    <definedName name="BExS7DJF6AXTWAJD7K4ZCD7L6BHV" localSheetId="8" hidden="1">#REF!</definedName>
    <definedName name="BExS7DJF6AXTWAJD7K4ZCD7L6BHV" localSheetId="19" hidden="1">#REF!</definedName>
    <definedName name="BExS7DJF6AXTWAJD7K4ZCD7L6BHV" hidden="1">#REF!</definedName>
    <definedName name="BExS7GOTHHOK287MX2RC853NWQAL" localSheetId="8" hidden="1">#REF!</definedName>
    <definedName name="BExS7GOTHHOK287MX2RC853NWQAL" localSheetId="19" hidden="1">#REF!</definedName>
    <definedName name="BExS7GOTHHOK287MX2RC853NWQAL" hidden="1">#REF!</definedName>
    <definedName name="BExS7TKQYLRZGM93UY3ZJZJBQNFJ" localSheetId="8" hidden="1">#REF!</definedName>
    <definedName name="BExS7TKQYLRZGM93UY3ZJZJBQNFJ" localSheetId="19" hidden="1">#REF!</definedName>
    <definedName name="BExS7TKQYLRZGM93UY3ZJZJBQNFJ" hidden="1">#REF!</definedName>
    <definedName name="BExS7Y2LNGVHSIBKC7C3R6X4LDR6" localSheetId="8" hidden="1">#REF!</definedName>
    <definedName name="BExS7Y2LNGVHSIBKC7C3R6X4LDR6" localSheetId="19" hidden="1">#REF!</definedName>
    <definedName name="BExS7Y2LNGVHSIBKC7C3R6X4LDR6" hidden="1">#REF!</definedName>
    <definedName name="BExS81TE0EY44Y3W2M4Z4MGNP5OM" localSheetId="8" hidden="1">#REF!</definedName>
    <definedName name="BExS81TE0EY44Y3W2M4Z4MGNP5OM" localSheetId="19" hidden="1">#REF!</definedName>
    <definedName name="BExS81TE0EY44Y3W2M4Z4MGNP5OM" hidden="1">#REF!</definedName>
    <definedName name="BExS81YPDZDVJJVS15HV2HDXAC3Y" localSheetId="8" hidden="1">#REF!</definedName>
    <definedName name="BExS81YPDZDVJJVS15HV2HDXAC3Y" localSheetId="19" hidden="1">#REF!</definedName>
    <definedName name="BExS81YPDZDVJJVS15HV2HDXAC3Y" hidden="1">#REF!</definedName>
    <definedName name="BExS82PRVNUTEKQZS56YT2DVF6C2" localSheetId="8" hidden="1">#REF!</definedName>
    <definedName name="BExS82PRVNUTEKQZS56YT2DVF6C2" localSheetId="19" hidden="1">#REF!</definedName>
    <definedName name="BExS82PRVNUTEKQZS56YT2DVF6C2" hidden="1">#REF!</definedName>
    <definedName name="BExS83BCNFAV6DRCB1VTUF96491J" localSheetId="8" hidden="1">#REF!</definedName>
    <definedName name="BExS83BCNFAV6DRCB1VTUF96491J" localSheetId="19" hidden="1">#REF!</definedName>
    <definedName name="BExS83BCNFAV6DRCB1VTUF96491J" hidden="1">#REF!</definedName>
    <definedName name="BExS86GKM9ISCSNZD15BQ5E5L6A5" localSheetId="8" hidden="1">#REF!</definedName>
    <definedName name="BExS86GKM9ISCSNZD15BQ5E5L6A5" localSheetId="19" hidden="1">#REF!</definedName>
    <definedName name="BExS86GKM9ISCSNZD15BQ5E5L6A5" hidden="1">#REF!</definedName>
    <definedName name="BExS89GGRJ55EK546SM31UGE2K8T" localSheetId="8" hidden="1">#REF!</definedName>
    <definedName name="BExS89GGRJ55EK546SM31UGE2K8T" localSheetId="19" hidden="1">#REF!</definedName>
    <definedName name="BExS89GGRJ55EK546SM31UGE2K8T" hidden="1">#REF!</definedName>
    <definedName name="BExS8BPG5A0GR5AO1U951NDGGR0L" localSheetId="8" hidden="1">#REF!</definedName>
    <definedName name="BExS8BPG5A0GR5AO1U951NDGGR0L" localSheetId="19" hidden="1">#REF!</definedName>
    <definedName name="BExS8BPG5A0GR5AO1U951NDGGR0L" hidden="1">#REF!</definedName>
    <definedName name="BExS8CGI0JXFUBD41VFLI0SZSV8F" localSheetId="8" hidden="1">#REF!</definedName>
    <definedName name="BExS8CGI0JXFUBD41VFLI0SZSV8F" localSheetId="19" hidden="1">#REF!</definedName>
    <definedName name="BExS8CGI0JXFUBD41VFLI0SZSV8F" hidden="1">#REF!</definedName>
    <definedName name="BExS8D22FXVQKOEJP01LT0CDI3PS" localSheetId="8" hidden="1">#REF!</definedName>
    <definedName name="BExS8D22FXVQKOEJP01LT0CDI3PS" localSheetId="19" hidden="1">#REF!</definedName>
    <definedName name="BExS8D22FXVQKOEJP01LT0CDI3PS" hidden="1">#REF!</definedName>
    <definedName name="BExS8EEJOZFBUWZDOM3O25AJRUVU" localSheetId="8" hidden="1">#REF!</definedName>
    <definedName name="BExS8EEJOZFBUWZDOM3O25AJRUVU" localSheetId="19" hidden="1">#REF!</definedName>
    <definedName name="BExS8EEJOZFBUWZDOM3O25AJRUVU" hidden="1">#REF!</definedName>
    <definedName name="BExS8GSUS17UY50TEM2AWF36BR9Z" localSheetId="8" hidden="1">#REF!</definedName>
    <definedName name="BExS8GSUS17UY50TEM2AWF36BR9Z" localSheetId="19" hidden="1">#REF!</definedName>
    <definedName name="BExS8GSUS17UY50TEM2AWF36BR9Z" hidden="1">#REF!</definedName>
    <definedName name="BExS8HJRBVG0XI6PWA9KTMJZMQXK" localSheetId="8" hidden="1">#REF!</definedName>
    <definedName name="BExS8HJRBVG0XI6PWA9KTMJZMQXK" localSheetId="19" hidden="1">#REF!</definedName>
    <definedName name="BExS8HJRBVG0XI6PWA9KTMJZMQXK" hidden="1">#REF!</definedName>
    <definedName name="BExS8NE9HUZJH13OXLREOV1BX0OZ" localSheetId="8" hidden="1">#REF!</definedName>
    <definedName name="BExS8NE9HUZJH13OXLREOV1BX0OZ" localSheetId="19" hidden="1">#REF!</definedName>
    <definedName name="BExS8NE9HUZJH13OXLREOV1BX0OZ" hidden="1">#REF!</definedName>
    <definedName name="BExS8R51C8RM2FS6V6IRTYO9GA4A" localSheetId="8" hidden="1">#REF!</definedName>
    <definedName name="BExS8R51C8RM2FS6V6IRTYO9GA4A" localSheetId="19" hidden="1">#REF!</definedName>
    <definedName name="BExS8R51C8RM2FS6V6IRTYO9GA4A" hidden="1">#REF!</definedName>
    <definedName name="BExS8WDX408F60MH1X9B9UZ2H4R7" localSheetId="8" hidden="1">#REF!</definedName>
    <definedName name="BExS8WDX408F60MH1X9B9UZ2H4R7" localSheetId="19" hidden="1">#REF!</definedName>
    <definedName name="BExS8WDX408F60MH1X9B9UZ2H4R7" hidden="1">#REF!</definedName>
    <definedName name="BExS8X4UTVOFE2YEVLO8LTKMSI3A" localSheetId="8" hidden="1">#REF!</definedName>
    <definedName name="BExS8X4UTVOFE2YEVLO8LTKMSI3A" localSheetId="19" hidden="1">#REF!</definedName>
    <definedName name="BExS8X4UTVOFE2YEVLO8LTKMSI3A" hidden="1">#REF!</definedName>
    <definedName name="BExS8Z2W2QEC3MH0BZIYLDFQNUIP" localSheetId="8" hidden="1">#REF!</definedName>
    <definedName name="BExS8Z2W2QEC3MH0BZIYLDFQNUIP" localSheetId="19" hidden="1">#REF!</definedName>
    <definedName name="BExS8Z2W2QEC3MH0BZIYLDFQNUIP" hidden="1">#REF!</definedName>
    <definedName name="BExS92DKGRFFCIA9C0IXDOLO57EP" localSheetId="8" hidden="1">#REF!</definedName>
    <definedName name="BExS92DKGRFFCIA9C0IXDOLO57EP" localSheetId="19" hidden="1">#REF!</definedName>
    <definedName name="BExS92DKGRFFCIA9C0IXDOLO57EP" hidden="1">#REF!</definedName>
    <definedName name="BExS98OB4321YCHLCQ022PXKTT2W" localSheetId="8" hidden="1">#REF!</definedName>
    <definedName name="BExS98OB4321YCHLCQ022PXKTT2W" localSheetId="19" hidden="1">#REF!</definedName>
    <definedName name="BExS98OB4321YCHLCQ022PXKTT2W" hidden="1">#REF!</definedName>
    <definedName name="BExS9C9N8GFISC6HUERJ0EI06GB2" localSheetId="8" hidden="1">#REF!</definedName>
    <definedName name="BExS9C9N8GFISC6HUERJ0EI06GB2" localSheetId="19" hidden="1">#REF!</definedName>
    <definedName name="BExS9C9N8GFISC6HUERJ0EI06GB2" hidden="1">#REF!</definedName>
    <definedName name="BExS9D6619QNINF06KHZHYUAH0S9" localSheetId="8" hidden="1">#REF!</definedName>
    <definedName name="BExS9D6619QNINF06KHZHYUAH0S9" localSheetId="19" hidden="1">#REF!</definedName>
    <definedName name="BExS9D6619QNINF06KHZHYUAH0S9" hidden="1">#REF!</definedName>
    <definedName name="BExS9DX13CACP3J8JDREK30JB1SQ" localSheetId="8" hidden="1">#REF!</definedName>
    <definedName name="BExS9DX13CACP3J8JDREK30JB1SQ" localSheetId="19" hidden="1">#REF!</definedName>
    <definedName name="BExS9DX13CACP3J8JDREK30JB1SQ" hidden="1">#REF!</definedName>
    <definedName name="BExS9FPRS2KRRCS33SE6WFNF5GYL" localSheetId="8" hidden="1">#REF!</definedName>
    <definedName name="BExS9FPRS2KRRCS33SE6WFNF5GYL" localSheetId="19" hidden="1">#REF!</definedName>
    <definedName name="BExS9FPRS2KRRCS33SE6WFNF5GYL" hidden="1">#REF!</definedName>
    <definedName name="BExS9M5VN3VE822UH6TLACVY24CJ" localSheetId="8" hidden="1">#REF!</definedName>
    <definedName name="BExS9M5VN3VE822UH6TLACVY24CJ" localSheetId="19" hidden="1">#REF!</definedName>
    <definedName name="BExS9M5VN3VE822UH6TLACVY24CJ" hidden="1">#REF!</definedName>
    <definedName name="BExS9WI0A6PSEB8N9GPXF2Z7MWHM" localSheetId="8" hidden="1">#REF!</definedName>
    <definedName name="BExS9WI0A6PSEB8N9GPXF2Z7MWHM" localSheetId="19" hidden="1">#REF!</definedName>
    <definedName name="BExS9WI0A6PSEB8N9GPXF2Z7MWHM" hidden="1">#REF!</definedName>
    <definedName name="BExS9XJPZ07ND34OHX60QD382FV6" localSheetId="8" hidden="1">#REF!</definedName>
    <definedName name="BExS9XJPZ07ND34OHX60QD382FV6" localSheetId="19" hidden="1">#REF!</definedName>
    <definedName name="BExS9XJPZ07ND34OHX60QD382FV6" hidden="1">#REF!</definedName>
    <definedName name="BExSA4AJLEEN4R7HU4FRSMYR17TR" localSheetId="8" hidden="1">#REF!</definedName>
    <definedName name="BExSA4AJLEEN4R7HU4FRSMYR17TR" localSheetId="19" hidden="1">#REF!</definedName>
    <definedName name="BExSA4AJLEEN4R7HU4FRSMYR17TR" hidden="1">#REF!</definedName>
    <definedName name="BExSA5HP306TN9XJS0TU619DLRR7" localSheetId="8" hidden="1">#REF!</definedName>
    <definedName name="BExSA5HP306TN9XJS0TU619DLRR7" localSheetId="19" hidden="1">#REF!</definedName>
    <definedName name="BExSA5HP306TN9XJS0TU619DLRR7" hidden="1">#REF!</definedName>
    <definedName name="BExSAAVWQOOIA6B3JHQVGP08HFEM" localSheetId="8" hidden="1">#REF!</definedName>
    <definedName name="BExSAAVWQOOIA6B3JHQVGP08HFEM" localSheetId="19" hidden="1">#REF!</definedName>
    <definedName name="BExSAAVWQOOIA6B3JHQVGP08HFEM" hidden="1">#REF!</definedName>
    <definedName name="BExSAFJ3IICU2M7QPVE4ARYMXZKX" localSheetId="8" hidden="1">#REF!</definedName>
    <definedName name="BExSAFJ3IICU2M7QPVE4ARYMXZKX" localSheetId="19" hidden="1">#REF!</definedName>
    <definedName name="BExSAFJ3IICU2M7QPVE4ARYMXZKX" hidden="1">#REF!</definedName>
    <definedName name="BExSAH6ID8OHX379UXVNGFO8J6KQ" localSheetId="8" hidden="1">#REF!</definedName>
    <definedName name="BExSAH6ID8OHX379UXVNGFO8J6KQ" localSheetId="19" hidden="1">#REF!</definedName>
    <definedName name="BExSAH6ID8OHX379UXVNGFO8J6KQ" hidden="1">#REF!</definedName>
    <definedName name="BExSAQBHIXGQRNIRGCJMBXUPCZQA" localSheetId="8" hidden="1">#REF!</definedName>
    <definedName name="BExSAQBHIXGQRNIRGCJMBXUPCZQA" localSheetId="19" hidden="1">#REF!</definedName>
    <definedName name="BExSAQBHIXGQRNIRGCJMBXUPCZQA" hidden="1">#REF!</definedName>
    <definedName name="BExSAUTCT4P7JP57NOR9MTX33QJZ" localSheetId="8" hidden="1">#REF!</definedName>
    <definedName name="BExSAUTCT4P7JP57NOR9MTX33QJZ" localSheetId="19" hidden="1">#REF!</definedName>
    <definedName name="BExSAUTCT4P7JP57NOR9MTX33QJZ" hidden="1">#REF!</definedName>
    <definedName name="BExSAY9CA9TFXQ9M9FBJRGJO9T9E" localSheetId="8" hidden="1">#REF!</definedName>
    <definedName name="BExSAY9CA9TFXQ9M9FBJRGJO9T9E" localSheetId="19" hidden="1">#REF!</definedName>
    <definedName name="BExSAY9CA9TFXQ9M9FBJRGJO9T9E" hidden="1">#REF!</definedName>
    <definedName name="BExSB4JYKQ3MINI7RAYK5M8BLJDC" localSheetId="8" hidden="1">#REF!</definedName>
    <definedName name="BExSB4JYKQ3MINI7RAYK5M8BLJDC" localSheetId="19" hidden="1">#REF!</definedName>
    <definedName name="BExSB4JYKQ3MINI7RAYK5M8BLJDC" hidden="1">#REF!</definedName>
    <definedName name="BExSBCY73CG3Q15P5BDLDT994XRL" localSheetId="8" hidden="1">#REF!</definedName>
    <definedName name="BExSBCY73CG3Q15P5BDLDT994XRL" localSheetId="19" hidden="1">#REF!</definedName>
    <definedName name="BExSBCY73CG3Q15P5BDLDT994XRL" hidden="1">#REF!</definedName>
    <definedName name="BExSBMOS41ZRLWYLOU29V6Y7YORR" localSheetId="8" hidden="1">#REF!</definedName>
    <definedName name="BExSBMOS41ZRLWYLOU29V6Y7YORR" localSheetId="19" hidden="1">#REF!</definedName>
    <definedName name="BExSBMOS41ZRLWYLOU29V6Y7YORR" hidden="1">#REF!</definedName>
    <definedName name="BExSBPZG22WAMZYIF7CZ686E8X80" localSheetId="8" hidden="1">#REF!</definedName>
    <definedName name="BExSBPZG22WAMZYIF7CZ686E8X80" localSheetId="19" hidden="1">#REF!</definedName>
    <definedName name="BExSBPZG22WAMZYIF7CZ686E8X80" hidden="1">#REF!</definedName>
    <definedName name="BExSBRBXXQMBU1TYDW1BXTEVEPRU" localSheetId="8" hidden="1">#REF!</definedName>
    <definedName name="BExSBRBXXQMBU1TYDW1BXTEVEPRU" localSheetId="19" hidden="1">#REF!</definedName>
    <definedName name="BExSBRBXXQMBU1TYDW1BXTEVEPRU" hidden="1">#REF!</definedName>
    <definedName name="BExSC54998WTZ21DSL0R8UN0Y9JH" localSheetId="8" hidden="1">#REF!</definedName>
    <definedName name="BExSC54998WTZ21DSL0R8UN0Y9JH" localSheetId="19" hidden="1">#REF!</definedName>
    <definedName name="BExSC54998WTZ21DSL0R8UN0Y9JH" hidden="1">#REF!</definedName>
    <definedName name="BExSC60N7WR9PJSNC9B7ORCX9NGY" localSheetId="8" hidden="1">#REF!</definedName>
    <definedName name="BExSC60N7WR9PJSNC9B7ORCX9NGY" localSheetId="19" hidden="1">#REF!</definedName>
    <definedName name="BExSC60N7WR9PJSNC9B7ORCX9NGY" hidden="1">#REF!</definedName>
    <definedName name="BExSCE99EZTILTTCE4NJJF96OYYM" localSheetId="8" hidden="1">#REF!</definedName>
    <definedName name="BExSCE99EZTILTTCE4NJJF96OYYM" localSheetId="19" hidden="1">#REF!</definedName>
    <definedName name="BExSCE99EZTILTTCE4NJJF96OYYM" hidden="1">#REF!</definedName>
    <definedName name="BExSCFWOMYELUEPWVJIRGIQZH5BV" localSheetId="8" hidden="1">#REF!</definedName>
    <definedName name="BExSCFWOMYELUEPWVJIRGIQZH5BV" localSheetId="19" hidden="1">#REF!</definedName>
    <definedName name="BExSCFWOMYELUEPWVJIRGIQZH5BV" hidden="1">#REF!</definedName>
    <definedName name="BExSCHUQZ2HFEWS54X67DIS8OSXZ" localSheetId="8" hidden="1">#REF!</definedName>
    <definedName name="BExSCHUQZ2HFEWS54X67DIS8OSXZ" localSheetId="19" hidden="1">#REF!</definedName>
    <definedName name="BExSCHUQZ2HFEWS54X67DIS8OSXZ" hidden="1">#REF!</definedName>
    <definedName name="BExSCOG41SKKG4GYU76WRWW1CTE6" localSheetId="8" hidden="1">#REF!</definedName>
    <definedName name="BExSCOG41SKKG4GYU76WRWW1CTE6" localSheetId="19" hidden="1">#REF!</definedName>
    <definedName name="BExSCOG41SKKG4GYU76WRWW1CTE6" hidden="1">#REF!</definedName>
    <definedName name="BExSCVC9P86YVFMRKKUVRV29MZXZ" localSheetId="8" hidden="1">#REF!</definedName>
    <definedName name="BExSCVC9P86YVFMRKKUVRV29MZXZ" localSheetId="19" hidden="1">#REF!</definedName>
    <definedName name="BExSCVC9P86YVFMRKKUVRV29MZXZ" hidden="1">#REF!</definedName>
    <definedName name="BExSD233CH4MU9ZMGNRF97ZV7KWU" localSheetId="8" hidden="1">#REF!</definedName>
    <definedName name="BExSD233CH4MU9ZMGNRF97ZV7KWU" localSheetId="19" hidden="1">#REF!</definedName>
    <definedName name="BExSD233CH4MU9ZMGNRF97ZV7KWU" hidden="1">#REF!</definedName>
    <definedName name="BExSD2U0F3BN6IN9N4R2DTTJG15H" localSheetId="8" hidden="1">#REF!</definedName>
    <definedName name="BExSD2U0F3BN6IN9N4R2DTTJG15H" localSheetId="19" hidden="1">#REF!</definedName>
    <definedName name="BExSD2U0F3BN6IN9N4R2DTTJG15H" hidden="1">#REF!</definedName>
    <definedName name="BExSD6A6NY15YSMFH51ST6XJY429" localSheetId="8" hidden="1">#REF!</definedName>
    <definedName name="BExSD6A6NY15YSMFH51ST6XJY429" localSheetId="19" hidden="1">#REF!</definedName>
    <definedName name="BExSD6A6NY15YSMFH51ST6XJY429" hidden="1">#REF!</definedName>
    <definedName name="BExSD9VH6PF6RQ135VOEE08YXPAW" localSheetId="8" hidden="1">#REF!</definedName>
    <definedName name="BExSD9VH6PF6RQ135VOEE08YXPAW" localSheetId="19" hidden="1">#REF!</definedName>
    <definedName name="BExSD9VH6PF6RQ135VOEE08YXPAW" hidden="1">#REF!</definedName>
    <definedName name="BExSDI9QWFD49GEZWZ3KOGM27XRB" localSheetId="8" hidden="1">#REF!</definedName>
    <definedName name="BExSDI9QWFD49GEZWZ3KOGM27XRB" localSheetId="19" hidden="1">#REF!</definedName>
    <definedName name="BExSDI9QWFD49GEZWZ3KOGM27XRB" hidden="1">#REF!</definedName>
    <definedName name="BExSDP5Y04WWMX2WWRITWOX8R5I9" localSheetId="8" hidden="1">#REF!</definedName>
    <definedName name="BExSDP5Y04WWMX2WWRITWOX8R5I9" localSheetId="19" hidden="1">#REF!</definedName>
    <definedName name="BExSDP5Y04WWMX2WWRITWOX8R5I9" hidden="1">#REF!</definedName>
    <definedName name="BExSDSGM203BJTNS9MKCBX453HMD" localSheetId="8" hidden="1">#REF!</definedName>
    <definedName name="BExSDSGM203BJTNS9MKCBX453HMD" localSheetId="19" hidden="1">#REF!</definedName>
    <definedName name="BExSDSGM203BJTNS9MKCBX453HMD" hidden="1">#REF!</definedName>
    <definedName name="BExSDT20XUFXTDM37M148AXAP7HN" localSheetId="8" hidden="1">#REF!</definedName>
    <definedName name="BExSDT20XUFXTDM37M148AXAP7HN" localSheetId="19" hidden="1">#REF!</definedName>
    <definedName name="BExSDT20XUFXTDM37M148AXAP7HN" hidden="1">#REF!</definedName>
    <definedName name="BExSDYLOWNTKCY92LFEDAV8LO7D3" localSheetId="8" hidden="1">#REF!</definedName>
    <definedName name="BExSDYLOWNTKCY92LFEDAV8LO7D3" localSheetId="19" hidden="1">#REF!</definedName>
    <definedName name="BExSDYLOWNTKCY92LFEDAV8LO7D3" hidden="1">#REF!</definedName>
    <definedName name="BExSE277VXZ807WBUB6A1UGQ1SF9" localSheetId="8" hidden="1">#REF!</definedName>
    <definedName name="BExSE277VXZ807WBUB6A1UGQ1SF9" localSheetId="19" hidden="1">#REF!</definedName>
    <definedName name="BExSE277VXZ807WBUB6A1UGQ1SF9" hidden="1">#REF!</definedName>
    <definedName name="BExSE3EDSP4UL6G0I3DZ5SBHMUBU" localSheetId="8" hidden="1">#REF!</definedName>
    <definedName name="BExSE3EDSP4UL6G0I3DZ5SBHMUBU" localSheetId="19" hidden="1">#REF!</definedName>
    <definedName name="BExSE3EDSP4UL6G0I3DZ5SBHMUBU" hidden="1">#REF!</definedName>
    <definedName name="BExSEEHK1VLWD7JBV9SVVVIKQZ3I" localSheetId="8" hidden="1">#REF!</definedName>
    <definedName name="BExSEEHK1VLWD7JBV9SVVVIKQZ3I" localSheetId="19" hidden="1">#REF!</definedName>
    <definedName name="BExSEEHK1VLWD7JBV9SVVVIKQZ3I" hidden="1">#REF!</definedName>
    <definedName name="BExSEITYG8XAMWJ1C8VKU1MB4TEO" localSheetId="8" hidden="1">#REF!</definedName>
    <definedName name="BExSEITYG8XAMWJ1C8VKU1MB4TEO" localSheetId="19" hidden="1">#REF!</definedName>
    <definedName name="BExSEITYG8XAMWJ1C8VKU1MB4TEO" hidden="1">#REF!</definedName>
    <definedName name="BExSEJKZLX37P3V33TRTFJ30BFRK" localSheetId="8" hidden="1">#REF!</definedName>
    <definedName name="BExSEJKZLX37P3V33TRTFJ30BFRK" localSheetId="19" hidden="1">#REF!</definedName>
    <definedName name="BExSEJKZLX37P3V33TRTFJ30BFRK" hidden="1">#REF!</definedName>
    <definedName name="BExSEKXG1AW54E28IG5EODEM0JJV" localSheetId="8" hidden="1">#REF!</definedName>
    <definedName name="BExSEKXG1AW54E28IG5EODEM0JJV" localSheetId="19" hidden="1">#REF!</definedName>
    <definedName name="BExSEKXG1AW54E28IG5EODEM0JJV" hidden="1">#REF!</definedName>
    <definedName name="BExSEO84KVM8R2IV5MFH0XI3IZSN" localSheetId="8" hidden="1">#REF!</definedName>
    <definedName name="BExSEO84KVM8R2IV5MFH0XI3IZSN" localSheetId="19" hidden="1">#REF!</definedName>
    <definedName name="BExSEO84KVM8R2IV5MFH0XI3IZSN" hidden="1">#REF!</definedName>
    <definedName name="BExSEP9UVOAI6TMXKNK587PQ3328" localSheetId="8" hidden="1">#REF!</definedName>
    <definedName name="BExSEP9UVOAI6TMXKNK587PQ3328" localSheetId="19" hidden="1">#REF!</definedName>
    <definedName name="BExSEP9UVOAI6TMXKNK587PQ3328" hidden="1">#REF!</definedName>
    <definedName name="BExSERIU9MUGR4NPZAUJCVXUZ74I" localSheetId="8" hidden="1">#REF!</definedName>
    <definedName name="BExSERIU9MUGR4NPZAUJCVXUZ74I" localSheetId="19" hidden="1">#REF!</definedName>
    <definedName name="BExSERIU9MUGR4NPZAUJCVXUZ74I" hidden="1">#REF!</definedName>
    <definedName name="BExSF07QFLZCO4P6K6QF05XG7PH1" localSheetId="8" hidden="1">#REF!</definedName>
    <definedName name="BExSF07QFLZCO4P6K6QF05XG7PH1" localSheetId="19" hidden="1">#REF!</definedName>
    <definedName name="BExSF07QFLZCO4P6K6QF05XG7PH1" hidden="1">#REF!</definedName>
    <definedName name="BExSFJ8ZAGQ63A4MVMZRQWLVRGQ5" localSheetId="8" hidden="1">#REF!</definedName>
    <definedName name="BExSFJ8ZAGQ63A4MVMZRQWLVRGQ5" localSheetId="19" hidden="1">#REF!</definedName>
    <definedName name="BExSFJ8ZAGQ63A4MVMZRQWLVRGQ5" hidden="1">#REF!</definedName>
    <definedName name="BExSFKQRST2S9KXWWLCXYLKSF4G1" localSheetId="8" hidden="1">#REF!</definedName>
    <definedName name="BExSFKQRST2S9KXWWLCXYLKSF4G1" localSheetId="19" hidden="1">#REF!</definedName>
    <definedName name="BExSFKQRST2S9KXWWLCXYLKSF4G1" hidden="1">#REF!</definedName>
    <definedName name="BExSFOHO6VZ5Y463KL3XYTZBVE3P" localSheetId="8" hidden="1">#REF!</definedName>
    <definedName name="BExSFOHO6VZ5Y463KL3XYTZBVE3P" localSheetId="19" hidden="1">#REF!</definedName>
    <definedName name="BExSFOHO6VZ5Y463KL3XYTZBVE3P" hidden="1">#REF!</definedName>
    <definedName name="BExSFY2ZJOYUEYBX21QZ7AMN2WK1" localSheetId="8" hidden="1">#REF!</definedName>
    <definedName name="BExSFY2ZJOYUEYBX21QZ7AMN2WK1" localSheetId="19" hidden="1">#REF!</definedName>
    <definedName name="BExSFY2ZJOYUEYBX21QZ7AMN2WK1" hidden="1">#REF!</definedName>
    <definedName name="BExSFYDRRTAZVPXRWUF5PDQ97WFF" localSheetId="8" hidden="1">#REF!</definedName>
    <definedName name="BExSFYDRRTAZVPXRWUF5PDQ97WFF" localSheetId="19" hidden="1">#REF!</definedName>
    <definedName name="BExSFYDRRTAZVPXRWUF5PDQ97WFF" hidden="1">#REF!</definedName>
    <definedName name="BExSFZVPFTXA3F0IJ2NGH1GXX9R7" localSheetId="8" hidden="1">#REF!</definedName>
    <definedName name="BExSFZVPFTXA3F0IJ2NGH1GXX9R7" localSheetId="19" hidden="1">#REF!</definedName>
    <definedName name="BExSFZVPFTXA3F0IJ2NGH1GXX9R7" hidden="1">#REF!</definedName>
    <definedName name="BExSG2Q34XRC1K28H4XG6PQM3FTW" localSheetId="8" hidden="1">#REF!</definedName>
    <definedName name="BExSG2Q34XRC1K28H4XG6PQM3FTW" localSheetId="19" hidden="1">#REF!</definedName>
    <definedName name="BExSG2Q34XRC1K28H4XG6PQM3FTW" hidden="1">#REF!</definedName>
    <definedName name="BExSG90Q4ZUU2IPGDYOM169NJV9S" localSheetId="8" hidden="1">#REF!</definedName>
    <definedName name="BExSG90Q4ZUU2IPGDYOM169NJV9S" localSheetId="19" hidden="1">#REF!</definedName>
    <definedName name="BExSG90Q4ZUU2IPGDYOM169NJV9S" hidden="1">#REF!</definedName>
    <definedName name="BExSG9X3DU845PNXYJGGLBQY2UHG" localSheetId="8" hidden="1">#REF!</definedName>
    <definedName name="BExSG9X3DU845PNXYJGGLBQY2UHG" localSheetId="19" hidden="1">#REF!</definedName>
    <definedName name="BExSG9X3DU845PNXYJGGLBQY2UHG" hidden="1">#REF!</definedName>
    <definedName name="BExSGE45J27MDUUNXW7Z8Q33UAON" localSheetId="8" hidden="1">#REF!</definedName>
    <definedName name="BExSGE45J27MDUUNXW7Z8Q33UAON" localSheetId="19" hidden="1">#REF!</definedName>
    <definedName name="BExSGE45J27MDUUNXW7Z8Q33UAON" hidden="1">#REF!</definedName>
    <definedName name="BExSGE9LY91Q0URHB4YAMX0UAMYI" localSheetId="8" hidden="1">#REF!</definedName>
    <definedName name="BExSGE9LY91Q0URHB4YAMX0UAMYI" localSheetId="19" hidden="1">#REF!</definedName>
    <definedName name="BExSGE9LY91Q0URHB4YAMX0UAMYI" hidden="1">#REF!</definedName>
    <definedName name="BExSGLB2URTLBCKBB4Y885W925F2" localSheetId="8" hidden="1">#REF!</definedName>
    <definedName name="BExSGLB2URTLBCKBB4Y885W925F2" localSheetId="19" hidden="1">#REF!</definedName>
    <definedName name="BExSGLB2URTLBCKBB4Y885W925F2" hidden="1">#REF!</definedName>
    <definedName name="BExSGNEL2G0PC04ATVS20W5179EK" localSheetId="8" hidden="1">#REF!</definedName>
    <definedName name="BExSGNEL2G0PC04ATVS20W5179EK" localSheetId="19" hidden="1">#REF!</definedName>
    <definedName name="BExSGNEL2G0PC04ATVS20W5179EK" hidden="1">#REF!</definedName>
    <definedName name="BExSGOAYG73SFWOPAQV80P710GID" localSheetId="8" hidden="1">#REF!</definedName>
    <definedName name="BExSGOAYG73SFWOPAQV80P710GID" localSheetId="19" hidden="1">#REF!</definedName>
    <definedName name="BExSGOAYG73SFWOPAQV80P710GID" hidden="1">#REF!</definedName>
    <definedName name="BExSGOWJHRW7FWKLO2EHUOOGHNAF" localSheetId="8" hidden="1">#REF!</definedName>
    <definedName name="BExSGOWJHRW7FWKLO2EHUOOGHNAF" localSheetId="19" hidden="1">#REF!</definedName>
    <definedName name="BExSGOWJHRW7FWKLO2EHUOOGHNAF" hidden="1">#REF!</definedName>
    <definedName name="BExSGOWJTAP41ZV5Q23H7MI9C76W" localSheetId="8" hidden="1">#REF!</definedName>
    <definedName name="BExSGOWJTAP41ZV5Q23H7MI9C76W" localSheetId="19" hidden="1">#REF!</definedName>
    <definedName name="BExSGOWJTAP41ZV5Q23H7MI9C76W" hidden="1">#REF!</definedName>
    <definedName name="BExSGR5JQVX2HQ0PKCGZNSSUM1RV" localSheetId="8" hidden="1">#REF!</definedName>
    <definedName name="BExSGR5JQVX2HQ0PKCGZNSSUM1RV" localSheetId="19" hidden="1">#REF!</definedName>
    <definedName name="BExSGR5JQVX2HQ0PKCGZNSSUM1RV" hidden="1">#REF!</definedName>
    <definedName name="BExSGT3MKX7YVLVP6YLL6KVO8UGV" localSheetId="8" hidden="1">#REF!</definedName>
    <definedName name="BExSGT3MKX7YVLVP6YLL6KVO8UGV" localSheetId="19" hidden="1">#REF!</definedName>
    <definedName name="BExSGT3MKX7YVLVP6YLL6KVO8UGV" hidden="1">#REF!</definedName>
    <definedName name="BExSGVHX69GJZHD99DKE4RZ042B1" localSheetId="8" hidden="1">#REF!</definedName>
    <definedName name="BExSGVHX69GJZHD99DKE4RZ042B1" localSheetId="19" hidden="1">#REF!</definedName>
    <definedName name="BExSGVHX69GJZHD99DKE4RZ042B1" hidden="1">#REF!</definedName>
    <definedName name="BExSGZJO4J4ZO04E2N2ECVYS9DEZ" localSheetId="8" hidden="1">#REF!</definedName>
    <definedName name="BExSGZJO4J4ZO04E2N2ECVYS9DEZ" localSheetId="19" hidden="1">#REF!</definedName>
    <definedName name="BExSGZJO4J4ZO04E2N2ECVYS9DEZ" hidden="1">#REF!</definedName>
    <definedName name="BExSHAHFHS7MMNJR8JPVABRGBVIT" localSheetId="8" hidden="1">#REF!</definedName>
    <definedName name="BExSHAHFHS7MMNJR8JPVABRGBVIT" localSheetId="19" hidden="1">#REF!</definedName>
    <definedName name="BExSHAHFHS7MMNJR8JPVABRGBVIT" hidden="1">#REF!</definedName>
    <definedName name="BExSHGH88QZWW4RNAX4YKAZ5JEBL" localSheetId="8" hidden="1">#REF!</definedName>
    <definedName name="BExSHGH88QZWW4RNAX4YKAZ5JEBL" localSheetId="19" hidden="1">#REF!</definedName>
    <definedName name="BExSHGH88QZWW4RNAX4YKAZ5JEBL" hidden="1">#REF!</definedName>
    <definedName name="BExSHOKK1OO3CX9Z28C58E5J1D9W" localSheetId="8" hidden="1">#REF!</definedName>
    <definedName name="BExSHOKK1OO3CX9Z28C58E5J1D9W" localSheetId="19" hidden="1">#REF!</definedName>
    <definedName name="BExSHOKK1OO3CX9Z28C58E5J1D9W" hidden="1">#REF!</definedName>
    <definedName name="BExSHQD8KYLTQGDXIRKCHQQ7MKIH" localSheetId="8" hidden="1">#REF!</definedName>
    <definedName name="BExSHQD8KYLTQGDXIRKCHQQ7MKIH" localSheetId="19" hidden="1">#REF!</definedName>
    <definedName name="BExSHQD8KYLTQGDXIRKCHQQ7MKIH" hidden="1">#REF!</definedName>
    <definedName name="BExSHVGPIAHXI97UBLI9G4I4M29F" localSheetId="8" hidden="1">#REF!</definedName>
    <definedName name="BExSHVGPIAHXI97UBLI9G4I4M29F" localSheetId="19" hidden="1">#REF!</definedName>
    <definedName name="BExSHVGPIAHXI97UBLI9G4I4M29F" hidden="1">#REF!</definedName>
    <definedName name="BExSI0K2YL3HTCQAD8A7TR4QCUR6" localSheetId="8" hidden="1">#REF!</definedName>
    <definedName name="BExSI0K2YL3HTCQAD8A7TR4QCUR6" localSheetId="19" hidden="1">#REF!</definedName>
    <definedName name="BExSI0K2YL3HTCQAD8A7TR4QCUR6" hidden="1">#REF!</definedName>
    <definedName name="BExSIFUDNRWXWIWNGCCFOOD8WIAZ" localSheetId="8" hidden="1">#REF!</definedName>
    <definedName name="BExSIFUDNRWXWIWNGCCFOOD8WIAZ" localSheetId="19" hidden="1">#REF!</definedName>
    <definedName name="BExSIFUDNRWXWIWNGCCFOOD8WIAZ" hidden="1">#REF!</definedName>
    <definedName name="BExTTZNS2PBCR93C9IUW49UZ4I6T" localSheetId="8" hidden="1">#REF!</definedName>
    <definedName name="BExTTZNS2PBCR93C9IUW49UZ4I6T" localSheetId="19" hidden="1">#REF!</definedName>
    <definedName name="BExTTZNS2PBCR93C9IUW49UZ4I6T" hidden="1">#REF!</definedName>
    <definedName name="BExTU2YFQ25JQ6MEMRHHN66VLTPJ" localSheetId="8" hidden="1">#REF!</definedName>
    <definedName name="BExTU2YFQ25JQ6MEMRHHN66VLTPJ" localSheetId="19" hidden="1">#REF!</definedName>
    <definedName name="BExTU2YFQ25JQ6MEMRHHN66VLTPJ" hidden="1">#REF!</definedName>
    <definedName name="BExTU75IOII1V5O0C9X2VAYYVJUG" localSheetId="8" hidden="1">#REF!</definedName>
    <definedName name="BExTU75IOII1V5O0C9X2VAYYVJUG" localSheetId="19" hidden="1">#REF!</definedName>
    <definedName name="BExTU75IOII1V5O0C9X2VAYYVJUG" hidden="1">#REF!</definedName>
    <definedName name="BExTUA5F7V4LUIIAM17J3A8XF3JE" localSheetId="8" hidden="1">#REF!</definedName>
    <definedName name="BExTUA5F7V4LUIIAM17J3A8XF3JE" localSheetId="19" hidden="1">#REF!</definedName>
    <definedName name="BExTUA5F7V4LUIIAM17J3A8XF3JE" hidden="1">#REF!</definedName>
    <definedName name="BExTUBY3AA9B91YRRWFOT21LUL8Q" localSheetId="8" hidden="1">#REF!</definedName>
    <definedName name="BExTUBY3AA9B91YRRWFOT21LUL8Q" localSheetId="19" hidden="1">#REF!</definedName>
    <definedName name="BExTUBY3AA9B91YRRWFOT21LUL8Q" hidden="1">#REF!</definedName>
    <definedName name="BExTUJ53ANGZ3H1KDK4CR4Q0OD6P" localSheetId="8" hidden="1">#REF!</definedName>
    <definedName name="BExTUJ53ANGZ3H1KDK4CR4Q0OD6P" localSheetId="19" hidden="1">#REF!</definedName>
    <definedName name="BExTUJ53ANGZ3H1KDK4CR4Q0OD6P" hidden="1">#REF!</definedName>
    <definedName name="BExTUKXSZBM7C57G6NGLWGU4WOHY" localSheetId="8" hidden="1">#REF!</definedName>
    <definedName name="BExTUKXSZBM7C57G6NGLWGU4WOHY" localSheetId="19" hidden="1">#REF!</definedName>
    <definedName name="BExTUKXSZBM7C57G6NGLWGU4WOHY" hidden="1">#REF!</definedName>
    <definedName name="BExTUNC5INBE8Y5OA5GQUTXX6QJW" localSheetId="8" hidden="1">#REF!</definedName>
    <definedName name="BExTUNC5INBE8Y5OA5GQUTXX6QJW" localSheetId="19" hidden="1">#REF!</definedName>
    <definedName name="BExTUNC5INBE8Y5OA5GQUTXX6QJW" hidden="1">#REF!</definedName>
    <definedName name="BExTUSQCFFYZCDNHWHADBC2E1ZP1" localSheetId="8" hidden="1">#REF!</definedName>
    <definedName name="BExTUSQCFFYZCDNHWHADBC2E1ZP1" localSheetId="19" hidden="1">#REF!</definedName>
    <definedName name="BExTUSQCFFYZCDNHWHADBC2E1ZP1" hidden="1">#REF!</definedName>
    <definedName name="BExTUV4NQDZVAENZPSZGF7A3DDFN" localSheetId="8" hidden="1">#REF!</definedName>
    <definedName name="BExTUV4NQDZVAENZPSZGF7A3DDFN" localSheetId="19" hidden="1">#REF!</definedName>
    <definedName name="BExTUV4NQDZVAENZPSZGF7A3DDFN" hidden="1">#REF!</definedName>
    <definedName name="BExTUVFGOJEYS28JURA5KHQFDU5J" localSheetId="8" hidden="1">#REF!</definedName>
    <definedName name="BExTUVFGOJEYS28JURA5KHQFDU5J" localSheetId="19" hidden="1">#REF!</definedName>
    <definedName name="BExTUVFGOJEYS28JURA5KHQFDU5J" hidden="1">#REF!</definedName>
    <definedName name="BExTUW10U40QCYGHM5NJ3YR1O5SP" localSheetId="8" hidden="1">#REF!</definedName>
    <definedName name="BExTUW10U40QCYGHM5NJ3YR1O5SP" localSheetId="19" hidden="1">#REF!</definedName>
    <definedName name="BExTUW10U40QCYGHM5NJ3YR1O5SP" hidden="1">#REF!</definedName>
    <definedName name="BExTUWXFQHINU66YG82BI20ATMB5" localSheetId="8" hidden="1">#REF!</definedName>
    <definedName name="BExTUWXFQHINU66YG82BI20ATMB5" localSheetId="19" hidden="1">#REF!</definedName>
    <definedName name="BExTUWXFQHINU66YG82BI20ATMB5" hidden="1">#REF!</definedName>
    <definedName name="BExTUY9WNSJ91GV8CP0SKJTEIV82" localSheetId="8" hidden="1">#REF!</definedName>
    <definedName name="BExTUY9WNSJ91GV8CP0SKJTEIV82" localSheetId="19" hidden="1">#REF!</definedName>
    <definedName name="BExTUY9WNSJ91GV8CP0SKJTEIV82" hidden="1">#REF!</definedName>
    <definedName name="BExTV67VIM8PV6KO253M4DUBJQLC" localSheetId="8" hidden="1">#REF!</definedName>
    <definedName name="BExTV67VIM8PV6KO253M4DUBJQLC" localSheetId="19" hidden="1">#REF!</definedName>
    <definedName name="BExTV67VIM8PV6KO253M4DUBJQLC" hidden="1">#REF!</definedName>
    <definedName name="BExTVELZCF2YA5L6F23BYZZR6WHF" localSheetId="8" hidden="1">#REF!</definedName>
    <definedName name="BExTVELZCF2YA5L6F23BYZZR6WHF" localSheetId="19" hidden="1">#REF!</definedName>
    <definedName name="BExTVELZCF2YA5L6F23BYZZR6WHF" hidden="1">#REF!</definedName>
    <definedName name="BExTVGPIQZ99YFXUC8OONUX5BD42" localSheetId="8" hidden="1">#REF!</definedName>
    <definedName name="BExTVGPIQZ99YFXUC8OONUX5BD42" localSheetId="19" hidden="1">#REF!</definedName>
    <definedName name="BExTVGPIQZ99YFXUC8OONUX5BD42" hidden="1">#REF!</definedName>
    <definedName name="BExTVQG4F5RF0LZXG06AZ6EU1GQ3" localSheetId="8" hidden="1">#REF!</definedName>
    <definedName name="BExTVQG4F5RF0LZXG06AZ6EU1GQ3" localSheetId="19" hidden="1">#REF!</definedName>
    <definedName name="BExTVQG4F5RF0LZXG06AZ6EU1GQ3" hidden="1">#REF!</definedName>
    <definedName name="BExTVZQLP9VFLEYQ9280W13X7E8K" localSheetId="8" hidden="1">#REF!</definedName>
    <definedName name="BExTVZQLP9VFLEYQ9280W13X7E8K" localSheetId="19" hidden="1">#REF!</definedName>
    <definedName name="BExTVZQLP9VFLEYQ9280W13X7E8K" hidden="1">#REF!</definedName>
    <definedName name="BExTWB4LA1PODQOH4LDTHQKBN16K" localSheetId="8" hidden="1">#REF!</definedName>
    <definedName name="BExTWB4LA1PODQOH4LDTHQKBN16K" localSheetId="19" hidden="1">#REF!</definedName>
    <definedName name="BExTWB4LA1PODQOH4LDTHQKBN16K" hidden="1">#REF!</definedName>
    <definedName name="BExTWI0Q8AWXUA3ZN7I5V3QK2KM1" localSheetId="8" hidden="1">#REF!</definedName>
    <definedName name="BExTWI0Q8AWXUA3ZN7I5V3QK2KM1" localSheetId="19" hidden="1">#REF!</definedName>
    <definedName name="BExTWI0Q8AWXUA3ZN7I5V3QK2KM1" hidden="1">#REF!</definedName>
    <definedName name="BExTWJTIA3WUW1PUWXAOP9O8NKLZ" localSheetId="8" hidden="1">#REF!</definedName>
    <definedName name="BExTWJTIA3WUW1PUWXAOP9O8NKLZ" localSheetId="19" hidden="1">#REF!</definedName>
    <definedName name="BExTWJTIA3WUW1PUWXAOP9O8NKLZ" hidden="1">#REF!</definedName>
    <definedName name="BExTWW95OX07FNA01WF5MSSSFQLX" localSheetId="8" hidden="1">#REF!</definedName>
    <definedName name="BExTWW95OX07FNA01WF5MSSSFQLX" localSheetId="19" hidden="1">#REF!</definedName>
    <definedName name="BExTWW95OX07FNA01WF5MSSSFQLX" hidden="1">#REF!</definedName>
    <definedName name="BExTX005F4GLW03J0PLPRPMI1SEG" localSheetId="8" hidden="1">#REF!</definedName>
    <definedName name="BExTX005F4GLW03J0PLPRPMI1SEG" localSheetId="19" hidden="1">#REF!</definedName>
    <definedName name="BExTX005F4GLW03J0PLPRPMI1SEG" hidden="1">#REF!</definedName>
    <definedName name="BExTX476KI0RNB71XI5TYMANSGBG" localSheetId="8" hidden="1">#REF!</definedName>
    <definedName name="BExTX476KI0RNB71XI5TYMANSGBG" localSheetId="19" hidden="1">#REF!</definedName>
    <definedName name="BExTX476KI0RNB71XI5TYMANSGBG" hidden="1">#REF!</definedName>
    <definedName name="BExTXBJFKNSCUO7IOL6CSKERP06D" localSheetId="8" hidden="1">#REF!</definedName>
    <definedName name="BExTXBJFKNSCUO7IOL6CSKERP06D" localSheetId="19" hidden="1">#REF!</definedName>
    <definedName name="BExTXBJFKNSCUO7IOL6CSKERP06D" hidden="1">#REF!</definedName>
    <definedName name="BExTXDMZDQ9U1FD9T7F79J29SYYN" localSheetId="8" hidden="1">#REF!</definedName>
    <definedName name="BExTXDMZDQ9U1FD9T7F79J29SYYN" localSheetId="19" hidden="1">#REF!</definedName>
    <definedName name="BExTXDMZDQ9U1FD9T7F79J29SYYN" hidden="1">#REF!</definedName>
    <definedName name="BExTXJ6HBAIXMMWKZTJNFDYVZCAY" localSheetId="8" hidden="1">#REF!</definedName>
    <definedName name="BExTXJ6HBAIXMMWKZTJNFDYVZCAY" localSheetId="19" hidden="1">#REF!</definedName>
    <definedName name="BExTXJ6HBAIXMMWKZTJNFDYVZCAY" hidden="1">#REF!</definedName>
    <definedName name="BExTXT812NQT8GAEGH738U29BI0D" localSheetId="8" hidden="1">#REF!</definedName>
    <definedName name="BExTXT812NQT8GAEGH738U29BI0D" localSheetId="19" hidden="1">#REF!</definedName>
    <definedName name="BExTXT812NQT8GAEGH738U29BI0D" hidden="1">#REF!</definedName>
    <definedName name="BExTXWIP2TFPTQ76NHFOB72NICRZ" localSheetId="8" hidden="1">#REF!</definedName>
    <definedName name="BExTXWIP2TFPTQ76NHFOB72NICRZ" localSheetId="19" hidden="1">#REF!</definedName>
    <definedName name="BExTXWIP2TFPTQ76NHFOB72NICRZ" hidden="1">#REF!</definedName>
    <definedName name="BExTY5T62H651VC86QM4X7E28JVA" localSheetId="8" hidden="1">#REF!</definedName>
    <definedName name="BExTY5T62H651VC86QM4X7E28JVA" localSheetId="19" hidden="1">#REF!</definedName>
    <definedName name="BExTY5T62H651VC86QM4X7E28JVA" hidden="1">#REF!</definedName>
    <definedName name="BExTYB7EHGVTJ4RSYOXWSG87U5WI" localSheetId="8" hidden="1">#REF!</definedName>
    <definedName name="BExTYB7EHGVTJ4RSYOXWSG87U5WI" localSheetId="19" hidden="1">#REF!</definedName>
    <definedName name="BExTYB7EHGVTJ4RSYOXWSG87U5WI" hidden="1">#REF!</definedName>
    <definedName name="BExTYC93RS0KNKFOD35WG37LS9LY" localSheetId="8" hidden="1">#REF!</definedName>
    <definedName name="BExTYC93RS0KNKFOD35WG37LS9LY" localSheetId="19" hidden="1">#REF!</definedName>
    <definedName name="BExTYC93RS0KNKFOD35WG37LS9LY" hidden="1">#REF!</definedName>
    <definedName name="BExTYKCEFJ83LZM95M1V7CSFQVEA" localSheetId="8" hidden="1">#REF!</definedName>
    <definedName name="BExTYKCEFJ83LZM95M1V7CSFQVEA" localSheetId="19" hidden="1">#REF!</definedName>
    <definedName name="BExTYKCEFJ83LZM95M1V7CSFQVEA" hidden="1">#REF!</definedName>
    <definedName name="BExTYPLA9N640MFRJJQPKXT7P88M" localSheetId="8" hidden="1">#REF!</definedName>
    <definedName name="BExTYPLA9N640MFRJJQPKXT7P88M" localSheetId="19" hidden="1">#REF!</definedName>
    <definedName name="BExTYPLA9N640MFRJJQPKXT7P88M" hidden="1">#REF!</definedName>
    <definedName name="BExTYW1794M1TLJ2QQQCEEUZN18F" localSheetId="8" hidden="1">#REF!</definedName>
    <definedName name="BExTYW1794M1TLJ2QQQCEEUZN18F" localSheetId="19" hidden="1">#REF!</definedName>
    <definedName name="BExTYW1794M1TLJ2QQQCEEUZN18F" hidden="1">#REF!</definedName>
    <definedName name="BExTZ7F71SNTOX4LLZCK5R9VUMIJ" localSheetId="8" hidden="1">#REF!</definedName>
    <definedName name="BExTZ7F71SNTOX4LLZCK5R9VUMIJ" localSheetId="19" hidden="1">#REF!</definedName>
    <definedName name="BExTZ7F71SNTOX4LLZCK5R9VUMIJ" hidden="1">#REF!</definedName>
    <definedName name="BExTZ80SWE36T1QSIIPJU7NJ65JL" localSheetId="8" hidden="1">#REF!</definedName>
    <definedName name="BExTZ80SWE36T1QSIIPJU7NJ65JL" localSheetId="19" hidden="1">#REF!</definedName>
    <definedName name="BExTZ80SWE36T1QSIIPJU7NJ65JL" hidden="1">#REF!</definedName>
    <definedName name="BExTZ869RSO739T4Q78JLOVO7G0C" localSheetId="8" hidden="1">#REF!</definedName>
    <definedName name="BExTZ869RSO739T4Q78JLOVO7G0C" localSheetId="19" hidden="1">#REF!</definedName>
    <definedName name="BExTZ869RSO739T4Q78JLOVO7G0C" hidden="1">#REF!</definedName>
    <definedName name="BExTZ8X5G9S3PA4FPSNK7T69W7QT" localSheetId="8" hidden="1">#REF!</definedName>
    <definedName name="BExTZ8X5G9S3PA4FPSNK7T69W7QT" localSheetId="19" hidden="1">#REF!</definedName>
    <definedName name="BExTZ8X5G9S3PA4FPSNK7T69W7QT" hidden="1">#REF!</definedName>
    <definedName name="BExTZ97Y0RMR8V5BI9F2H4MFB77O" localSheetId="8" hidden="1">#REF!</definedName>
    <definedName name="BExTZ97Y0RMR8V5BI9F2H4MFB77O" localSheetId="19" hidden="1">#REF!</definedName>
    <definedName name="BExTZ97Y0RMR8V5BI9F2H4MFB77O" hidden="1">#REF!</definedName>
    <definedName name="BExTZK5PMCAXJL4DUIGL6H9Y8U4C" localSheetId="8" hidden="1">#REF!</definedName>
    <definedName name="BExTZK5PMCAXJL4DUIGL6H9Y8U4C" localSheetId="19" hidden="1">#REF!</definedName>
    <definedName name="BExTZK5PMCAXJL4DUIGL6H9Y8U4C" hidden="1">#REF!</definedName>
    <definedName name="BExTZKB6L5SXV5UN71YVTCBEIGWY" localSheetId="8" hidden="1">#REF!</definedName>
    <definedName name="BExTZKB6L5SXV5UN71YVTCBEIGWY" localSheetId="19" hidden="1">#REF!</definedName>
    <definedName name="BExTZKB6L5SXV5UN71YVTCBEIGWY" hidden="1">#REF!</definedName>
    <definedName name="BExTZLICVKK4NBJFEGL270GJ2VQO" localSheetId="8" hidden="1">#REF!</definedName>
    <definedName name="BExTZLICVKK4NBJFEGL270GJ2VQO" localSheetId="19" hidden="1">#REF!</definedName>
    <definedName name="BExTZLICVKK4NBJFEGL270GJ2VQO" hidden="1">#REF!</definedName>
    <definedName name="BExTZO2596CBZKPI7YNA1QQNPAIJ" localSheetId="8" hidden="1">#REF!</definedName>
    <definedName name="BExTZO2596CBZKPI7YNA1QQNPAIJ" localSheetId="19" hidden="1">#REF!</definedName>
    <definedName name="BExTZO2596CBZKPI7YNA1QQNPAIJ" hidden="1">#REF!</definedName>
    <definedName name="BExTZY8TDV4U7FQL7O10G6VKWKPJ" localSheetId="8" hidden="1">#REF!</definedName>
    <definedName name="BExTZY8TDV4U7FQL7O10G6VKWKPJ" localSheetId="19" hidden="1">#REF!</definedName>
    <definedName name="BExTZY8TDV4U7FQL7O10G6VKWKPJ" hidden="1">#REF!</definedName>
    <definedName name="BExU02QNT4LT7H9JPUC4FXTLVGZT" localSheetId="8" hidden="1">#REF!</definedName>
    <definedName name="BExU02QNT4LT7H9JPUC4FXTLVGZT" localSheetId="19" hidden="1">#REF!</definedName>
    <definedName name="BExU02QNT4LT7H9JPUC4FXTLVGZT" hidden="1">#REF!</definedName>
    <definedName name="BExU0BFJJQO1HJZKI14QGOQ6JROO" localSheetId="8" hidden="1">#REF!</definedName>
    <definedName name="BExU0BFJJQO1HJZKI14QGOQ6JROO" localSheetId="19" hidden="1">#REF!</definedName>
    <definedName name="BExU0BFJJQO1HJZKI14QGOQ6JROO" hidden="1">#REF!</definedName>
    <definedName name="BExU0FH5WTGW8MRFUFMDDSMJ6YQ5" localSheetId="8" hidden="1">#REF!</definedName>
    <definedName name="BExU0FH5WTGW8MRFUFMDDSMJ6YQ5" localSheetId="19" hidden="1">#REF!</definedName>
    <definedName name="BExU0FH5WTGW8MRFUFMDDSMJ6YQ5" hidden="1">#REF!</definedName>
    <definedName name="BExU0GDOIL9U33QGU9ZU3YX3V1I4" localSheetId="8" hidden="1">#REF!</definedName>
    <definedName name="BExU0GDOIL9U33QGU9ZU3YX3V1I4" localSheetId="19" hidden="1">#REF!</definedName>
    <definedName name="BExU0GDOIL9U33QGU9ZU3YX3V1I4" hidden="1">#REF!</definedName>
    <definedName name="BExU0HKTO8WJDQDWRTUK5TETM3HS" localSheetId="8" hidden="1">#REF!</definedName>
    <definedName name="BExU0HKTO8WJDQDWRTUK5TETM3HS" localSheetId="19" hidden="1">#REF!</definedName>
    <definedName name="BExU0HKTO8WJDQDWRTUK5TETM3HS" hidden="1">#REF!</definedName>
    <definedName name="BExU0MTJQPE041ZN7H8UKGV6MZT7" localSheetId="8" hidden="1">#REF!</definedName>
    <definedName name="BExU0MTJQPE041ZN7H8UKGV6MZT7" localSheetId="19" hidden="1">#REF!</definedName>
    <definedName name="BExU0MTJQPE041ZN7H8UKGV6MZT7" hidden="1">#REF!</definedName>
    <definedName name="BExU0ZUUFYHLUK4M4E8GLGIBBNT0" localSheetId="8" hidden="1">#REF!</definedName>
    <definedName name="BExU0ZUUFYHLUK4M4E8GLGIBBNT0" localSheetId="19" hidden="1">#REF!</definedName>
    <definedName name="BExU0ZUUFYHLUK4M4E8GLGIBBNT0" hidden="1">#REF!</definedName>
    <definedName name="BExU147D6RPG6ZVTSXRKFSVRHSBG" localSheetId="8" hidden="1">#REF!</definedName>
    <definedName name="BExU147D6RPG6ZVTSXRKFSVRHSBG" localSheetId="19" hidden="1">#REF!</definedName>
    <definedName name="BExU147D6RPG6ZVTSXRKFSVRHSBG" hidden="1">#REF!</definedName>
    <definedName name="BExU16R10W1SOAPNG4CDJ01T7JRE" localSheetId="8" hidden="1">#REF!</definedName>
    <definedName name="BExU16R10W1SOAPNG4CDJ01T7JRE" localSheetId="19" hidden="1">#REF!</definedName>
    <definedName name="BExU16R10W1SOAPNG4CDJ01T7JRE" hidden="1">#REF!</definedName>
    <definedName name="BExU17CKOR3GNIHDNVLH9L1IOJS9" localSheetId="8" hidden="1">#REF!</definedName>
    <definedName name="BExU17CKOR3GNIHDNVLH9L1IOJS9" localSheetId="19" hidden="1">#REF!</definedName>
    <definedName name="BExU17CKOR3GNIHDNVLH9L1IOJS9" hidden="1">#REF!</definedName>
    <definedName name="BExU1DXYI5DAD9DSFIEAUOB5XFZ9" localSheetId="8" hidden="1">#REF!</definedName>
    <definedName name="BExU1DXYI5DAD9DSFIEAUOB5XFZ9" localSheetId="19" hidden="1">#REF!</definedName>
    <definedName name="BExU1DXYI5DAD9DSFIEAUOB5XFZ9" hidden="1">#REF!</definedName>
    <definedName name="BExU1GXUTLRPJN4MRINLAPHSZQFG" localSheetId="8" hidden="1">#REF!</definedName>
    <definedName name="BExU1GXUTLRPJN4MRINLAPHSZQFG" localSheetId="19" hidden="1">#REF!</definedName>
    <definedName name="BExU1GXUTLRPJN4MRINLAPHSZQFG" hidden="1">#REF!</definedName>
    <definedName name="BExU1IL9AOHFO85BZB6S60DK3N8H" localSheetId="8" hidden="1">#REF!</definedName>
    <definedName name="BExU1IL9AOHFO85BZB6S60DK3N8H" localSheetId="19" hidden="1">#REF!</definedName>
    <definedName name="BExU1IL9AOHFO85BZB6S60DK3N8H" hidden="1">#REF!</definedName>
    <definedName name="BExU1LAEKWJ0U6NP9G2AC9CTBYH6" localSheetId="8" hidden="1">#REF!</definedName>
    <definedName name="BExU1LAEKWJ0U6NP9G2AC9CTBYH6" localSheetId="19" hidden="1">#REF!</definedName>
    <definedName name="BExU1LAEKWJ0U6NP9G2AC9CTBYH6" hidden="1">#REF!</definedName>
    <definedName name="BExU1NOPS09CLFZL1O31RAF9BQNQ" localSheetId="8" hidden="1">#REF!</definedName>
    <definedName name="BExU1NOPS09CLFZL1O31RAF9BQNQ" localSheetId="19" hidden="1">#REF!</definedName>
    <definedName name="BExU1NOPS09CLFZL1O31RAF9BQNQ" hidden="1">#REF!</definedName>
    <definedName name="BExU1PH9MOEX1JZVZ3D5M9DXB191" localSheetId="8" hidden="1">#REF!</definedName>
    <definedName name="BExU1PH9MOEX1JZVZ3D5M9DXB191" localSheetId="19" hidden="1">#REF!</definedName>
    <definedName name="BExU1PH9MOEX1JZVZ3D5M9DXB191" hidden="1">#REF!</definedName>
    <definedName name="BExU1QZEEKJA35IMEOLOJ3ODX0ZA" localSheetId="8" hidden="1">#REF!</definedName>
    <definedName name="BExU1QZEEKJA35IMEOLOJ3ODX0ZA" localSheetId="19" hidden="1">#REF!</definedName>
    <definedName name="BExU1QZEEKJA35IMEOLOJ3ODX0ZA" hidden="1">#REF!</definedName>
    <definedName name="BExU1VRURIWWVJ95O40WA23LMTJD" localSheetId="8" hidden="1">#REF!</definedName>
    <definedName name="BExU1VRURIWWVJ95O40WA23LMTJD" localSheetId="19" hidden="1">#REF!</definedName>
    <definedName name="BExU1VRURIWWVJ95O40WA23LMTJD" hidden="1">#REF!</definedName>
    <definedName name="BExU2A0FXVBDX9LO3VWEXB4TLFT0" localSheetId="8" hidden="1">#REF!</definedName>
    <definedName name="BExU2A0FXVBDX9LO3VWEXB4TLFT0" localSheetId="19" hidden="1">#REF!</definedName>
    <definedName name="BExU2A0FXVBDX9LO3VWEXB4TLFT0" hidden="1">#REF!</definedName>
    <definedName name="BExU2LEH667H33V81XVEZUP2O0UQ" localSheetId="8" hidden="1">#REF!</definedName>
    <definedName name="BExU2LEH667H33V81XVEZUP2O0UQ" localSheetId="19" hidden="1">#REF!</definedName>
    <definedName name="BExU2LEH667H33V81XVEZUP2O0UQ" hidden="1">#REF!</definedName>
    <definedName name="BExU2M5CK6XK55UIHDVYRXJJJRI4" localSheetId="8" hidden="1">#REF!</definedName>
    <definedName name="BExU2M5CK6XK55UIHDVYRXJJJRI4" localSheetId="19" hidden="1">#REF!</definedName>
    <definedName name="BExU2M5CK6XK55UIHDVYRXJJJRI4" hidden="1">#REF!</definedName>
    <definedName name="BExU2TXVT25ZTOFQAF6CM53Z1RLF" localSheetId="8" hidden="1">#REF!</definedName>
    <definedName name="BExU2TXVT25ZTOFQAF6CM53Z1RLF" localSheetId="19" hidden="1">#REF!</definedName>
    <definedName name="BExU2TXVT25ZTOFQAF6CM53Z1RLF" hidden="1">#REF!</definedName>
    <definedName name="BExU2XZLYIU19G7358W5T9E87AFR" localSheetId="8" hidden="1">#REF!</definedName>
    <definedName name="BExU2XZLYIU19G7358W5T9E87AFR" localSheetId="19" hidden="1">#REF!</definedName>
    <definedName name="BExU2XZLYIU19G7358W5T9E87AFR" hidden="1">#REF!</definedName>
    <definedName name="BExU2ZXMKRBQEX0CT3ZPZ3UFZP1G" localSheetId="8" hidden="1">#REF!</definedName>
    <definedName name="BExU2ZXMKRBQEX0CT3ZPZ3UFZP1G" localSheetId="19" hidden="1">#REF!</definedName>
    <definedName name="BExU2ZXMKRBQEX0CT3ZPZ3UFZP1G" hidden="1">#REF!</definedName>
    <definedName name="BExU35XHF1K1XEQUSZ292S5T61YA" localSheetId="8" hidden="1">#REF!</definedName>
    <definedName name="BExU35XHF1K1XEQUSZ292S5T61YA" localSheetId="19" hidden="1">#REF!</definedName>
    <definedName name="BExU35XHF1K1XEQUSZ292S5T61YA" hidden="1">#REF!</definedName>
    <definedName name="BExU38S1U5IC1T5A3P2TZU5OV0LN" localSheetId="8" hidden="1">#REF!</definedName>
    <definedName name="BExU38S1U5IC1T5A3P2TZU5OV0LN" localSheetId="19" hidden="1">#REF!</definedName>
    <definedName name="BExU38S1U5IC1T5A3P2TZU5OV0LN" hidden="1">#REF!</definedName>
    <definedName name="BExU3B66MCKJFSKT3HL8B5EJGVX0" localSheetId="8" hidden="1">#REF!</definedName>
    <definedName name="BExU3B66MCKJFSKT3HL8B5EJGVX0" localSheetId="19" hidden="1">#REF!</definedName>
    <definedName name="BExU3B66MCKJFSKT3HL8B5EJGVX0" hidden="1">#REF!</definedName>
    <definedName name="BExU3FDFDB2NVPYUR5V7OA3HF474" localSheetId="8" hidden="1">#REF!</definedName>
    <definedName name="BExU3FDFDB2NVPYUR5V7OA3HF474" localSheetId="19" hidden="1">#REF!</definedName>
    <definedName name="BExU3FDFDB2NVPYUR5V7OA3HF474" hidden="1">#REF!</definedName>
    <definedName name="BExU3R7J076KUCCEUGKAYMANTUT5" localSheetId="8" hidden="1">#REF!</definedName>
    <definedName name="BExU3R7J076KUCCEUGKAYMANTUT5" localSheetId="19" hidden="1">#REF!</definedName>
    <definedName name="BExU3R7J076KUCCEUGKAYMANTUT5" hidden="1">#REF!</definedName>
    <definedName name="BExU3UNI9NR1RNZR07NSLSZMDOQQ" localSheetId="8" hidden="1">#REF!</definedName>
    <definedName name="BExU3UNI9NR1RNZR07NSLSZMDOQQ" localSheetId="19" hidden="1">#REF!</definedName>
    <definedName name="BExU3UNI9NR1RNZR07NSLSZMDOQQ" hidden="1">#REF!</definedName>
    <definedName name="BExU401R18N6XKZKL7CNFOZQCM14" localSheetId="8" hidden="1">#REF!</definedName>
    <definedName name="BExU401R18N6XKZKL7CNFOZQCM14" localSheetId="19" hidden="1">#REF!</definedName>
    <definedName name="BExU401R18N6XKZKL7CNFOZQCM14" hidden="1">#REF!</definedName>
    <definedName name="BExU42QVGY7TK39W1BIN6CDRG2OE" localSheetId="8" hidden="1">#REF!</definedName>
    <definedName name="BExU42QVGY7TK39W1BIN6CDRG2OE" localSheetId="19" hidden="1">#REF!</definedName>
    <definedName name="BExU42QVGY7TK39W1BIN6CDRG2OE" hidden="1">#REF!</definedName>
    <definedName name="BExU431LXP7LIUNGJB9OSXEANFGX" localSheetId="8" hidden="1">#REF!</definedName>
    <definedName name="BExU431LXP7LIUNGJB9OSXEANFGX" localSheetId="19" hidden="1">#REF!</definedName>
    <definedName name="BExU431LXP7LIUNGJB9OSXEANFGX" hidden="1">#REF!</definedName>
    <definedName name="BExU47OZMS6TCWMEHHF0UCSFLLPI" localSheetId="8" hidden="1">#REF!</definedName>
    <definedName name="BExU47OZMS6TCWMEHHF0UCSFLLPI" localSheetId="19" hidden="1">#REF!</definedName>
    <definedName name="BExU47OZMS6TCWMEHHF0UCSFLLPI" hidden="1">#REF!</definedName>
    <definedName name="BExU4D36E8TXN0M8KSNGEAFYP4DQ" localSheetId="8" hidden="1">#REF!</definedName>
    <definedName name="BExU4D36E8TXN0M8KSNGEAFYP4DQ" localSheetId="19" hidden="1">#REF!</definedName>
    <definedName name="BExU4D36E8TXN0M8KSNGEAFYP4DQ" hidden="1">#REF!</definedName>
    <definedName name="BExU4G31RRVLJ3AC6E1FNEFMXM3O" localSheetId="8" hidden="1">#REF!</definedName>
    <definedName name="BExU4G31RRVLJ3AC6E1FNEFMXM3O" localSheetId="19" hidden="1">#REF!</definedName>
    <definedName name="BExU4G31RRVLJ3AC6E1FNEFMXM3O" hidden="1">#REF!</definedName>
    <definedName name="BExU4GDVLPUEWBA4MRYRTQAUNO7B" localSheetId="8" hidden="1">#REF!</definedName>
    <definedName name="BExU4GDVLPUEWBA4MRYRTQAUNO7B" localSheetId="19" hidden="1">#REF!</definedName>
    <definedName name="BExU4GDVLPUEWBA4MRYRTQAUNO7B" hidden="1">#REF!</definedName>
    <definedName name="BExU4H4RAMAX0XVAWT5WFYQNPAL3" localSheetId="8" hidden="1">#REF!</definedName>
    <definedName name="BExU4H4RAMAX0XVAWT5WFYQNPAL3" localSheetId="19" hidden="1">#REF!</definedName>
    <definedName name="BExU4H4RAMAX0XVAWT5WFYQNPAL3" hidden="1">#REF!</definedName>
    <definedName name="BExU4I148DA7PRCCISLWQ6ABXFK6" localSheetId="8" hidden="1">#REF!</definedName>
    <definedName name="BExU4I148DA7PRCCISLWQ6ABXFK6" localSheetId="19" hidden="1">#REF!</definedName>
    <definedName name="BExU4I148DA7PRCCISLWQ6ABXFK6" hidden="1">#REF!</definedName>
    <definedName name="BExU4L101H2KQHVKCKQ4PBAWZV6K" localSheetId="8" hidden="1">#REF!</definedName>
    <definedName name="BExU4L101H2KQHVKCKQ4PBAWZV6K" localSheetId="19" hidden="1">#REF!</definedName>
    <definedName name="BExU4L101H2KQHVKCKQ4PBAWZV6K" hidden="1">#REF!</definedName>
    <definedName name="BExU4LML14Q7KDTYIKJWXF68W7X1" localSheetId="8" hidden="1">#REF!</definedName>
    <definedName name="BExU4LML14Q7KDTYIKJWXF68W7X1" localSheetId="19" hidden="1">#REF!</definedName>
    <definedName name="BExU4LML14Q7KDTYIKJWXF68W7X1" hidden="1">#REF!</definedName>
    <definedName name="BExU4NA00RRRBGRT6TOB0MXZRCRZ" localSheetId="8" hidden="1">#REF!</definedName>
    <definedName name="BExU4NA00RRRBGRT6TOB0MXZRCRZ" localSheetId="19" hidden="1">#REF!</definedName>
    <definedName name="BExU4NA00RRRBGRT6TOB0MXZRCRZ" hidden="1">#REF!</definedName>
    <definedName name="BExU529I6YHVOG83TJHWSILIQU1S" localSheetId="8" hidden="1">#REF!</definedName>
    <definedName name="BExU529I6YHVOG83TJHWSILIQU1S" localSheetId="19" hidden="1">#REF!</definedName>
    <definedName name="BExU529I6YHVOG83TJHWSILIQU1S" hidden="1">#REF!</definedName>
    <definedName name="BExU57YCIKPRD8QWL6EU0YR3NG3J" localSheetId="8" hidden="1">#REF!</definedName>
    <definedName name="BExU57YCIKPRD8QWL6EU0YR3NG3J" localSheetId="19" hidden="1">#REF!</definedName>
    <definedName name="BExU57YCIKPRD8QWL6EU0YR3NG3J" hidden="1">#REF!</definedName>
    <definedName name="BExU5DSTBWXLN6E59B757KRWRI6E" localSheetId="8" hidden="1">#REF!</definedName>
    <definedName name="BExU5DSTBWXLN6E59B757KRWRI6E" localSheetId="19" hidden="1">#REF!</definedName>
    <definedName name="BExU5DSTBWXLN6E59B757KRWRI6E" hidden="1">#REF!</definedName>
    <definedName name="BExU5JSMO03X9M4WIRPP8JPSMQKJ" localSheetId="8" hidden="1">#REF!</definedName>
    <definedName name="BExU5JSMO03X9M4WIRPP8JPSMQKJ" localSheetId="19" hidden="1">#REF!</definedName>
    <definedName name="BExU5JSMO03X9M4WIRPP8JPSMQKJ" hidden="1">#REF!</definedName>
    <definedName name="BExU5TDWM8NNDHYPQ7OQODTQ368A" localSheetId="8" hidden="1">#REF!</definedName>
    <definedName name="BExU5TDWM8NNDHYPQ7OQODTQ368A" localSheetId="19" hidden="1">#REF!</definedName>
    <definedName name="BExU5TDWM8NNDHYPQ7OQODTQ368A" hidden="1">#REF!</definedName>
    <definedName name="BExU5X4OX1V1XHS6WSSORVQPP6Z3" localSheetId="8" hidden="1">#REF!</definedName>
    <definedName name="BExU5X4OX1V1XHS6WSSORVQPP6Z3" localSheetId="19" hidden="1">#REF!</definedName>
    <definedName name="BExU5X4OX1V1XHS6WSSORVQPP6Z3" hidden="1">#REF!</definedName>
    <definedName name="BExU5XVPARTFMRYHNUTBKDIL4UJN" localSheetId="8" hidden="1">#REF!</definedName>
    <definedName name="BExU5XVPARTFMRYHNUTBKDIL4UJN" localSheetId="19" hidden="1">#REF!</definedName>
    <definedName name="BExU5XVPARTFMRYHNUTBKDIL4UJN" hidden="1">#REF!</definedName>
    <definedName name="BExU66KMFBAP8JCVG9VM1RD1TNFF" localSheetId="8" hidden="1">#REF!</definedName>
    <definedName name="BExU66KMFBAP8JCVG9VM1RD1TNFF" localSheetId="19" hidden="1">#REF!</definedName>
    <definedName name="BExU66KMFBAP8JCVG9VM1RD1TNFF" hidden="1">#REF!</definedName>
    <definedName name="BExU68IOM3CB3TACNAE9565TW7SH" localSheetId="8" hidden="1">#REF!</definedName>
    <definedName name="BExU68IOM3CB3TACNAE9565TW7SH" localSheetId="19" hidden="1">#REF!</definedName>
    <definedName name="BExU68IOM3CB3TACNAE9565TW7SH" hidden="1">#REF!</definedName>
    <definedName name="BExU6AM82KN21E82HMWVP3LWP9IL" localSheetId="8" hidden="1">#REF!</definedName>
    <definedName name="BExU6AM82KN21E82HMWVP3LWP9IL" localSheetId="19" hidden="1">#REF!</definedName>
    <definedName name="BExU6AM82KN21E82HMWVP3LWP9IL" hidden="1">#REF!</definedName>
    <definedName name="BExU6FEU1MRHU98R9YOJC5OKUJ6L" localSheetId="8" hidden="1">#REF!</definedName>
    <definedName name="BExU6FEU1MRHU98R9YOJC5OKUJ6L" localSheetId="19" hidden="1">#REF!</definedName>
    <definedName name="BExU6FEU1MRHU98R9YOJC5OKUJ6L" hidden="1">#REF!</definedName>
    <definedName name="BExU6KIAJ663Y8W8QMU4HCF183DF" localSheetId="8" hidden="1">#REF!</definedName>
    <definedName name="BExU6KIAJ663Y8W8QMU4HCF183DF" localSheetId="19" hidden="1">#REF!</definedName>
    <definedName name="BExU6KIAJ663Y8W8QMU4HCF183DF" hidden="1">#REF!</definedName>
    <definedName name="BExU6KT19B4PG6SHXFBGBPLM66KT" localSheetId="8" hidden="1">#REF!</definedName>
    <definedName name="BExU6KT19B4PG6SHXFBGBPLM66KT" localSheetId="19" hidden="1">#REF!</definedName>
    <definedName name="BExU6KT19B4PG6SHXFBGBPLM66KT" hidden="1">#REF!</definedName>
    <definedName name="BExU6PAVKIOAIMQ9XQIHHF1SUAGO" localSheetId="8" hidden="1">#REF!</definedName>
    <definedName name="BExU6PAVKIOAIMQ9XQIHHF1SUAGO" localSheetId="19" hidden="1">#REF!</definedName>
    <definedName name="BExU6PAVKIOAIMQ9XQIHHF1SUAGO" hidden="1">#REF!</definedName>
    <definedName name="BExU6SLKTWV0YINVLTI6BCG9ANZM" localSheetId="8" hidden="1">#REF!</definedName>
    <definedName name="BExU6SLKTWV0YINVLTI6BCG9ANZM" localSheetId="19" hidden="1">#REF!</definedName>
    <definedName name="BExU6SLKTWV0YINVLTI6BCG9ANZM" hidden="1">#REF!</definedName>
    <definedName name="BExU6WXXC7SSQDMHSLUN5C2V4IYX" localSheetId="8" hidden="1">#REF!</definedName>
    <definedName name="BExU6WXXC7SSQDMHSLUN5C2V4IYX" localSheetId="19" hidden="1">#REF!</definedName>
    <definedName name="BExU6WXXC7SSQDMHSLUN5C2V4IYX" hidden="1">#REF!</definedName>
    <definedName name="BExU73387E74XE8A9UKZLZNJYY65" localSheetId="8" hidden="1">#REF!</definedName>
    <definedName name="BExU73387E74XE8A9UKZLZNJYY65" localSheetId="19" hidden="1">#REF!</definedName>
    <definedName name="BExU73387E74XE8A9UKZLZNJYY65" hidden="1">#REF!</definedName>
    <definedName name="BExU76ZHCJM8I7VSICCMSTC33O6U" localSheetId="8" hidden="1">#REF!</definedName>
    <definedName name="BExU76ZHCJM8I7VSICCMSTC33O6U" localSheetId="19" hidden="1">#REF!</definedName>
    <definedName name="BExU76ZHCJM8I7VSICCMSTC33O6U" hidden="1">#REF!</definedName>
    <definedName name="BExU7BBTUF8BQ42DSGM94X5TG5GF" localSheetId="8" hidden="1">#REF!</definedName>
    <definedName name="BExU7BBTUF8BQ42DSGM94X5TG5GF" localSheetId="19" hidden="1">#REF!</definedName>
    <definedName name="BExU7BBTUF8BQ42DSGM94X5TG5GF" hidden="1">#REF!</definedName>
    <definedName name="BExU7HH4EAHFQHT4AXKGWAWZP3I0" localSheetId="8" hidden="1">#REF!</definedName>
    <definedName name="BExU7HH4EAHFQHT4AXKGWAWZP3I0" localSheetId="19" hidden="1">#REF!</definedName>
    <definedName name="BExU7HH4EAHFQHT4AXKGWAWZP3I0" hidden="1">#REF!</definedName>
    <definedName name="BExU7L7WPQSA0ELXZ0I86V33QCCJ" localSheetId="8" hidden="1">#REF!</definedName>
    <definedName name="BExU7L7WPQSA0ELXZ0I86V33QCCJ" localSheetId="19" hidden="1">#REF!</definedName>
    <definedName name="BExU7L7WPQSA0ELXZ0I86V33QCCJ" hidden="1">#REF!</definedName>
    <definedName name="BExU7MF1ZVPDHOSMCAXOSYICHZ4I" localSheetId="8" hidden="1">#REF!</definedName>
    <definedName name="BExU7MF1ZVPDHOSMCAXOSYICHZ4I" localSheetId="19" hidden="1">#REF!</definedName>
    <definedName name="BExU7MF1ZVPDHOSMCAXOSYICHZ4I" hidden="1">#REF!</definedName>
    <definedName name="BExU7O2BJ6D5YCKEL6FD2EFCWYRX" localSheetId="8" hidden="1">#REF!</definedName>
    <definedName name="BExU7O2BJ6D5YCKEL6FD2EFCWYRX" localSheetId="19" hidden="1">#REF!</definedName>
    <definedName name="BExU7O2BJ6D5YCKEL6FD2EFCWYRX" hidden="1">#REF!</definedName>
    <definedName name="BExU7Q0JS9YIUKUPNSSAIDK2KJAV" localSheetId="8" hidden="1">#REF!</definedName>
    <definedName name="BExU7Q0JS9YIUKUPNSSAIDK2KJAV" localSheetId="19" hidden="1">#REF!</definedName>
    <definedName name="BExU7Q0JS9YIUKUPNSSAIDK2KJAV" hidden="1">#REF!</definedName>
    <definedName name="BExU80I6AE5OU7P7F5V7HWIZBJ4P" localSheetId="8" hidden="1">#REF!</definedName>
    <definedName name="BExU80I6AE5OU7P7F5V7HWIZBJ4P" localSheetId="19" hidden="1">#REF!</definedName>
    <definedName name="BExU80I6AE5OU7P7F5V7HWIZBJ4P" hidden="1">#REF!</definedName>
    <definedName name="BExU86NB26MCPYIISZ36HADONGT2" localSheetId="8" hidden="1">#REF!</definedName>
    <definedName name="BExU86NB26MCPYIISZ36HADONGT2" localSheetId="19" hidden="1">#REF!</definedName>
    <definedName name="BExU86NB26MCPYIISZ36HADONGT2" hidden="1">#REF!</definedName>
    <definedName name="BExU885EZZNSZV3GP298UJ8LB7OL" localSheetId="8" hidden="1">#REF!</definedName>
    <definedName name="BExU885EZZNSZV3GP298UJ8LB7OL" localSheetId="19" hidden="1">#REF!</definedName>
    <definedName name="BExU885EZZNSZV3GP298UJ8LB7OL" hidden="1">#REF!</definedName>
    <definedName name="BExU8FSAUP9TUZ1NO9WXK80QPHWV" localSheetId="8" hidden="1">#REF!</definedName>
    <definedName name="BExU8FSAUP9TUZ1NO9WXK80QPHWV" localSheetId="19" hidden="1">#REF!</definedName>
    <definedName name="BExU8FSAUP9TUZ1NO9WXK80QPHWV" hidden="1">#REF!</definedName>
    <definedName name="BExU8KFLAN778MBN93NYZB0FV30G" localSheetId="8" hidden="1">#REF!</definedName>
    <definedName name="BExU8KFLAN778MBN93NYZB0FV30G" localSheetId="19" hidden="1">#REF!</definedName>
    <definedName name="BExU8KFLAN778MBN93NYZB0FV30G" hidden="1">#REF!</definedName>
    <definedName name="BExU8PZC6845UUDFG9M8FTC3P3DK" localSheetId="8" hidden="1">#REF!</definedName>
    <definedName name="BExU8PZC6845UUDFG9M8FTC3P3DK" localSheetId="19" hidden="1">#REF!</definedName>
    <definedName name="BExU8PZC6845UUDFG9M8FTC3P3DK" hidden="1">#REF!</definedName>
    <definedName name="BExU8UX9JX3XLB47YZ8GFXE0V7R2" localSheetId="8" hidden="1">#REF!</definedName>
    <definedName name="BExU8UX9JX3XLB47YZ8GFXE0V7R2" localSheetId="19" hidden="1">#REF!</definedName>
    <definedName name="BExU8UX9JX3XLB47YZ8GFXE0V7R2" hidden="1">#REF!</definedName>
    <definedName name="BExU8WVGMRSFNWCNHODQ9JQCMZB0" localSheetId="8" hidden="1">#REF!</definedName>
    <definedName name="BExU8WVGMRSFNWCNHODQ9JQCMZB0" localSheetId="19" hidden="1">#REF!</definedName>
    <definedName name="BExU8WVGMRSFNWCNHODQ9JQCMZB0" hidden="1">#REF!</definedName>
    <definedName name="BExU96M1J7P9DZQ3S9H0C12KGYTW" localSheetId="8" hidden="1">#REF!</definedName>
    <definedName name="BExU96M1J7P9DZQ3S9H0C12KGYTW" localSheetId="19" hidden="1">#REF!</definedName>
    <definedName name="BExU96M1J7P9DZQ3S9H0C12KGYTW" hidden="1">#REF!</definedName>
    <definedName name="BExU9F05OR1GZ3057R6UL3WPEIYI" localSheetId="8" hidden="1">#REF!</definedName>
    <definedName name="BExU9F05OR1GZ3057R6UL3WPEIYI" localSheetId="19" hidden="1">#REF!</definedName>
    <definedName name="BExU9F05OR1GZ3057R6UL3WPEIYI" hidden="1">#REF!</definedName>
    <definedName name="BExU9GCSO5YILIKG6VAHN13DL75K" localSheetId="8" hidden="1">#REF!</definedName>
    <definedName name="BExU9GCSO5YILIKG6VAHN13DL75K" localSheetId="19" hidden="1">#REF!</definedName>
    <definedName name="BExU9GCSO5YILIKG6VAHN13DL75K" hidden="1">#REF!</definedName>
    <definedName name="BExU9KJOZLO15N11MJVN782NFGJ0" localSheetId="8" hidden="1">#REF!</definedName>
    <definedName name="BExU9KJOZLO15N11MJVN782NFGJ0" localSheetId="19" hidden="1">#REF!</definedName>
    <definedName name="BExU9KJOZLO15N11MJVN782NFGJ0" hidden="1">#REF!</definedName>
    <definedName name="BExU9LG29XU2K1GNKRO4438JYQZE" localSheetId="8" hidden="1">#REF!</definedName>
    <definedName name="BExU9LG29XU2K1GNKRO4438JYQZE" localSheetId="19" hidden="1">#REF!</definedName>
    <definedName name="BExU9LG29XU2K1GNKRO4438JYQZE" hidden="1">#REF!</definedName>
    <definedName name="BExU9RW36I5Z6JIXUIUB3PJH86LT" localSheetId="8" hidden="1">#REF!</definedName>
    <definedName name="BExU9RW36I5Z6JIXUIUB3PJH86LT" localSheetId="19" hidden="1">#REF!</definedName>
    <definedName name="BExU9RW36I5Z6JIXUIUB3PJH86LT" hidden="1">#REF!</definedName>
    <definedName name="BExU9WU19DJ2VAGISPFEGDWWOO4V" localSheetId="8" hidden="1">#REF!</definedName>
    <definedName name="BExU9WU19DJ2VAGISPFEGDWWOO4V" localSheetId="19" hidden="1">#REF!</definedName>
    <definedName name="BExU9WU19DJ2VAGISPFEGDWWOO4V" hidden="1">#REF!</definedName>
    <definedName name="BExUA28AO7OWDG3H23Q0CL4B7BHW" localSheetId="8" hidden="1">#REF!</definedName>
    <definedName name="BExUA28AO7OWDG3H23Q0CL4B7BHW" localSheetId="19" hidden="1">#REF!</definedName>
    <definedName name="BExUA28AO7OWDG3H23Q0CL4B7BHW" hidden="1">#REF!</definedName>
    <definedName name="BExUA34N2C083NSTAHQGZZ3BCYGK" localSheetId="8" hidden="1">#REF!</definedName>
    <definedName name="BExUA34N2C083NSTAHQGZZ3BCYGK" localSheetId="19" hidden="1">#REF!</definedName>
    <definedName name="BExUA34N2C083NSTAHQGZZ3BCYGK" hidden="1">#REF!</definedName>
    <definedName name="BExUA5O923FFNEBY8BPO1TU3QGBM" localSheetId="8" hidden="1">#REF!</definedName>
    <definedName name="BExUA5O923FFNEBY8BPO1TU3QGBM" localSheetId="19" hidden="1">#REF!</definedName>
    <definedName name="BExUA5O923FFNEBY8BPO1TU3QGBM" hidden="1">#REF!</definedName>
    <definedName name="BExUA6Q4K25VH452AQ3ZIRBCMS61" localSheetId="8" hidden="1">#REF!</definedName>
    <definedName name="BExUA6Q4K25VH452AQ3ZIRBCMS61" localSheetId="19" hidden="1">#REF!</definedName>
    <definedName name="BExUA6Q4K25VH452AQ3ZIRBCMS61" hidden="1">#REF!</definedName>
    <definedName name="BExUAFV4JMBSM2SKBQL9NHL0NIBS" localSheetId="8" hidden="1">#REF!</definedName>
    <definedName name="BExUAFV4JMBSM2SKBQL9NHL0NIBS" localSheetId="19" hidden="1">#REF!</definedName>
    <definedName name="BExUAFV4JMBSM2SKBQL9NHL0NIBS" hidden="1">#REF!</definedName>
    <definedName name="BExUAMWQODKBXMRH1QCMJLJBF8M7" localSheetId="8" hidden="1">#REF!</definedName>
    <definedName name="BExUAMWQODKBXMRH1QCMJLJBF8M7" localSheetId="19" hidden="1">#REF!</definedName>
    <definedName name="BExUAMWQODKBXMRH1QCMJLJBF8M7" hidden="1">#REF!</definedName>
    <definedName name="BExUAPR6Y32097JKJCTGC4C6EGE9" localSheetId="8" hidden="1">#REF!</definedName>
    <definedName name="BExUAPR6Y32097JKJCTGC4C6EGE9" localSheetId="19" hidden="1">#REF!</definedName>
    <definedName name="BExUAPR6Y32097JKJCTGC4C6EGE9" hidden="1">#REF!</definedName>
    <definedName name="BExUARUP0MX710TNZSAA01HUEAVC" localSheetId="8" hidden="1">#REF!</definedName>
    <definedName name="BExUARUP0MX710TNZSAA01HUEAVC" localSheetId="19" hidden="1">#REF!</definedName>
    <definedName name="BExUARUP0MX710TNZSAA01HUEAVC" hidden="1">#REF!</definedName>
    <definedName name="BExUAX8WS5OPVLCDXRGKTU2QMTFO" localSheetId="8" hidden="1">#REF!</definedName>
    <definedName name="BExUAX8WS5OPVLCDXRGKTU2QMTFO" localSheetId="19" hidden="1">#REF!</definedName>
    <definedName name="BExUAX8WS5OPVLCDXRGKTU2QMTFO" hidden="1">#REF!</definedName>
    <definedName name="BExUB1FYAZ433NX9GD7WGACX5IZD" localSheetId="8" hidden="1">#REF!</definedName>
    <definedName name="BExUB1FYAZ433NX9GD7WGACX5IZD" localSheetId="19" hidden="1">#REF!</definedName>
    <definedName name="BExUB1FYAZ433NX9GD7WGACX5IZD" hidden="1">#REF!</definedName>
    <definedName name="BExUB8HLEXSBVPZ5AXNQEK96F1N4" localSheetId="8" hidden="1">#REF!</definedName>
    <definedName name="BExUB8HLEXSBVPZ5AXNQEK96F1N4" localSheetId="19" hidden="1">#REF!</definedName>
    <definedName name="BExUB8HLEXSBVPZ5AXNQEK96F1N4" hidden="1">#REF!</definedName>
    <definedName name="BExUBCDVZIEA7YT0LPSMHL5ZSERQ" localSheetId="8" hidden="1">#REF!</definedName>
    <definedName name="BExUBCDVZIEA7YT0LPSMHL5ZSERQ" localSheetId="19" hidden="1">#REF!</definedName>
    <definedName name="BExUBCDVZIEA7YT0LPSMHL5ZSERQ" hidden="1">#REF!</definedName>
    <definedName name="BExUBDA8WU087BUIMXC1U1CKA2RA" localSheetId="8" hidden="1">#REF!</definedName>
    <definedName name="BExUBDA8WU087BUIMXC1U1CKA2RA" localSheetId="19" hidden="1">#REF!</definedName>
    <definedName name="BExUBDA8WU087BUIMXC1U1CKA2RA" hidden="1">#REF!</definedName>
    <definedName name="BExUBKXBUCN760QYU7Q8GESBWOQH" localSheetId="8" hidden="1">#REF!</definedName>
    <definedName name="BExUBKXBUCN760QYU7Q8GESBWOQH" localSheetId="19" hidden="1">#REF!</definedName>
    <definedName name="BExUBKXBUCN760QYU7Q8GESBWOQH" hidden="1">#REF!</definedName>
    <definedName name="BExUBL83ED0P076RN9RJ8P1MZ299" localSheetId="8" hidden="1">#REF!</definedName>
    <definedName name="BExUBL83ED0P076RN9RJ8P1MZ299" localSheetId="19" hidden="1">#REF!</definedName>
    <definedName name="BExUBL83ED0P076RN9RJ8P1MZ299" hidden="1">#REF!</definedName>
    <definedName name="BExUC1EPS2CZ5CKFA0AQRIVRSHS8" localSheetId="8" hidden="1">#REF!</definedName>
    <definedName name="BExUC1EPS2CZ5CKFA0AQRIVRSHS8" localSheetId="19" hidden="1">#REF!</definedName>
    <definedName name="BExUC1EPS2CZ5CKFA0AQRIVRSHS8" hidden="1">#REF!</definedName>
    <definedName name="BExUC623BDYEODBN0N4DO6PJQ7NU" localSheetId="8" hidden="1">#REF!</definedName>
    <definedName name="BExUC623BDYEODBN0N4DO6PJQ7NU" localSheetId="19" hidden="1">#REF!</definedName>
    <definedName name="BExUC623BDYEODBN0N4DO6PJQ7NU" hidden="1">#REF!</definedName>
    <definedName name="BExUC8WH8TCKBB5313JGYYQ1WFLT" localSheetId="8" hidden="1">#REF!</definedName>
    <definedName name="BExUC8WH8TCKBB5313JGYYQ1WFLT" localSheetId="19" hidden="1">#REF!</definedName>
    <definedName name="BExUC8WH8TCKBB5313JGYYQ1WFLT" hidden="1">#REF!</definedName>
    <definedName name="BExUCAP7GOSYPHMQKK6719YLSDIQ" localSheetId="8" hidden="1">#REF!</definedName>
    <definedName name="BExUCAP7GOSYPHMQKK6719YLSDIQ" localSheetId="19" hidden="1">#REF!</definedName>
    <definedName name="BExUCAP7GOSYPHMQKK6719YLSDIQ" hidden="1">#REF!</definedName>
    <definedName name="BExUCFCDK6SPH86I6STXX8X3WMC4" localSheetId="8" hidden="1">#REF!</definedName>
    <definedName name="BExUCFCDK6SPH86I6STXX8X3WMC4" localSheetId="19" hidden="1">#REF!</definedName>
    <definedName name="BExUCFCDK6SPH86I6STXX8X3WMC4" hidden="1">#REF!</definedName>
    <definedName name="BExUCKL98JB87L3I6T6IFSWJNYAB" localSheetId="8" hidden="1">#REF!</definedName>
    <definedName name="BExUCKL98JB87L3I6T6IFSWJNYAB" localSheetId="19" hidden="1">#REF!</definedName>
    <definedName name="BExUCKL98JB87L3I6T6IFSWJNYAB" hidden="1">#REF!</definedName>
    <definedName name="BExUCLC6AQ5KR6LXSAXV4QQ8ASVG" localSheetId="8" hidden="1">#REF!</definedName>
    <definedName name="BExUCLC6AQ5KR6LXSAXV4QQ8ASVG" localSheetId="19" hidden="1">#REF!</definedName>
    <definedName name="BExUCLC6AQ5KR6LXSAXV4QQ8ASVG" hidden="1">#REF!</definedName>
    <definedName name="BExUD4IOJ12X3PJG5WXNNGDRCKAP" localSheetId="8" hidden="1">#REF!</definedName>
    <definedName name="BExUD4IOJ12X3PJG5WXNNGDRCKAP" localSheetId="19" hidden="1">#REF!</definedName>
    <definedName name="BExUD4IOJ12X3PJG5WXNNGDRCKAP" hidden="1">#REF!</definedName>
    <definedName name="BExUD9WX9BWK72UWVSLYZJLAY5VY" localSheetId="8" hidden="1">#REF!</definedName>
    <definedName name="BExUD9WX9BWK72UWVSLYZJLAY5VY" localSheetId="19" hidden="1">#REF!</definedName>
    <definedName name="BExUD9WX9BWK72UWVSLYZJLAY5VY" hidden="1">#REF!</definedName>
    <definedName name="BExUDEV0CYVO7Y5IQQBEJ6FUY9S6" localSheetId="8" hidden="1">#REF!</definedName>
    <definedName name="BExUDEV0CYVO7Y5IQQBEJ6FUY9S6" localSheetId="19" hidden="1">#REF!</definedName>
    <definedName name="BExUDEV0CYVO7Y5IQQBEJ6FUY9S6" hidden="1">#REF!</definedName>
    <definedName name="BExUDWOXQGIZW0EAIIYLQUPXF8YV" localSheetId="8" hidden="1">#REF!</definedName>
    <definedName name="BExUDWOXQGIZW0EAIIYLQUPXF8YV" localSheetId="19" hidden="1">#REF!</definedName>
    <definedName name="BExUDWOXQGIZW0EAIIYLQUPXF8YV" hidden="1">#REF!</definedName>
    <definedName name="BExUDXAIC17W1FUU8Z10XUAVB7CS" localSheetId="8" hidden="1">#REF!</definedName>
    <definedName name="BExUDXAIC17W1FUU8Z10XUAVB7CS" localSheetId="19" hidden="1">#REF!</definedName>
    <definedName name="BExUDXAIC17W1FUU8Z10XUAVB7CS" hidden="1">#REF!</definedName>
    <definedName name="BExUE5OMY7OAJQ9WR8C8HG311ORP" localSheetId="8" hidden="1">#REF!</definedName>
    <definedName name="BExUE5OMY7OAJQ9WR8C8HG311ORP" localSheetId="19" hidden="1">#REF!</definedName>
    <definedName name="BExUE5OMY7OAJQ9WR8C8HG311ORP" hidden="1">#REF!</definedName>
    <definedName name="BExUEFKOQWXXGRNLAOJV2BJ66UB8" localSheetId="8" hidden="1">#REF!</definedName>
    <definedName name="BExUEFKOQWXXGRNLAOJV2BJ66UB8" localSheetId="19" hidden="1">#REF!</definedName>
    <definedName name="BExUEFKOQWXXGRNLAOJV2BJ66UB8" hidden="1">#REF!</definedName>
    <definedName name="BExUEJGX3OQQP5KFRJSRCZ70EI9V" localSheetId="8" hidden="1">#REF!</definedName>
    <definedName name="BExUEJGX3OQQP5KFRJSRCZ70EI9V" localSheetId="19" hidden="1">#REF!</definedName>
    <definedName name="BExUEJGX3OQQP5KFRJSRCZ70EI9V" hidden="1">#REF!</definedName>
    <definedName name="BExUEKDB2RWXF3WMTZ6JSBCHNSDT" localSheetId="8" hidden="1">#REF!</definedName>
    <definedName name="BExUEKDB2RWXF3WMTZ6JSBCHNSDT" localSheetId="19" hidden="1">#REF!</definedName>
    <definedName name="BExUEKDB2RWXF3WMTZ6JSBCHNSDT" hidden="1">#REF!</definedName>
    <definedName name="BExUEYR71COFS2X8PDNU21IPMQEU" localSheetId="8" hidden="1">#REF!</definedName>
    <definedName name="BExUEYR71COFS2X8PDNU21IPMQEU" localSheetId="19" hidden="1">#REF!</definedName>
    <definedName name="BExUEYR71COFS2X8PDNU21IPMQEU" hidden="1">#REF!</definedName>
    <definedName name="BExVPRLJ9I6RX45EDVFSQGCPJSOK" localSheetId="8" hidden="1">#REF!</definedName>
    <definedName name="BExVPRLJ9I6RX45EDVFSQGCPJSOK" localSheetId="19" hidden="1">#REF!</definedName>
    <definedName name="BExVPRLJ9I6RX45EDVFSQGCPJSOK" hidden="1">#REF!</definedName>
    <definedName name="BExVRFU8RWFT8A80ZVAW185SG2G6" localSheetId="8" hidden="1">#REF!</definedName>
    <definedName name="BExVRFU8RWFT8A80ZVAW185SG2G6" localSheetId="19" hidden="1">#REF!</definedName>
    <definedName name="BExVRFU8RWFT8A80ZVAW185SG2G6" hidden="1">#REF!</definedName>
    <definedName name="BExVSJ3NHETBAIZTZQSM8LAVT76V" localSheetId="8" hidden="1">#REF!</definedName>
    <definedName name="BExVSJ3NHETBAIZTZQSM8LAVT76V" localSheetId="19" hidden="1">#REF!</definedName>
    <definedName name="BExVSJ3NHETBAIZTZQSM8LAVT76V" hidden="1">#REF!</definedName>
    <definedName name="BExVSL787C8E4HFQZ2NVLT35I2XV" localSheetId="8" hidden="1">#REF!</definedName>
    <definedName name="BExVSL787C8E4HFQZ2NVLT35I2XV" localSheetId="19" hidden="1">#REF!</definedName>
    <definedName name="BExVSL787C8E4HFQZ2NVLT35I2XV" hidden="1">#REF!</definedName>
    <definedName name="BExVSTFTVV14SFGHQUOJL5SQ5TX9" localSheetId="8" hidden="1">#REF!</definedName>
    <definedName name="BExVSTFTVV14SFGHQUOJL5SQ5TX9" localSheetId="19" hidden="1">#REF!</definedName>
    <definedName name="BExVSTFTVV14SFGHQUOJL5SQ5TX9" hidden="1">#REF!</definedName>
    <definedName name="BExVT017S14M5X928ARKQ2GNUFE0" localSheetId="8" hidden="1">#REF!</definedName>
    <definedName name="BExVT017S14M5X928ARKQ2GNUFE0" localSheetId="19" hidden="1">#REF!</definedName>
    <definedName name="BExVT017S14M5X928ARKQ2GNUFE0" hidden="1">#REF!</definedName>
    <definedName name="BExVT3MPE8LQ5JFN3HQIFKSQ80U4" localSheetId="8" hidden="1">#REF!</definedName>
    <definedName name="BExVT3MPE8LQ5JFN3HQIFKSQ80U4" localSheetId="19" hidden="1">#REF!</definedName>
    <definedName name="BExVT3MPE8LQ5JFN3HQIFKSQ80U4" hidden="1">#REF!</definedName>
    <definedName name="BExVT7TRK3NZHPME2TFBXOF1WBR9" localSheetId="8" hidden="1">#REF!</definedName>
    <definedName name="BExVT7TRK3NZHPME2TFBXOF1WBR9" localSheetId="19" hidden="1">#REF!</definedName>
    <definedName name="BExVT7TRK3NZHPME2TFBXOF1WBR9" hidden="1">#REF!</definedName>
    <definedName name="BExVT9H0R0T7WGQAAC0HABMG54YM" localSheetId="8" hidden="1">#REF!</definedName>
    <definedName name="BExVT9H0R0T7WGQAAC0HABMG54YM" localSheetId="19" hidden="1">#REF!</definedName>
    <definedName name="BExVT9H0R0T7WGQAAC0HABMG54YM" hidden="1">#REF!</definedName>
    <definedName name="BExVTAO57POUXSZQJQ6MABMZQA13" localSheetId="8" hidden="1">#REF!</definedName>
    <definedName name="BExVTAO57POUXSZQJQ6MABMZQA13" localSheetId="19" hidden="1">#REF!</definedName>
    <definedName name="BExVTAO57POUXSZQJQ6MABMZQA13" hidden="1">#REF!</definedName>
    <definedName name="BExVTCMDDEDGLUIMUU6BSFHEWTOP" localSheetId="8" hidden="1">#REF!</definedName>
    <definedName name="BExVTCMDDEDGLUIMUU6BSFHEWTOP" localSheetId="19" hidden="1">#REF!</definedName>
    <definedName name="BExVTCMDDEDGLUIMUU6BSFHEWTOP" hidden="1">#REF!</definedName>
    <definedName name="BExVTCMDQMLKRA2NQR72XU6Y54IK" localSheetId="8" hidden="1">#REF!</definedName>
    <definedName name="BExVTCMDQMLKRA2NQR72XU6Y54IK" localSheetId="19" hidden="1">#REF!</definedName>
    <definedName name="BExVTCMDQMLKRA2NQR72XU6Y54IK" hidden="1">#REF!</definedName>
    <definedName name="BExVTCRV8FQ5U9OYWWL44N6KFNHU" localSheetId="8" hidden="1">#REF!</definedName>
    <definedName name="BExVTCRV8FQ5U9OYWWL44N6KFNHU" localSheetId="19" hidden="1">#REF!</definedName>
    <definedName name="BExVTCRV8FQ5U9OYWWL44N6KFNHU" hidden="1">#REF!</definedName>
    <definedName name="BExVTNESHPVG0A0KZ7BRX26MS0PF" localSheetId="8" hidden="1">#REF!</definedName>
    <definedName name="BExVTNESHPVG0A0KZ7BRX26MS0PF" localSheetId="19" hidden="1">#REF!</definedName>
    <definedName name="BExVTNESHPVG0A0KZ7BRX26MS0PF" hidden="1">#REF!</definedName>
    <definedName name="BExVTTJVTNRSBHBTUZ78WG2JM5MK" localSheetId="8" hidden="1">#REF!</definedName>
    <definedName name="BExVTTJVTNRSBHBTUZ78WG2JM5MK" localSheetId="19" hidden="1">#REF!</definedName>
    <definedName name="BExVTTJVTNRSBHBTUZ78WG2JM5MK" hidden="1">#REF!</definedName>
    <definedName name="BExVTXLMYR87BC04D1ERALPUFVPG" localSheetId="8" hidden="1">#REF!</definedName>
    <definedName name="BExVTXLMYR87BC04D1ERALPUFVPG" localSheetId="19" hidden="1">#REF!</definedName>
    <definedName name="BExVTXLMYR87BC04D1ERALPUFVPG" hidden="1">#REF!</definedName>
    <definedName name="BExVUL9V3H8ZF6Y72LQBBN639YAA" localSheetId="8" hidden="1">#REF!</definedName>
    <definedName name="BExVUL9V3H8ZF6Y72LQBBN639YAA" localSheetId="19" hidden="1">#REF!</definedName>
    <definedName name="BExVUL9V3H8ZF6Y72LQBBN639YAA" hidden="1">#REF!</definedName>
    <definedName name="BExVUZT95UAU8XG5X9XSE25CHQGA" localSheetId="8" hidden="1">#REF!</definedName>
    <definedName name="BExVUZT95UAU8XG5X9XSE25CHQGA" localSheetId="19" hidden="1">#REF!</definedName>
    <definedName name="BExVUZT95UAU8XG5X9XSE25CHQGA" hidden="1">#REF!</definedName>
    <definedName name="BExVV5T14N2HZIK7HQ4P2KG09U0J" localSheetId="8" hidden="1">#REF!</definedName>
    <definedName name="BExVV5T14N2HZIK7HQ4P2KG09U0J" localSheetId="19" hidden="1">#REF!</definedName>
    <definedName name="BExVV5T14N2HZIK7HQ4P2KG09U0J" hidden="1">#REF!</definedName>
    <definedName name="BExVV7R410VYLADLX9LNG63ID6H1" localSheetId="8" hidden="1">#REF!</definedName>
    <definedName name="BExVV7R410VYLADLX9LNG63ID6H1" localSheetId="19" hidden="1">#REF!</definedName>
    <definedName name="BExVV7R410VYLADLX9LNG63ID6H1" hidden="1">#REF!</definedName>
    <definedName name="BExVVAAVDXGWAVI6J2W0BCU58MBM" localSheetId="8" hidden="1">#REF!</definedName>
    <definedName name="BExVVAAVDXGWAVI6J2W0BCU58MBM" localSheetId="19" hidden="1">#REF!</definedName>
    <definedName name="BExVVAAVDXGWAVI6J2W0BCU58MBM" hidden="1">#REF!</definedName>
    <definedName name="BExVVCEED4JEKF59OV0G3T4XFMFO" localSheetId="8" hidden="1">#REF!</definedName>
    <definedName name="BExVVCEED4JEKF59OV0G3T4XFMFO" localSheetId="19" hidden="1">#REF!</definedName>
    <definedName name="BExVVCEED4JEKF59OV0G3T4XFMFO" hidden="1">#REF!</definedName>
    <definedName name="BExVVPFO2J7FMSRPD36909HN4BZJ" localSheetId="8" hidden="1">#REF!</definedName>
    <definedName name="BExVVPFO2J7FMSRPD36909HN4BZJ" localSheetId="19" hidden="1">#REF!</definedName>
    <definedName name="BExVVPFO2J7FMSRPD36909HN4BZJ" hidden="1">#REF!</definedName>
    <definedName name="BExVVQ19AQ3VCARJOC38SF7OYE9Y" localSheetId="8" hidden="1">#REF!</definedName>
    <definedName name="BExVVQ19AQ3VCARJOC38SF7OYE9Y" localSheetId="19" hidden="1">#REF!</definedName>
    <definedName name="BExVVQ19AQ3VCARJOC38SF7OYE9Y" hidden="1">#REF!</definedName>
    <definedName name="BExVVQ19TAECID45CS4HXT1RD3AQ" localSheetId="8" hidden="1">#REF!</definedName>
    <definedName name="BExVVQ19TAECID45CS4HXT1RD3AQ" localSheetId="19" hidden="1">#REF!</definedName>
    <definedName name="BExVVQ19TAECID45CS4HXT1RD3AQ" hidden="1">#REF!</definedName>
    <definedName name="BExVVYKOYB7OX8Y0B4UIUF79PVDO" localSheetId="8" hidden="1">#REF!</definedName>
    <definedName name="BExVVYKOYB7OX8Y0B4UIUF79PVDO" localSheetId="19" hidden="1">#REF!</definedName>
    <definedName name="BExVVYKOYB7OX8Y0B4UIUF79PVDO" hidden="1">#REF!</definedName>
    <definedName name="BExVW3YV5XGIVJ97UUPDJGJ2P15B" localSheetId="8" hidden="1">#REF!</definedName>
    <definedName name="BExVW3YV5XGIVJ97UUPDJGJ2P15B" localSheetId="19" hidden="1">#REF!</definedName>
    <definedName name="BExVW3YV5XGIVJ97UUPDJGJ2P15B" hidden="1">#REF!</definedName>
    <definedName name="BExVW5X571GEYR5SCU1Z2DHKWM79" localSheetId="8" hidden="1">#REF!</definedName>
    <definedName name="BExVW5X571GEYR5SCU1Z2DHKWM79" localSheetId="19" hidden="1">#REF!</definedName>
    <definedName name="BExVW5X571GEYR5SCU1Z2DHKWM79" hidden="1">#REF!</definedName>
    <definedName name="BExVW6YTKA098AF57M4PHNQ54XMH" localSheetId="8" hidden="1">#REF!</definedName>
    <definedName name="BExVW6YTKA098AF57M4PHNQ54XMH" localSheetId="19" hidden="1">#REF!</definedName>
    <definedName name="BExVW6YTKA098AF57M4PHNQ54XMH" hidden="1">#REF!</definedName>
    <definedName name="BExVWHRDIJBRFANMKJFY05BHP7RS" localSheetId="8" hidden="1">#REF!</definedName>
    <definedName name="BExVWHRDIJBRFANMKJFY05BHP7RS" localSheetId="19" hidden="1">#REF!</definedName>
    <definedName name="BExVWHRDIJBRFANMKJFY05BHP7RS" hidden="1">#REF!</definedName>
    <definedName name="BExVWINKCH0V0NUWH363SMXAZE62" localSheetId="8" hidden="1">#REF!</definedName>
    <definedName name="BExVWINKCH0V0NUWH363SMXAZE62" localSheetId="19" hidden="1">#REF!</definedName>
    <definedName name="BExVWINKCH0V0NUWH363SMXAZE62" hidden="1">#REF!</definedName>
    <definedName name="BExVWYU8EK669NP172GEIGCTVPPA" localSheetId="8" hidden="1">#REF!</definedName>
    <definedName name="BExVWYU8EK669NP172GEIGCTVPPA" localSheetId="19" hidden="1">#REF!</definedName>
    <definedName name="BExVWYU8EK669NP172GEIGCTVPPA" hidden="1">#REF!</definedName>
    <definedName name="BExVX3XN2DRJKL8EDBIG58RYQ36R" localSheetId="8" hidden="1">#REF!</definedName>
    <definedName name="BExVX3XN2DRJKL8EDBIG58RYQ36R" localSheetId="19" hidden="1">#REF!</definedName>
    <definedName name="BExVX3XN2DRJKL8EDBIG58RYQ36R" hidden="1">#REF!</definedName>
    <definedName name="BExVXBA38Z5WNQUH39HHZ2SAMC1T" localSheetId="8" hidden="1">#REF!</definedName>
    <definedName name="BExVXBA38Z5WNQUH39HHZ2SAMC1T" localSheetId="19" hidden="1">#REF!</definedName>
    <definedName name="BExVXBA38Z5WNQUH39HHZ2SAMC1T" hidden="1">#REF!</definedName>
    <definedName name="BExVXDZ63PUART77BBR5SI63TPC6" localSheetId="8" hidden="1">#REF!</definedName>
    <definedName name="BExVXDZ63PUART77BBR5SI63TPC6" localSheetId="19" hidden="1">#REF!</definedName>
    <definedName name="BExVXDZ63PUART77BBR5SI63TPC6" hidden="1">#REF!</definedName>
    <definedName name="BExVXHKI6LFYMGWISMPACMO247HL" localSheetId="8" hidden="1">#REF!</definedName>
    <definedName name="BExVXHKI6LFYMGWISMPACMO247HL" localSheetId="19" hidden="1">#REF!</definedName>
    <definedName name="BExVXHKI6LFYMGWISMPACMO247HL" hidden="1">#REF!</definedName>
    <definedName name="BExVXK9SK580O7MYHVNJ3V911ALP" localSheetId="8" hidden="1">#REF!</definedName>
    <definedName name="BExVXK9SK580O7MYHVNJ3V911ALP" localSheetId="19" hidden="1">#REF!</definedName>
    <definedName name="BExVXK9SK580O7MYHVNJ3V911ALP" hidden="1">#REF!</definedName>
    <definedName name="BExVXLX2BZ5EF2X6R41BTKRJR1NM" localSheetId="8" hidden="1">#REF!</definedName>
    <definedName name="BExVXLX2BZ5EF2X6R41BTKRJR1NM" localSheetId="19" hidden="1">#REF!</definedName>
    <definedName name="BExVXLX2BZ5EF2X6R41BTKRJR1NM" hidden="1">#REF!</definedName>
    <definedName name="BExVXYT01U5IPYA7E44FWS6KCEFC" localSheetId="8" hidden="1">#REF!</definedName>
    <definedName name="BExVXYT01U5IPYA7E44FWS6KCEFC" localSheetId="19" hidden="1">#REF!</definedName>
    <definedName name="BExVXYT01U5IPYA7E44FWS6KCEFC" hidden="1">#REF!</definedName>
    <definedName name="BExVY11V7U1SAY4QKYE0PBSPD7LW" localSheetId="8" hidden="1">#REF!</definedName>
    <definedName name="BExVY11V7U1SAY4QKYE0PBSPD7LW" localSheetId="19" hidden="1">#REF!</definedName>
    <definedName name="BExVY11V7U1SAY4QKYE0PBSPD7LW" hidden="1">#REF!</definedName>
    <definedName name="BExVY1SV37DL5YU59HS4IG3VBCP4" localSheetId="8" hidden="1">#REF!</definedName>
    <definedName name="BExVY1SV37DL5YU59HS4IG3VBCP4" localSheetId="19" hidden="1">#REF!</definedName>
    <definedName name="BExVY1SV37DL5YU59HS4IG3VBCP4" hidden="1">#REF!</definedName>
    <definedName name="BExVY3WFGJKSQA08UF9NCMST928Y" localSheetId="8" hidden="1">#REF!</definedName>
    <definedName name="BExVY3WFGJKSQA08UF9NCMST928Y" localSheetId="19" hidden="1">#REF!</definedName>
    <definedName name="BExVY3WFGJKSQA08UF9NCMST928Y" hidden="1">#REF!</definedName>
    <definedName name="BExVY954UOEVQEIC5OFO4NEWVKAQ" localSheetId="8" hidden="1">#REF!</definedName>
    <definedName name="BExVY954UOEVQEIC5OFO4NEWVKAQ" localSheetId="19" hidden="1">#REF!</definedName>
    <definedName name="BExVY954UOEVQEIC5OFO4NEWVKAQ" hidden="1">#REF!</definedName>
    <definedName name="BExVYHDYIV5397LC02V4FEP8VD6W" localSheetId="8" hidden="1">#REF!</definedName>
    <definedName name="BExVYHDYIV5397LC02V4FEP8VD6W" localSheetId="19" hidden="1">#REF!</definedName>
    <definedName name="BExVYHDYIV5397LC02V4FEP8VD6W" hidden="1">#REF!</definedName>
    <definedName name="BExVYO4NFDGC4ZOGHANQWX5CH4BT" localSheetId="8" hidden="1">#REF!</definedName>
    <definedName name="BExVYO4NFDGC4ZOGHANQWX5CH4BT" localSheetId="19" hidden="1">#REF!</definedName>
    <definedName name="BExVYO4NFDGC4ZOGHANQWX5CH4BT" hidden="1">#REF!</definedName>
    <definedName name="BExVYOVIZDA18YIQ0A30Q052PCAK" localSheetId="8" hidden="1">#REF!</definedName>
    <definedName name="BExVYOVIZDA18YIQ0A30Q052PCAK" localSheetId="19" hidden="1">#REF!</definedName>
    <definedName name="BExVYOVIZDA18YIQ0A30Q052PCAK" hidden="1">#REF!</definedName>
    <definedName name="BExVYPS2R6B75R1EFIUJ6G5TE4Q4" localSheetId="8" hidden="1">#REF!</definedName>
    <definedName name="BExVYPS2R6B75R1EFIUJ6G5TE4Q4" localSheetId="19" hidden="1">#REF!</definedName>
    <definedName name="BExVYPS2R6B75R1EFIUJ6G5TE4Q4" hidden="1">#REF!</definedName>
    <definedName name="BExVYQIXPEM6J4JVP78BRHIC05PV" localSheetId="8" hidden="1">#REF!</definedName>
    <definedName name="BExVYQIXPEM6J4JVP78BRHIC05PV" localSheetId="19" hidden="1">#REF!</definedName>
    <definedName name="BExVYQIXPEM6J4JVP78BRHIC05PV" hidden="1">#REF!</definedName>
    <definedName name="BExVYVGWN7SONLVDH9WJ2F1JS264" localSheetId="8" hidden="1">#REF!</definedName>
    <definedName name="BExVYVGWN7SONLVDH9WJ2F1JS264" localSheetId="19" hidden="1">#REF!</definedName>
    <definedName name="BExVYVGWN7SONLVDH9WJ2F1JS264" hidden="1">#REF!</definedName>
    <definedName name="BExVZ40HNAZRM8JHYYNQ7F6A4GU0" localSheetId="8" hidden="1">#REF!</definedName>
    <definedName name="BExVZ40HNAZRM8JHYYNQ7F6A4GU0" localSheetId="19" hidden="1">#REF!</definedName>
    <definedName name="BExVZ40HNAZRM8JHYYNQ7F6A4GU0" hidden="1">#REF!</definedName>
    <definedName name="BExVZ7WRO17PYILJEJGPQCO5IL66" localSheetId="8" hidden="1">#REF!</definedName>
    <definedName name="BExVZ7WRO17PYILJEJGPQCO5IL66" localSheetId="19" hidden="1">#REF!</definedName>
    <definedName name="BExVZ7WRO17PYILJEJGPQCO5IL66" hidden="1">#REF!</definedName>
    <definedName name="BExVZ9EO732IK6MNMG17Y1EFTJQC" localSheetId="8" hidden="1">#REF!</definedName>
    <definedName name="BExVZ9EO732IK6MNMG17Y1EFTJQC" localSheetId="19" hidden="1">#REF!</definedName>
    <definedName name="BExVZ9EO732IK6MNMG17Y1EFTJQC" hidden="1">#REF!</definedName>
    <definedName name="BExVZB1Y5J4UL2LKK0363EU7GIJ1" localSheetId="8" hidden="1">#REF!</definedName>
    <definedName name="BExVZB1Y5J4UL2LKK0363EU7GIJ1" localSheetId="19" hidden="1">#REF!</definedName>
    <definedName name="BExVZB1Y5J4UL2LKK0363EU7GIJ1" hidden="1">#REF!</definedName>
    <definedName name="BExVZGQXYK2ICC9JSNFPRHBD5KNU" localSheetId="8" hidden="1">#REF!</definedName>
    <definedName name="BExVZGQXYK2ICC9JSNFPRHBD5KNU" localSheetId="19" hidden="1">#REF!</definedName>
    <definedName name="BExVZGQXYK2ICC9JSNFPRHBD5KNU" hidden="1">#REF!</definedName>
    <definedName name="BExVZJQVO5LQ0BJH5JEN5NOBIAF6" localSheetId="8" hidden="1">#REF!</definedName>
    <definedName name="BExVZJQVO5LQ0BJH5JEN5NOBIAF6" localSheetId="19" hidden="1">#REF!</definedName>
    <definedName name="BExVZJQVO5LQ0BJH5JEN5NOBIAF6" hidden="1">#REF!</definedName>
    <definedName name="BExVZNXWS91RD7NXV5NE2R3C8WW7" localSheetId="8" hidden="1">#REF!</definedName>
    <definedName name="BExVZNXWS91RD7NXV5NE2R3C8WW7" localSheetId="19" hidden="1">#REF!</definedName>
    <definedName name="BExVZNXWS91RD7NXV5NE2R3C8WW7" hidden="1">#REF!</definedName>
    <definedName name="BExW008AGT1ZRN5DFG4YOH5F7G47" localSheetId="8" hidden="1">#REF!</definedName>
    <definedName name="BExW008AGT1ZRN5DFG4YOH5F7G47" localSheetId="19" hidden="1">#REF!</definedName>
    <definedName name="BExW008AGT1ZRN5DFG4YOH5F7G47" hidden="1">#REF!</definedName>
    <definedName name="BExW0386REQRCQCVT9BCX80UPTRY" localSheetId="8" hidden="1">#REF!</definedName>
    <definedName name="BExW0386REQRCQCVT9BCX80UPTRY" localSheetId="19" hidden="1">#REF!</definedName>
    <definedName name="BExW0386REQRCQCVT9BCX80UPTRY" hidden="1">#REF!</definedName>
    <definedName name="BExW0FYP4WXY71CYUG40SUBG9UWU" localSheetId="8" hidden="1">#REF!</definedName>
    <definedName name="BExW0FYP4WXY71CYUG40SUBG9UWU" localSheetId="19" hidden="1">#REF!</definedName>
    <definedName name="BExW0FYP4WXY71CYUG40SUBG9UWU" hidden="1">#REF!</definedName>
    <definedName name="BExW0MPJNQOJ7D6U780WU5XBL97X" localSheetId="8" hidden="1">#REF!</definedName>
    <definedName name="BExW0MPJNQOJ7D6U780WU5XBL97X" localSheetId="19" hidden="1">#REF!</definedName>
    <definedName name="BExW0MPJNQOJ7D6U780WU5XBL97X" hidden="1">#REF!</definedName>
    <definedName name="BExW0RI61B4VV0ARXTFVBAWRA1C5" localSheetId="8" hidden="1">#REF!</definedName>
    <definedName name="BExW0RI61B4VV0ARXTFVBAWRA1C5" localSheetId="19" hidden="1">#REF!</definedName>
    <definedName name="BExW0RI61B4VV0ARXTFVBAWRA1C5" hidden="1">#REF!</definedName>
    <definedName name="BExW0Y8T85LBE0WS6FPX6ILTX9ON" localSheetId="8" hidden="1">#REF!</definedName>
    <definedName name="BExW0Y8T85LBE0WS6FPX6ILTX9ON" localSheetId="19" hidden="1">#REF!</definedName>
    <definedName name="BExW0Y8T85LBE0WS6FPX6ILTX9ON" hidden="1">#REF!</definedName>
    <definedName name="BExW1BVUYQTKMOR56MW7RVRX4L1L" localSheetId="8" hidden="1">#REF!</definedName>
    <definedName name="BExW1BVUYQTKMOR56MW7RVRX4L1L" localSheetId="19" hidden="1">#REF!</definedName>
    <definedName name="BExW1BVUYQTKMOR56MW7RVRX4L1L" hidden="1">#REF!</definedName>
    <definedName name="BExW1F1220628FOMTW5UAATHRJHK" localSheetId="8" hidden="1">#REF!</definedName>
    <definedName name="BExW1F1220628FOMTW5UAATHRJHK" localSheetId="19" hidden="1">#REF!</definedName>
    <definedName name="BExW1F1220628FOMTW5UAATHRJHK" hidden="1">#REF!</definedName>
    <definedName name="BExW1PTHB0NZUF0GTD2J1UUL693E" localSheetId="8" hidden="1">#REF!</definedName>
    <definedName name="BExW1PTHB0NZUF0GTD2J1UUL693E" localSheetId="19" hidden="1">#REF!</definedName>
    <definedName name="BExW1PTHB0NZUF0GTD2J1UUL693E" hidden="1">#REF!</definedName>
    <definedName name="BExW1TKA0Z9OP2DTG50GZR5EG8C7" localSheetId="8" hidden="1">#REF!</definedName>
    <definedName name="BExW1TKA0Z9OP2DTG50GZR5EG8C7" localSheetId="19" hidden="1">#REF!</definedName>
    <definedName name="BExW1TKA0Z9OP2DTG50GZR5EG8C7" hidden="1">#REF!</definedName>
    <definedName name="BExW1U0JLKQ094DW5MMOI8UHO09V" localSheetId="8" hidden="1">#REF!</definedName>
    <definedName name="BExW1U0JLKQ094DW5MMOI8UHO09V" localSheetId="19" hidden="1">#REF!</definedName>
    <definedName name="BExW1U0JLKQ094DW5MMOI8UHO09V" hidden="1">#REF!</definedName>
    <definedName name="BExW1VNZHNB5P9V6232N0DQCE0WE" localSheetId="8" hidden="1">#REF!</definedName>
    <definedName name="BExW1VNZHNB5P9V6232N0DQCE0WE" localSheetId="19" hidden="1">#REF!</definedName>
    <definedName name="BExW1VNZHNB5P9V6232N0DQCE0WE" hidden="1">#REF!</definedName>
    <definedName name="BExW1WK6J1TDP29S3QDPTYZJBLIW" localSheetId="8" hidden="1">#REF!</definedName>
    <definedName name="BExW1WK6J1TDP29S3QDPTYZJBLIW" localSheetId="19" hidden="1">#REF!</definedName>
    <definedName name="BExW1WK6J1TDP29S3QDPTYZJBLIW" hidden="1">#REF!</definedName>
    <definedName name="BExW283NP9D366XFPXLGSCI5UB0L" localSheetId="8" hidden="1">#REF!</definedName>
    <definedName name="BExW283NP9D366XFPXLGSCI5UB0L" localSheetId="19" hidden="1">#REF!</definedName>
    <definedName name="BExW283NP9D366XFPXLGSCI5UB0L" hidden="1">#REF!</definedName>
    <definedName name="BExW2H3C8WJSBW5FGTFKVDVJC4CL" localSheetId="8" hidden="1">#REF!</definedName>
    <definedName name="BExW2H3C8WJSBW5FGTFKVDVJC4CL" localSheetId="19" hidden="1">#REF!</definedName>
    <definedName name="BExW2H3C8WJSBW5FGTFKVDVJC4CL" hidden="1">#REF!</definedName>
    <definedName name="BExW2MSCKPGF5K3I7TL4KF5ISUOL" localSheetId="8" hidden="1">#REF!</definedName>
    <definedName name="BExW2MSCKPGF5K3I7TL4KF5ISUOL" localSheetId="19" hidden="1">#REF!</definedName>
    <definedName name="BExW2MSCKPGF5K3I7TL4KF5ISUOL" hidden="1">#REF!</definedName>
    <definedName name="BExW2SMO90FU9W8DVVES6Q4E6BZR" localSheetId="8" hidden="1">#REF!</definedName>
    <definedName name="BExW2SMO90FU9W8DVVES6Q4E6BZR" localSheetId="19" hidden="1">#REF!</definedName>
    <definedName name="BExW2SMO90FU9W8DVVES6Q4E6BZR" hidden="1">#REF!</definedName>
    <definedName name="BExW36V9N91OHCUMGWJQL3I5P4JK" localSheetId="8" hidden="1">#REF!</definedName>
    <definedName name="BExW36V9N91OHCUMGWJQL3I5P4JK" localSheetId="19" hidden="1">#REF!</definedName>
    <definedName name="BExW36V9N91OHCUMGWJQL3I5P4JK" hidden="1">#REF!</definedName>
    <definedName name="BExW39V04HTFFQE7DAW9MAJT0NNF" localSheetId="8" hidden="1">#REF!</definedName>
    <definedName name="BExW39V04HTFFQE7DAW9MAJT0NNF" localSheetId="19" hidden="1">#REF!</definedName>
    <definedName name="BExW39V04HTFFQE7DAW9MAJT0NNF" hidden="1">#REF!</definedName>
    <definedName name="BExW3ECU6QPMV99AITCPHAG0CGYK" localSheetId="8" hidden="1">#REF!</definedName>
    <definedName name="BExW3ECU6QPMV99AITCPHAG0CGYK" localSheetId="19" hidden="1">#REF!</definedName>
    <definedName name="BExW3ECU6QPMV99AITCPHAG0CGYK" hidden="1">#REF!</definedName>
    <definedName name="BExW3EIBA1J9Q9NA9VCGZGRS8WV7" localSheetId="8" hidden="1">#REF!</definedName>
    <definedName name="BExW3EIBA1J9Q9NA9VCGZGRS8WV7" localSheetId="19" hidden="1">#REF!</definedName>
    <definedName name="BExW3EIBA1J9Q9NA9VCGZGRS8WV7" hidden="1">#REF!</definedName>
    <definedName name="BExW3FEO8FI8N6AGQKYEG4SQVJWB" localSheetId="8" hidden="1">#REF!</definedName>
    <definedName name="BExW3FEO8FI8N6AGQKYEG4SQVJWB" localSheetId="19" hidden="1">#REF!</definedName>
    <definedName name="BExW3FEO8FI8N6AGQKYEG4SQVJWB" hidden="1">#REF!</definedName>
    <definedName name="BExW3GB28STOMJUSZEIA7YKYNS4Y" localSheetId="8" hidden="1">#REF!</definedName>
    <definedName name="BExW3GB28STOMJUSZEIA7YKYNS4Y" localSheetId="19" hidden="1">#REF!</definedName>
    <definedName name="BExW3GB28STOMJUSZEIA7YKYNS4Y" hidden="1">#REF!</definedName>
    <definedName name="BExW3T1K638HT5E0Y8MMK108P5JT" localSheetId="8" hidden="1">#REF!</definedName>
    <definedName name="BExW3T1K638HT5E0Y8MMK108P5JT" localSheetId="19" hidden="1">#REF!</definedName>
    <definedName name="BExW3T1K638HT5E0Y8MMK108P5JT" hidden="1">#REF!</definedName>
    <definedName name="BExW3U3D6FTAFTK3Q7DSA9FY454Q" localSheetId="8" hidden="1">#REF!</definedName>
    <definedName name="BExW3U3D6FTAFTK3Q7DSA9FY454Q" localSheetId="19" hidden="1">#REF!</definedName>
    <definedName name="BExW3U3D6FTAFTK3Q7DSA9FY454Q" hidden="1">#REF!</definedName>
    <definedName name="BExW4217ZHL9VO39POSTJOD090WU" localSheetId="8" hidden="1">#REF!</definedName>
    <definedName name="BExW4217ZHL9VO39POSTJOD090WU" localSheetId="19" hidden="1">#REF!</definedName>
    <definedName name="BExW4217ZHL9VO39POSTJOD090WU" hidden="1">#REF!</definedName>
    <definedName name="BExW4GPW71EBF8XPS2QGVQHBCDX3" localSheetId="8" hidden="1">#REF!</definedName>
    <definedName name="BExW4GPW71EBF8XPS2QGVQHBCDX3" localSheetId="19" hidden="1">#REF!</definedName>
    <definedName name="BExW4GPW71EBF8XPS2QGVQHBCDX3" hidden="1">#REF!</definedName>
    <definedName name="BExW4JKC5837JBPCOJV337ZVYYY3" localSheetId="8" hidden="1">#REF!</definedName>
    <definedName name="BExW4JKC5837JBPCOJV337ZVYYY3" localSheetId="19" hidden="1">#REF!</definedName>
    <definedName name="BExW4JKC5837JBPCOJV337ZVYYY3" hidden="1">#REF!</definedName>
    <definedName name="BExW4O2DBZGV8KGBO9EB4BAXIH4Y" localSheetId="8" hidden="1">#REF!</definedName>
    <definedName name="BExW4O2DBZGV8KGBO9EB4BAXIH4Y" localSheetId="19" hidden="1">#REF!</definedName>
    <definedName name="BExW4O2DBZGV8KGBO9EB4BAXIH4Y" hidden="1">#REF!</definedName>
    <definedName name="BExW4QR9FV9MP5K610THBSM51RYO" localSheetId="8" hidden="1">#REF!</definedName>
    <definedName name="BExW4QR9FV9MP5K610THBSM51RYO" localSheetId="19" hidden="1">#REF!</definedName>
    <definedName name="BExW4QR9FV9MP5K610THBSM51RYO" hidden="1">#REF!</definedName>
    <definedName name="BExW4Z029R9E19ZENN3WEA3VDAD1" localSheetId="8" hidden="1">#REF!</definedName>
    <definedName name="BExW4Z029R9E19ZENN3WEA3VDAD1" localSheetId="19" hidden="1">#REF!</definedName>
    <definedName name="BExW4Z029R9E19ZENN3WEA3VDAD1" hidden="1">#REF!</definedName>
    <definedName name="BExW53SPLW3K0Y0ZVTM4NYF1B2YH" localSheetId="8" hidden="1">#REF!</definedName>
    <definedName name="BExW53SPLW3K0Y0ZVTM4NYF1B2YH" localSheetId="19" hidden="1">#REF!</definedName>
    <definedName name="BExW53SPLW3K0Y0ZVTM4NYF1B2YH" hidden="1">#REF!</definedName>
    <definedName name="BExW591F7X34FVKJ2OUT09PFUW1B" localSheetId="8" hidden="1">#REF!</definedName>
    <definedName name="BExW591F7X34FVKJ2OUT09PFUW1B" localSheetId="19" hidden="1">#REF!</definedName>
    <definedName name="BExW591F7X34FVKJ2OUT09PFUW1B" hidden="1">#REF!</definedName>
    <definedName name="BExW5AZNT6IAZGNF2C879ODHY1B8" localSheetId="8" hidden="1">#REF!</definedName>
    <definedName name="BExW5AZNT6IAZGNF2C879ODHY1B8" localSheetId="19" hidden="1">#REF!</definedName>
    <definedName name="BExW5AZNT6IAZGNF2C879ODHY1B8" hidden="1">#REF!</definedName>
    <definedName name="BExW5F6OUXHEWQU5VYE7W7P8DD78" localSheetId="8" hidden="1">#REF!</definedName>
    <definedName name="BExW5F6OUXHEWQU5VYE7W7P8DD78" localSheetId="19" hidden="1">#REF!</definedName>
    <definedName name="BExW5F6OUXHEWQU5VYE7W7P8DD78" hidden="1">#REF!</definedName>
    <definedName name="BExW5WPU27WD4NWZOT0ZEJIDLX5J" localSheetId="8" hidden="1">#REF!</definedName>
    <definedName name="BExW5WPU27WD4NWZOT0ZEJIDLX5J" localSheetId="19" hidden="1">#REF!</definedName>
    <definedName name="BExW5WPU27WD4NWZOT0ZEJIDLX5J" hidden="1">#REF!</definedName>
    <definedName name="BExW5YD97EMSUYC4KDEFH1FB4FY3" localSheetId="8" hidden="1">#REF!</definedName>
    <definedName name="BExW5YD97EMSUYC4KDEFH1FB4FY3" localSheetId="19" hidden="1">#REF!</definedName>
    <definedName name="BExW5YD97EMSUYC4KDEFH1FB4FY3" hidden="1">#REF!</definedName>
    <definedName name="BExW5Z469DSRWTA6T0KVLA7SMIPL" localSheetId="8" hidden="1">#REF!</definedName>
    <definedName name="BExW5Z469DSRWTA6T0KVLA7SMIPL" localSheetId="19" hidden="1">#REF!</definedName>
    <definedName name="BExW5Z469DSRWTA6T0KVLA7SMIPL" hidden="1">#REF!</definedName>
    <definedName name="BExW62ETJAPBX5X53FTGUCHZXI2K" localSheetId="8" hidden="1">#REF!</definedName>
    <definedName name="BExW62ETJAPBX5X53FTGUCHZXI2K" localSheetId="19" hidden="1">#REF!</definedName>
    <definedName name="BExW62ETJAPBX5X53FTGUCHZXI2K" hidden="1">#REF!</definedName>
    <definedName name="BExW660AV1TUV2XNUPD65RZR3QOO" localSheetId="8" hidden="1">#REF!</definedName>
    <definedName name="BExW660AV1TUV2XNUPD65RZR3QOO" localSheetId="19" hidden="1">#REF!</definedName>
    <definedName name="BExW660AV1TUV2XNUPD65RZR3QOO" hidden="1">#REF!</definedName>
    <definedName name="BExW66LVVZK656PQY1257QMHP2AY" localSheetId="8" hidden="1">#REF!</definedName>
    <definedName name="BExW66LVVZK656PQY1257QMHP2AY" localSheetId="19" hidden="1">#REF!</definedName>
    <definedName name="BExW66LVVZK656PQY1257QMHP2AY" hidden="1">#REF!</definedName>
    <definedName name="BExW6EJPHAP1TWT380AZLXNHR22P" localSheetId="8" hidden="1">#REF!</definedName>
    <definedName name="BExW6EJPHAP1TWT380AZLXNHR22P" localSheetId="19" hidden="1">#REF!</definedName>
    <definedName name="BExW6EJPHAP1TWT380AZLXNHR22P" hidden="1">#REF!</definedName>
    <definedName name="BExW6G1PJ38H10DVLL8WPQ736OEB" localSheetId="8" hidden="1">#REF!</definedName>
    <definedName name="BExW6G1PJ38H10DVLL8WPQ736OEB" localSheetId="19" hidden="1">#REF!</definedName>
    <definedName name="BExW6G1PJ38H10DVLL8WPQ736OEB" hidden="1">#REF!</definedName>
    <definedName name="BExW794A74Z5F2K8LVQLD6VSKXUE" localSheetId="8" hidden="1">#REF!</definedName>
    <definedName name="BExW794A74Z5F2K8LVQLD6VSKXUE" localSheetId="19" hidden="1">#REF!</definedName>
    <definedName name="BExW794A74Z5F2K8LVQLD6VSKXUE" hidden="1">#REF!</definedName>
    <definedName name="BExW7Q1TQ8E6G4WYYNSOMV43S95R" localSheetId="8" hidden="1">#REF!</definedName>
    <definedName name="BExW7Q1TQ8E6G4WYYNSOMV43S95R" localSheetId="19" hidden="1">#REF!</definedName>
    <definedName name="BExW7Q1TQ8E6G4WYYNSOMV43S95R" hidden="1">#REF!</definedName>
    <definedName name="BExW7XZTFZV0N9YM9S4PM74A5X2O" localSheetId="8" hidden="1">#REF!</definedName>
    <definedName name="BExW7XZTFZV0N9YM9S4PM74A5X2O" localSheetId="19" hidden="1">#REF!</definedName>
    <definedName name="BExW7XZTFZV0N9YM9S4PM74A5X2O" hidden="1">#REF!</definedName>
    <definedName name="BExW8K0SSIPSKBVP06IJ71600HJZ" localSheetId="8" hidden="1">#REF!</definedName>
    <definedName name="BExW8K0SSIPSKBVP06IJ71600HJZ" localSheetId="19" hidden="1">#REF!</definedName>
    <definedName name="BExW8K0SSIPSKBVP06IJ71600HJZ" hidden="1">#REF!</definedName>
    <definedName name="BExW8T0GVY3ZYO4ACSBLHS8SH895" localSheetId="8" hidden="1">#REF!</definedName>
    <definedName name="BExW8T0GVY3ZYO4ACSBLHS8SH895" localSheetId="19" hidden="1">#REF!</definedName>
    <definedName name="BExW8T0GVY3ZYO4ACSBLHS8SH895" hidden="1">#REF!</definedName>
    <definedName name="BExW8YEP73JMMU9HZ08PM4WHJQZ4" localSheetId="8" hidden="1">#REF!</definedName>
    <definedName name="BExW8YEP73JMMU9HZ08PM4WHJQZ4" localSheetId="19" hidden="1">#REF!</definedName>
    <definedName name="BExW8YEP73JMMU9HZ08PM4WHJQZ4" hidden="1">#REF!</definedName>
    <definedName name="BExW937AT53OZQRHNWQZ5BVH24IE" localSheetId="8" hidden="1">#REF!</definedName>
    <definedName name="BExW937AT53OZQRHNWQZ5BVH24IE" localSheetId="19" hidden="1">#REF!</definedName>
    <definedName name="BExW937AT53OZQRHNWQZ5BVH24IE" hidden="1">#REF!</definedName>
    <definedName name="BExW95LN5N0LYFFVP7GJEGDVDLF0" localSheetId="8" hidden="1">#REF!</definedName>
    <definedName name="BExW95LN5N0LYFFVP7GJEGDVDLF0" localSheetId="19" hidden="1">#REF!</definedName>
    <definedName name="BExW95LN5N0LYFFVP7GJEGDVDLF0" hidden="1">#REF!</definedName>
    <definedName name="BExW967733Q8RAJOHR2GJ3HO8JIW" localSheetId="8" hidden="1">#REF!</definedName>
    <definedName name="BExW967733Q8RAJOHR2GJ3HO8JIW" localSheetId="19" hidden="1">#REF!</definedName>
    <definedName name="BExW967733Q8RAJOHR2GJ3HO8JIW" hidden="1">#REF!</definedName>
    <definedName name="BExW9POK1KIOI0ALS5MZIKTDIYMA" localSheetId="8" hidden="1">#REF!</definedName>
    <definedName name="BExW9POK1KIOI0ALS5MZIKTDIYMA" localSheetId="19" hidden="1">#REF!</definedName>
    <definedName name="BExW9POK1KIOI0ALS5MZIKTDIYMA" hidden="1">#REF!</definedName>
    <definedName name="BExXLDE6PN4ESWT3LXJNQCY94NE4" localSheetId="8" hidden="1">#REF!</definedName>
    <definedName name="BExXLDE6PN4ESWT3LXJNQCY94NE4" localSheetId="19" hidden="1">#REF!</definedName>
    <definedName name="BExXLDE6PN4ESWT3LXJNQCY94NE4" hidden="1">#REF!</definedName>
    <definedName name="BExXLQVPK2H3IF0NDDA5CT612EUK" localSheetId="8" hidden="1">#REF!</definedName>
    <definedName name="BExXLQVPK2H3IF0NDDA5CT612EUK" localSheetId="19" hidden="1">#REF!</definedName>
    <definedName name="BExXLQVPK2H3IF0NDDA5CT612EUK" hidden="1">#REF!</definedName>
    <definedName name="BExXLR6IO70TYTACKQH9M5PGV24J" localSheetId="8" hidden="1">#REF!</definedName>
    <definedName name="BExXLR6IO70TYTACKQH9M5PGV24J" localSheetId="19" hidden="1">#REF!</definedName>
    <definedName name="BExXLR6IO70TYTACKQH9M5PGV24J" hidden="1">#REF!</definedName>
    <definedName name="BExXM065WOLYRYHGHOJE0OOFXA4M" localSheetId="8" hidden="1">#REF!</definedName>
    <definedName name="BExXM065WOLYRYHGHOJE0OOFXA4M" localSheetId="19" hidden="1">#REF!</definedName>
    <definedName name="BExXM065WOLYRYHGHOJE0OOFXA4M" hidden="1">#REF!</definedName>
    <definedName name="BExXM3GUNXVDM82KUR17NNUMQCNI" localSheetId="8" hidden="1">#REF!</definedName>
    <definedName name="BExXM3GUNXVDM82KUR17NNUMQCNI" localSheetId="19" hidden="1">#REF!</definedName>
    <definedName name="BExXM3GUNXVDM82KUR17NNUMQCNI" hidden="1">#REF!</definedName>
    <definedName name="BExXMA28M8SH7MKIGETSDA72WUIZ" localSheetId="8" hidden="1">#REF!</definedName>
    <definedName name="BExXMA28M8SH7MKIGETSDA72WUIZ" localSheetId="19" hidden="1">#REF!</definedName>
    <definedName name="BExXMA28M8SH7MKIGETSDA72WUIZ" hidden="1">#REF!</definedName>
    <definedName name="BExXMOLHIAHDLFSA31PUB36SC3I9" localSheetId="8" hidden="1">#REF!</definedName>
    <definedName name="BExXMOLHIAHDLFSA31PUB36SC3I9" localSheetId="19" hidden="1">#REF!</definedName>
    <definedName name="BExXMOLHIAHDLFSA31PUB36SC3I9" hidden="1">#REF!</definedName>
    <definedName name="BExXMT8T5Z3M2JBQN65X2LKH0YQI" localSheetId="8" hidden="1">#REF!</definedName>
    <definedName name="BExXMT8T5Z3M2JBQN65X2LKH0YQI" localSheetId="19" hidden="1">#REF!</definedName>
    <definedName name="BExXMT8T5Z3M2JBQN65X2LKH0YQI" hidden="1">#REF!</definedName>
    <definedName name="BExXN1XNO7H60M9X1E7EVWFJDM5N" localSheetId="8" hidden="1">#REF!</definedName>
    <definedName name="BExXN1XNO7H60M9X1E7EVWFJDM5N" localSheetId="19" hidden="1">#REF!</definedName>
    <definedName name="BExXN1XNO7H60M9X1E7EVWFJDM5N" hidden="1">#REF!</definedName>
    <definedName name="BExXN1XOOOY51EZQ6II0LWEU2OYT" localSheetId="8" hidden="1">#REF!</definedName>
    <definedName name="BExXN1XOOOY51EZQ6II0LWEU2OYT" localSheetId="19" hidden="1">#REF!</definedName>
    <definedName name="BExXN1XOOOY51EZQ6II0LWEU2OYT" hidden="1">#REF!</definedName>
    <definedName name="BExXN22ZOTIW49GPLWFYKVM90FNZ" localSheetId="8" hidden="1">#REF!</definedName>
    <definedName name="BExXN22ZOTIW49GPLWFYKVM90FNZ" localSheetId="19" hidden="1">#REF!</definedName>
    <definedName name="BExXN22ZOTIW49GPLWFYKVM90FNZ" hidden="1">#REF!</definedName>
    <definedName name="BExXN6QAP8UJQVN4R4BQKPP4QK35" localSheetId="8" hidden="1">#REF!</definedName>
    <definedName name="BExXN6QAP8UJQVN4R4BQKPP4QK35" localSheetId="19" hidden="1">#REF!</definedName>
    <definedName name="BExXN6QAP8UJQVN4R4BQKPP4QK35" hidden="1">#REF!</definedName>
    <definedName name="BExXNBOA39T2X6Y5Y5GZ5DDNA1AX" localSheetId="8" hidden="1">#REF!</definedName>
    <definedName name="BExXNBOA39T2X6Y5Y5GZ5DDNA1AX" localSheetId="19" hidden="1">#REF!</definedName>
    <definedName name="BExXNBOA39T2X6Y5Y5GZ5DDNA1AX" hidden="1">#REF!</definedName>
    <definedName name="BExXNBZ1BRDK73S9XPRR1645KLVB" localSheetId="8" hidden="1">#REF!</definedName>
    <definedName name="BExXNBZ1BRDK73S9XPRR1645KLVB" localSheetId="19" hidden="1">#REF!</definedName>
    <definedName name="BExXNBZ1BRDK73S9XPRR1645KLVB" hidden="1">#REF!</definedName>
    <definedName name="BExXND6872VJ3M2PGT056WQMWBHD" localSheetId="8" hidden="1">#REF!</definedName>
    <definedName name="BExXND6872VJ3M2PGT056WQMWBHD" localSheetId="19" hidden="1">#REF!</definedName>
    <definedName name="BExXND6872VJ3M2PGT056WQMWBHD" hidden="1">#REF!</definedName>
    <definedName name="BExXNPM24UN2PGVL9D1TUBFRIKR4" localSheetId="8" hidden="1">#REF!</definedName>
    <definedName name="BExXNPM24UN2PGVL9D1TUBFRIKR4" localSheetId="19" hidden="1">#REF!</definedName>
    <definedName name="BExXNPM24UN2PGVL9D1TUBFRIKR4" hidden="1">#REF!</definedName>
    <definedName name="BExXNWCR6WOY5G3VTC96QCIFQE0E" localSheetId="8" hidden="1">#REF!</definedName>
    <definedName name="BExXNWCR6WOY5G3VTC96QCIFQE0E" localSheetId="19" hidden="1">#REF!</definedName>
    <definedName name="BExXNWCR6WOY5G3VTC96QCIFQE0E" hidden="1">#REF!</definedName>
    <definedName name="BExXNWYB165VO9MHARCL5WLCHWS0" localSheetId="8" hidden="1">#REF!</definedName>
    <definedName name="BExXNWYB165VO9MHARCL5WLCHWS0" localSheetId="19" hidden="1">#REF!</definedName>
    <definedName name="BExXNWYB165VO9MHARCL5WLCHWS0" hidden="1">#REF!</definedName>
    <definedName name="BExXO278QHQN8JDK5425EJ615ECC" localSheetId="8" hidden="1">#REF!</definedName>
    <definedName name="BExXO278QHQN8JDK5425EJ615ECC" localSheetId="19" hidden="1">#REF!</definedName>
    <definedName name="BExXO278QHQN8JDK5425EJ615ECC" hidden="1">#REF!</definedName>
    <definedName name="BExXO4QVV7YZ6L5A7WZEMIA5AZOV" localSheetId="8" hidden="1">#REF!</definedName>
    <definedName name="BExXO4QVV7YZ6L5A7WZEMIA5AZOV" localSheetId="19" hidden="1">#REF!</definedName>
    <definedName name="BExXO4QVV7YZ6L5A7WZEMIA5AZOV" hidden="1">#REF!</definedName>
    <definedName name="BExXOBHOP0WGFHI2Y9AO4L440UVQ" localSheetId="8" hidden="1">#REF!</definedName>
    <definedName name="BExXOBHOP0WGFHI2Y9AO4L440UVQ" localSheetId="19" hidden="1">#REF!</definedName>
    <definedName name="BExXOBHOP0WGFHI2Y9AO4L440UVQ" hidden="1">#REF!</definedName>
    <definedName name="BExXOHHHX25B8F97636QMXFUDZQK" localSheetId="8" hidden="1">#REF!</definedName>
    <definedName name="BExXOHHHX25B8F97636QMXFUDZQK" localSheetId="19" hidden="1">#REF!</definedName>
    <definedName name="BExXOHHHX25B8F97636QMXFUDZQK" hidden="1">#REF!</definedName>
    <definedName name="BExXOHSAD2NSHOLLMZ2JWA4I3I1R" localSheetId="8" hidden="1">#REF!</definedName>
    <definedName name="BExXOHSAD2NSHOLLMZ2JWA4I3I1R" localSheetId="19" hidden="1">#REF!</definedName>
    <definedName name="BExXOHSAD2NSHOLLMZ2JWA4I3I1R" hidden="1">#REF!</definedName>
    <definedName name="BExXOJKWIJ6IFTV1RHIWHR91EZMW" localSheetId="8" hidden="1">#REF!</definedName>
    <definedName name="BExXOJKWIJ6IFTV1RHIWHR91EZMW" localSheetId="19" hidden="1">#REF!</definedName>
    <definedName name="BExXOJKWIJ6IFTV1RHIWHR91EZMW" hidden="1">#REF!</definedName>
    <definedName name="BExXP80B5FGA00JCM7UXKPI3PB7Y" localSheetId="8" hidden="1">#REF!</definedName>
    <definedName name="BExXP80B5FGA00JCM7UXKPI3PB7Y" localSheetId="19" hidden="1">#REF!</definedName>
    <definedName name="BExXP80B5FGA00JCM7UXKPI3PB7Y" hidden="1">#REF!</definedName>
    <definedName name="BExXP85M4WXYVN1UVHUTOEKEG5XS" localSheetId="8" hidden="1">#REF!</definedName>
    <definedName name="BExXP85M4WXYVN1UVHUTOEKEG5XS" localSheetId="19" hidden="1">#REF!</definedName>
    <definedName name="BExXP85M4WXYVN1UVHUTOEKEG5XS" hidden="1">#REF!</definedName>
    <definedName name="BExXPELOTHOAG0OWILLAH94OZV5J" localSheetId="8" hidden="1">#REF!</definedName>
    <definedName name="BExXPELOTHOAG0OWILLAH94OZV5J" localSheetId="19" hidden="1">#REF!</definedName>
    <definedName name="BExXPELOTHOAG0OWILLAH94OZV5J" hidden="1">#REF!</definedName>
    <definedName name="BExXPOSJRLJNYPU01QNNQ5URXP2U" localSheetId="8" hidden="1">#REF!</definedName>
    <definedName name="BExXPOSJRLJNYPU01QNNQ5URXP2U" localSheetId="19" hidden="1">#REF!</definedName>
    <definedName name="BExXPOSJRLJNYPU01QNNQ5URXP2U" hidden="1">#REF!</definedName>
    <definedName name="BExXPS31W1VD2NMIE4E37LHVDF0L" localSheetId="8" hidden="1">#REF!</definedName>
    <definedName name="BExXPS31W1VD2NMIE4E37LHVDF0L" localSheetId="19" hidden="1">#REF!</definedName>
    <definedName name="BExXPS31W1VD2NMIE4E37LHVDF0L" hidden="1">#REF!</definedName>
    <definedName name="BExXPZKYEMVF5JOC14HYOOYQK6JK" localSheetId="8" hidden="1">#REF!</definedName>
    <definedName name="BExXPZKYEMVF5JOC14HYOOYQK6JK" localSheetId="19" hidden="1">#REF!</definedName>
    <definedName name="BExXPZKYEMVF5JOC14HYOOYQK6JK" hidden="1">#REF!</definedName>
    <definedName name="BExXQ89PA10X79WBWOEP1AJX1OQM" localSheetId="8" hidden="1">#REF!</definedName>
    <definedName name="BExXQ89PA10X79WBWOEP1AJX1OQM" localSheetId="19" hidden="1">#REF!</definedName>
    <definedName name="BExXQ89PA10X79WBWOEP1AJX1OQM" hidden="1">#REF!</definedName>
    <definedName name="BExXQCGQGGYSI0LTRVR73MUO50AW" localSheetId="8" hidden="1">#REF!</definedName>
    <definedName name="BExXQCGQGGYSI0LTRVR73MUO50AW" localSheetId="19" hidden="1">#REF!</definedName>
    <definedName name="BExXQCGQGGYSI0LTRVR73MUO50AW" hidden="1">#REF!</definedName>
    <definedName name="BExXQEEXFHDQ8DSRAJSB5ET6J004" localSheetId="8" hidden="1">#REF!</definedName>
    <definedName name="BExXQEEXFHDQ8DSRAJSB5ET6J004" localSheetId="19" hidden="1">#REF!</definedName>
    <definedName name="BExXQEEXFHDQ8DSRAJSB5ET6J004" hidden="1">#REF!</definedName>
    <definedName name="BExXQH41O5HZAH8BO6HCFY8YC3TU" localSheetId="8" hidden="1">#REF!</definedName>
    <definedName name="BExXQH41O5HZAH8BO6HCFY8YC3TU" localSheetId="19" hidden="1">#REF!</definedName>
    <definedName name="BExXQH41O5HZAH8BO6HCFY8YC3TU" hidden="1">#REF!</definedName>
    <definedName name="BExXQJIEF5R3QQ6D8HO3NGPU0IQC" localSheetId="8" hidden="1">#REF!</definedName>
    <definedName name="BExXQJIEF5R3QQ6D8HO3NGPU0IQC" localSheetId="19" hidden="1">#REF!</definedName>
    <definedName name="BExXQJIEF5R3QQ6D8HO3NGPU0IQC" hidden="1">#REF!</definedName>
    <definedName name="BExXQRAVW0KPQXIJ59NG6UGTZB59" localSheetId="8" hidden="1">#REF!</definedName>
    <definedName name="BExXQRAVW0KPQXIJ59NG6UGTZB59" localSheetId="19" hidden="1">#REF!</definedName>
    <definedName name="BExXQRAVW0KPQXIJ59NG6UGTZB59" hidden="1">#REF!</definedName>
    <definedName name="BExXQU00K9ER4I1WM7T9J0W1E7ZC" localSheetId="8" hidden="1">#REF!</definedName>
    <definedName name="BExXQU00K9ER4I1WM7T9J0W1E7ZC" localSheetId="19" hidden="1">#REF!</definedName>
    <definedName name="BExXQU00K9ER4I1WM7T9J0W1E7ZC" hidden="1">#REF!</definedName>
    <definedName name="BExXQU00KOR7XLM8B13DGJ1MIQDY" localSheetId="8" hidden="1">#REF!</definedName>
    <definedName name="BExXQU00KOR7XLM8B13DGJ1MIQDY" localSheetId="19" hidden="1">#REF!</definedName>
    <definedName name="BExXQU00KOR7XLM8B13DGJ1MIQDY" hidden="1">#REF!</definedName>
    <definedName name="BExXQUG48Q1ISN53FE4MRROM0HSJ" localSheetId="8" hidden="1">#REF!</definedName>
    <definedName name="BExXQUG48Q1ISN53FE4MRROM0HSJ" localSheetId="19" hidden="1">#REF!</definedName>
    <definedName name="BExXQUG48Q1ISN53FE4MRROM0HSJ" hidden="1">#REF!</definedName>
    <definedName name="BExXQXG18PS8HGBOS03OSTQ0KEYC" localSheetId="8" hidden="1">#REF!</definedName>
    <definedName name="BExXQXG18PS8HGBOS03OSTQ0KEYC" localSheetId="19" hidden="1">#REF!</definedName>
    <definedName name="BExXQXG18PS8HGBOS03OSTQ0KEYC" hidden="1">#REF!</definedName>
    <definedName name="BExXQXQT4OAFQT5B0YB3USDJOJOB" localSheetId="8" hidden="1">#REF!</definedName>
    <definedName name="BExXQXQT4OAFQT5B0YB3USDJOJOB" localSheetId="19" hidden="1">#REF!</definedName>
    <definedName name="BExXQXQT4OAFQT5B0YB3USDJOJOB" hidden="1">#REF!</definedName>
    <definedName name="BExXR3FSEXAHSXEQNJORWFCPX86N" localSheetId="8" hidden="1">#REF!</definedName>
    <definedName name="BExXR3FSEXAHSXEQNJORWFCPX86N" localSheetId="19" hidden="1">#REF!</definedName>
    <definedName name="BExXR3FSEXAHSXEQNJORWFCPX86N" hidden="1">#REF!</definedName>
    <definedName name="BExXR3W3FKYQBLR299HO9RZ70C43" localSheetId="8" hidden="1">#REF!</definedName>
    <definedName name="BExXR3W3FKYQBLR299HO9RZ70C43" localSheetId="19" hidden="1">#REF!</definedName>
    <definedName name="BExXR3W3FKYQBLR299HO9RZ70C43" hidden="1">#REF!</definedName>
    <definedName name="BExXR46U23CRRBV6IZT982MAEQKI" localSheetId="8" hidden="1">#REF!</definedName>
    <definedName name="BExXR46U23CRRBV6IZT982MAEQKI" localSheetId="19" hidden="1">#REF!</definedName>
    <definedName name="BExXR46U23CRRBV6IZT982MAEQKI" hidden="1">#REF!</definedName>
    <definedName name="BExXR6A8W3ND3XDZXBMQZ1VCAXHG" localSheetId="8" hidden="1">#REF!</definedName>
    <definedName name="BExXR6A8W3ND3XDZXBMQZ1VCAXHG" localSheetId="19" hidden="1">#REF!</definedName>
    <definedName name="BExXR6A8W3ND3XDZXBMQZ1VCAXHG" hidden="1">#REF!</definedName>
    <definedName name="BExXR7HKNHT37B4OOA9K9191PP22" localSheetId="8" hidden="1">#REF!</definedName>
    <definedName name="BExXR7HKNHT37B4OOA9K9191PP22" localSheetId="19" hidden="1">#REF!</definedName>
    <definedName name="BExXR7HKNHT37B4OOA9K9191PP22" hidden="1">#REF!</definedName>
    <definedName name="BExXR8OKAVX7O70V5IYG2PRKXSTI" localSheetId="8" hidden="1">#REF!</definedName>
    <definedName name="BExXR8OKAVX7O70V5IYG2PRKXSTI" localSheetId="19" hidden="1">#REF!</definedName>
    <definedName name="BExXR8OKAVX7O70V5IYG2PRKXSTI" hidden="1">#REF!</definedName>
    <definedName name="BExXRA6N6XCLQM6XDV724ZIH6G93" localSheetId="8" hidden="1">#REF!</definedName>
    <definedName name="BExXRA6N6XCLQM6XDV724ZIH6G93" localSheetId="19" hidden="1">#REF!</definedName>
    <definedName name="BExXRA6N6XCLQM6XDV724ZIH6G93" hidden="1">#REF!</definedName>
    <definedName name="BExXRABZ1CNKCG6K1MR6OUFHF7J9" localSheetId="8" hidden="1">#REF!</definedName>
    <definedName name="BExXRABZ1CNKCG6K1MR6OUFHF7J9" localSheetId="19" hidden="1">#REF!</definedName>
    <definedName name="BExXRABZ1CNKCG6K1MR6OUFHF7J9" hidden="1">#REF!</definedName>
    <definedName name="BExXRBOFETC0OTJ6WY3VPMFH03VB" localSheetId="8" hidden="1">#REF!</definedName>
    <definedName name="BExXRBOFETC0OTJ6WY3VPMFH03VB" localSheetId="19" hidden="1">#REF!</definedName>
    <definedName name="BExXRBOFETC0OTJ6WY3VPMFH03VB" hidden="1">#REF!</definedName>
    <definedName name="BExXRD13K1S9Y3JGR7CXSONT7RJZ" localSheetId="8" hidden="1">#REF!</definedName>
    <definedName name="BExXRD13K1S9Y3JGR7CXSONT7RJZ" localSheetId="19" hidden="1">#REF!</definedName>
    <definedName name="BExXRD13K1S9Y3JGR7CXSONT7RJZ" hidden="1">#REF!</definedName>
    <definedName name="BExXRIFB4QQ87QIGA9AG0NXP577K" localSheetId="8" hidden="1">#REF!</definedName>
    <definedName name="BExXRIFB4QQ87QIGA9AG0NXP577K" localSheetId="19" hidden="1">#REF!</definedName>
    <definedName name="BExXRIFB4QQ87QIGA9AG0NXP577K" hidden="1">#REF!</definedName>
    <definedName name="BExXRIQ2JF2CVTRDQX2D9SPH7FTN" localSheetId="8" hidden="1">#REF!</definedName>
    <definedName name="BExXRIQ2JF2CVTRDQX2D9SPH7FTN" localSheetId="19" hidden="1">#REF!</definedName>
    <definedName name="BExXRIQ2JF2CVTRDQX2D9SPH7FTN" hidden="1">#REF!</definedName>
    <definedName name="BExXRO4A6VUH1F4XV8N1BRJ4896W" localSheetId="8" hidden="1">#REF!</definedName>
    <definedName name="BExXRO4A6VUH1F4XV8N1BRJ4896W" localSheetId="19" hidden="1">#REF!</definedName>
    <definedName name="BExXRO4A6VUH1F4XV8N1BRJ4896W" hidden="1">#REF!</definedName>
    <definedName name="BExXRO9N1SNJZGKD90P4K7FU1J0P" localSheetId="8" hidden="1">#REF!</definedName>
    <definedName name="BExXRO9N1SNJZGKD90P4K7FU1J0P" localSheetId="19" hidden="1">#REF!</definedName>
    <definedName name="BExXRO9N1SNJZGKD90P4K7FU1J0P" hidden="1">#REF!</definedName>
    <definedName name="BExXROF2MWDZ7IFXX27XOJ79Q86E" localSheetId="8" hidden="1">#REF!</definedName>
    <definedName name="BExXROF2MWDZ7IFXX27XOJ79Q86E" localSheetId="19" hidden="1">#REF!</definedName>
    <definedName name="BExXROF2MWDZ7IFXX27XOJ79Q86E" hidden="1">#REF!</definedName>
    <definedName name="BExXRV5QP3Z0KAQ1EQT9JYT2FV0L" localSheetId="8" hidden="1">#REF!</definedName>
    <definedName name="BExXRV5QP3Z0KAQ1EQT9JYT2FV0L" localSheetId="19" hidden="1">#REF!</definedName>
    <definedName name="BExXRV5QP3Z0KAQ1EQT9JYT2FV0L" hidden="1">#REF!</definedName>
    <definedName name="BExXRZ20LZZCW8LVGDK0XETOTSAI" localSheetId="8" hidden="1">#REF!</definedName>
    <definedName name="BExXRZ20LZZCW8LVGDK0XETOTSAI" localSheetId="19" hidden="1">#REF!</definedName>
    <definedName name="BExXRZ20LZZCW8LVGDK0XETOTSAI" hidden="1">#REF!</definedName>
    <definedName name="BExXS4R1GKUJQX6MHUIUN4S3SCAS" localSheetId="8" hidden="1">#REF!</definedName>
    <definedName name="BExXS4R1GKUJQX6MHUIUN4S3SCAS" localSheetId="19" hidden="1">#REF!</definedName>
    <definedName name="BExXS4R1GKUJQX6MHUIUN4S3SCAS" hidden="1">#REF!</definedName>
    <definedName name="BExXS63O4OMWMNXXAODZQFSDG33N" localSheetId="8" hidden="1">#REF!</definedName>
    <definedName name="BExXS63O4OMWMNXXAODZQFSDG33N" localSheetId="19" hidden="1">#REF!</definedName>
    <definedName name="BExXS63O4OMWMNXXAODZQFSDG33N" hidden="1">#REF!</definedName>
    <definedName name="BExXSBSP1TOY051HSPEPM0AEIO2M" localSheetId="8" hidden="1">#REF!</definedName>
    <definedName name="BExXSBSP1TOY051HSPEPM0AEIO2M" localSheetId="19" hidden="1">#REF!</definedName>
    <definedName name="BExXSBSP1TOY051HSPEPM0AEIO2M" hidden="1">#REF!</definedName>
    <definedName name="BExXSC8RFK5D68FJD2HI4K66SA6I" localSheetId="8" hidden="1">#REF!</definedName>
    <definedName name="BExXSC8RFK5D68FJD2HI4K66SA6I" localSheetId="19" hidden="1">#REF!</definedName>
    <definedName name="BExXSC8RFK5D68FJD2HI4K66SA6I" hidden="1">#REF!</definedName>
    <definedName name="BExXSCP0AZ5MYCC2UFG2GLBCV1CC" localSheetId="8" hidden="1">#REF!</definedName>
    <definedName name="BExXSCP0AZ5MYCC2UFG2GLBCV1CC" localSheetId="19" hidden="1">#REF!</definedName>
    <definedName name="BExXSCP0AZ5MYCC2UFG2GLBCV1CC" hidden="1">#REF!</definedName>
    <definedName name="BExXSNHC88W4UMXEOIOOATJAIKZO" localSheetId="8" hidden="1">#REF!</definedName>
    <definedName name="BExXSNHC88W4UMXEOIOOATJAIKZO" localSheetId="19" hidden="1">#REF!</definedName>
    <definedName name="BExXSNHC88W4UMXEOIOOATJAIKZO" hidden="1">#REF!</definedName>
    <definedName name="BExXSTBS08WIA9TLALV3UQ2Z3MRG" localSheetId="8" hidden="1">#REF!</definedName>
    <definedName name="BExXSTBS08WIA9TLALV3UQ2Z3MRG" localSheetId="19" hidden="1">#REF!</definedName>
    <definedName name="BExXSTBS08WIA9TLALV3UQ2Z3MRG" hidden="1">#REF!</definedName>
    <definedName name="BExXSVQ2WOJJ73YEO8Q2FK60V4G8" localSheetId="8" hidden="1">#REF!</definedName>
    <definedName name="BExXSVQ2WOJJ73YEO8Q2FK60V4G8" localSheetId="19" hidden="1">#REF!</definedName>
    <definedName name="BExXSVQ2WOJJ73YEO8Q2FK60V4G8" hidden="1">#REF!</definedName>
    <definedName name="BExXTER5A2EQ14KN6J0MVATIHVKN" localSheetId="8" hidden="1">#REF!</definedName>
    <definedName name="BExXTER5A2EQ14KN6J0MVATIHVKN" localSheetId="19" hidden="1">#REF!</definedName>
    <definedName name="BExXTER5A2EQ14KN6J0MVATIHVKN" hidden="1">#REF!</definedName>
    <definedName name="BExXTHLRNL82GN7KZY3TOLO508N7" localSheetId="8" hidden="1">#REF!</definedName>
    <definedName name="BExXTHLRNL82GN7KZY3TOLO508N7" localSheetId="19" hidden="1">#REF!</definedName>
    <definedName name="BExXTHLRNL82GN7KZY3TOLO508N7" hidden="1">#REF!</definedName>
    <definedName name="BExXTL72MKEQSQH9L2OTFLU8DM2B" localSheetId="8" hidden="1">#REF!</definedName>
    <definedName name="BExXTL72MKEQSQH9L2OTFLU8DM2B" localSheetId="19" hidden="1">#REF!</definedName>
    <definedName name="BExXTL72MKEQSQH9L2OTFLU8DM2B" hidden="1">#REF!</definedName>
    <definedName name="BExXTM3M4RTCRSX7VGAXGQNPP668" localSheetId="8" hidden="1">#REF!</definedName>
    <definedName name="BExXTM3M4RTCRSX7VGAXGQNPP668" localSheetId="19" hidden="1">#REF!</definedName>
    <definedName name="BExXTM3M4RTCRSX7VGAXGQNPP668" hidden="1">#REF!</definedName>
    <definedName name="BExXTOCF78J7WY6FOVBRY1N2RBBR" localSheetId="8" hidden="1">#REF!</definedName>
    <definedName name="BExXTOCF78J7WY6FOVBRY1N2RBBR" localSheetId="19" hidden="1">#REF!</definedName>
    <definedName name="BExXTOCF78J7WY6FOVBRY1N2RBBR" hidden="1">#REF!</definedName>
    <definedName name="BExXTP3GYO6Z9RTKKT10XA0UTV3T" localSheetId="8" hidden="1">#REF!</definedName>
    <definedName name="BExXTP3GYO6Z9RTKKT10XA0UTV3T" localSheetId="19" hidden="1">#REF!</definedName>
    <definedName name="BExXTP3GYO6Z9RTKKT10XA0UTV3T" hidden="1">#REF!</definedName>
    <definedName name="BExXTRN4AFX9QW6YC4HNGBBD5R08" localSheetId="8" hidden="1">#REF!</definedName>
    <definedName name="BExXTRN4AFX9QW6YC4HNGBBD5R08" localSheetId="19" hidden="1">#REF!</definedName>
    <definedName name="BExXTRN4AFX9QW6YC4HNGBBD5R08" hidden="1">#REF!</definedName>
    <definedName name="BExXTV8M7YIG5C64O046DN613ZRO" localSheetId="8" hidden="1">#REF!</definedName>
    <definedName name="BExXTV8M7YIG5C64O046DN613ZRO" localSheetId="19" hidden="1">#REF!</definedName>
    <definedName name="BExXTV8M7YIG5C64O046DN613ZRO" hidden="1">#REF!</definedName>
    <definedName name="BExXTVDXQ7ZX3THNLFJXFAONW0AI" localSheetId="8" hidden="1">#REF!</definedName>
    <definedName name="BExXTVDXQ7ZX3THNLFJXFAONW0AI" localSheetId="19" hidden="1">#REF!</definedName>
    <definedName name="BExXTVDXQ7ZX3THNLFJXFAONW0AI" hidden="1">#REF!</definedName>
    <definedName name="BExXTZKZ4CG92ZQLIRKEXXH9BFIR" localSheetId="8" hidden="1">#REF!</definedName>
    <definedName name="BExXTZKZ4CG92ZQLIRKEXXH9BFIR" localSheetId="19" hidden="1">#REF!</definedName>
    <definedName name="BExXTZKZ4CG92ZQLIRKEXXH9BFIR" hidden="1">#REF!</definedName>
    <definedName name="BExXU4J2BM2964GD5UZHM752Q4NS" localSheetId="8" hidden="1">#REF!</definedName>
    <definedName name="BExXU4J2BM2964GD5UZHM752Q4NS" localSheetId="19" hidden="1">#REF!</definedName>
    <definedName name="BExXU4J2BM2964GD5UZHM752Q4NS" hidden="1">#REF!</definedName>
    <definedName name="BExXU6XDTT7RM93KILIDEYPA9XKF" localSheetId="8" hidden="1">#REF!</definedName>
    <definedName name="BExXU6XDTT7RM93KILIDEYPA9XKF" localSheetId="19" hidden="1">#REF!</definedName>
    <definedName name="BExXU6XDTT7RM93KILIDEYPA9XKF" hidden="1">#REF!</definedName>
    <definedName name="BExXU8VLZA7WLPZ3RAQZGNERUD26" localSheetId="8" hidden="1">#REF!</definedName>
    <definedName name="BExXU8VLZA7WLPZ3RAQZGNERUD26" localSheetId="19" hidden="1">#REF!</definedName>
    <definedName name="BExXU8VLZA7WLPZ3RAQZGNERUD26" hidden="1">#REF!</definedName>
    <definedName name="BExXUB9RSLSCNN5ETLXY72DAPZZM" localSheetId="8" hidden="1">#REF!</definedName>
    <definedName name="BExXUB9RSLSCNN5ETLXY72DAPZZM" localSheetId="19" hidden="1">#REF!</definedName>
    <definedName name="BExXUB9RSLSCNN5ETLXY72DAPZZM" hidden="1">#REF!</definedName>
    <definedName name="BExXUFRM82XQIN2T8KGLDQL1IBQW" localSheetId="8" hidden="1">#REF!</definedName>
    <definedName name="BExXUFRM82XQIN2T8KGLDQL1IBQW" localSheetId="19" hidden="1">#REF!</definedName>
    <definedName name="BExXUFRM82XQIN2T8KGLDQL1IBQW" hidden="1">#REF!</definedName>
    <definedName name="BExXUQEQBF6FI240ZGIF9YXZSRAU" localSheetId="8" hidden="1">#REF!</definedName>
    <definedName name="BExXUQEQBF6FI240ZGIF9YXZSRAU" localSheetId="19" hidden="1">#REF!</definedName>
    <definedName name="BExXUQEQBF6FI240ZGIF9YXZSRAU" hidden="1">#REF!</definedName>
    <definedName name="BExXUX02UQ8LJPBZ4YBORILFR0W0" localSheetId="8" hidden="1">#REF!</definedName>
    <definedName name="BExXUX02UQ8LJPBZ4YBORILFR0W0" localSheetId="19" hidden="1">#REF!</definedName>
    <definedName name="BExXUX02UQ8LJPBZ4YBORILFR0W0" hidden="1">#REF!</definedName>
    <definedName name="BExXUYND6EJO7CJ5KRICV4O1JNWK" localSheetId="8" hidden="1">#REF!</definedName>
    <definedName name="BExXUYND6EJO7CJ5KRICV4O1JNWK" localSheetId="19" hidden="1">#REF!</definedName>
    <definedName name="BExXUYND6EJO7CJ5KRICV4O1JNWK" hidden="1">#REF!</definedName>
    <definedName name="BExXV6FWG4H3S2QEUJZYIXILNGJ7" localSheetId="8" hidden="1">#REF!</definedName>
    <definedName name="BExXV6FWG4H3S2QEUJZYIXILNGJ7" localSheetId="19" hidden="1">#REF!</definedName>
    <definedName name="BExXV6FWG4H3S2QEUJZYIXILNGJ7" hidden="1">#REF!</definedName>
    <definedName name="BExXVK87BMMO6LHKV0CFDNIQVIBS" localSheetId="8" hidden="1">#REF!</definedName>
    <definedName name="BExXVK87BMMO6LHKV0CFDNIQVIBS" localSheetId="19" hidden="1">#REF!</definedName>
    <definedName name="BExXVK87BMMO6LHKV0CFDNIQVIBS" hidden="1">#REF!</definedName>
    <definedName name="BExXVKZ9WXPGL6IVY6T61IDD771I" localSheetId="8" hidden="1">#REF!</definedName>
    <definedName name="BExXVKZ9WXPGL6IVY6T61IDD771I" localSheetId="19" hidden="1">#REF!</definedName>
    <definedName name="BExXVKZ9WXPGL6IVY6T61IDD771I" hidden="1">#REF!</definedName>
    <definedName name="BExXVLA319WCSEOVHB05KDUSU054" localSheetId="8" hidden="1">#REF!</definedName>
    <definedName name="BExXVLA319WCSEOVHB05KDUSU054" localSheetId="19" hidden="1">#REF!</definedName>
    <definedName name="BExXVLA319WCSEOVHB05KDUSU054" hidden="1">#REF!</definedName>
    <definedName name="BExXVTTG5YRCSTI0UL141BKR36SU" localSheetId="8" hidden="1">#REF!</definedName>
    <definedName name="BExXVTTG5YRCSTI0UL141BKR36SU" localSheetId="19" hidden="1">#REF!</definedName>
    <definedName name="BExXVTTG5YRCSTI0UL141BKR36SU" hidden="1">#REF!</definedName>
    <definedName name="BExXVYWX74VKI8BDDSX9U85460MB" localSheetId="8" hidden="1">#REF!</definedName>
    <definedName name="BExXVYWX74VKI8BDDSX9U85460MB" localSheetId="19" hidden="1">#REF!</definedName>
    <definedName name="BExXVYWX74VKI8BDDSX9U85460MB" hidden="1">#REF!</definedName>
    <definedName name="BExXW27MMXHXUXX78SDTBE1JYTHT" localSheetId="8" hidden="1">#REF!</definedName>
    <definedName name="BExXW27MMXHXUXX78SDTBE1JYTHT" localSheetId="19" hidden="1">#REF!</definedName>
    <definedName name="BExXW27MMXHXUXX78SDTBE1JYTHT" hidden="1">#REF!</definedName>
    <definedName name="BExXW2YIM2MYBSHRIX0RP9D4PRMN" localSheetId="8" hidden="1">#REF!</definedName>
    <definedName name="BExXW2YIM2MYBSHRIX0RP9D4PRMN" localSheetId="19" hidden="1">#REF!</definedName>
    <definedName name="BExXW2YIM2MYBSHRIX0RP9D4PRMN" hidden="1">#REF!</definedName>
    <definedName name="BExXWBNE4KTFSXKVSRF6WX039WPB" localSheetId="8" hidden="1">#REF!</definedName>
    <definedName name="BExXWBNE4KTFSXKVSRF6WX039WPB" localSheetId="19" hidden="1">#REF!</definedName>
    <definedName name="BExXWBNE4KTFSXKVSRF6WX039WPB" hidden="1">#REF!</definedName>
    <definedName name="BExXWFP5AYE7EHYTJWBZSQ8PQ0YX" localSheetId="8" hidden="1">#REF!</definedName>
    <definedName name="BExXWFP5AYE7EHYTJWBZSQ8PQ0YX" localSheetId="19" hidden="1">#REF!</definedName>
    <definedName name="BExXWFP5AYE7EHYTJWBZSQ8PQ0YX" hidden="1">#REF!</definedName>
    <definedName name="BExXWIUCR0LXM58OVKZT2APLVTIA" localSheetId="8" hidden="1">#REF!</definedName>
    <definedName name="BExXWIUCR0LXM58OVKZT2APLVTIA" localSheetId="19" hidden="1">#REF!</definedName>
    <definedName name="BExXWIUCR0LXM58OVKZT2APLVTIA" hidden="1">#REF!</definedName>
    <definedName name="BExXWTXJEA32DLC6QKN10QB955JT" localSheetId="8" hidden="1">#REF!</definedName>
    <definedName name="BExXWTXJEA32DLC6QKN10QB955JT" localSheetId="19" hidden="1">#REF!</definedName>
    <definedName name="BExXWTXJEA32DLC6QKN10QB955JT" hidden="1">#REF!</definedName>
    <definedName name="BExXWVFIBQT8OY1O41FRFPFGXQHK" localSheetId="8" hidden="1">#REF!</definedName>
    <definedName name="BExXWVFIBQT8OY1O41FRFPFGXQHK" localSheetId="19" hidden="1">#REF!</definedName>
    <definedName name="BExXWVFIBQT8OY1O41FRFPFGXQHK" hidden="1">#REF!</definedName>
    <definedName name="BExXWWXHBZHA9J3N8K47F84X0M0L" localSheetId="8" hidden="1">#REF!</definedName>
    <definedName name="BExXWWXHBZHA9J3N8K47F84X0M0L" localSheetId="19" hidden="1">#REF!</definedName>
    <definedName name="BExXWWXHBZHA9J3N8K47F84X0M0L" hidden="1">#REF!</definedName>
    <definedName name="BExXXBM521DL8R4ZX7NZ3DBCUOR5" localSheetId="8" hidden="1">#REF!</definedName>
    <definedName name="BExXXBM521DL8R4ZX7NZ3DBCUOR5" localSheetId="19" hidden="1">#REF!</definedName>
    <definedName name="BExXXBM521DL8R4ZX7NZ3DBCUOR5" hidden="1">#REF!</definedName>
    <definedName name="BExXXC7OZI33XZ03NRMEP7VRLQK4" localSheetId="8" hidden="1">#REF!</definedName>
    <definedName name="BExXXC7OZI33XZ03NRMEP7VRLQK4" localSheetId="19" hidden="1">#REF!</definedName>
    <definedName name="BExXXC7OZI33XZ03NRMEP7VRLQK4" hidden="1">#REF!</definedName>
    <definedName name="BExXXH5N3NKBQ7BCJPJTBF8CYM2Q" localSheetId="8" hidden="1">#REF!</definedName>
    <definedName name="BExXXH5N3NKBQ7BCJPJTBF8CYM2Q" localSheetId="19" hidden="1">#REF!</definedName>
    <definedName name="BExXXH5N3NKBQ7BCJPJTBF8CYM2Q" hidden="1">#REF!</definedName>
    <definedName name="BExXXI7HHXLBLUEW7EQ73TALJF48" localSheetId="8" hidden="1">#REF!</definedName>
    <definedName name="BExXXI7HHXLBLUEW7EQ73TALJF48" localSheetId="19" hidden="1">#REF!</definedName>
    <definedName name="BExXXI7HHXLBLUEW7EQ73TALJF48" hidden="1">#REF!</definedName>
    <definedName name="BExXXKWLM4D541BH6O8GOJMHFHMW" localSheetId="8" hidden="1">#REF!</definedName>
    <definedName name="BExXXKWLM4D541BH6O8GOJMHFHMW" localSheetId="19" hidden="1">#REF!</definedName>
    <definedName name="BExXXKWLM4D541BH6O8GOJMHFHMW" hidden="1">#REF!</definedName>
    <definedName name="BExXXNR17I6P4FQZPQF2ZXDFYB6C" localSheetId="8" hidden="1">#REF!</definedName>
    <definedName name="BExXXNR17I6P4FQZPQF2ZXDFYB6C" localSheetId="19" hidden="1">#REF!</definedName>
    <definedName name="BExXXNR17I6P4FQZPQF2ZXDFYB6C" hidden="1">#REF!</definedName>
    <definedName name="BExXXPPA1Q87XPI97X0OXCPBPDON" localSheetId="8" hidden="1">#REF!</definedName>
    <definedName name="BExXXPPA1Q87XPI97X0OXCPBPDON" localSheetId="19" hidden="1">#REF!</definedName>
    <definedName name="BExXXPPA1Q87XPI97X0OXCPBPDON" hidden="1">#REF!</definedName>
    <definedName name="BExXXVUDA98IZTQ6MANKU4MTTDVR" localSheetId="8" hidden="1">#REF!</definedName>
    <definedName name="BExXXVUDA98IZTQ6MANKU4MTTDVR" localSheetId="19" hidden="1">#REF!</definedName>
    <definedName name="BExXXVUDA98IZTQ6MANKU4MTTDVR" hidden="1">#REF!</definedName>
    <definedName name="BExXXZQNZY6IZI45DJXJK0MQZWA7" localSheetId="8" hidden="1">#REF!</definedName>
    <definedName name="BExXXZQNZY6IZI45DJXJK0MQZWA7" localSheetId="19" hidden="1">#REF!</definedName>
    <definedName name="BExXXZQNZY6IZI45DJXJK0MQZWA7" hidden="1">#REF!</definedName>
    <definedName name="BExXY5QFG6QP94SFT3935OBM8Y4K" localSheetId="8" hidden="1">#REF!</definedName>
    <definedName name="BExXY5QFG6QP94SFT3935OBM8Y4K" localSheetId="19" hidden="1">#REF!</definedName>
    <definedName name="BExXY5QFG6QP94SFT3935OBM8Y4K" hidden="1">#REF!</definedName>
    <definedName name="BExXY7TYEBFXRYUYIFHTN65RJ8EW" localSheetId="8" hidden="1">#REF!</definedName>
    <definedName name="BExXY7TYEBFXRYUYIFHTN65RJ8EW" localSheetId="19" hidden="1">#REF!</definedName>
    <definedName name="BExXY7TYEBFXRYUYIFHTN65RJ8EW" hidden="1">#REF!</definedName>
    <definedName name="BExXYLBHANUXC5FCTDDTGOVD3GQS" localSheetId="8" hidden="1">#REF!</definedName>
    <definedName name="BExXYLBHANUXC5FCTDDTGOVD3GQS" localSheetId="19" hidden="1">#REF!</definedName>
    <definedName name="BExXYLBHANUXC5FCTDDTGOVD3GQS" hidden="1">#REF!</definedName>
    <definedName name="BExXYMNYAYH3WA2ZCFAYKZID9ZCI" localSheetId="8" hidden="1">#REF!</definedName>
    <definedName name="BExXYMNYAYH3WA2ZCFAYKZID9ZCI" localSheetId="19" hidden="1">#REF!</definedName>
    <definedName name="BExXYMNYAYH3WA2ZCFAYKZID9ZCI" hidden="1">#REF!</definedName>
    <definedName name="BExXYYT12SVN2VDMLVNV4P3ISD8T" localSheetId="8" hidden="1">#REF!</definedName>
    <definedName name="BExXYYT12SVN2VDMLVNV4P3ISD8T" localSheetId="19" hidden="1">#REF!</definedName>
    <definedName name="BExXYYT12SVN2VDMLVNV4P3ISD8T" hidden="1">#REF!</definedName>
    <definedName name="BExXYZ3SPSRCWM4YHTPZDCOLZPHR" localSheetId="8" hidden="1">#REF!</definedName>
    <definedName name="BExXYZ3SPSRCWM4YHTPZDCOLZPHR" localSheetId="19" hidden="1">#REF!</definedName>
    <definedName name="BExXYZ3SPSRCWM4YHTPZDCOLZPHR" hidden="1">#REF!</definedName>
    <definedName name="BExXZFVV4YB42AZ3H1I40YG3JAPU" localSheetId="8" hidden="1">#REF!</definedName>
    <definedName name="BExXZFVV4YB42AZ3H1I40YG3JAPU" localSheetId="19" hidden="1">#REF!</definedName>
    <definedName name="BExXZFVV4YB42AZ3H1I40YG3JAPU" hidden="1">#REF!</definedName>
    <definedName name="BExXZG1CQE1M9TDJ99253H6JVGIH" localSheetId="8" hidden="1">#REF!</definedName>
    <definedName name="BExXZG1CQE1M9TDJ99253H6JVGIH" localSheetId="19" hidden="1">#REF!</definedName>
    <definedName name="BExXZG1CQE1M9TDJ99253H6JVGIH" hidden="1">#REF!</definedName>
    <definedName name="BExXZHJ9T2JELF12CHHGD54J1B0C" localSheetId="8" hidden="1">#REF!</definedName>
    <definedName name="BExXZHJ9T2JELF12CHHGD54J1B0C" localSheetId="19" hidden="1">#REF!</definedName>
    <definedName name="BExXZHJ9T2JELF12CHHGD54J1B0C" hidden="1">#REF!</definedName>
    <definedName name="BExXZNJ2X1TK2LRK5ZY3MX49H5T7" localSheetId="8" hidden="1">#REF!</definedName>
    <definedName name="BExXZNJ2X1TK2LRK5ZY3MX49H5T7" localSheetId="19" hidden="1">#REF!</definedName>
    <definedName name="BExXZNJ2X1TK2LRK5ZY3MX49H5T7" hidden="1">#REF!</definedName>
    <definedName name="BExXZOVPCEP495TQSON6PSRQ8XCY" localSheetId="8" hidden="1">#REF!</definedName>
    <definedName name="BExXZOVPCEP495TQSON6PSRQ8XCY" localSheetId="19" hidden="1">#REF!</definedName>
    <definedName name="BExXZOVPCEP495TQSON6PSRQ8XCY" hidden="1">#REF!</definedName>
    <definedName name="BExXZXKH7NBARQQAZM69Z57IH1MM" localSheetId="8" hidden="1">#REF!</definedName>
    <definedName name="BExXZXKH7NBARQQAZM69Z57IH1MM" localSheetId="19" hidden="1">#REF!</definedName>
    <definedName name="BExXZXKH7NBARQQAZM69Z57IH1MM" hidden="1">#REF!</definedName>
    <definedName name="BExY07WSDH5QEVM7BJXJK2ZRAI1O" localSheetId="8" hidden="1">#REF!</definedName>
    <definedName name="BExY07WSDH5QEVM7BJXJK2ZRAI1O" localSheetId="19" hidden="1">#REF!</definedName>
    <definedName name="BExY07WSDH5QEVM7BJXJK2ZRAI1O" hidden="1">#REF!</definedName>
    <definedName name="BExY09PJJWYWGWWLX3YT8EVK0YV4" localSheetId="8" hidden="1">#REF!</definedName>
    <definedName name="BExY09PJJWYWGWWLX3YT8EVK0YV4" localSheetId="19" hidden="1">#REF!</definedName>
    <definedName name="BExY09PJJWYWGWWLX3YT8EVK0YV4" hidden="1">#REF!</definedName>
    <definedName name="BExY0C3UBVC4M59JIRXVQ8OWAJC1" localSheetId="8" hidden="1">#REF!</definedName>
    <definedName name="BExY0C3UBVC4M59JIRXVQ8OWAJC1" localSheetId="19" hidden="1">#REF!</definedName>
    <definedName name="BExY0C3UBVC4M59JIRXVQ8OWAJC1" hidden="1">#REF!</definedName>
    <definedName name="BExY0ENH6ZXHW155XIGS0F46T43M" localSheetId="8" hidden="1">#REF!</definedName>
    <definedName name="BExY0ENH6ZXHW155XIGS0F46T43M" localSheetId="19" hidden="1">#REF!</definedName>
    <definedName name="BExY0ENH6ZXHW155XIGS0F46T43M" hidden="1">#REF!</definedName>
    <definedName name="BExY0IEEUB9SRGD9I14IDCPO5GV4" localSheetId="8" hidden="1">#REF!</definedName>
    <definedName name="BExY0IEEUB9SRGD9I14IDCPO5GV4" localSheetId="19" hidden="1">#REF!</definedName>
    <definedName name="BExY0IEEUB9SRGD9I14IDCPO5GV4" hidden="1">#REF!</definedName>
    <definedName name="BExY0LEAAM7MUGBRLXD6KXBOHZ6S" localSheetId="8" hidden="1">#REF!</definedName>
    <definedName name="BExY0LEAAM7MUGBRLXD6KXBOHZ6S" localSheetId="19" hidden="1">#REF!</definedName>
    <definedName name="BExY0LEAAM7MUGBRLXD6KXBOHZ6S" hidden="1">#REF!</definedName>
    <definedName name="BExY0OE8GFHMLLTEAFIOQTOPEVPB" localSheetId="8" hidden="1">#REF!</definedName>
    <definedName name="BExY0OE8GFHMLLTEAFIOQTOPEVPB" localSheetId="19" hidden="1">#REF!</definedName>
    <definedName name="BExY0OE8GFHMLLTEAFIOQTOPEVPB" hidden="1">#REF!</definedName>
    <definedName name="BExY0OJHW85S0VKBA8T4HTYPYBOS" localSheetId="8" hidden="1">#REF!</definedName>
    <definedName name="BExY0OJHW85S0VKBA8T4HTYPYBOS" localSheetId="19" hidden="1">#REF!</definedName>
    <definedName name="BExY0OJHW85S0VKBA8T4HTYPYBOS" hidden="1">#REF!</definedName>
    <definedName name="BExY0T1E034D7XAXNC6F7540LLIE" localSheetId="8" hidden="1">#REF!</definedName>
    <definedName name="BExY0T1E034D7XAXNC6F7540LLIE" localSheetId="19" hidden="1">#REF!</definedName>
    <definedName name="BExY0T1E034D7XAXNC6F7540LLIE" hidden="1">#REF!</definedName>
    <definedName name="BExY0XTZLHN49J2JH94BYTKBJLT3" localSheetId="8" hidden="1">#REF!</definedName>
    <definedName name="BExY0XTZLHN49J2JH94BYTKBJLT3" localSheetId="19" hidden="1">#REF!</definedName>
    <definedName name="BExY0XTZLHN49J2JH94BYTKBJLT3" hidden="1">#REF!</definedName>
    <definedName name="BExY11FH9TXHERUYGG8FE50U7H7J" localSheetId="8" hidden="1">#REF!</definedName>
    <definedName name="BExY11FH9TXHERUYGG8FE50U7H7J" localSheetId="19" hidden="1">#REF!</definedName>
    <definedName name="BExY11FH9TXHERUYGG8FE50U7H7J" hidden="1">#REF!</definedName>
    <definedName name="BExY180UKNW5NIAWD6ZUYTFEH8QS" localSheetId="8" hidden="1">#REF!</definedName>
    <definedName name="BExY180UKNW5NIAWD6ZUYTFEH8QS" localSheetId="19" hidden="1">#REF!</definedName>
    <definedName name="BExY180UKNW5NIAWD6ZUYTFEH8QS" hidden="1">#REF!</definedName>
    <definedName name="BExY1DPTV4LSY9MEOUGXF8X052NA" localSheetId="8" hidden="1">#REF!</definedName>
    <definedName name="BExY1DPTV4LSY9MEOUGXF8X052NA" localSheetId="19" hidden="1">#REF!</definedName>
    <definedName name="BExY1DPTV4LSY9MEOUGXF8X052NA" hidden="1">#REF!</definedName>
    <definedName name="BExY1GK9ELBEKDD7O6HR6DUO8YGO" localSheetId="8" hidden="1">#REF!</definedName>
    <definedName name="BExY1GK9ELBEKDD7O6HR6DUO8YGO" localSheetId="19" hidden="1">#REF!</definedName>
    <definedName name="BExY1GK9ELBEKDD7O6HR6DUO8YGO" hidden="1">#REF!</definedName>
    <definedName name="BExY1NWOXXFV9GGZ3PX444LZ8TVX" localSheetId="8" hidden="1">#REF!</definedName>
    <definedName name="BExY1NWOXXFV9GGZ3PX444LZ8TVX" localSheetId="19" hidden="1">#REF!</definedName>
    <definedName name="BExY1NWOXXFV9GGZ3PX444LZ8TVX" hidden="1">#REF!</definedName>
    <definedName name="BExY1UCL0RND63LLSM9X5SFRG117" localSheetId="8" hidden="1">#REF!</definedName>
    <definedName name="BExY1UCL0RND63LLSM9X5SFRG117" localSheetId="19" hidden="1">#REF!</definedName>
    <definedName name="BExY1UCL0RND63LLSM9X5SFRG117" hidden="1">#REF!</definedName>
    <definedName name="BExY1WAT3937L08HLHIRQHMP2A3H" localSheetId="8" hidden="1">#REF!</definedName>
    <definedName name="BExY1WAT3937L08HLHIRQHMP2A3H" localSheetId="19" hidden="1">#REF!</definedName>
    <definedName name="BExY1WAT3937L08HLHIRQHMP2A3H" hidden="1">#REF!</definedName>
    <definedName name="BExY1YEBOSLMID7LURP8QB46AI91" localSheetId="8" hidden="1">#REF!</definedName>
    <definedName name="BExY1YEBOSLMID7LURP8QB46AI91" localSheetId="19" hidden="1">#REF!</definedName>
    <definedName name="BExY1YEBOSLMID7LURP8QB46AI91" hidden="1">#REF!</definedName>
    <definedName name="BExY236UB98PA9PNCHMCSZYCHJBD" localSheetId="8" hidden="1">#REF!</definedName>
    <definedName name="BExY236UB98PA9PNCHMCSZYCHJBD" localSheetId="19" hidden="1">#REF!</definedName>
    <definedName name="BExY236UB98PA9PNCHMCSZYCHJBD" hidden="1">#REF!</definedName>
    <definedName name="BExY2FS4LFX9OHOTQT7SJ2PXAC25" localSheetId="8" hidden="1">#REF!</definedName>
    <definedName name="BExY2FS4LFX9OHOTQT7SJ2PXAC25" localSheetId="19" hidden="1">#REF!</definedName>
    <definedName name="BExY2FS4LFX9OHOTQT7SJ2PXAC25" hidden="1">#REF!</definedName>
    <definedName name="BExY2GDPCZPVU0IQ6IJIB1YQQRQ6" localSheetId="8" hidden="1">#REF!</definedName>
    <definedName name="BExY2GDPCZPVU0IQ6IJIB1YQQRQ6" localSheetId="19" hidden="1">#REF!</definedName>
    <definedName name="BExY2GDPCZPVU0IQ6IJIB1YQQRQ6" hidden="1">#REF!</definedName>
    <definedName name="BExY2GTSZ3VA9TXLY7KW1LIAKJ61" localSheetId="8" hidden="1">#REF!</definedName>
    <definedName name="BExY2GTSZ3VA9TXLY7KW1LIAKJ61" localSheetId="19" hidden="1">#REF!</definedName>
    <definedName name="BExY2GTSZ3VA9TXLY7KW1LIAKJ61" hidden="1">#REF!</definedName>
    <definedName name="BExY2IXBR1SGYZH08T7QHKEFS8HA" localSheetId="8" hidden="1">#REF!</definedName>
    <definedName name="BExY2IXBR1SGYZH08T7QHKEFS8HA" localSheetId="19" hidden="1">#REF!</definedName>
    <definedName name="BExY2IXBR1SGYZH08T7QHKEFS8HA" hidden="1">#REF!</definedName>
    <definedName name="BExY2Q4B5FUDA5VU4VRUHX327QN0" localSheetId="8" hidden="1">#REF!</definedName>
    <definedName name="BExY2Q4B5FUDA5VU4VRUHX327QN0" localSheetId="19" hidden="1">#REF!</definedName>
    <definedName name="BExY2Q4B5FUDA5VU4VRUHX327QN0" hidden="1">#REF!</definedName>
    <definedName name="BExY2S7TM2NG7A1NFYPWIFAIKUCO" localSheetId="8" hidden="1">#REF!</definedName>
    <definedName name="BExY2S7TM2NG7A1NFYPWIFAIKUCO" localSheetId="19" hidden="1">#REF!</definedName>
    <definedName name="BExY2S7TM2NG7A1NFYPWIFAIKUCO" hidden="1">#REF!</definedName>
    <definedName name="BExY2Z3ZGRGD12RWANJZ8DFQO776" localSheetId="8" hidden="1">#REF!</definedName>
    <definedName name="BExY2Z3ZGRGD12RWANJZ8DFQO776" localSheetId="19" hidden="1">#REF!</definedName>
    <definedName name="BExY2Z3ZGRGD12RWANJZ8DFQO776" hidden="1">#REF!</definedName>
    <definedName name="BExY30WPXLJ01P42XKBSUF8KNOOK" localSheetId="8" hidden="1">#REF!</definedName>
    <definedName name="BExY30WPXLJ01P42XKBSUF8KNOOK" localSheetId="19" hidden="1">#REF!</definedName>
    <definedName name="BExY30WPXLJ01P42XKBSUF8KNOOK" hidden="1">#REF!</definedName>
    <definedName name="BExY3297KIB0C8Z1G99OS1MCEGTO" localSheetId="8" hidden="1">#REF!</definedName>
    <definedName name="BExY3297KIB0C8Z1G99OS1MCEGTO" localSheetId="19" hidden="1">#REF!</definedName>
    <definedName name="BExY3297KIB0C8Z1G99OS1MCEGTO" hidden="1">#REF!</definedName>
    <definedName name="BExY3HOSK7YI364K15OX70AVR6F1" localSheetId="8" hidden="1">#REF!</definedName>
    <definedName name="BExY3HOSK7YI364K15OX70AVR6F1" localSheetId="19" hidden="1">#REF!</definedName>
    <definedName name="BExY3HOSK7YI364K15OX70AVR6F1" hidden="1">#REF!</definedName>
    <definedName name="BExY3I526B4VA8JBTKXWE3FGVT0D" localSheetId="8" hidden="1">#REF!</definedName>
    <definedName name="BExY3I526B4VA8JBTKXWE3FGVT0D" localSheetId="19" hidden="1">#REF!</definedName>
    <definedName name="BExY3I526B4VA8JBTKXWE3FGVT0D" hidden="1">#REF!</definedName>
    <definedName name="BExY3I52TZR3GXQ9HDVDNIYLIGEH" localSheetId="8" hidden="1">#REF!</definedName>
    <definedName name="BExY3I52TZR3GXQ9HDVDNIYLIGEH" localSheetId="19" hidden="1">#REF!</definedName>
    <definedName name="BExY3I52TZR3GXQ9HDVDNIYLIGEH" hidden="1">#REF!</definedName>
    <definedName name="BExY3T89AUR83SOAZZ3OMDEJDQ39" localSheetId="8" hidden="1">#REF!</definedName>
    <definedName name="BExY3T89AUR83SOAZZ3OMDEJDQ39" localSheetId="19" hidden="1">#REF!</definedName>
    <definedName name="BExY3T89AUR83SOAZZ3OMDEJDQ39" hidden="1">#REF!</definedName>
    <definedName name="BExY3WZ7VO2K6TYCHDY754FY24AA" localSheetId="8" hidden="1">#REF!</definedName>
    <definedName name="BExY3WZ7VO2K6TYCHDY754FY24AA" localSheetId="19" hidden="1">#REF!</definedName>
    <definedName name="BExY3WZ7VO2K6TYCHDY754FY24AA" hidden="1">#REF!</definedName>
    <definedName name="BExY4BIG95HDDO6MY6WBUSWJIOLR" localSheetId="8" hidden="1">#REF!</definedName>
    <definedName name="BExY4BIG95HDDO6MY6WBUSWJIOLR" localSheetId="19" hidden="1">#REF!</definedName>
    <definedName name="BExY4BIG95HDDO6MY6WBUSWJIOLR" hidden="1">#REF!</definedName>
    <definedName name="BExY4MG771JQ84EMIVB6HQGGHZY7" localSheetId="8" hidden="1">#REF!</definedName>
    <definedName name="BExY4MG771JQ84EMIVB6HQGGHZY7" localSheetId="19" hidden="1">#REF!</definedName>
    <definedName name="BExY4MG771JQ84EMIVB6HQGGHZY7" hidden="1">#REF!</definedName>
    <definedName name="BExY4PWCSFB8P3J3TBQB2MD67263" localSheetId="8" hidden="1">#REF!</definedName>
    <definedName name="BExY4PWCSFB8P3J3TBQB2MD67263" localSheetId="19" hidden="1">#REF!</definedName>
    <definedName name="BExY4PWCSFB8P3J3TBQB2MD67263" hidden="1">#REF!</definedName>
    <definedName name="BExY4RP3BE6KYZDIKQZO4U4DIT33" localSheetId="8" hidden="1">#REF!</definedName>
    <definedName name="BExY4RP3BE6KYZDIKQZO4U4DIT33" localSheetId="19" hidden="1">#REF!</definedName>
    <definedName name="BExY4RP3BE6KYZDIKQZO4U4DIT33" hidden="1">#REF!</definedName>
    <definedName name="BExY4RZW3KK11JLYBA4DWZ92M6LQ" localSheetId="8" hidden="1">#REF!</definedName>
    <definedName name="BExY4RZW3KK11JLYBA4DWZ92M6LQ" localSheetId="19" hidden="1">#REF!</definedName>
    <definedName name="BExY4RZW3KK11JLYBA4DWZ92M6LQ" hidden="1">#REF!</definedName>
    <definedName name="BExY4XOVTTNVZ577RLIEC7NZQFIX" localSheetId="8" hidden="1">#REF!</definedName>
    <definedName name="BExY4XOVTTNVZ577RLIEC7NZQFIX" localSheetId="19" hidden="1">#REF!</definedName>
    <definedName name="BExY4XOVTTNVZ577RLIEC7NZQFIX" hidden="1">#REF!</definedName>
    <definedName name="BExY50JAF5CG01GTHAUS7I4ZLUDC" localSheetId="8" hidden="1">#REF!</definedName>
    <definedName name="BExY50JAF5CG01GTHAUS7I4ZLUDC" localSheetId="19" hidden="1">#REF!</definedName>
    <definedName name="BExY50JAF5CG01GTHAUS7I4ZLUDC" hidden="1">#REF!</definedName>
    <definedName name="BExY53J7EXFEOFTRNAHLK7IH3ACB" localSheetId="8" hidden="1">#REF!</definedName>
    <definedName name="BExY53J7EXFEOFTRNAHLK7IH3ACB" localSheetId="19" hidden="1">#REF!</definedName>
    <definedName name="BExY53J7EXFEOFTRNAHLK7IH3ACB" hidden="1">#REF!</definedName>
    <definedName name="BExY5515SJTJS3VM80M3YYR0WF37" localSheetId="8" hidden="1">#REF!</definedName>
    <definedName name="BExY5515SJTJS3VM80M3YYR0WF37" localSheetId="19" hidden="1">#REF!</definedName>
    <definedName name="BExY5515SJTJS3VM80M3YYR0WF37" hidden="1">#REF!</definedName>
    <definedName name="BExY5515WE39FQ3EG5QHG67V9C0O" localSheetId="8" hidden="1">#REF!</definedName>
    <definedName name="BExY5515WE39FQ3EG5QHG67V9C0O" localSheetId="19" hidden="1">#REF!</definedName>
    <definedName name="BExY5515WE39FQ3EG5QHG67V9C0O" hidden="1">#REF!</definedName>
    <definedName name="BExY5986WNAD8NFCPXC9TVLBU4FG" localSheetId="8" hidden="1">#REF!</definedName>
    <definedName name="BExY5986WNAD8NFCPXC9TVLBU4FG" localSheetId="19" hidden="1">#REF!</definedName>
    <definedName name="BExY5986WNAD8NFCPXC9TVLBU4FG" hidden="1">#REF!</definedName>
    <definedName name="BExY5DF9MS25IFNWGJ1YAS5MDN8R" localSheetId="8" hidden="1">#REF!</definedName>
    <definedName name="BExY5DF9MS25IFNWGJ1YAS5MDN8R" localSheetId="19" hidden="1">#REF!</definedName>
    <definedName name="BExY5DF9MS25IFNWGJ1YAS5MDN8R" hidden="1">#REF!</definedName>
    <definedName name="BExY5ERVGL3UM2MGT8LJ0XPKTZEK" localSheetId="8" hidden="1">#REF!</definedName>
    <definedName name="BExY5ERVGL3UM2MGT8LJ0XPKTZEK" localSheetId="19" hidden="1">#REF!</definedName>
    <definedName name="BExY5ERVGL3UM2MGT8LJ0XPKTZEK" hidden="1">#REF!</definedName>
    <definedName name="BExY5EX6NJFK8W754ZVZDN5DS04K" localSheetId="8" hidden="1">#REF!</definedName>
    <definedName name="BExY5EX6NJFK8W754ZVZDN5DS04K" localSheetId="19" hidden="1">#REF!</definedName>
    <definedName name="BExY5EX6NJFK8W754ZVZDN5DS04K" hidden="1">#REF!</definedName>
    <definedName name="BExY5S3XD1NJT109CV54IFOHVLQ6" localSheetId="8" hidden="1">#REF!</definedName>
    <definedName name="BExY5S3XD1NJT109CV54IFOHVLQ6" localSheetId="19" hidden="1">#REF!</definedName>
    <definedName name="BExY5S3XD1NJT109CV54IFOHVLQ6" hidden="1">#REF!</definedName>
    <definedName name="BExY5W088PPAPLSMR2P7FV2CRDCT" localSheetId="8" hidden="1">#REF!</definedName>
    <definedName name="BExY5W088PPAPLSMR2P7FV2CRDCT" localSheetId="19" hidden="1">#REF!</definedName>
    <definedName name="BExY5W088PPAPLSMR2P7FV2CRDCT" hidden="1">#REF!</definedName>
    <definedName name="BExY6KA6BQ6H4SH5EMJBVF8UR4ZY" localSheetId="8" hidden="1">#REF!</definedName>
    <definedName name="BExY6KA6BQ6H4SH5EMJBVF8UR4ZY" localSheetId="19" hidden="1">#REF!</definedName>
    <definedName name="BExY6KA6BQ6H4SH5EMJBVF8UR4ZY" hidden="1">#REF!</definedName>
    <definedName name="BExY6KVS1MMZ2R34PGEFR2BMTU9W" localSheetId="8" hidden="1">#REF!</definedName>
    <definedName name="BExY6KVS1MMZ2R34PGEFR2BMTU9W" localSheetId="19" hidden="1">#REF!</definedName>
    <definedName name="BExY6KVS1MMZ2R34PGEFR2BMTU9W" hidden="1">#REF!</definedName>
    <definedName name="BExY6Q9YY7LW745GP7CYOGGSPHGE" localSheetId="8" hidden="1">#REF!</definedName>
    <definedName name="BExY6Q9YY7LW745GP7CYOGGSPHGE" localSheetId="19" hidden="1">#REF!</definedName>
    <definedName name="BExY6Q9YY7LW745GP7CYOGGSPHGE" hidden="1">#REF!</definedName>
    <definedName name="BExY6R6BYIQZ4OR1E7YI0OVOC08W" localSheetId="8" hidden="1">#REF!</definedName>
    <definedName name="BExY6R6BYIQZ4OR1E7YI0OVOC08W" localSheetId="19" hidden="1">#REF!</definedName>
    <definedName name="BExY6R6BYIQZ4OR1E7YI0OVOC08W" hidden="1">#REF!</definedName>
    <definedName name="BExZIA3C8LKJTEH3MKQ57KJH5TA2" localSheetId="8" hidden="1">#REF!</definedName>
    <definedName name="BExZIA3C8LKJTEH3MKQ57KJH5TA2" localSheetId="19" hidden="1">#REF!</definedName>
    <definedName name="BExZIA3C8LKJTEH3MKQ57KJH5TA2" hidden="1">#REF!</definedName>
    <definedName name="BExZIGDWFIOPMMVCRWX45OIJ5AP3" localSheetId="8" hidden="1">#REF!</definedName>
    <definedName name="BExZIGDWFIOPMMVCRWX45OIJ5AP3" localSheetId="19" hidden="1">#REF!</definedName>
    <definedName name="BExZIGDWFIOPMMVCRWX45OIJ5AP3" hidden="1">#REF!</definedName>
    <definedName name="BExZIIHH3QNQE3GFMHEE4UMHY6WQ" localSheetId="8" hidden="1">#REF!</definedName>
    <definedName name="BExZIIHH3QNQE3GFMHEE4UMHY6WQ" localSheetId="19" hidden="1">#REF!</definedName>
    <definedName name="BExZIIHH3QNQE3GFMHEE4UMHY6WQ" hidden="1">#REF!</definedName>
    <definedName name="BExZIYO22G5UXOB42GDLYGVRJ6U7" localSheetId="8" hidden="1">#REF!</definedName>
    <definedName name="BExZIYO22G5UXOB42GDLYGVRJ6U7" localSheetId="19" hidden="1">#REF!</definedName>
    <definedName name="BExZIYO22G5UXOB42GDLYGVRJ6U7" hidden="1">#REF!</definedName>
    <definedName name="BExZJ7I9T8XU4MZRKJ1VVU76V2LZ" localSheetId="8" hidden="1">#REF!</definedName>
    <definedName name="BExZJ7I9T8XU4MZRKJ1VVU76V2LZ" localSheetId="19" hidden="1">#REF!</definedName>
    <definedName name="BExZJ7I9T8XU4MZRKJ1VVU76V2LZ" hidden="1">#REF!</definedName>
    <definedName name="BExZJMY170JCUU1RWASNZ1HJPRTA" localSheetId="8" hidden="1">#REF!</definedName>
    <definedName name="BExZJMY170JCUU1RWASNZ1HJPRTA" localSheetId="19" hidden="1">#REF!</definedName>
    <definedName name="BExZJMY170JCUU1RWASNZ1HJPRTA" hidden="1">#REF!</definedName>
    <definedName name="BExZJOQR77H0P4SUKVYACDCFBBXO" localSheetId="8" hidden="1">#REF!</definedName>
    <definedName name="BExZJOQR77H0P4SUKVYACDCFBBXO" localSheetId="19" hidden="1">#REF!</definedName>
    <definedName name="BExZJOQR77H0P4SUKVYACDCFBBXO" hidden="1">#REF!</definedName>
    <definedName name="BExZJS6RG34ODDY9HMZ0O34MEMSB" localSheetId="8" hidden="1">#REF!</definedName>
    <definedName name="BExZJS6RG34ODDY9HMZ0O34MEMSB" localSheetId="19" hidden="1">#REF!</definedName>
    <definedName name="BExZJS6RG34ODDY9HMZ0O34MEMSB" hidden="1">#REF!</definedName>
    <definedName name="BExZK34NR4BAD7HJAP7SQ926UQP3" localSheetId="8" hidden="1">#REF!</definedName>
    <definedName name="BExZK34NR4BAD7HJAP7SQ926UQP3" localSheetId="19" hidden="1">#REF!</definedName>
    <definedName name="BExZK34NR4BAD7HJAP7SQ926UQP3" hidden="1">#REF!</definedName>
    <definedName name="BExZK3FGPHH5H771U7D5XY7XBS6E" localSheetId="8" hidden="1">#REF!</definedName>
    <definedName name="BExZK3FGPHH5H771U7D5XY7XBS6E" localSheetId="19" hidden="1">#REF!</definedName>
    <definedName name="BExZK3FGPHH5H771U7D5XY7XBS6E" hidden="1">#REF!</definedName>
    <definedName name="BExZK46CVVS9X1BZ6LLL71016ENT" localSheetId="8" hidden="1">#REF!</definedName>
    <definedName name="BExZK46CVVS9X1BZ6LLL71016ENT" localSheetId="19" hidden="1">#REF!</definedName>
    <definedName name="BExZK46CVVS9X1BZ6LLL71016ENT" hidden="1">#REF!</definedName>
    <definedName name="BExZK52PZLTP1F04T09MP30BVT7H" localSheetId="8" hidden="1">#REF!</definedName>
    <definedName name="BExZK52PZLTP1F04T09MP30BVT7H" localSheetId="19" hidden="1">#REF!</definedName>
    <definedName name="BExZK52PZLTP1F04T09MP30BVT7H" hidden="1">#REF!</definedName>
    <definedName name="BExZKHYORG3O8C772XPFHM1N8T80" localSheetId="8" hidden="1">#REF!</definedName>
    <definedName name="BExZKHYORG3O8C772XPFHM1N8T80" localSheetId="19" hidden="1">#REF!</definedName>
    <definedName name="BExZKHYORG3O8C772XPFHM1N8T80" hidden="1">#REF!</definedName>
    <definedName name="BExZKJRF2IRR57DG9CLC7MSHWNNN" localSheetId="8" hidden="1">#REF!</definedName>
    <definedName name="BExZKJRF2IRR57DG9CLC7MSHWNNN" localSheetId="19" hidden="1">#REF!</definedName>
    <definedName name="BExZKJRF2IRR57DG9CLC7MSHWNNN" hidden="1">#REF!</definedName>
    <definedName name="BExZKV5GYXO0X760SBD9TWTIQHGI" localSheetId="8" hidden="1">#REF!</definedName>
    <definedName name="BExZKV5GYXO0X760SBD9TWTIQHGI" localSheetId="19" hidden="1">#REF!</definedName>
    <definedName name="BExZKV5GYXO0X760SBD9TWTIQHGI" hidden="1">#REF!</definedName>
    <definedName name="BExZKZCGNEA9IPON37A91L4H4H17" localSheetId="8" hidden="1">#REF!</definedName>
    <definedName name="BExZKZCGNEA9IPON37A91L4H4H17" localSheetId="19" hidden="1">#REF!</definedName>
    <definedName name="BExZKZCGNEA9IPON37A91L4H4H17" hidden="1">#REF!</definedName>
    <definedName name="BExZL6E4YVXRUN7ZGF2BIGIXFR8K" localSheetId="8" hidden="1">#REF!</definedName>
    <definedName name="BExZL6E4YVXRUN7ZGF2BIGIXFR8K" localSheetId="19" hidden="1">#REF!</definedName>
    <definedName name="BExZL6E4YVXRUN7ZGF2BIGIXFR8K" hidden="1">#REF!</definedName>
    <definedName name="BExZLF2ZTA4EPN0GHO7C5O8DZ1SN" localSheetId="8" hidden="1">#REF!</definedName>
    <definedName name="BExZLF2ZTA4EPN0GHO7C5O8DZ1SN" localSheetId="19" hidden="1">#REF!</definedName>
    <definedName name="BExZLF2ZTA4EPN0GHO7C5O8DZ1SN" hidden="1">#REF!</definedName>
    <definedName name="BExZLGVLMKTPFXG42QYT0PO81G7F" localSheetId="8" hidden="1">#REF!</definedName>
    <definedName name="BExZLGVLMKTPFXG42QYT0PO81G7F" localSheetId="19" hidden="1">#REF!</definedName>
    <definedName name="BExZLGVLMKTPFXG42QYT0PO81G7F" hidden="1">#REF!</definedName>
    <definedName name="BExZLHRYQQ7BYD3VQWHVTZGYGRCT" localSheetId="8" hidden="1">#REF!</definedName>
    <definedName name="BExZLHRYQQ7BYD3VQWHVTZGYGRCT" localSheetId="19" hidden="1">#REF!</definedName>
    <definedName name="BExZLHRYQQ7BYD3VQWHVTZGYGRCT" hidden="1">#REF!</definedName>
    <definedName name="BExZLKMK7LRK14S09WLMH7MXSQXM" localSheetId="8" hidden="1">#REF!</definedName>
    <definedName name="BExZLKMK7LRK14S09WLMH7MXSQXM" localSheetId="19" hidden="1">#REF!</definedName>
    <definedName name="BExZLKMK7LRK14S09WLMH7MXSQXM" hidden="1">#REF!</definedName>
    <definedName name="BExZM503X0NZBS0FF22LK2RGG6GP" localSheetId="8" hidden="1">#REF!</definedName>
    <definedName name="BExZM503X0NZBS0FF22LK2RGG6GP" localSheetId="19" hidden="1">#REF!</definedName>
    <definedName name="BExZM503X0NZBS0FF22LK2RGG6GP" hidden="1">#REF!</definedName>
    <definedName name="BExZM7JVLG0W8EG5RBU915U3SKBY" localSheetId="8" hidden="1">#REF!</definedName>
    <definedName name="BExZM7JVLG0W8EG5RBU915U3SKBY" localSheetId="19" hidden="1">#REF!</definedName>
    <definedName name="BExZM7JVLG0W8EG5RBU915U3SKBY" hidden="1">#REF!</definedName>
    <definedName name="BExZM85FOVUFF110XMQ9O2ODSJUK" localSheetId="8" hidden="1">#REF!</definedName>
    <definedName name="BExZM85FOVUFF110XMQ9O2ODSJUK" localSheetId="19" hidden="1">#REF!</definedName>
    <definedName name="BExZM85FOVUFF110XMQ9O2ODSJUK" hidden="1">#REF!</definedName>
    <definedName name="BExZMF1MMTZ1TA14PZ8ASSU2CBSP" localSheetId="8" hidden="1">#REF!</definedName>
    <definedName name="BExZMF1MMTZ1TA14PZ8ASSU2CBSP" localSheetId="19" hidden="1">#REF!</definedName>
    <definedName name="BExZMF1MMTZ1TA14PZ8ASSU2CBSP" hidden="1">#REF!</definedName>
    <definedName name="BExZMH54ZU6X4KM0375X9K5VJDZN" localSheetId="8" hidden="1">#REF!</definedName>
    <definedName name="BExZMH54ZU6X4KM0375X9K5VJDZN" localSheetId="19" hidden="1">#REF!</definedName>
    <definedName name="BExZMH54ZU6X4KM0375X9K5VJDZN" hidden="1">#REF!</definedName>
    <definedName name="BExZMKL5YQZD7F0FUCSVFGLPFK52" localSheetId="8" hidden="1">#REF!</definedName>
    <definedName name="BExZMKL5YQZD7F0FUCSVFGLPFK52" localSheetId="19" hidden="1">#REF!</definedName>
    <definedName name="BExZMKL5YQZD7F0FUCSVFGLPFK52" hidden="1">#REF!</definedName>
    <definedName name="BExZMOC3VNZALJM71X2T6FV91GTB" localSheetId="8" hidden="1">#REF!</definedName>
    <definedName name="BExZMOC3VNZALJM71X2T6FV91GTB" localSheetId="19" hidden="1">#REF!</definedName>
    <definedName name="BExZMOC3VNZALJM71X2T6FV91GTB" hidden="1">#REF!</definedName>
    <definedName name="BExZMRHA7TTR9QKJOMONHRVY3YOF" localSheetId="8" hidden="1">#REF!</definedName>
    <definedName name="BExZMRHA7TTR9QKJOMONHRVY3YOF" localSheetId="19" hidden="1">#REF!</definedName>
    <definedName name="BExZMRHA7TTR9QKJOMONHRVY3YOF" hidden="1">#REF!</definedName>
    <definedName name="BExZMXH39OB0I43XEL3K11U3G9PM" localSheetId="8" hidden="1">#REF!</definedName>
    <definedName name="BExZMXH39OB0I43XEL3K11U3G9PM" localSheetId="19" hidden="1">#REF!</definedName>
    <definedName name="BExZMXH39OB0I43XEL3K11U3G9PM" hidden="1">#REF!</definedName>
    <definedName name="BExZMZQ3RBKDHT5GLFNLS52OSJA0" localSheetId="8" hidden="1">#REF!</definedName>
    <definedName name="BExZMZQ3RBKDHT5GLFNLS52OSJA0" localSheetId="19" hidden="1">#REF!</definedName>
    <definedName name="BExZMZQ3RBKDHT5GLFNLS52OSJA0" hidden="1">#REF!</definedName>
    <definedName name="BExZN2F7Y2J2L2LN5WZRG949MS4A" localSheetId="8" hidden="1">#REF!</definedName>
    <definedName name="BExZN2F7Y2J2L2LN5WZRG949MS4A" localSheetId="19" hidden="1">#REF!</definedName>
    <definedName name="BExZN2F7Y2J2L2LN5WZRG949MS4A" hidden="1">#REF!</definedName>
    <definedName name="BExZN847WUWKRYTZWG9TCQZJS3OL" localSheetId="8" hidden="1">#REF!</definedName>
    <definedName name="BExZN847WUWKRYTZWG9TCQZJS3OL" localSheetId="19" hidden="1">#REF!</definedName>
    <definedName name="BExZN847WUWKRYTZWG9TCQZJS3OL" hidden="1">#REF!</definedName>
    <definedName name="BExZNA2ALK6RDWFAXZQCL9TWRDCF" localSheetId="8" hidden="1">#REF!</definedName>
    <definedName name="BExZNA2ALK6RDWFAXZQCL9TWRDCF" localSheetId="19" hidden="1">#REF!</definedName>
    <definedName name="BExZNA2ALK6RDWFAXZQCL9TWRDCF" hidden="1">#REF!</definedName>
    <definedName name="BExZNH3VISFF4NQI11BZDP5IQ7VG" localSheetId="8" hidden="1">#REF!</definedName>
    <definedName name="BExZNH3VISFF4NQI11BZDP5IQ7VG" localSheetId="19" hidden="1">#REF!</definedName>
    <definedName name="BExZNH3VISFF4NQI11BZDP5IQ7VG" hidden="1">#REF!</definedName>
    <definedName name="BExZNJYCFYVMAOI62GB2BABK1ELE" localSheetId="8" hidden="1">#REF!</definedName>
    <definedName name="BExZNJYCFYVMAOI62GB2BABK1ELE" localSheetId="19" hidden="1">#REF!</definedName>
    <definedName name="BExZNJYCFYVMAOI62GB2BABK1ELE" hidden="1">#REF!</definedName>
    <definedName name="BExZNLGAA6ATMJW0Y28J4OI5W27I" localSheetId="8" hidden="1">#REF!</definedName>
    <definedName name="BExZNLGAA6ATMJW0Y28J4OI5W27I" localSheetId="19" hidden="1">#REF!</definedName>
    <definedName name="BExZNLGAA6ATMJW0Y28J4OI5W27I" hidden="1">#REF!</definedName>
    <definedName name="BExZNP7916CH3QP4VCZEULUIKKS5" localSheetId="8" hidden="1">#REF!</definedName>
    <definedName name="BExZNP7916CH3QP4VCZEULUIKKS5" localSheetId="19" hidden="1">#REF!</definedName>
    <definedName name="BExZNP7916CH3QP4VCZEULUIKKS5" hidden="1">#REF!</definedName>
    <definedName name="BExZNV707LIU6Z5H6QI6H67LHTI1" localSheetId="8" hidden="1">#REF!</definedName>
    <definedName name="BExZNV707LIU6Z5H6QI6H67LHTI1" localSheetId="19" hidden="1">#REF!</definedName>
    <definedName name="BExZNV707LIU6Z5H6QI6H67LHTI1" hidden="1">#REF!</definedName>
    <definedName name="BExZNVCBKB930QQ9QW7KSGOZ0V1M" localSheetId="8" hidden="1">#REF!</definedName>
    <definedName name="BExZNVCBKB930QQ9QW7KSGOZ0V1M" localSheetId="19" hidden="1">#REF!</definedName>
    <definedName name="BExZNVCBKB930QQ9QW7KSGOZ0V1M" hidden="1">#REF!</definedName>
    <definedName name="BExZNW8QJ18X0RSGFDWAE9ZSDX39" localSheetId="8" hidden="1">#REF!</definedName>
    <definedName name="BExZNW8QJ18X0RSGFDWAE9ZSDX39" localSheetId="19" hidden="1">#REF!</definedName>
    <definedName name="BExZNW8QJ18X0RSGFDWAE9ZSDX39" hidden="1">#REF!</definedName>
    <definedName name="BExZNZDWRS6Q40L8OCWFEIVI0A1O" localSheetId="8" hidden="1">#REF!</definedName>
    <definedName name="BExZNZDWRS6Q40L8OCWFEIVI0A1O" localSheetId="19" hidden="1">#REF!</definedName>
    <definedName name="BExZNZDWRS6Q40L8OCWFEIVI0A1O" hidden="1">#REF!</definedName>
    <definedName name="BExZOBO9NYLGVJQ31LVQ9XS2ZT4N" localSheetId="8" hidden="1">#REF!</definedName>
    <definedName name="BExZOBO9NYLGVJQ31LVQ9XS2ZT4N" localSheetId="19" hidden="1">#REF!</definedName>
    <definedName name="BExZOBO9NYLGVJQ31LVQ9XS2ZT4N" hidden="1">#REF!</definedName>
    <definedName name="BExZOETNB1CJ3Y2RKLI1ZK0S8Z6H" localSheetId="8" hidden="1">#REF!</definedName>
    <definedName name="BExZOETNB1CJ3Y2RKLI1ZK0S8Z6H" localSheetId="19" hidden="1">#REF!</definedName>
    <definedName name="BExZOETNB1CJ3Y2RKLI1ZK0S8Z6H" hidden="1">#REF!</definedName>
    <definedName name="BExZOREMVSK4E5VSWM838KHUB8AI" localSheetId="8" hidden="1">#REF!</definedName>
    <definedName name="BExZOREMVSK4E5VSWM838KHUB8AI" localSheetId="19" hidden="1">#REF!</definedName>
    <definedName name="BExZOREMVSK4E5VSWM838KHUB8AI" hidden="1">#REF!</definedName>
    <definedName name="BExZOVR745T5P1KS9NV2PXZPZVRG" localSheetId="8" hidden="1">#REF!</definedName>
    <definedName name="BExZOVR745T5P1KS9NV2PXZPZVRG" localSheetId="19" hidden="1">#REF!</definedName>
    <definedName name="BExZOVR745T5P1KS9NV2PXZPZVRG" hidden="1">#REF!</definedName>
    <definedName name="BExZOZSWGLSY2XYVRIS6VSNJDSGD" localSheetId="8" hidden="1">#REF!</definedName>
    <definedName name="BExZOZSWGLSY2XYVRIS6VSNJDSGD" localSheetId="19" hidden="1">#REF!</definedName>
    <definedName name="BExZOZSWGLSY2XYVRIS6VSNJDSGD" hidden="1">#REF!</definedName>
    <definedName name="BExZP7AIJKLM6C6CSUIIFAHFBNX2" localSheetId="8" hidden="1">#REF!</definedName>
    <definedName name="BExZP7AIJKLM6C6CSUIIFAHFBNX2" localSheetId="19" hidden="1">#REF!</definedName>
    <definedName name="BExZP7AIJKLM6C6CSUIIFAHFBNX2" hidden="1">#REF!</definedName>
    <definedName name="BExZPALCPOH27L4MUPX2RFT3F8OM" localSheetId="8" hidden="1">#REF!</definedName>
    <definedName name="BExZPALCPOH27L4MUPX2RFT3F8OM" localSheetId="19" hidden="1">#REF!</definedName>
    <definedName name="BExZPALCPOH27L4MUPX2RFT3F8OM" hidden="1">#REF!</definedName>
    <definedName name="BExZPQ0XY507N8FJMVPKCTK8HC9H" localSheetId="8" hidden="1">#REF!</definedName>
    <definedName name="BExZPQ0XY507N8FJMVPKCTK8HC9H" localSheetId="19" hidden="1">#REF!</definedName>
    <definedName name="BExZPQ0XY507N8FJMVPKCTK8HC9H" hidden="1">#REF!</definedName>
    <definedName name="BExZPXTHEWEN48J9E5ARSA8IGRBI" localSheetId="8" hidden="1">#REF!</definedName>
    <definedName name="BExZPXTHEWEN48J9E5ARSA8IGRBI" localSheetId="19" hidden="1">#REF!</definedName>
    <definedName name="BExZPXTHEWEN48J9E5ARSA8IGRBI" hidden="1">#REF!</definedName>
    <definedName name="BExZQ37OVBR25U32CO2YYVPZOMR5" localSheetId="8" hidden="1">#REF!</definedName>
    <definedName name="BExZQ37OVBR25U32CO2YYVPZOMR5" localSheetId="19" hidden="1">#REF!</definedName>
    <definedName name="BExZQ37OVBR25U32CO2YYVPZOMR5" hidden="1">#REF!</definedName>
    <definedName name="BExZQ3NT7H06VO0AR48WHZULZB93" localSheetId="8" hidden="1">#REF!</definedName>
    <definedName name="BExZQ3NT7H06VO0AR48WHZULZB93" localSheetId="19" hidden="1">#REF!</definedName>
    <definedName name="BExZQ3NT7H06VO0AR48WHZULZB93" hidden="1">#REF!</definedName>
    <definedName name="BExZQ5RCYU1R0DUT1MFN99S1C408" localSheetId="8" hidden="1">#REF!</definedName>
    <definedName name="BExZQ5RCYU1R0DUT1MFN99S1C408" localSheetId="19" hidden="1">#REF!</definedName>
    <definedName name="BExZQ5RCYU1R0DUT1MFN99S1C408" hidden="1">#REF!</definedName>
    <definedName name="BExZQ7PJU07SEJMDX18U9YVDC2GU" localSheetId="8" hidden="1">#REF!</definedName>
    <definedName name="BExZQ7PJU07SEJMDX18U9YVDC2GU" localSheetId="19" hidden="1">#REF!</definedName>
    <definedName name="BExZQ7PJU07SEJMDX18U9YVDC2GU" hidden="1">#REF!</definedName>
    <definedName name="BExZQAJXQ5IJ5RB71EDSPGTRO5HC" localSheetId="8" hidden="1">#REF!</definedName>
    <definedName name="BExZQAJXQ5IJ5RB71EDSPGTRO5HC" localSheetId="19" hidden="1">#REF!</definedName>
    <definedName name="BExZQAJXQ5IJ5RB71EDSPGTRO5HC" hidden="1">#REF!</definedName>
    <definedName name="BExZQBLTKPF3O4MCH6L4LE544FQB" localSheetId="8" hidden="1">#REF!</definedName>
    <definedName name="BExZQBLTKPF3O4MCH6L4LE544FQB" localSheetId="19" hidden="1">#REF!</definedName>
    <definedName name="BExZQBLTKPF3O4MCH6L4LE544FQB" hidden="1">#REF!</definedName>
    <definedName name="BExZQIHTGHK7OOI2Y2PN3JYBY82I" localSheetId="8" hidden="1">#REF!</definedName>
    <definedName name="BExZQIHTGHK7OOI2Y2PN3JYBY82I" localSheetId="19" hidden="1">#REF!</definedName>
    <definedName name="BExZQIHTGHK7OOI2Y2PN3JYBY82I" hidden="1">#REF!</definedName>
    <definedName name="BExZQJJMGU5MHQOILGXGJPAQI5XI" localSheetId="8" hidden="1">#REF!</definedName>
    <definedName name="BExZQJJMGU5MHQOILGXGJPAQI5XI" localSheetId="19" hidden="1">#REF!</definedName>
    <definedName name="BExZQJJMGU5MHQOILGXGJPAQI5XI" hidden="1">#REF!</definedName>
    <definedName name="BExZQL1M2EX5YEQBMNQKVD747N3I" localSheetId="8" hidden="1">#REF!</definedName>
    <definedName name="BExZQL1M2EX5YEQBMNQKVD747N3I" localSheetId="19" hidden="1">#REF!</definedName>
    <definedName name="BExZQL1M2EX5YEQBMNQKVD747N3I" hidden="1">#REF!</definedName>
    <definedName name="BExZQPDYUBJL0C1OME996KHU23N5" localSheetId="8" hidden="1">#REF!</definedName>
    <definedName name="BExZQPDYUBJL0C1OME996KHU23N5" localSheetId="19" hidden="1">#REF!</definedName>
    <definedName name="BExZQPDYUBJL0C1OME996KHU23N5" hidden="1">#REF!</definedName>
    <definedName name="BExZQXBYEBN28QUH1KOVW6KKA5UM" localSheetId="8" hidden="1">#REF!</definedName>
    <definedName name="BExZQXBYEBN28QUH1KOVW6KKA5UM" localSheetId="19" hidden="1">#REF!</definedName>
    <definedName name="BExZQXBYEBN28QUH1KOVW6KKA5UM" hidden="1">#REF!</definedName>
    <definedName name="BExZQZKT146WEN8FTVZ7Y5TSB8L5" localSheetId="8" hidden="1">#REF!</definedName>
    <definedName name="BExZQZKT146WEN8FTVZ7Y5TSB8L5" localSheetId="19" hidden="1">#REF!</definedName>
    <definedName name="BExZQZKT146WEN8FTVZ7Y5TSB8L5" hidden="1">#REF!</definedName>
    <definedName name="BExZR485AKBH93YZ08CMUC3WROED" localSheetId="8" hidden="1">#REF!</definedName>
    <definedName name="BExZR485AKBH93YZ08CMUC3WROED" localSheetId="19" hidden="1">#REF!</definedName>
    <definedName name="BExZR485AKBH93YZ08CMUC3WROED" hidden="1">#REF!</definedName>
    <definedName name="BExZR7TL98P2PPUVGIZYR5873DWW" localSheetId="8" hidden="1">#REF!</definedName>
    <definedName name="BExZR7TL98P2PPUVGIZYR5873DWW" localSheetId="19" hidden="1">#REF!</definedName>
    <definedName name="BExZR7TL98P2PPUVGIZYR5873DWW" hidden="1">#REF!</definedName>
    <definedName name="BExZRAYSYOXAM1PBW1EF6YAZ9RU3" localSheetId="8" hidden="1">#REF!</definedName>
    <definedName name="BExZRAYSYOXAM1PBW1EF6YAZ9RU3" localSheetId="19" hidden="1">#REF!</definedName>
    <definedName name="BExZRAYSYOXAM1PBW1EF6YAZ9RU3" hidden="1">#REF!</definedName>
    <definedName name="BExZRGD1603X5ACFALUUDKCD7X48" localSheetId="8" hidden="1">#REF!</definedName>
    <definedName name="BExZRGD1603X5ACFALUUDKCD7X48" localSheetId="19" hidden="1">#REF!</definedName>
    <definedName name="BExZRGD1603X5ACFALUUDKCD7X48" hidden="1">#REF!</definedName>
    <definedName name="BExZRMSYHFOP8FFWKKUSBHU85J81" localSheetId="8" hidden="1">#REF!</definedName>
    <definedName name="BExZRMSYHFOP8FFWKKUSBHU85J81" localSheetId="19" hidden="1">#REF!</definedName>
    <definedName name="BExZRMSYHFOP8FFWKKUSBHU85J81" hidden="1">#REF!</definedName>
    <definedName name="BExZRP1X6UVLN1UOLHH5VF4STP1O" localSheetId="8" hidden="1">#REF!</definedName>
    <definedName name="BExZRP1X6UVLN1UOLHH5VF4STP1O" localSheetId="19" hidden="1">#REF!</definedName>
    <definedName name="BExZRP1X6UVLN1UOLHH5VF4STP1O" hidden="1">#REF!</definedName>
    <definedName name="BExZRQ930U6OCYNV00CH5I0Q4LPE" localSheetId="8" hidden="1">#REF!</definedName>
    <definedName name="BExZRQ930U6OCYNV00CH5I0Q4LPE" localSheetId="19" hidden="1">#REF!</definedName>
    <definedName name="BExZRQ930U6OCYNV00CH5I0Q4LPE" hidden="1">#REF!</definedName>
    <definedName name="BExZRQP7JLKS45QOGATXS7MK5GUZ" localSheetId="8" hidden="1">#REF!</definedName>
    <definedName name="BExZRQP7JLKS45QOGATXS7MK5GUZ" localSheetId="19" hidden="1">#REF!</definedName>
    <definedName name="BExZRQP7JLKS45QOGATXS7MK5GUZ" hidden="1">#REF!</definedName>
    <definedName name="BExZRW8W514W8OZ72YBONYJ64GXF" localSheetId="8" hidden="1">#REF!</definedName>
    <definedName name="BExZRW8W514W8OZ72YBONYJ64GXF" localSheetId="19" hidden="1">#REF!</definedName>
    <definedName name="BExZRW8W514W8OZ72YBONYJ64GXF" hidden="1">#REF!</definedName>
    <definedName name="BExZRWJP2BUVFJPO8U8ATQEP0LZU" localSheetId="8" hidden="1">#REF!</definedName>
    <definedName name="BExZRWJP2BUVFJPO8U8ATQEP0LZU" localSheetId="19" hidden="1">#REF!</definedName>
    <definedName name="BExZRWJP2BUVFJPO8U8ATQEP0LZU" hidden="1">#REF!</definedName>
    <definedName name="BExZSI9USDLZAN8LI8M4YYQL24GZ" localSheetId="8" hidden="1">#REF!</definedName>
    <definedName name="BExZSI9USDLZAN8LI8M4YYQL24GZ" localSheetId="19" hidden="1">#REF!</definedName>
    <definedName name="BExZSI9USDLZAN8LI8M4YYQL24GZ" hidden="1">#REF!</definedName>
    <definedName name="BExZSLKO175YAM0RMMZH1FPXL4V2" localSheetId="8" hidden="1">#REF!</definedName>
    <definedName name="BExZSLKO175YAM0RMMZH1FPXL4V2" localSheetId="19" hidden="1">#REF!</definedName>
    <definedName name="BExZSLKO175YAM0RMMZH1FPXL4V2" hidden="1">#REF!</definedName>
    <definedName name="BExZSS0LA2JY4ZLJ1Z5YCMLJJZCH" localSheetId="8" hidden="1">#REF!</definedName>
    <definedName name="BExZSS0LA2JY4ZLJ1Z5YCMLJJZCH" localSheetId="19" hidden="1">#REF!</definedName>
    <definedName name="BExZSS0LA2JY4ZLJ1Z5YCMLJJZCH" hidden="1">#REF!</definedName>
    <definedName name="BExZSTNUWCRNCL22SMKXKFSLCJ0O" localSheetId="8" hidden="1">#REF!</definedName>
    <definedName name="BExZSTNUWCRNCL22SMKXKFSLCJ0O" localSheetId="19" hidden="1">#REF!</definedName>
    <definedName name="BExZSTNUWCRNCL22SMKXKFSLCJ0O" hidden="1">#REF!</definedName>
    <definedName name="BExZSYRA4NR7K6RLC3I81QSG5SQR" localSheetId="8" hidden="1">#REF!</definedName>
    <definedName name="BExZSYRA4NR7K6RLC3I81QSG5SQR" localSheetId="19" hidden="1">#REF!</definedName>
    <definedName name="BExZSYRA4NR7K6RLC3I81QSG5SQR" hidden="1">#REF!</definedName>
    <definedName name="BExZT6JSZ8CBS0SB3T07N3LMAX7M" localSheetId="8" hidden="1">#REF!</definedName>
    <definedName name="BExZT6JSZ8CBS0SB3T07N3LMAX7M" localSheetId="19" hidden="1">#REF!</definedName>
    <definedName name="BExZT6JSZ8CBS0SB3T07N3LMAX7M" hidden="1">#REF!</definedName>
    <definedName name="BExZTAQV2QVSZY5Y3VCCWUBSBW9P" localSheetId="8" hidden="1">#REF!</definedName>
    <definedName name="BExZTAQV2QVSZY5Y3VCCWUBSBW9P" localSheetId="19" hidden="1">#REF!</definedName>
    <definedName name="BExZTAQV2QVSZY5Y3VCCWUBSBW9P" hidden="1">#REF!</definedName>
    <definedName name="BExZTHSI2FX56PWRSNX9H5EWTZFO" localSheetId="8" hidden="1">#REF!</definedName>
    <definedName name="BExZTHSI2FX56PWRSNX9H5EWTZFO" localSheetId="19" hidden="1">#REF!</definedName>
    <definedName name="BExZTHSI2FX56PWRSNX9H5EWTZFO" hidden="1">#REF!</definedName>
    <definedName name="BExZTJL3HVBFY139H6CJHEQCT1EL" localSheetId="8" hidden="1">#REF!</definedName>
    <definedName name="BExZTJL3HVBFY139H6CJHEQCT1EL" localSheetId="19" hidden="1">#REF!</definedName>
    <definedName name="BExZTJL3HVBFY139H6CJHEQCT1EL" hidden="1">#REF!</definedName>
    <definedName name="BExZTLOL8OPABZI453E0KVNA1GJS" localSheetId="8" hidden="1">#REF!</definedName>
    <definedName name="BExZTLOL8OPABZI453E0KVNA1GJS" localSheetId="19" hidden="1">#REF!</definedName>
    <definedName name="BExZTLOL8OPABZI453E0KVNA1GJS" hidden="1">#REF!</definedName>
    <definedName name="BExZTOTZ9F2ZI18DZM8GW39VDF1N" localSheetId="8" hidden="1">#REF!</definedName>
    <definedName name="BExZTOTZ9F2ZI18DZM8GW39VDF1N" localSheetId="19" hidden="1">#REF!</definedName>
    <definedName name="BExZTOTZ9F2ZI18DZM8GW39VDF1N" hidden="1">#REF!</definedName>
    <definedName name="BExZTT6J3X0TOX0ZY6YPLUVMCW9X" localSheetId="8" hidden="1">#REF!</definedName>
    <definedName name="BExZTT6J3X0TOX0ZY6YPLUVMCW9X" localSheetId="19" hidden="1">#REF!</definedName>
    <definedName name="BExZTT6J3X0TOX0ZY6YPLUVMCW9X" hidden="1">#REF!</definedName>
    <definedName name="BExZTW6ECBRA0BBITWBQ8R93RMCL" localSheetId="8" hidden="1">#REF!</definedName>
    <definedName name="BExZTW6ECBRA0BBITWBQ8R93RMCL" localSheetId="19" hidden="1">#REF!</definedName>
    <definedName name="BExZTW6ECBRA0BBITWBQ8R93RMCL" hidden="1">#REF!</definedName>
    <definedName name="BExZU2BHYAOKSCBM3C5014ZF6IXS" localSheetId="8" hidden="1">#REF!</definedName>
    <definedName name="BExZU2BHYAOKSCBM3C5014ZF6IXS" localSheetId="19" hidden="1">#REF!</definedName>
    <definedName name="BExZU2BHYAOKSCBM3C5014ZF6IXS" hidden="1">#REF!</definedName>
    <definedName name="BExZU2RMJTXOCS0ROPMYPE6WTD87" localSheetId="8" hidden="1">#REF!</definedName>
    <definedName name="BExZU2RMJTXOCS0ROPMYPE6WTD87" localSheetId="19" hidden="1">#REF!</definedName>
    <definedName name="BExZU2RMJTXOCS0ROPMYPE6WTD87" hidden="1">#REF!</definedName>
    <definedName name="BExZUBRAHA9DNEGONEZEB2TDVFC2" localSheetId="8" hidden="1">#REF!</definedName>
    <definedName name="BExZUBRAHA9DNEGONEZEB2TDVFC2" localSheetId="19" hidden="1">#REF!</definedName>
    <definedName name="BExZUBRAHA9DNEGONEZEB2TDVFC2" hidden="1">#REF!</definedName>
    <definedName name="BExZUF7G8FENTJKH9R1XUWXM6CWD" localSheetId="8" hidden="1">#REF!</definedName>
    <definedName name="BExZUF7G8FENTJKH9R1XUWXM6CWD" localSheetId="19" hidden="1">#REF!</definedName>
    <definedName name="BExZUF7G8FENTJKH9R1XUWXM6CWD" hidden="1">#REF!</definedName>
    <definedName name="BExZUNARUJBIZ08VCAV3GEVBIR3D" localSheetId="8" hidden="1">#REF!</definedName>
    <definedName name="BExZUNARUJBIZ08VCAV3GEVBIR3D" localSheetId="19" hidden="1">#REF!</definedName>
    <definedName name="BExZUNARUJBIZ08VCAV3GEVBIR3D" hidden="1">#REF!</definedName>
    <definedName name="BExZUSZT5496UMBP4LFSLTR1GVEW" localSheetId="8" hidden="1">#REF!</definedName>
    <definedName name="BExZUSZT5496UMBP4LFSLTR1GVEW" localSheetId="19" hidden="1">#REF!</definedName>
    <definedName name="BExZUSZT5496UMBP4LFSLTR1GVEW" hidden="1">#REF!</definedName>
    <definedName name="BExZUT54340I38GVCV79EL116WR0" localSheetId="8" hidden="1">#REF!</definedName>
    <definedName name="BExZUT54340I38GVCV79EL116WR0" localSheetId="19" hidden="1">#REF!</definedName>
    <definedName name="BExZUT54340I38GVCV79EL116WR0" hidden="1">#REF!</definedName>
    <definedName name="BExZUXC66MK2SXPXCLD8ZSU0BMTY" localSheetId="8" hidden="1">#REF!</definedName>
    <definedName name="BExZUXC66MK2SXPXCLD8ZSU0BMTY" localSheetId="19" hidden="1">#REF!</definedName>
    <definedName name="BExZUXC66MK2SXPXCLD8ZSU0BMTY" hidden="1">#REF!</definedName>
    <definedName name="BExZUYDULCX65H9OZ9JHPBNKF3MI" localSheetId="8" hidden="1">#REF!</definedName>
    <definedName name="BExZUYDULCX65H9OZ9JHPBNKF3MI" localSheetId="19" hidden="1">#REF!</definedName>
    <definedName name="BExZUYDULCX65H9OZ9JHPBNKF3MI" hidden="1">#REF!</definedName>
    <definedName name="BExZV2QD5ZDK3AGDRULLA7JB46C3" localSheetId="8" hidden="1">#REF!</definedName>
    <definedName name="BExZV2QD5ZDK3AGDRULLA7JB46C3" localSheetId="19" hidden="1">#REF!</definedName>
    <definedName name="BExZV2QD5ZDK3AGDRULLA7JB46C3" hidden="1">#REF!</definedName>
    <definedName name="BExZVBQ29OM0V8XAL3HL0JIM0MMU" localSheetId="8" hidden="1">#REF!</definedName>
    <definedName name="BExZVBQ29OM0V8XAL3HL0JIM0MMU" localSheetId="19" hidden="1">#REF!</definedName>
    <definedName name="BExZVBQ29OM0V8XAL3HL0JIM0MMU" hidden="1">#REF!</definedName>
    <definedName name="BExZVKV2XCPCINW1KP8Q1FI6KDNG" localSheetId="8" hidden="1">#REF!</definedName>
    <definedName name="BExZVKV2XCPCINW1KP8Q1FI6KDNG" localSheetId="19" hidden="1">#REF!</definedName>
    <definedName name="BExZVKV2XCPCINW1KP8Q1FI6KDNG" hidden="1">#REF!</definedName>
    <definedName name="BExZVLM4T9ORS4ZWHME46U4Q103C" localSheetId="8" hidden="1">#REF!</definedName>
    <definedName name="BExZVLM4T9ORS4ZWHME46U4Q103C" localSheetId="19" hidden="1">#REF!</definedName>
    <definedName name="BExZVLM4T9ORS4ZWHME46U4Q103C" hidden="1">#REF!</definedName>
    <definedName name="BExZVM7OZWPPRH5YQW50EYMMIW1A" localSheetId="8" hidden="1">#REF!</definedName>
    <definedName name="BExZVM7OZWPPRH5YQW50EYMMIW1A" localSheetId="19" hidden="1">#REF!</definedName>
    <definedName name="BExZVM7OZWPPRH5YQW50EYMMIW1A" hidden="1">#REF!</definedName>
    <definedName name="BExZVMYK7BAH6AGIAEXBE1NXDZ5Z" localSheetId="8" hidden="1">#REF!</definedName>
    <definedName name="BExZVMYK7BAH6AGIAEXBE1NXDZ5Z" localSheetId="19" hidden="1">#REF!</definedName>
    <definedName name="BExZVMYK7BAH6AGIAEXBE1NXDZ5Z" hidden="1">#REF!</definedName>
    <definedName name="BExZVPYGX2C5OSHMZ6F0KBKZ6B1S" localSheetId="8" hidden="1">#REF!</definedName>
    <definedName name="BExZVPYGX2C5OSHMZ6F0KBKZ6B1S" localSheetId="19" hidden="1">#REF!</definedName>
    <definedName name="BExZVPYGX2C5OSHMZ6F0KBKZ6B1S" hidden="1">#REF!</definedName>
    <definedName name="BExZW3LHTS7PFBNTYM95N8J5AFYQ" localSheetId="8" hidden="1">#REF!</definedName>
    <definedName name="BExZW3LHTS7PFBNTYM95N8J5AFYQ" localSheetId="19" hidden="1">#REF!</definedName>
    <definedName name="BExZW3LHTS7PFBNTYM95N8J5AFYQ" hidden="1">#REF!</definedName>
    <definedName name="BExZW472V5ADKCFHIKAJ6D4R8MU4" localSheetId="8" hidden="1">#REF!</definedName>
    <definedName name="BExZW472V5ADKCFHIKAJ6D4R8MU4" localSheetId="19" hidden="1">#REF!</definedName>
    <definedName name="BExZW472V5ADKCFHIKAJ6D4R8MU4" hidden="1">#REF!</definedName>
    <definedName name="BExZW5UARC8W9AQNLJX2I5WQWS5F" localSheetId="8" hidden="1">#REF!</definedName>
    <definedName name="BExZW5UARC8W9AQNLJX2I5WQWS5F" localSheetId="19" hidden="1">#REF!</definedName>
    <definedName name="BExZW5UARC8W9AQNLJX2I5WQWS5F" hidden="1">#REF!</definedName>
    <definedName name="BExZW7HRGN6A9YS41KI2B2UUMJ7X" localSheetId="8" hidden="1">#REF!</definedName>
    <definedName name="BExZW7HRGN6A9YS41KI2B2UUMJ7X" localSheetId="19" hidden="1">#REF!</definedName>
    <definedName name="BExZW7HRGN6A9YS41KI2B2UUMJ7X" hidden="1">#REF!</definedName>
    <definedName name="BExZW8ZPNV43UXGOT98FDNIBQHZY" localSheetId="8" hidden="1">#REF!</definedName>
    <definedName name="BExZW8ZPNV43UXGOT98FDNIBQHZY" localSheetId="19" hidden="1">#REF!</definedName>
    <definedName name="BExZW8ZPNV43UXGOT98FDNIBQHZY" hidden="1">#REF!</definedName>
    <definedName name="BExZWKZ5N3RDXU8MZ8HQVYYD8O0F" localSheetId="8" hidden="1">#REF!</definedName>
    <definedName name="BExZWKZ5N3RDXU8MZ8HQVYYD8O0F" localSheetId="19" hidden="1">#REF!</definedName>
    <definedName name="BExZWKZ5N3RDXU8MZ8HQVYYD8O0F" hidden="1">#REF!</definedName>
    <definedName name="BExZWMBRUCPO6F4QT5FNX8JRFL7V" localSheetId="8" hidden="1">#REF!</definedName>
    <definedName name="BExZWMBRUCPO6F4QT5FNX8JRFL7V" localSheetId="19" hidden="1">#REF!</definedName>
    <definedName name="BExZWMBRUCPO6F4QT5FNX8JRFL7V" hidden="1">#REF!</definedName>
    <definedName name="BExZWQO5171HT1OZ6D6JZBHEW4JG" localSheetId="8" hidden="1">#REF!</definedName>
    <definedName name="BExZWQO5171HT1OZ6D6JZBHEW4JG" localSheetId="19" hidden="1">#REF!</definedName>
    <definedName name="BExZWQO5171HT1OZ6D6JZBHEW4JG" hidden="1">#REF!</definedName>
    <definedName name="BExZWSMC9T48W74GFGQCIUJ8ZPP3" localSheetId="8" hidden="1">#REF!</definedName>
    <definedName name="BExZWSMC9T48W74GFGQCIUJ8ZPP3" localSheetId="19" hidden="1">#REF!</definedName>
    <definedName name="BExZWSMC9T48W74GFGQCIUJ8ZPP3" hidden="1">#REF!</definedName>
    <definedName name="BExZWUF2V4HY3HI8JN9ZVPRWK1H3" localSheetId="8" hidden="1">#REF!</definedName>
    <definedName name="BExZWUF2V4HY3HI8JN9ZVPRWK1H3" localSheetId="19" hidden="1">#REF!</definedName>
    <definedName name="BExZWUF2V4HY3HI8JN9ZVPRWK1H3" hidden="1">#REF!</definedName>
    <definedName name="BExZWX45URTK9KYDJHEXL1OTZ833" localSheetId="8" hidden="1">#REF!</definedName>
    <definedName name="BExZWX45URTK9KYDJHEXL1OTZ833" localSheetId="19" hidden="1">#REF!</definedName>
    <definedName name="BExZWX45URTK9KYDJHEXL1OTZ833" hidden="1">#REF!</definedName>
    <definedName name="BExZX0EWQEZO86WDAD9A4EAEZ012" localSheetId="8" hidden="1">#REF!</definedName>
    <definedName name="BExZX0EWQEZO86WDAD9A4EAEZ012" localSheetId="19" hidden="1">#REF!</definedName>
    <definedName name="BExZX0EWQEZO86WDAD9A4EAEZ012" hidden="1">#REF!</definedName>
    <definedName name="BExZX2T6ZT2DZLYSDJJBPVIT5OK2" localSheetId="8" hidden="1">#REF!</definedName>
    <definedName name="BExZX2T6ZT2DZLYSDJJBPVIT5OK2" localSheetId="19" hidden="1">#REF!</definedName>
    <definedName name="BExZX2T6ZT2DZLYSDJJBPVIT5OK2" hidden="1">#REF!</definedName>
    <definedName name="BExZXOJDELULNLEH7WG0OYJT0NJ4" localSheetId="8" hidden="1">#REF!</definedName>
    <definedName name="BExZXOJDELULNLEH7WG0OYJT0NJ4" localSheetId="19" hidden="1">#REF!</definedName>
    <definedName name="BExZXOJDELULNLEH7WG0OYJT0NJ4" hidden="1">#REF!</definedName>
    <definedName name="BExZXOOTRNUK8LGEAZ8ZCFW9KXQ1" localSheetId="8" hidden="1">#REF!</definedName>
    <definedName name="BExZXOOTRNUK8LGEAZ8ZCFW9KXQ1" localSheetId="19" hidden="1">#REF!</definedName>
    <definedName name="BExZXOOTRNUK8LGEAZ8ZCFW9KXQ1" hidden="1">#REF!</definedName>
    <definedName name="BExZXT6JOXNKEDU23DKL8XZAJZIH" localSheetId="8" hidden="1">#REF!</definedName>
    <definedName name="BExZXT6JOXNKEDU23DKL8XZAJZIH" localSheetId="19" hidden="1">#REF!</definedName>
    <definedName name="BExZXT6JOXNKEDU23DKL8XZAJZIH" hidden="1">#REF!</definedName>
    <definedName name="BExZXUTYW1HWEEZ1LIX4OQWC7HL1" localSheetId="8" hidden="1">#REF!</definedName>
    <definedName name="BExZXUTYW1HWEEZ1LIX4OQWC7HL1" localSheetId="19" hidden="1">#REF!</definedName>
    <definedName name="BExZXUTYW1HWEEZ1LIX4OQWC7HL1" hidden="1">#REF!</definedName>
    <definedName name="BExZXY4NKQL9QD76YMQJ15U1C2G8" localSheetId="8" hidden="1">#REF!</definedName>
    <definedName name="BExZXY4NKQL9QD76YMQJ15U1C2G8" localSheetId="19" hidden="1">#REF!</definedName>
    <definedName name="BExZXY4NKQL9QD76YMQJ15U1C2G8" hidden="1">#REF!</definedName>
    <definedName name="BExZXYQ7U5G08FQGUIGYT14QCBOF" localSheetId="8" hidden="1">#REF!</definedName>
    <definedName name="BExZXYQ7U5G08FQGUIGYT14QCBOF" localSheetId="19" hidden="1">#REF!</definedName>
    <definedName name="BExZXYQ7U5G08FQGUIGYT14QCBOF" hidden="1">#REF!</definedName>
    <definedName name="BExZY02V77YJBMODJSWZOYCMPS5X" localSheetId="8" hidden="1">#REF!</definedName>
    <definedName name="BExZY02V77YJBMODJSWZOYCMPS5X" localSheetId="19" hidden="1">#REF!</definedName>
    <definedName name="BExZY02V77YJBMODJSWZOYCMPS5X" hidden="1">#REF!</definedName>
    <definedName name="BExZY3DEOYNIHRV56IY5LJXZK8RU" localSheetId="8" hidden="1">#REF!</definedName>
    <definedName name="BExZY3DEOYNIHRV56IY5LJXZK8RU" localSheetId="19" hidden="1">#REF!</definedName>
    <definedName name="BExZY3DEOYNIHRV56IY5LJXZK8RU" hidden="1">#REF!</definedName>
    <definedName name="BExZY49QRZIR6CA41LFA9LM6EULU" localSheetId="8" hidden="1">#REF!</definedName>
    <definedName name="BExZY49QRZIR6CA41LFA9LM6EULU" localSheetId="19" hidden="1">#REF!</definedName>
    <definedName name="BExZY49QRZIR6CA41LFA9LM6EULU" hidden="1">#REF!</definedName>
    <definedName name="BExZYTG2G7W27YATTETFDDCZ0C4U" localSheetId="8" hidden="1">#REF!</definedName>
    <definedName name="BExZYTG2G7W27YATTETFDDCZ0C4U" localSheetId="19" hidden="1">#REF!</definedName>
    <definedName name="BExZYTG2G7W27YATTETFDDCZ0C4U" hidden="1">#REF!</definedName>
    <definedName name="BExZYYOZMC36ROQDWLR5Z17WKHCR" localSheetId="8" hidden="1">#REF!</definedName>
    <definedName name="BExZYYOZMC36ROQDWLR5Z17WKHCR" localSheetId="19" hidden="1">#REF!</definedName>
    <definedName name="BExZYYOZMC36ROQDWLR5Z17WKHCR" hidden="1">#REF!</definedName>
    <definedName name="BExZZ2FQA9A8C7CJKMEFQ9VPSLCE" localSheetId="8" hidden="1">#REF!</definedName>
    <definedName name="BExZZ2FQA9A8C7CJKMEFQ9VPSLCE" localSheetId="19" hidden="1">#REF!</definedName>
    <definedName name="BExZZ2FQA9A8C7CJKMEFQ9VPSLCE" hidden="1">#REF!</definedName>
    <definedName name="BExZZ7ZGXIMA3OVYAWY3YQSK64LF" localSheetId="8" hidden="1">#REF!</definedName>
    <definedName name="BExZZ7ZGXIMA3OVYAWY3YQSK64LF" localSheetId="19" hidden="1">#REF!</definedName>
    <definedName name="BExZZ7ZGXIMA3OVYAWY3YQSK64LF" hidden="1">#REF!</definedName>
    <definedName name="BExZZ8FKEIFG203MU6SEJ69MINCD" localSheetId="8" hidden="1">#REF!</definedName>
    <definedName name="BExZZ8FKEIFG203MU6SEJ69MINCD" localSheetId="19" hidden="1">#REF!</definedName>
    <definedName name="BExZZ8FKEIFG203MU6SEJ69MINCD" hidden="1">#REF!</definedName>
    <definedName name="BExZZCHAVHW8C2H649KRGVQ0WVRT" localSheetId="8" hidden="1">#REF!</definedName>
    <definedName name="BExZZCHAVHW8C2H649KRGVQ0WVRT" localSheetId="19" hidden="1">#REF!</definedName>
    <definedName name="BExZZCHAVHW8C2H649KRGVQ0WVRT" hidden="1">#REF!</definedName>
    <definedName name="BExZZTK54OTLF2YB68BHGOS27GEN" localSheetId="8" hidden="1">#REF!</definedName>
    <definedName name="BExZZTK54OTLF2YB68BHGOS27GEN" localSheetId="19" hidden="1">#REF!</definedName>
    <definedName name="BExZZTK54OTLF2YB68BHGOS27GEN" hidden="1">#REF!</definedName>
    <definedName name="BExZZXB3JQQG4SIZS4MRU6NNW7HI" localSheetId="8" hidden="1">#REF!</definedName>
    <definedName name="BExZZXB3JQQG4SIZS4MRU6NNW7HI" localSheetId="19" hidden="1">#REF!</definedName>
    <definedName name="BExZZXB3JQQG4SIZS4MRU6NNW7HI" hidden="1">#REF!</definedName>
    <definedName name="BExZZZEMIIFKMLLV4DJKX5TB9R5V" localSheetId="8" hidden="1">#REF!</definedName>
    <definedName name="BExZZZEMIIFKMLLV4DJKX5TB9R5V" localSheetId="19" hidden="1">#REF!</definedName>
    <definedName name="BExZZZEMIIFKMLLV4DJKX5TB9R5V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8" hidden="1">#REF!</definedName>
    <definedName name="Transfer" localSheetId="19" hidden="1">#REF!</definedName>
    <definedName name="Transfer" hidden="1">#REF!</definedName>
    <definedName name="Transfers" localSheetId="8" hidden="1">#REF!</definedName>
    <definedName name="Transfers" localSheetId="19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52511"/>
</workbook>
</file>

<file path=xl/calcChain.xml><?xml version="1.0" encoding="utf-8"?>
<calcChain xmlns="http://schemas.openxmlformats.org/spreadsheetml/2006/main">
  <c r="D84" i="37" l="1"/>
  <c r="E84" i="37" l="1"/>
  <c r="O59" i="41"/>
  <c r="O27" i="41"/>
  <c r="U25" i="37"/>
  <c r="U26" i="37"/>
  <c r="U27" i="37"/>
  <c r="U28" i="37"/>
  <c r="U29" i="37"/>
  <c r="U30" i="37"/>
  <c r="U31" i="37"/>
  <c r="U32" i="37"/>
  <c r="U24" i="37"/>
  <c r="P23" i="24"/>
  <c r="K14" i="37"/>
  <c r="K13" i="37"/>
  <c r="J13" i="37"/>
  <c r="O45" i="37"/>
  <c r="N45" i="37"/>
  <c r="L46" i="37"/>
  <c r="L47" i="37"/>
  <c r="L48" i="37"/>
  <c r="L49" i="37"/>
  <c r="L50" i="37"/>
  <c r="L51" i="37"/>
  <c r="L52" i="37"/>
  <c r="L53" i="37"/>
  <c r="L54" i="37"/>
  <c r="L55" i="37"/>
  <c r="L56" i="37"/>
  <c r="L57" i="37"/>
  <c r="L45" i="37"/>
  <c r="D30" i="37"/>
  <c r="G9" i="37"/>
  <c r="E9" i="37"/>
  <c r="AM54" i="41" l="1"/>
  <c r="AA54" i="41"/>
  <c r="O54" i="41"/>
  <c r="AM22" i="41"/>
  <c r="AA22" i="41"/>
  <c r="O22" i="41"/>
  <c r="E69" i="37" l="1"/>
  <c r="E70" i="37"/>
  <c r="E73" i="37"/>
  <c r="E85" i="37" l="1"/>
  <c r="C85" i="37"/>
  <c r="B85" i="37"/>
  <c r="G73" i="37"/>
  <c r="M57" i="37"/>
  <c r="O57" i="37" s="1"/>
  <c r="N57" i="37"/>
  <c r="P57" i="37" s="1"/>
  <c r="O56" i="37"/>
  <c r="M56" i="37"/>
  <c r="N56" i="37"/>
  <c r="O55" i="37"/>
  <c r="M55" i="37"/>
  <c r="N55" i="37"/>
  <c r="M54" i="37"/>
  <c r="O54" i="37" s="1"/>
  <c r="N54" i="37"/>
  <c r="M53" i="37"/>
  <c r="O53" i="37" s="1"/>
  <c r="N53" i="37"/>
  <c r="N52" i="37"/>
  <c r="M52" i="37"/>
  <c r="O52" i="37" s="1"/>
  <c r="M51" i="37"/>
  <c r="D85" i="37" s="1"/>
  <c r="N51" i="37"/>
  <c r="M50" i="37"/>
  <c r="O50" i="37" s="1"/>
  <c r="N50" i="37"/>
  <c r="N49" i="37"/>
  <c r="M49" i="37"/>
  <c r="O49" i="37" s="1"/>
  <c r="M48" i="37"/>
  <c r="O48" i="37" s="1"/>
  <c r="N48" i="37"/>
  <c r="M47" i="37"/>
  <c r="O47" i="37" s="1"/>
  <c r="N47" i="37"/>
  <c r="M46" i="37"/>
  <c r="O46" i="37" s="1"/>
  <c r="N46" i="37"/>
  <c r="M45" i="37"/>
  <c r="P45" i="37" s="1"/>
  <c r="F41" i="37"/>
  <c r="E41" i="37"/>
  <c r="D41" i="37"/>
  <c r="C41" i="37"/>
  <c r="F39" i="37"/>
  <c r="E39" i="37"/>
  <c r="D39" i="37"/>
  <c r="C39" i="37"/>
  <c r="F37" i="37"/>
  <c r="E37" i="37"/>
  <c r="C37" i="37"/>
  <c r="G34" i="37"/>
  <c r="I34" i="37" s="1"/>
  <c r="O33" i="37"/>
  <c r="G33" i="37"/>
  <c r="AA32" i="37"/>
  <c r="T32" i="37"/>
  <c r="V32" i="37" s="1"/>
  <c r="Q32" i="37"/>
  <c r="S32" i="37" s="1"/>
  <c r="P32" i="37"/>
  <c r="G32" i="37"/>
  <c r="AA31" i="37"/>
  <c r="T31" i="37"/>
  <c r="V31" i="37" s="1"/>
  <c r="X31" i="37" s="1"/>
  <c r="Q31" i="37"/>
  <c r="S31" i="37" s="1"/>
  <c r="P31" i="37"/>
  <c r="G31" i="37"/>
  <c r="AA30" i="37"/>
  <c r="T30" i="37"/>
  <c r="V30" i="37" s="1"/>
  <c r="Q30" i="37"/>
  <c r="S30" i="37" s="1"/>
  <c r="P30" i="37"/>
  <c r="AA29" i="37"/>
  <c r="T29" i="37"/>
  <c r="V29" i="37" s="1"/>
  <c r="Q29" i="37"/>
  <c r="S29" i="37" s="1"/>
  <c r="P29" i="37"/>
  <c r="G29" i="37"/>
  <c r="AA28" i="37"/>
  <c r="T28" i="37"/>
  <c r="V28" i="37" s="1"/>
  <c r="Q28" i="37"/>
  <c r="S28" i="37" s="1"/>
  <c r="P28" i="37"/>
  <c r="G28" i="37"/>
  <c r="AA27" i="37"/>
  <c r="T27" i="37"/>
  <c r="V27" i="37" s="1"/>
  <c r="Q27" i="37"/>
  <c r="S27" i="37" s="1"/>
  <c r="P27" i="37"/>
  <c r="G27" i="37"/>
  <c r="AA26" i="37"/>
  <c r="T26" i="37"/>
  <c r="V26" i="37" s="1"/>
  <c r="X26" i="37" s="1"/>
  <c r="Q26" i="37"/>
  <c r="S26" i="37" s="1"/>
  <c r="P26" i="37"/>
  <c r="G26" i="37"/>
  <c r="AA25" i="37"/>
  <c r="T25" i="37"/>
  <c r="V25" i="37" s="1"/>
  <c r="Q25" i="37"/>
  <c r="S25" i="37" s="1"/>
  <c r="P25" i="37"/>
  <c r="G25" i="37"/>
  <c r="AA24" i="37"/>
  <c r="T24" i="37"/>
  <c r="Q24" i="37"/>
  <c r="P24" i="37"/>
  <c r="G24" i="37"/>
  <c r="AD23" i="37"/>
  <c r="AA23" i="37"/>
  <c r="Z23" i="37"/>
  <c r="X23" i="37"/>
  <c r="V23" i="37"/>
  <c r="T23" i="37"/>
  <c r="Q23" i="37"/>
  <c r="P23" i="37"/>
  <c r="O23" i="37"/>
  <c r="G21" i="37"/>
  <c r="F21" i="37"/>
  <c r="E21" i="37"/>
  <c r="C21" i="37"/>
  <c r="O35" i="24" s="1"/>
  <c r="G19" i="37"/>
  <c r="F19" i="37"/>
  <c r="E19" i="37"/>
  <c r="C19" i="37"/>
  <c r="F17" i="37"/>
  <c r="C17" i="37"/>
  <c r="H16" i="37"/>
  <c r="I16" i="37" s="1"/>
  <c r="I15" i="37"/>
  <c r="H15" i="37"/>
  <c r="I14" i="37"/>
  <c r="J14" i="37" s="1"/>
  <c r="H13" i="37"/>
  <c r="H12" i="37"/>
  <c r="I11" i="37"/>
  <c r="J11" i="37" s="1"/>
  <c r="H11" i="37"/>
  <c r="F70" i="37" s="1"/>
  <c r="H10" i="37"/>
  <c r="I69" i="37" s="1"/>
  <c r="H9" i="37"/>
  <c r="E68" i="37" s="1"/>
  <c r="E17" i="37"/>
  <c r="K8" i="37"/>
  <c r="H8" i="37"/>
  <c r="K7" i="37"/>
  <c r="H7" i="37"/>
  <c r="K6" i="37"/>
  <c r="H6" i="37"/>
  <c r="K5" i="37"/>
  <c r="H5" i="37"/>
  <c r="K4" i="37"/>
  <c r="H4" i="37"/>
  <c r="K3" i="37"/>
  <c r="H3" i="37"/>
  <c r="O40" i="24" l="1"/>
  <c r="F72" i="37"/>
  <c r="E72" i="37"/>
  <c r="F71" i="37"/>
  <c r="E71" i="37"/>
  <c r="F64" i="37"/>
  <c r="E64" i="37"/>
  <c r="F65" i="37"/>
  <c r="E65" i="37"/>
  <c r="E78" i="37" s="1"/>
  <c r="F67" i="37"/>
  <c r="E67" i="37"/>
  <c r="F66" i="37"/>
  <c r="E66" i="37"/>
  <c r="F63" i="37"/>
  <c r="E63" i="37"/>
  <c r="E76" i="37" s="1"/>
  <c r="Q33" i="37"/>
  <c r="G62" i="37"/>
  <c r="G76" i="37" s="1"/>
  <c r="E62" i="37"/>
  <c r="AA36" i="37"/>
  <c r="AC36" i="37" s="1"/>
  <c r="P56" i="37"/>
  <c r="P48" i="37"/>
  <c r="G71" i="37"/>
  <c r="P55" i="37"/>
  <c r="G41" i="37"/>
  <c r="Z31" i="37"/>
  <c r="AB31" i="37" s="1"/>
  <c r="P52" i="37"/>
  <c r="Z28" i="37"/>
  <c r="AB28" i="37" s="1"/>
  <c r="X28" i="37"/>
  <c r="P49" i="37"/>
  <c r="Z26" i="37"/>
  <c r="AB26" i="37" s="1"/>
  <c r="D64" i="37"/>
  <c r="I72" i="37"/>
  <c r="Z30" i="37"/>
  <c r="AB30" i="37" s="1"/>
  <c r="P54" i="37"/>
  <c r="I62" i="37"/>
  <c r="D66" i="37"/>
  <c r="G67" i="37"/>
  <c r="G69" i="37"/>
  <c r="I70" i="37"/>
  <c r="H71" i="37"/>
  <c r="Z27" i="37"/>
  <c r="AB27" i="37" s="1"/>
  <c r="Z29" i="37"/>
  <c r="AB29" i="37" s="1"/>
  <c r="X32" i="37"/>
  <c r="I64" i="37"/>
  <c r="H69" i="37"/>
  <c r="C71" i="37"/>
  <c r="D72" i="37"/>
  <c r="G65" i="37"/>
  <c r="X27" i="37"/>
  <c r="AC27" i="37" s="1"/>
  <c r="AE27" i="37" s="1"/>
  <c r="P46" i="37"/>
  <c r="P47" i="37"/>
  <c r="P50" i="37"/>
  <c r="P53" i="37"/>
  <c r="D62" i="37"/>
  <c r="G63" i="37"/>
  <c r="I66" i="37"/>
  <c r="C69" i="37"/>
  <c r="D70" i="37"/>
  <c r="AC26" i="37"/>
  <c r="F68" i="37"/>
  <c r="H68" i="37"/>
  <c r="C68" i="37"/>
  <c r="I68" i="37"/>
  <c r="D68" i="37"/>
  <c r="G68" i="37"/>
  <c r="AC31" i="37"/>
  <c r="Z32" i="37"/>
  <c r="AB32" i="37" s="1"/>
  <c r="AC32" i="37" s="1"/>
  <c r="N58" i="37"/>
  <c r="H63" i="37"/>
  <c r="C73" i="37"/>
  <c r="I6" i="37"/>
  <c r="J6" i="37" s="1"/>
  <c r="I13" i="37"/>
  <c r="G17" i="37"/>
  <c r="S24" i="37"/>
  <c r="Z25" i="37"/>
  <c r="AB25" i="37" s="1"/>
  <c r="X30" i="37"/>
  <c r="AC30" i="37" s="1"/>
  <c r="P33" i="37"/>
  <c r="G39" i="37"/>
  <c r="O51" i="37"/>
  <c r="P51" i="37" s="1"/>
  <c r="D63" i="37"/>
  <c r="I63" i="37"/>
  <c r="G64" i="37"/>
  <c r="D65" i="37"/>
  <c r="I65" i="37"/>
  <c r="G66" i="37"/>
  <c r="D67" i="37"/>
  <c r="I67" i="37"/>
  <c r="D69" i="37"/>
  <c r="G70" i="37"/>
  <c r="D71" i="37"/>
  <c r="I71" i="37"/>
  <c r="G72" i="37"/>
  <c r="D73" i="37"/>
  <c r="F62" i="37"/>
  <c r="H19" i="37"/>
  <c r="F78" i="37"/>
  <c r="I9" i="37"/>
  <c r="Z24" i="37"/>
  <c r="X29" i="37"/>
  <c r="D37" i="37"/>
  <c r="G30" i="37"/>
  <c r="C63" i="37"/>
  <c r="C65" i="37"/>
  <c r="H65" i="37"/>
  <c r="C67" i="37"/>
  <c r="H67" i="37"/>
  <c r="I73" i="37"/>
  <c r="I3" i="37"/>
  <c r="I4" i="37"/>
  <c r="J4" i="37" s="1"/>
  <c r="I5" i="37"/>
  <c r="I7" i="37"/>
  <c r="J7" i="37" s="1"/>
  <c r="I8" i="37"/>
  <c r="J8" i="37" s="1"/>
  <c r="F69" i="37"/>
  <c r="I10" i="37"/>
  <c r="F73" i="37"/>
  <c r="H21" i="37"/>
  <c r="I12" i="37"/>
  <c r="J12" i="37" s="1"/>
  <c r="H17" i="37"/>
  <c r="T33" i="37"/>
  <c r="V24" i="37"/>
  <c r="V33" i="37" s="1"/>
  <c r="X25" i="37"/>
  <c r="AA37" i="37"/>
  <c r="AC37" i="37" s="1"/>
  <c r="C62" i="37"/>
  <c r="H62" i="37"/>
  <c r="C64" i="37"/>
  <c r="H64" i="37"/>
  <c r="C66" i="37"/>
  <c r="H66" i="37"/>
  <c r="C70" i="37"/>
  <c r="H70" i="37"/>
  <c r="C72" i="37"/>
  <c r="H72" i="37"/>
  <c r="N59" i="41"/>
  <c r="N27" i="41"/>
  <c r="D84" i="35"/>
  <c r="E74" i="37" l="1"/>
  <c r="AC28" i="37"/>
  <c r="AD28" i="37" s="1"/>
  <c r="D76" i="37"/>
  <c r="AC29" i="37"/>
  <c r="AD29" i="37" s="1"/>
  <c r="O58" i="37"/>
  <c r="P58" i="37"/>
  <c r="I74" i="37"/>
  <c r="AD27" i="37"/>
  <c r="H78" i="37"/>
  <c r="J69" i="37"/>
  <c r="I76" i="37"/>
  <c r="J71" i="37"/>
  <c r="H32" i="37" s="1"/>
  <c r="I32" i="37" s="1"/>
  <c r="K12" i="37" s="1"/>
  <c r="D78" i="37"/>
  <c r="G78" i="37"/>
  <c r="I78" i="37"/>
  <c r="D74" i="37"/>
  <c r="X37" i="37"/>
  <c r="AD37" i="37" s="1"/>
  <c r="AE37" i="37" s="1"/>
  <c r="AE32" i="37"/>
  <c r="AD32" i="37"/>
  <c r="I21" i="37"/>
  <c r="O41" i="24" s="1"/>
  <c r="J5" i="37"/>
  <c r="G37" i="37"/>
  <c r="J65" i="37"/>
  <c r="H27" i="37" s="1"/>
  <c r="I27" i="37" s="1"/>
  <c r="J63" i="37"/>
  <c r="H25" i="37" s="1"/>
  <c r="I25" i="37" s="1"/>
  <c r="AD30" i="37"/>
  <c r="AE30" i="37"/>
  <c r="G74" i="37"/>
  <c r="J68" i="37"/>
  <c r="H30" i="37" s="1"/>
  <c r="I30" i="37" s="1"/>
  <c r="K9" i="37" s="1"/>
  <c r="J9" i="37"/>
  <c r="AD31" i="37"/>
  <c r="AE31" i="37"/>
  <c r="J70" i="37"/>
  <c r="H31" i="37" s="1"/>
  <c r="I31" i="37" s="1"/>
  <c r="K11" i="37" s="1"/>
  <c r="C78" i="37"/>
  <c r="J64" i="37"/>
  <c r="AC25" i="37"/>
  <c r="X24" i="37"/>
  <c r="S33" i="37"/>
  <c r="J73" i="37"/>
  <c r="AE28" i="37"/>
  <c r="H76" i="37"/>
  <c r="H74" i="37"/>
  <c r="J3" i="37"/>
  <c r="I19" i="37"/>
  <c r="I17" i="37"/>
  <c r="J72" i="37"/>
  <c r="H33" i="37" s="1"/>
  <c r="I33" i="37" s="1"/>
  <c r="J66" i="37"/>
  <c r="H28" i="37" s="1"/>
  <c r="I28" i="37" s="1"/>
  <c r="C76" i="37"/>
  <c r="C74" i="37"/>
  <c r="J62" i="37"/>
  <c r="J67" i="37"/>
  <c r="H29" i="37" s="1"/>
  <c r="I29" i="37" s="1"/>
  <c r="AB24" i="37"/>
  <c r="AB33" i="37" s="1"/>
  <c r="Z33" i="37"/>
  <c r="F76" i="37"/>
  <c r="F74" i="37"/>
  <c r="AD26" i="37"/>
  <c r="AE26" i="37"/>
  <c r="N70" i="24"/>
  <c r="N63" i="24"/>
  <c r="AE29" i="37" l="1"/>
  <c r="O70" i="24"/>
  <c r="J76" i="37"/>
  <c r="J74" i="37"/>
  <c r="H24" i="37"/>
  <c r="AC24" i="37"/>
  <c r="X36" i="37"/>
  <c r="X33" i="37"/>
  <c r="H26" i="37"/>
  <c r="J78" i="37"/>
  <c r="AD25" i="37"/>
  <c r="AE25" i="37"/>
  <c r="T16" i="35"/>
  <c r="AE24" i="37" l="1"/>
  <c r="AC33" i="37"/>
  <c r="AE33" i="37" s="1"/>
  <c r="AD24" i="37"/>
  <c r="AD33" i="37" s="1"/>
  <c r="H41" i="37"/>
  <c r="I26" i="37"/>
  <c r="I41" i="37" s="1"/>
  <c r="O39" i="24" s="1"/>
  <c r="H39" i="37"/>
  <c r="H37" i="37"/>
  <c r="I24" i="37"/>
  <c r="AD36" i="37"/>
  <c r="AE36" i="37" s="1"/>
  <c r="O63" i="24"/>
  <c r="AD25" i="35"/>
  <c r="AD26" i="35"/>
  <c r="AD27" i="35"/>
  <c r="AD28" i="35"/>
  <c r="AD29" i="35"/>
  <c r="AD30" i="35"/>
  <c r="AD31" i="35"/>
  <c r="AD32" i="35"/>
  <c r="AD24" i="35"/>
  <c r="AC24" i="35"/>
  <c r="V24" i="35"/>
  <c r="X24" i="35"/>
  <c r="AB24" i="35"/>
  <c r="T15" i="35"/>
  <c r="T14" i="35"/>
  <c r="S14" i="35"/>
  <c r="S13" i="35"/>
  <c r="Q13" i="35"/>
  <c r="J78" i="35"/>
  <c r="J76" i="35"/>
  <c r="Q46" i="35"/>
  <c r="Q47" i="35"/>
  <c r="Q48" i="35"/>
  <c r="Q49" i="35"/>
  <c r="Q50" i="35"/>
  <c r="Q51" i="35"/>
  <c r="Q52" i="35"/>
  <c r="Q53" i="35"/>
  <c r="Q54" i="35"/>
  <c r="Q55" i="35"/>
  <c r="Q56" i="35"/>
  <c r="Q57" i="35"/>
  <c r="Q45" i="35"/>
  <c r="P58" i="35"/>
  <c r="O58" i="35"/>
  <c r="O46" i="35"/>
  <c r="P46" i="35"/>
  <c r="O47" i="35"/>
  <c r="P47" i="35"/>
  <c r="O48" i="35"/>
  <c r="P48" i="35"/>
  <c r="O49" i="35"/>
  <c r="P49" i="35"/>
  <c r="O50" i="35"/>
  <c r="P50" i="35"/>
  <c r="O51" i="35"/>
  <c r="P51" i="35"/>
  <c r="O52" i="35"/>
  <c r="P52" i="35"/>
  <c r="O53" i="35"/>
  <c r="P53" i="35"/>
  <c r="O54" i="35"/>
  <c r="P54" i="35"/>
  <c r="O55" i="35"/>
  <c r="P55" i="35"/>
  <c r="O56" i="35"/>
  <c r="P56" i="35"/>
  <c r="O57" i="35"/>
  <c r="P57" i="35"/>
  <c r="P45" i="35"/>
  <c r="O45" i="35"/>
  <c r="N46" i="35"/>
  <c r="N47" i="35"/>
  <c r="N48" i="35"/>
  <c r="N49" i="35"/>
  <c r="N50" i="35"/>
  <c r="N51" i="35"/>
  <c r="N52" i="35"/>
  <c r="N53" i="35"/>
  <c r="N54" i="35"/>
  <c r="N55" i="35"/>
  <c r="N56" i="35"/>
  <c r="N57" i="35"/>
  <c r="N45" i="35"/>
  <c r="M46" i="35"/>
  <c r="M47" i="35"/>
  <c r="M48" i="35"/>
  <c r="M49" i="35"/>
  <c r="M50" i="35"/>
  <c r="M51" i="35"/>
  <c r="M52" i="35"/>
  <c r="M53" i="35"/>
  <c r="M54" i="35"/>
  <c r="M55" i="35"/>
  <c r="M56" i="35"/>
  <c r="M57" i="35"/>
  <c r="M45" i="35"/>
  <c r="G63" i="35"/>
  <c r="H63" i="35"/>
  <c r="I63" i="35"/>
  <c r="G64" i="35"/>
  <c r="H64" i="35"/>
  <c r="I64" i="35"/>
  <c r="G65" i="35"/>
  <c r="H65" i="35"/>
  <c r="I65" i="35"/>
  <c r="G66" i="35"/>
  <c r="H66" i="35"/>
  <c r="I66" i="35"/>
  <c r="G67" i="35"/>
  <c r="H67" i="35"/>
  <c r="I67" i="35"/>
  <c r="G68" i="35"/>
  <c r="H68" i="35"/>
  <c r="I68" i="35"/>
  <c r="G69" i="35"/>
  <c r="H69" i="35"/>
  <c r="I69" i="35"/>
  <c r="G70" i="35"/>
  <c r="H70" i="35"/>
  <c r="I70" i="35"/>
  <c r="G71" i="35"/>
  <c r="H71" i="35"/>
  <c r="I71" i="35"/>
  <c r="G72" i="35"/>
  <c r="H72" i="35"/>
  <c r="I72" i="35"/>
  <c r="F63" i="35"/>
  <c r="F64" i="35"/>
  <c r="F65" i="35"/>
  <c r="F66" i="35"/>
  <c r="F67" i="35"/>
  <c r="F68" i="35"/>
  <c r="F69" i="35"/>
  <c r="F70" i="35"/>
  <c r="F71" i="35"/>
  <c r="F72" i="35"/>
  <c r="E63" i="35"/>
  <c r="E64" i="35"/>
  <c r="E65" i="35"/>
  <c r="E66" i="35"/>
  <c r="E67" i="35"/>
  <c r="E68" i="35"/>
  <c r="E69" i="35"/>
  <c r="E70" i="35"/>
  <c r="E71" i="35"/>
  <c r="E72" i="35"/>
  <c r="D63" i="35"/>
  <c r="D64" i="35"/>
  <c r="D65" i="35"/>
  <c r="D66" i="35"/>
  <c r="D67" i="35"/>
  <c r="D68" i="35"/>
  <c r="D69" i="35"/>
  <c r="D70" i="35"/>
  <c r="D71" i="35"/>
  <c r="D72" i="35"/>
  <c r="C68" i="35"/>
  <c r="C69" i="35"/>
  <c r="C70" i="35"/>
  <c r="C71" i="35"/>
  <c r="C72" i="35"/>
  <c r="D30" i="35"/>
  <c r="G9" i="35"/>
  <c r="E9" i="35"/>
  <c r="I39" i="37" l="1"/>
  <c r="I37" i="37"/>
  <c r="Q58" i="35"/>
  <c r="M41" i="24"/>
  <c r="E73" i="35" l="1"/>
  <c r="E62" i="35"/>
  <c r="J69" i="35" l="1"/>
  <c r="C85" i="35"/>
  <c r="B85" i="35"/>
  <c r="E84" i="35"/>
  <c r="E85" i="35" s="1"/>
  <c r="D85" i="35"/>
  <c r="F41" i="35"/>
  <c r="E41" i="35"/>
  <c r="D41" i="35"/>
  <c r="C41" i="35"/>
  <c r="F39" i="35"/>
  <c r="E39" i="35"/>
  <c r="D39" i="35"/>
  <c r="C39" i="35"/>
  <c r="F37" i="35"/>
  <c r="E37" i="35"/>
  <c r="C37" i="35"/>
  <c r="G34" i="35"/>
  <c r="I34" i="35" s="1"/>
  <c r="O33" i="35"/>
  <c r="G33" i="35"/>
  <c r="AA32" i="35"/>
  <c r="T32" i="35"/>
  <c r="V32" i="35" s="1"/>
  <c r="Q32" i="35"/>
  <c r="S32" i="35" s="1"/>
  <c r="P32" i="35"/>
  <c r="G32" i="35"/>
  <c r="AA31" i="35"/>
  <c r="T31" i="35"/>
  <c r="V31" i="35" s="1"/>
  <c r="Q31" i="35"/>
  <c r="S31" i="35" s="1"/>
  <c r="P31" i="35"/>
  <c r="G31" i="35"/>
  <c r="AA30" i="35"/>
  <c r="T30" i="35"/>
  <c r="V30" i="35" s="1"/>
  <c r="Q30" i="35"/>
  <c r="S30" i="35" s="1"/>
  <c r="P30" i="35"/>
  <c r="D37" i="35"/>
  <c r="AA29" i="35"/>
  <c r="T29" i="35"/>
  <c r="V29" i="35" s="1"/>
  <c r="Q29" i="35"/>
  <c r="S29" i="35" s="1"/>
  <c r="P29" i="35"/>
  <c r="G29" i="35"/>
  <c r="AA28" i="35"/>
  <c r="T28" i="35"/>
  <c r="V28" i="35" s="1"/>
  <c r="Q28" i="35"/>
  <c r="P28" i="35"/>
  <c r="G28" i="35"/>
  <c r="AA27" i="35"/>
  <c r="T27" i="35"/>
  <c r="V27" i="35" s="1"/>
  <c r="Q27" i="35"/>
  <c r="S27" i="35" s="1"/>
  <c r="P27" i="35"/>
  <c r="G27" i="35"/>
  <c r="AA26" i="35"/>
  <c r="T26" i="35"/>
  <c r="V26" i="35" s="1"/>
  <c r="Q26" i="35"/>
  <c r="S26" i="35" s="1"/>
  <c r="P26" i="35"/>
  <c r="G26" i="35"/>
  <c r="AA25" i="35"/>
  <c r="T25" i="35"/>
  <c r="V25" i="35" s="1"/>
  <c r="Q25" i="35"/>
  <c r="S25" i="35" s="1"/>
  <c r="P25" i="35"/>
  <c r="G25" i="35"/>
  <c r="AA24" i="35"/>
  <c r="T24" i="35"/>
  <c r="Q24" i="35"/>
  <c r="P24" i="35"/>
  <c r="G24" i="35"/>
  <c r="AD23" i="35"/>
  <c r="AA23" i="35"/>
  <c r="Z23" i="35"/>
  <c r="X23" i="35"/>
  <c r="V23" i="35"/>
  <c r="T23" i="35"/>
  <c r="Q23" i="35"/>
  <c r="P23" i="35"/>
  <c r="O23" i="35"/>
  <c r="G21" i="35"/>
  <c r="F21" i="35"/>
  <c r="E21" i="35"/>
  <c r="C21" i="35"/>
  <c r="G19" i="35"/>
  <c r="F19" i="35"/>
  <c r="E19" i="35"/>
  <c r="C19" i="35"/>
  <c r="F17" i="35"/>
  <c r="C17" i="35"/>
  <c r="H16" i="35"/>
  <c r="I16" i="35" s="1"/>
  <c r="H15" i="35"/>
  <c r="I14" i="35"/>
  <c r="J14" i="35" s="1"/>
  <c r="H13" i="35"/>
  <c r="H12" i="35"/>
  <c r="H11" i="35"/>
  <c r="H10" i="35"/>
  <c r="G17" i="35"/>
  <c r="E17" i="35"/>
  <c r="K8" i="35"/>
  <c r="H8" i="35"/>
  <c r="K7" i="35"/>
  <c r="H7" i="35"/>
  <c r="K6" i="35"/>
  <c r="H6" i="35"/>
  <c r="K5" i="35"/>
  <c r="H5" i="35"/>
  <c r="K4" i="35"/>
  <c r="H4" i="35"/>
  <c r="K3" i="35"/>
  <c r="H3" i="35"/>
  <c r="J70" i="35" l="1"/>
  <c r="F62" i="35"/>
  <c r="H62" i="35"/>
  <c r="Z30" i="35"/>
  <c r="AB30" i="35" s="1"/>
  <c r="G30" i="35"/>
  <c r="G37" i="35" s="1"/>
  <c r="Q33" i="35"/>
  <c r="Z25" i="35"/>
  <c r="AB25" i="35" s="1"/>
  <c r="K14" i="35"/>
  <c r="Z29" i="35"/>
  <c r="AB29" i="35" s="1"/>
  <c r="H9" i="35"/>
  <c r="Z32" i="35"/>
  <c r="AB32" i="35" s="1"/>
  <c r="G73" i="35"/>
  <c r="F73" i="35"/>
  <c r="X25" i="35"/>
  <c r="C73" i="35"/>
  <c r="G41" i="35"/>
  <c r="G39" i="35"/>
  <c r="I13" i="35"/>
  <c r="J13" i="35" s="1"/>
  <c r="I12" i="35"/>
  <c r="J12" i="35" s="1"/>
  <c r="Z27" i="35"/>
  <c r="AB27" i="35" s="1"/>
  <c r="X26" i="35"/>
  <c r="AA36" i="35"/>
  <c r="AC36" i="35" s="1"/>
  <c r="I11" i="35"/>
  <c r="J11" i="35" s="1"/>
  <c r="X27" i="35"/>
  <c r="X31" i="35"/>
  <c r="G62" i="35"/>
  <c r="C65" i="35"/>
  <c r="C62" i="35"/>
  <c r="C66" i="35"/>
  <c r="I3" i="35"/>
  <c r="I5" i="35"/>
  <c r="I6" i="35"/>
  <c r="J6" i="35" s="1"/>
  <c r="I8" i="35"/>
  <c r="J8" i="35" s="1"/>
  <c r="Z26" i="35"/>
  <c r="AB26" i="35" s="1"/>
  <c r="X32" i="35"/>
  <c r="C64" i="35"/>
  <c r="I4" i="35"/>
  <c r="J4" i="35" s="1"/>
  <c r="I7" i="35"/>
  <c r="J7" i="35" s="1"/>
  <c r="T33" i="35"/>
  <c r="Z28" i="35"/>
  <c r="AB28" i="35" s="1"/>
  <c r="Z31" i="35"/>
  <c r="AB31" i="35" s="1"/>
  <c r="C63" i="35"/>
  <c r="C67" i="35"/>
  <c r="V33" i="35"/>
  <c r="X29" i="35"/>
  <c r="X30" i="35"/>
  <c r="P33" i="35"/>
  <c r="H17" i="35"/>
  <c r="H21" i="35"/>
  <c r="S24" i="35"/>
  <c r="Z24" i="35"/>
  <c r="S28" i="35"/>
  <c r="X28" i="35" s="1"/>
  <c r="D62" i="35"/>
  <c r="D73" i="35"/>
  <c r="I73" i="35"/>
  <c r="I10" i="35"/>
  <c r="I15" i="35"/>
  <c r="AA37" i="35"/>
  <c r="AC37" i="35" s="1"/>
  <c r="I62" i="35"/>
  <c r="H19" i="35"/>
  <c r="D83" i="34"/>
  <c r="F78" i="35" l="1"/>
  <c r="J62" i="35"/>
  <c r="H24" i="35" s="1"/>
  <c r="AC25" i="35"/>
  <c r="H76" i="35"/>
  <c r="AC32" i="35"/>
  <c r="AE32" i="35" s="1"/>
  <c r="H74" i="35"/>
  <c r="H78" i="35"/>
  <c r="I9" i="35"/>
  <c r="I17" i="35" s="1"/>
  <c r="C76" i="35"/>
  <c r="I74" i="35"/>
  <c r="G74" i="35"/>
  <c r="AC31" i="35"/>
  <c r="F76" i="35"/>
  <c r="AC30" i="35"/>
  <c r="AC26" i="35"/>
  <c r="AE26" i="35" s="1"/>
  <c r="AC29" i="35"/>
  <c r="H31" i="35"/>
  <c r="I31" i="35" s="1"/>
  <c r="K11" i="35" s="1"/>
  <c r="F74" i="35"/>
  <c r="J73" i="35"/>
  <c r="AC28" i="35"/>
  <c r="AC27" i="35"/>
  <c r="C78" i="35"/>
  <c r="G76" i="35"/>
  <c r="D78" i="35"/>
  <c r="I21" i="35"/>
  <c r="J5" i="35"/>
  <c r="J65" i="35"/>
  <c r="H27" i="35" s="1"/>
  <c r="I27" i="35" s="1"/>
  <c r="J63" i="35"/>
  <c r="H25" i="35" s="1"/>
  <c r="I25" i="35" s="1"/>
  <c r="J72" i="35"/>
  <c r="H33" i="35" s="1"/>
  <c r="I33" i="35" s="1"/>
  <c r="K13" i="35" s="1"/>
  <c r="J67" i="35"/>
  <c r="H29" i="35" s="1"/>
  <c r="I29" i="35" s="1"/>
  <c r="G78" i="35"/>
  <c r="I19" i="35"/>
  <c r="J3" i="35"/>
  <c r="J71" i="35"/>
  <c r="H32" i="35" s="1"/>
  <c r="I32" i="35" s="1"/>
  <c r="K12" i="35" s="1"/>
  <c r="J66" i="35"/>
  <c r="H28" i="35" s="1"/>
  <c r="I28" i="35" s="1"/>
  <c r="X37" i="35"/>
  <c r="AD37" i="35" s="1"/>
  <c r="AE37" i="35" s="1"/>
  <c r="S33" i="35"/>
  <c r="I78" i="35"/>
  <c r="I76" i="35"/>
  <c r="D76" i="35"/>
  <c r="D74" i="35"/>
  <c r="AE30" i="35"/>
  <c r="E78" i="35"/>
  <c r="E76" i="35"/>
  <c r="E74" i="35"/>
  <c r="AB33" i="35"/>
  <c r="Z33" i="35"/>
  <c r="J9" i="35"/>
  <c r="J64" i="35"/>
  <c r="M59" i="41"/>
  <c r="M58" i="34"/>
  <c r="M46" i="34"/>
  <c r="M47" i="34"/>
  <c r="M48" i="34"/>
  <c r="M49" i="34"/>
  <c r="M50" i="34"/>
  <c r="M51" i="34"/>
  <c r="M52" i="34"/>
  <c r="M53" i="34"/>
  <c r="M54" i="34"/>
  <c r="M55" i="34"/>
  <c r="M45" i="34"/>
  <c r="G9" i="34"/>
  <c r="AE25" i="35" l="1"/>
  <c r="AE27" i="35"/>
  <c r="J68" i="35"/>
  <c r="H30" i="35" s="1"/>
  <c r="I30" i="35" s="1"/>
  <c r="K9" i="35" s="1"/>
  <c r="AE31" i="35"/>
  <c r="C74" i="35"/>
  <c r="AE28" i="35"/>
  <c r="AE29" i="35"/>
  <c r="H26" i="35"/>
  <c r="H39" i="35"/>
  <c r="I24" i="35"/>
  <c r="X36" i="35"/>
  <c r="AD36" i="35" s="1"/>
  <c r="AE36" i="35" s="1"/>
  <c r="X33" i="35"/>
  <c r="H70" i="34"/>
  <c r="H71" i="34"/>
  <c r="H69" i="34"/>
  <c r="H68" i="34"/>
  <c r="G72" i="34"/>
  <c r="G69" i="34"/>
  <c r="H62" i="34"/>
  <c r="D30" i="34"/>
  <c r="E9" i="34"/>
  <c r="H37" i="35" l="1"/>
  <c r="J74" i="35"/>
  <c r="AC33" i="35"/>
  <c r="AE33" i="35" s="1"/>
  <c r="AE24" i="35"/>
  <c r="AD33" i="35"/>
  <c r="I39" i="35"/>
  <c r="I26" i="35"/>
  <c r="I41" i="35" s="1"/>
  <c r="H41" i="35"/>
  <c r="H63" i="34"/>
  <c r="H64" i="34"/>
  <c r="H65" i="34"/>
  <c r="H66" i="34"/>
  <c r="H67" i="34"/>
  <c r="I37" i="35" l="1"/>
  <c r="C84" i="34"/>
  <c r="B84" i="34"/>
  <c r="E83" i="34"/>
  <c r="E84" i="34" s="1"/>
  <c r="F41" i="34"/>
  <c r="E41" i="34"/>
  <c r="D41" i="34"/>
  <c r="C41" i="34"/>
  <c r="F39" i="34"/>
  <c r="E39" i="34"/>
  <c r="D39" i="34"/>
  <c r="C39" i="34"/>
  <c r="F37" i="34"/>
  <c r="E37" i="34"/>
  <c r="C37" i="34"/>
  <c r="G34" i="34"/>
  <c r="I34" i="34" s="1"/>
  <c r="G33" i="34"/>
  <c r="G32" i="34"/>
  <c r="G31" i="34"/>
  <c r="G30" i="34"/>
  <c r="G29" i="34"/>
  <c r="G28" i="34"/>
  <c r="G27" i="34"/>
  <c r="G26" i="34"/>
  <c r="G25" i="34"/>
  <c r="G24" i="34"/>
  <c r="G21" i="34"/>
  <c r="F21" i="34"/>
  <c r="E21" i="34"/>
  <c r="C21" i="34"/>
  <c r="G19" i="34"/>
  <c r="F19" i="34"/>
  <c r="E19" i="34"/>
  <c r="C19" i="34"/>
  <c r="F17" i="34"/>
  <c r="C17" i="34"/>
  <c r="H16" i="34"/>
  <c r="I16" i="34" s="1"/>
  <c r="H15" i="34"/>
  <c r="I14" i="34"/>
  <c r="J14" i="34" s="1"/>
  <c r="H13" i="34"/>
  <c r="G71" i="34" s="1"/>
  <c r="O33" i="34"/>
  <c r="H12" i="34"/>
  <c r="G70" i="34" s="1"/>
  <c r="AA32" i="34"/>
  <c r="T32" i="34"/>
  <c r="V32" i="34" s="1"/>
  <c r="Q32" i="34"/>
  <c r="S32" i="34" s="1"/>
  <c r="P32" i="34"/>
  <c r="H11" i="34"/>
  <c r="AA31" i="34"/>
  <c r="T31" i="34"/>
  <c r="V31" i="34" s="1"/>
  <c r="Q31" i="34"/>
  <c r="S31" i="34" s="1"/>
  <c r="P31" i="34"/>
  <c r="H10" i="34"/>
  <c r="AA30" i="34"/>
  <c r="T30" i="34"/>
  <c r="V30" i="34" s="1"/>
  <c r="Q30" i="34"/>
  <c r="P30" i="34"/>
  <c r="E17" i="34"/>
  <c r="AA29" i="34"/>
  <c r="T29" i="34"/>
  <c r="V29" i="34" s="1"/>
  <c r="Q29" i="34"/>
  <c r="S29" i="34" s="1"/>
  <c r="P29" i="34"/>
  <c r="K8" i="34"/>
  <c r="H8" i="34"/>
  <c r="G67" i="34" s="1"/>
  <c r="AA28" i="34"/>
  <c r="T28" i="34"/>
  <c r="V28" i="34" s="1"/>
  <c r="Q28" i="34"/>
  <c r="S28" i="34" s="1"/>
  <c r="P28" i="34"/>
  <c r="K7" i="34"/>
  <c r="H7" i="34"/>
  <c r="G66" i="34" s="1"/>
  <c r="AA27" i="34"/>
  <c r="T27" i="34"/>
  <c r="V27" i="34" s="1"/>
  <c r="Q27" i="34"/>
  <c r="S27" i="34" s="1"/>
  <c r="X27" i="34" s="1"/>
  <c r="P27" i="34"/>
  <c r="K6" i="34"/>
  <c r="H6" i="34"/>
  <c r="AA26" i="34"/>
  <c r="T26" i="34"/>
  <c r="V26" i="34" s="1"/>
  <c r="Q26" i="34"/>
  <c r="S26" i="34" s="1"/>
  <c r="P26" i="34"/>
  <c r="K5" i="34"/>
  <c r="H5" i="34"/>
  <c r="AA25" i="34"/>
  <c r="T25" i="34"/>
  <c r="V25" i="34" s="1"/>
  <c r="Q25" i="34"/>
  <c r="S25" i="34" s="1"/>
  <c r="P25" i="34"/>
  <c r="K4" i="34"/>
  <c r="H4" i="34"/>
  <c r="G63" i="34" s="1"/>
  <c r="AA24" i="34"/>
  <c r="T24" i="34"/>
  <c r="V24" i="34" s="1"/>
  <c r="Q24" i="34"/>
  <c r="P24" i="34"/>
  <c r="K3" i="34"/>
  <c r="H3" i="34"/>
  <c r="AD23" i="34"/>
  <c r="AA23" i="34"/>
  <c r="Z23" i="34"/>
  <c r="X23" i="34"/>
  <c r="V23" i="34"/>
  <c r="T23" i="34"/>
  <c r="Q23" i="34"/>
  <c r="P23" i="34"/>
  <c r="O23" i="34"/>
  <c r="I8" i="34" l="1"/>
  <c r="J8" i="34" s="1"/>
  <c r="K14" i="34"/>
  <c r="X32" i="34"/>
  <c r="X26" i="34"/>
  <c r="J65" i="34"/>
  <c r="G65" i="34"/>
  <c r="I7" i="34"/>
  <c r="J7" i="34" s="1"/>
  <c r="I10" i="34"/>
  <c r="G62" i="34"/>
  <c r="G75" i="34" s="1"/>
  <c r="J62" i="34"/>
  <c r="I6" i="34"/>
  <c r="J6" i="34" s="1"/>
  <c r="J69" i="34"/>
  <c r="C64" i="34"/>
  <c r="G64" i="34"/>
  <c r="G77" i="34" s="1"/>
  <c r="I11" i="34"/>
  <c r="J11" i="34" s="1"/>
  <c r="I5" i="34"/>
  <c r="J5" i="34" s="1"/>
  <c r="Z29" i="34"/>
  <c r="AB29" i="34" s="1"/>
  <c r="Z31" i="34"/>
  <c r="AB31" i="34" s="1"/>
  <c r="D64" i="34"/>
  <c r="E67" i="34"/>
  <c r="E71" i="34"/>
  <c r="Z28" i="34"/>
  <c r="AB28" i="34" s="1"/>
  <c r="X29" i="34"/>
  <c r="AC29" i="34" s="1"/>
  <c r="AD29" i="34" s="1"/>
  <c r="X31" i="34"/>
  <c r="G41" i="34"/>
  <c r="F66" i="34"/>
  <c r="F70" i="34"/>
  <c r="T33" i="34"/>
  <c r="X28" i="34"/>
  <c r="Z32" i="34"/>
  <c r="AB32" i="34" s="1"/>
  <c r="C65" i="34"/>
  <c r="J66" i="34"/>
  <c r="C69" i="34"/>
  <c r="J70" i="34"/>
  <c r="X25" i="34"/>
  <c r="Z25" i="34"/>
  <c r="AB25" i="34" s="1"/>
  <c r="Z26" i="34"/>
  <c r="AB26" i="34" s="1"/>
  <c r="E62" i="34"/>
  <c r="D62" i="34"/>
  <c r="C62" i="34"/>
  <c r="AA36" i="34"/>
  <c r="AC36" i="34" s="1"/>
  <c r="P33" i="34"/>
  <c r="V33" i="34"/>
  <c r="D63" i="34"/>
  <c r="C63" i="34"/>
  <c r="J63" i="34"/>
  <c r="F63" i="34"/>
  <c r="Z30" i="34"/>
  <c r="AB30" i="34" s="1"/>
  <c r="S30" i="34"/>
  <c r="X30" i="34" s="1"/>
  <c r="H19" i="34"/>
  <c r="E63" i="34"/>
  <c r="I3" i="34"/>
  <c r="Q33" i="34"/>
  <c r="I4" i="34"/>
  <c r="J4" i="34" s="1"/>
  <c r="Z27" i="34"/>
  <c r="AB27" i="34" s="1"/>
  <c r="AC27" i="34" s="1"/>
  <c r="C72" i="34"/>
  <c r="F72" i="34"/>
  <c r="J72" i="34"/>
  <c r="E72" i="34"/>
  <c r="I15" i="34"/>
  <c r="G37" i="34"/>
  <c r="G39" i="34"/>
  <c r="F62" i="34"/>
  <c r="S24" i="34"/>
  <c r="Z24" i="34"/>
  <c r="D72" i="34"/>
  <c r="G17" i="34"/>
  <c r="E64" i="34"/>
  <c r="D65" i="34"/>
  <c r="C66" i="34"/>
  <c r="F67" i="34"/>
  <c r="J67" i="34"/>
  <c r="D69" i="34"/>
  <c r="C70" i="34"/>
  <c r="F71" i="34"/>
  <c r="J71" i="34"/>
  <c r="I12" i="34"/>
  <c r="J12" i="34" s="1"/>
  <c r="I13" i="34"/>
  <c r="J13" i="34" s="1"/>
  <c r="AA37" i="34"/>
  <c r="AC37" i="34" s="1"/>
  <c r="H21" i="34"/>
  <c r="D37" i="34"/>
  <c r="F64" i="34"/>
  <c r="J64" i="34"/>
  <c r="E65" i="34"/>
  <c r="D66" i="34"/>
  <c r="H77" i="34"/>
  <c r="C67" i="34"/>
  <c r="E69" i="34"/>
  <c r="D70" i="34"/>
  <c r="C71" i="34"/>
  <c r="D84" i="34"/>
  <c r="H9" i="34"/>
  <c r="G68" i="34" s="1"/>
  <c r="F65" i="34"/>
  <c r="E66" i="34"/>
  <c r="D67" i="34"/>
  <c r="F69" i="34"/>
  <c r="E70" i="34"/>
  <c r="D71" i="34"/>
  <c r="L67" i="24"/>
  <c r="L66" i="24"/>
  <c r="L65" i="24"/>
  <c r="L59" i="24"/>
  <c r="L58" i="24"/>
  <c r="L57" i="24"/>
  <c r="AC30" i="34" l="1"/>
  <c r="AC26" i="34"/>
  <c r="AD26" i="34" s="1"/>
  <c r="AC32" i="34"/>
  <c r="AD32" i="34" s="1"/>
  <c r="J77" i="34"/>
  <c r="K65" i="34"/>
  <c r="H27" i="34" s="1"/>
  <c r="I27" i="34" s="1"/>
  <c r="G73" i="34"/>
  <c r="AC28" i="34"/>
  <c r="J75" i="34"/>
  <c r="AC31" i="34"/>
  <c r="AD31" i="34" s="1"/>
  <c r="AE29" i="34"/>
  <c r="AE26" i="34"/>
  <c r="C68" i="34"/>
  <c r="J68" i="34"/>
  <c r="F68" i="34"/>
  <c r="F73" i="34" s="1"/>
  <c r="I73" i="34"/>
  <c r="E68" i="34"/>
  <c r="E73" i="34" s="1"/>
  <c r="I9" i="34"/>
  <c r="J9" i="34" s="1"/>
  <c r="D68" i="34"/>
  <c r="D73" i="34" s="1"/>
  <c r="I19" i="34"/>
  <c r="J3" i="34"/>
  <c r="K64" i="34"/>
  <c r="H75" i="34"/>
  <c r="H73" i="34"/>
  <c r="F77" i="34"/>
  <c r="K70" i="34"/>
  <c r="H32" i="34" s="1"/>
  <c r="I32" i="34" s="1"/>
  <c r="K12" i="34" s="1"/>
  <c r="I77" i="34"/>
  <c r="F75" i="34"/>
  <c r="I21" i="34"/>
  <c r="AE30" i="34"/>
  <c r="AD30" i="34"/>
  <c r="K62" i="34"/>
  <c r="C75" i="34"/>
  <c r="E75" i="34"/>
  <c r="X37" i="34"/>
  <c r="AD37" i="34" s="1"/>
  <c r="AE37" i="34" s="1"/>
  <c r="K71" i="34"/>
  <c r="H33" i="34" s="1"/>
  <c r="I33" i="34" s="1"/>
  <c r="K13" i="34" s="1"/>
  <c r="K66" i="34"/>
  <c r="H28" i="34" s="1"/>
  <c r="I28" i="34" s="1"/>
  <c r="E77" i="34"/>
  <c r="Z33" i="34"/>
  <c r="AB24" i="34"/>
  <c r="AB33" i="34" s="1"/>
  <c r="K72" i="34"/>
  <c r="H17" i="34"/>
  <c r="I75" i="34"/>
  <c r="AD27" i="34"/>
  <c r="AE27" i="34"/>
  <c r="J73" i="34"/>
  <c r="K67" i="34"/>
  <c r="H29" i="34" s="1"/>
  <c r="I29" i="34" s="1"/>
  <c r="K69" i="34"/>
  <c r="H31" i="34" s="1"/>
  <c r="I31" i="34" s="1"/>
  <c r="K11" i="34" s="1"/>
  <c r="X24" i="34"/>
  <c r="S33" i="34"/>
  <c r="C77" i="34"/>
  <c r="K63" i="34"/>
  <c r="H25" i="34" s="1"/>
  <c r="I25" i="34" s="1"/>
  <c r="D75" i="34"/>
  <c r="D77" i="34"/>
  <c r="AC25" i="34"/>
  <c r="D83" i="33"/>
  <c r="O46" i="33"/>
  <c r="O47" i="33"/>
  <c r="O48" i="33"/>
  <c r="O49" i="33"/>
  <c r="O50" i="33"/>
  <c r="O51" i="33"/>
  <c r="O52" i="33"/>
  <c r="O53" i="33"/>
  <c r="O54" i="33"/>
  <c r="O55" i="33"/>
  <c r="O56" i="33"/>
  <c r="O57" i="33"/>
  <c r="O45" i="33"/>
  <c r="N46" i="33"/>
  <c r="N47" i="33"/>
  <c r="N48" i="33"/>
  <c r="N49" i="33"/>
  <c r="N50" i="33"/>
  <c r="N51" i="33"/>
  <c r="N52" i="33"/>
  <c r="N53" i="33"/>
  <c r="N54" i="33"/>
  <c r="N55" i="33"/>
  <c r="N56" i="33"/>
  <c r="N57" i="33"/>
  <c r="N45" i="33"/>
  <c r="AE32" i="34" l="1"/>
  <c r="AE31" i="34"/>
  <c r="AD28" i="34"/>
  <c r="AE28" i="34"/>
  <c r="X33" i="34"/>
  <c r="X36" i="34"/>
  <c r="AD36" i="34" s="1"/>
  <c r="AE36" i="34" s="1"/>
  <c r="AC24" i="34"/>
  <c r="I17" i="34"/>
  <c r="K68" i="34"/>
  <c r="H30" i="34" s="1"/>
  <c r="I30" i="34" s="1"/>
  <c r="K9" i="34" s="1"/>
  <c r="AD25" i="34"/>
  <c r="AE25" i="34"/>
  <c r="H24" i="34"/>
  <c r="K75" i="34"/>
  <c r="H26" i="34"/>
  <c r="K77" i="34"/>
  <c r="C73" i="34"/>
  <c r="K9" i="33"/>
  <c r="J9" i="33"/>
  <c r="K12" i="33"/>
  <c r="K13" i="33"/>
  <c r="K14" i="33"/>
  <c r="K11" i="33"/>
  <c r="K4" i="33"/>
  <c r="K5" i="33"/>
  <c r="K6" i="33"/>
  <c r="K7" i="33"/>
  <c r="K8" i="33"/>
  <c r="K3" i="33"/>
  <c r="J4" i="33"/>
  <c r="J5" i="33"/>
  <c r="J6" i="33"/>
  <c r="J7" i="33"/>
  <c r="J8" i="33"/>
  <c r="J11" i="33"/>
  <c r="J12" i="33"/>
  <c r="J13" i="33"/>
  <c r="J14" i="33"/>
  <c r="J3" i="33"/>
  <c r="K73" i="34" l="1"/>
  <c r="H41" i="34"/>
  <c r="I26" i="34"/>
  <c r="I41" i="34" s="1"/>
  <c r="AC33" i="34"/>
  <c r="AE33" i="34" s="1"/>
  <c r="AD24" i="34"/>
  <c r="AD33" i="34" s="1"/>
  <c r="AE24" i="34"/>
  <c r="H37" i="34"/>
  <c r="H39" i="34"/>
  <c r="I24" i="34"/>
  <c r="E83" i="33"/>
  <c r="L59" i="41"/>
  <c r="L27" i="41"/>
  <c r="D30" i="33"/>
  <c r="G9" i="33"/>
  <c r="E9" i="33"/>
  <c r="I37" i="34" l="1"/>
  <c r="I39" i="34"/>
  <c r="G72" i="33"/>
  <c r="F72" i="33"/>
  <c r="G71" i="33"/>
  <c r="G70" i="33"/>
  <c r="G69" i="33"/>
  <c r="G68" i="33"/>
  <c r="G63" i="33"/>
  <c r="G64" i="33"/>
  <c r="G65" i="33"/>
  <c r="G66" i="33"/>
  <c r="G67" i="33"/>
  <c r="G62" i="33"/>
  <c r="L48" i="24" l="1"/>
  <c r="C84" i="33"/>
  <c r="B84" i="33"/>
  <c r="E84" i="33"/>
  <c r="E69" i="33"/>
  <c r="F41" i="33"/>
  <c r="E41" i="33"/>
  <c r="D41" i="33"/>
  <c r="C41" i="33"/>
  <c r="E39" i="33"/>
  <c r="D39" i="33"/>
  <c r="C39" i="33"/>
  <c r="E37" i="33"/>
  <c r="D37" i="33"/>
  <c r="C37" i="33"/>
  <c r="G34" i="33"/>
  <c r="I34" i="33" s="1"/>
  <c r="G33" i="33"/>
  <c r="G32" i="33"/>
  <c r="G31" i="33"/>
  <c r="G30" i="33"/>
  <c r="G29" i="33"/>
  <c r="G28" i="33"/>
  <c r="G27" i="33"/>
  <c r="G26" i="33"/>
  <c r="G25" i="33"/>
  <c r="F39" i="33"/>
  <c r="G21" i="33"/>
  <c r="F21" i="33"/>
  <c r="E21" i="33"/>
  <c r="C21" i="33"/>
  <c r="F19" i="33"/>
  <c r="E19" i="33"/>
  <c r="C19" i="33"/>
  <c r="C17" i="33"/>
  <c r="H16" i="33"/>
  <c r="H15" i="33"/>
  <c r="I14" i="33"/>
  <c r="H13" i="33"/>
  <c r="H71" i="33" s="1"/>
  <c r="O12" i="33"/>
  <c r="H12" i="33"/>
  <c r="C70" i="33" s="1"/>
  <c r="AA11" i="33"/>
  <c r="T11" i="33"/>
  <c r="V11" i="33" s="1"/>
  <c r="Q11" i="33"/>
  <c r="S11" i="33" s="1"/>
  <c r="P11" i="33"/>
  <c r="H11" i="33"/>
  <c r="J69" i="33" s="1"/>
  <c r="AA10" i="33"/>
  <c r="T10" i="33"/>
  <c r="V10" i="33" s="1"/>
  <c r="Q10" i="33"/>
  <c r="S10" i="33" s="1"/>
  <c r="P10" i="33"/>
  <c r="H10" i="33"/>
  <c r="I10" i="33" s="1"/>
  <c r="AA9" i="33"/>
  <c r="T9" i="33"/>
  <c r="V9" i="33" s="1"/>
  <c r="Q9" i="33"/>
  <c r="S9" i="33" s="1"/>
  <c r="P9" i="33"/>
  <c r="E17" i="33"/>
  <c r="AA8" i="33"/>
  <c r="T8" i="33"/>
  <c r="V8" i="33" s="1"/>
  <c r="Q8" i="33"/>
  <c r="S8" i="33" s="1"/>
  <c r="P8" i="33"/>
  <c r="H8" i="33"/>
  <c r="H67" i="33" s="1"/>
  <c r="AA7" i="33"/>
  <c r="T7" i="33"/>
  <c r="V7" i="33" s="1"/>
  <c r="Q7" i="33"/>
  <c r="S7" i="33" s="1"/>
  <c r="P7" i="33"/>
  <c r="H7" i="33"/>
  <c r="C66" i="33" s="1"/>
  <c r="AA6" i="33"/>
  <c r="T6" i="33"/>
  <c r="V6" i="33" s="1"/>
  <c r="Q6" i="33"/>
  <c r="S6" i="33" s="1"/>
  <c r="P6" i="33"/>
  <c r="H6" i="33"/>
  <c r="J65" i="33" s="1"/>
  <c r="AA5" i="33"/>
  <c r="T5" i="33"/>
  <c r="V5" i="33" s="1"/>
  <c r="Q5" i="33"/>
  <c r="S5" i="33" s="1"/>
  <c r="X5" i="33" s="1"/>
  <c r="P5" i="33"/>
  <c r="H5" i="33"/>
  <c r="E64" i="33" s="1"/>
  <c r="AA4" i="33"/>
  <c r="T4" i="33"/>
  <c r="V4" i="33" s="1"/>
  <c r="Q4" i="33"/>
  <c r="S4" i="33" s="1"/>
  <c r="P4" i="33"/>
  <c r="Z4" i="33" s="1"/>
  <c r="H4" i="33"/>
  <c r="H63" i="33" s="1"/>
  <c r="AA3" i="33"/>
  <c r="T3" i="33"/>
  <c r="P3" i="33"/>
  <c r="H3" i="33"/>
  <c r="I3" i="33" s="1"/>
  <c r="AD2" i="33"/>
  <c r="AA2" i="33"/>
  <c r="Z2" i="33"/>
  <c r="X2" i="33"/>
  <c r="V2" i="33"/>
  <c r="T2" i="33"/>
  <c r="Q2" i="33"/>
  <c r="P2" i="33"/>
  <c r="O2" i="33"/>
  <c r="AB4" i="33" l="1"/>
  <c r="E72" i="33"/>
  <c r="X6" i="33"/>
  <c r="AC6" i="33" s="1"/>
  <c r="H69" i="33"/>
  <c r="G17" i="33"/>
  <c r="X4" i="33"/>
  <c r="AC4" i="33" s="1"/>
  <c r="AE4" i="33" s="1"/>
  <c r="I11" i="33"/>
  <c r="G19" i="33"/>
  <c r="F71" i="33"/>
  <c r="I13" i="33"/>
  <c r="C71" i="33"/>
  <c r="F67" i="33"/>
  <c r="Z6" i="33"/>
  <c r="AB6" i="33" s="1"/>
  <c r="J63" i="33"/>
  <c r="H62" i="33"/>
  <c r="H65" i="33"/>
  <c r="Z5" i="33"/>
  <c r="AB5" i="33" s="1"/>
  <c r="AC5" i="33" s="1"/>
  <c r="X7" i="33"/>
  <c r="C63" i="33"/>
  <c r="F64" i="33"/>
  <c r="I65" i="33"/>
  <c r="J67" i="33"/>
  <c r="I69" i="33"/>
  <c r="E65" i="33"/>
  <c r="X8" i="33"/>
  <c r="X10" i="33"/>
  <c r="F63" i="33"/>
  <c r="D65" i="33"/>
  <c r="C67" i="33"/>
  <c r="D69" i="33"/>
  <c r="J71" i="33"/>
  <c r="F17" i="33"/>
  <c r="H9" i="33"/>
  <c r="F68" i="33" s="1"/>
  <c r="I62" i="33"/>
  <c r="E62" i="33"/>
  <c r="H19" i="33"/>
  <c r="J62" i="33"/>
  <c r="F62" i="33"/>
  <c r="V3" i="33"/>
  <c r="V12" i="33" s="1"/>
  <c r="T12" i="33"/>
  <c r="Z8" i="33"/>
  <c r="AB8" i="33" s="1"/>
  <c r="Z9" i="33"/>
  <c r="AB9" i="33" s="1"/>
  <c r="X11" i="33"/>
  <c r="P12" i="33"/>
  <c r="H21" i="33"/>
  <c r="D84" i="33"/>
  <c r="I66" i="33"/>
  <c r="E66" i="33"/>
  <c r="H66" i="33"/>
  <c r="D66" i="33"/>
  <c r="J66" i="33"/>
  <c r="F66" i="33"/>
  <c r="X9" i="33"/>
  <c r="AC9" i="33" s="1"/>
  <c r="Z10" i="33"/>
  <c r="AB10" i="33" s="1"/>
  <c r="I16" i="33"/>
  <c r="J72" i="33"/>
  <c r="H75" i="33"/>
  <c r="C64" i="33"/>
  <c r="H64" i="33"/>
  <c r="D64" i="33"/>
  <c r="I7" i="33"/>
  <c r="I70" i="33"/>
  <c r="E70" i="33"/>
  <c r="I12" i="33"/>
  <c r="D70" i="33"/>
  <c r="J70" i="33"/>
  <c r="F70" i="33"/>
  <c r="H70" i="33"/>
  <c r="AA16" i="33"/>
  <c r="AC16" i="33" s="1"/>
  <c r="C62" i="33"/>
  <c r="I64" i="33"/>
  <c r="I5" i="33"/>
  <c r="Z7" i="33"/>
  <c r="AB7" i="33" s="1"/>
  <c r="Z11" i="33"/>
  <c r="AB11" i="33" s="1"/>
  <c r="G41" i="33"/>
  <c r="D62" i="33"/>
  <c r="J64" i="33"/>
  <c r="Q3" i="33"/>
  <c r="I4" i="33"/>
  <c r="I19" i="33" s="1"/>
  <c r="I6" i="33"/>
  <c r="I8" i="33"/>
  <c r="I15" i="33"/>
  <c r="G24" i="33"/>
  <c r="F37" i="33"/>
  <c r="E63" i="33"/>
  <c r="I63" i="33"/>
  <c r="C65" i="33"/>
  <c r="E67" i="33"/>
  <c r="I67" i="33"/>
  <c r="C69" i="33"/>
  <c r="E71" i="33"/>
  <c r="I71" i="33"/>
  <c r="D72" i="33"/>
  <c r="I72" i="33"/>
  <c r="D63" i="33"/>
  <c r="F65" i="33"/>
  <c r="D67" i="33"/>
  <c r="F69" i="33"/>
  <c r="D71" i="33"/>
  <c r="C72" i="33"/>
  <c r="D83" i="32"/>
  <c r="F24" i="32"/>
  <c r="G3" i="32"/>
  <c r="K71" i="33" l="1"/>
  <c r="H33" i="33" s="1"/>
  <c r="I33" i="33" s="1"/>
  <c r="AC7" i="33"/>
  <c r="AE7" i="33" s="1"/>
  <c r="AC10" i="33"/>
  <c r="AE10" i="33" s="1"/>
  <c r="K70" i="33"/>
  <c r="H32" i="33" s="1"/>
  <c r="I32" i="33" s="1"/>
  <c r="AC8" i="33"/>
  <c r="AE8" i="33" s="1"/>
  <c r="J77" i="33"/>
  <c r="E77" i="33"/>
  <c r="K67" i="33"/>
  <c r="H29" i="33" s="1"/>
  <c r="I29" i="33" s="1"/>
  <c r="K69" i="33"/>
  <c r="H31" i="33" s="1"/>
  <c r="I31" i="33" s="1"/>
  <c r="K65" i="33"/>
  <c r="H27" i="33" s="1"/>
  <c r="I27" i="33" s="1"/>
  <c r="I21" i="33"/>
  <c r="AD4" i="33"/>
  <c r="F77" i="33"/>
  <c r="K63" i="33"/>
  <c r="H25" i="33" s="1"/>
  <c r="I25" i="33" s="1"/>
  <c r="K66" i="33"/>
  <c r="H28" i="33" s="1"/>
  <c r="I28" i="33" s="1"/>
  <c r="AD8" i="33"/>
  <c r="D75" i="33"/>
  <c r="AE5" i="33"/>
  <c r="AD5" i="33"/>
  <c r="G75" i="33"/>
  <c r="C75" i="33"/>
  <c r="K62" i="33"/>
  <c r="H77" i="33"/>
  <c r="E75" i="33"/>
  <c r="G39" i="33"/>
  <c r="G37" i="33"/>
  <c r="K64" i="33"/>
  <c r="C77" i="33"/>
  <c r="AD9" i="33"/>
  <c r="AE9" i="33"/>
  <c r="F75" i="33"/>
  <c r="I75" i="33"/>
  <c r="K72" i="33"/>
  <c r="S3" i="33"/>
  <c r="Z3" i="33"/>
  <c r="Q12" i="33"/>
  <c r="AA15" i="33"/>
  <c r="AC15" i="33" s="1"/>
  <c r="X16" i="33"/>
  <c r="AD16" i="33" s="1"/>
  <c r="AE16" i="33" s="1"/>
  <c r="G77" i="33"/>
  <c r="J75" i="33"/>
  <c r="G73" i="33"/>
  <c r="C68" i="33"/>
  <c r="H68" i="33"/>
  <c r="H73" i="33" s="1"/>
  <c r="D68" i="33"/>
  <c r="D73" i="33" s="1"/>
  <c r="J68" i="33"/>
  <c r="J73" i="33" s="1"/>
  <c r="F73" i="33"/>
  <c r="E68" i="33"/>
  <c r="E73" i="33" s="1"/>
  <c r="I68" i="33"/>
  <c r="I73" i="33" s="1"/>
  <c r="AD6" i="33"/>
  <c r="AE6" i="33"/>
  <c r="I77" i="33"/>
  <c r="H17" i="33"/>
  <c r="D77" i="33"/>
  <c r="N60" i="33"/>
  <c r="AC11" i="33"/>
  <c r="I9" i="33"/>
  <c r="I17" i="33" s="1"/>
  <c r="D30" i="32"/>
  <c r="N51" i="32"/>
  <c r="N52" i="32"/>
  <c r="N53" i="32"/>
  <c r="N56" i="32"/>
  <c r="N57" i="32"/>
  <c r="J69" i="32"/>
  <c r="J72" i="32"/>
  <c r="J68" i="32"/>
  <c r="G9" i="32"/>
  <c r="F9" i="32"/>
  <c r="E9" i="32"/>
  <c r="AD10" i="33" l="1"/>
  <c r="AD7" i="33"/>
  <c r="AD11" i="33"/>
  <c r="AE11" i="33"/>
  <c r="K68" i="33"/>
  <c r="H30" i="33" s="1"/>
  <c r="I30" i="33" s="1"/>
  <c r="C73" i="33"/>
  <c r="Z12" i="33"/>
  <c r="AB3" i="33"/>
  <c r="AB12" i="33" s="1"/>
  <c r="S12" i="33"/>
  <c r="X3" i="33"/>
  <c r="K75" i="33"/>
  <c r="H24" i="33"/>
  <c r="H26" i="33"/>
  <c r="K77" i="33"/>
  <c r="M45" i="32"/>
  <c r="H39" i="33" l="1"/>
  <c r="H37" i="33"/>
  <c r="I24" i="33"/>
  <c r="H41" i="33"/>
  <c r="I26" i="33"/>
  <c r="I41" i="33" s="1"/>
  <c r="AC3" i="33"/>
  <c r="X12" i="33"/>
  <c r="X15" i="33"/>
  <c r="AD15" i="33" s="1"/>
  <c r="AE15" i="33" s="1"/>
  <c r="K73" i="33"/>
  <c r="C84" i="32"/>
  <c r="B84" i="32"/>
  <c r="E83" i="32"/>
  <c r="E84" i="32" s="1"/>
  <c r="G69" i="32"/>
  <c r="F69" i="32"/>
  <c r="C69" i="32"/>
  <c r="M57" i="32"/>
  <c r="M56" i="32"/>
  <c r="M55" i="32"/>
  <c r="M54" i="32"/>
  <c r="M53" i="32"/>
  <c r="M52" i="32"/>
  <c r="M51" i="32"/>
  <c r="D84" i="32" s="1"/>
  <c r="M50" i="32"/>
  <c r="M49" i="32"/>
  <c r="M48" i="32"/>
  <c r="M47" i="32"/>
  <c r="M46" i="32"/>
  <c r="F41" i="32"/>
  <c r="E41" i="32"/>
  <c r="D41" i="32"/>
  <c r="C41" i="32"/>
  <c r="F39" i="32"/>
  <c r="E39" i="32"/>
  <c r="D39" i="32"/>
  <c r="C39" i="32"/>
  <c r="F37" i="32"/>
  <c r="E37" i="32"/>
  <c r="C37" i="32"/>
  <c r="G34" i="32"/>
  <c r="I34" i="32" s="1"/>
  <c r="G33" i="32"/>
  <c r="G32" i="32"/>
  <c r="G31" i="32"/>
  <c r="G30" i="32"/>
  <c r="D37" i="32"/>
  <c r="G29" i="32"/>
  <c r="G28" i="32"/>
  <c r="G27" i="32"/>
  <c r="G26" i="32"/>
  <c r="G25" i="32"/>
  <c r="G24" i="32"/>
  <c r="G21" i="32"/>
  <c r="F21" i="32"/>
  <c r="E21" i="32"/>
  <c r="C21" i="32"/>
  <c r="G19" i="32"/>
  <c r="F19" i="32"/>
  <c r="E19" i="32"/>
  <c r="C19" i="32"/>
  <c r="F17" i="32"/>
  <c r="C17" i="32"/>
  <c r="H16" i="32"/>
  <c r="I16" i="32" s="1"/>
  <c r="H15" i="32"/>
  <c r="I14" i="32"/>
  <c r="H13" i="32"/>
  <c r="O12" i="32"/>
  <c r="H12" i="32"/>
  <c r="AA11" i="32"/>
  <c r="T11" i="32"/>
  <c r="V11" i="32" s="1"/>
  <c r="Q11" i="32"/>
  <c r="S11" i="32" s="1"/>
  <c r="P11" i="32"/>
  <c r="H11" i="32"/>
  <c r="I69" i="32" s="1"/>
  <c r="AA10" i="32"/>
  <c r="T10" i="32"/>
  <c r="V10" i="32" s="1"/>
  <c r="Q10" i="32"/>
  <c r="S10" i="32" s="1"/>
  <c r="X10" i="32" s="1"/>
  <c r="P10" i="32"/>
  <c r="H10" i="32"/>
  <c r="I10" i="32" s="1"/>
  <c r="AA9" i="32"/>
  <c r="X9" i="32"/>
  <c r="V9" i="32"/>
  <c r="T9" i="32"/>
  <c r="Q9" i="32"/>
  <c r="S9" i="32" s="1"/>
  <c r="P9" i="32"/>
  <c r="Z9" i="32" s="1"/>
  <c r="AB9" i="32" s="1"/>
  <c r="AA8" i="32"/>
  <c r="T8" i="32"/>
  <c r="V8" i="32" s="1"/>
  <c r="Q8" i="32"/>
  <c r="S8" i="32" s="1"/>
  <c r="P8" i="32"/>
  <c r="H8" i="32"/>
  <c r="AA7" i="32"/>
  <c r="T7" i="32"/>
  <c r="V7" i="32" s="1"/>
  <c r="Q7" i="32"/>
  <c r="S7" i="32" s="1"/>
  <c r="P7" i="32"/>
  <c r="H7" i="32"/>
  <c r="AA6" i="32"/>
  <c r="T6" i="32"/>
  <c r="V6" i="32" s="1"/>
  <c r="Q6" i="32"/>
  <c r="S6" i="32" s="1"/>
  <c r="P6" i="32"/>
  <c r="H6" i="32"/>
  <c r="N48" i="32" s="1"/>
  <c r="AA5" i="32"/>
  <c r="T5" i="32"/>
  <c r="V5" i="32" s="1"/>
  <c r="Q5" i="32"/>
  <c r="S5" i="32" s="1"/>
  <c r="X5" i="32" s="1"/>
  <c r="P5" i="32"/>
  <c r="H5" i="32"/>
  <c r="AA4" i="32"/>
  <c r="T4" i="32"/>
  <c r="V4" i="32" s="1"/>
  <c r="Q4" i="32"/>
  <c r="S4" i="32" s="1"/>
  <c r="P4" i="32"/>
  <c r="H4" i="32"/>
  <c r="AA3" i="32"/>
  <c r="T3" i="32"/>
  <c r="Q3" i="32"/>
  <c r="S3" i="32" s="1"/>
  <c r="P3" i="32"/>
  <c r="H3" i="32"/>
  <c r="N45" i="32" s="1"/>
  <c r="AD2" i="32"/>
  <c r="AA2" i="32"/>
  <c r="Z2" i="32"/>
  <c r="X2" i="32"/>
  <c r="V2" i="32"/>
  <c r="T2" i="32"/>
  <c r="Q2" i="32"/>
  <c r="P2" i="32"/>
  <c r="O2" i="32"/>
  <c r="I37" i="33" l="1"/>
  <c r="I39" i="33"/>
  <c r="AD3" i="33"/>
  <c r="AD12" i="33" s="1"/>
  <c r="AC12" i="33"/>
  <c r="AE12" i="33" s="1"/>
  <c r="AE3" i="33"/>
  <c r="H71" i="32"/>
  <c r="N55" i="32"/>
  <c r="J71" i="32"/>
  <c r="I71" i="32"/>
  <c r="N54" i="32"/>
  <c r="J70" i="32"/>
  <c r="D67" i="32"/>
  <c r="N50" i="32"/>
  <c r="J66" i="32"/>
  <c r="N49" i="32"/>
  <c r="J64" i="32"/>
  <c r="N47" i="32"/>
  <c r="I63" i="32"/>
  <c r="N46" i="32"/>
  <c r="I67" i="32"/>
  <c r="H67" i="32"/>
  <c r="X4" i="32"/>
  <c r="Z3" i="32"/>
  <c r="X11" i="32"/>
  <c r="G71" i="32"/>
  <c r="D71" i="32"/>
  <c r="E71" i="32"/>
  <c r="I12" i="32"/>
  <c r="X8" i="32"/>
  <c r="G67" i="32"/>
  <c r="J67" i="32"/>
  <c r="E67" i="32"/>
  <c r="I7" i="32"/>
  <c r="I65" i="32"/>
  <c r="J65" i="32"/>
  <c r="C65" i="32"/>
  <c r="F65" i="32"/>
  <c r="X6" i="32"/>
  <c r="G65" i="32"/>
  <c r="G63" i="32"/>
  <c r="J63" i="32"/>
  <c r="D63" i="32"/>
  <c r="Z4" i="32"/>
  <c r="E63" i="32"/>
  <c r="H63" i="32"/>
  <c r="J62" i="32"/>
  <c r="H62" i="32"/>
  <c r="AC9" i="32"/>
  <c r="G64" i="32"/>
  <c r="C64" i="32"/>
  <c r="F64" i="32"/>
  <c r="H21" i="32"/>
  <c r="D64" i="32"/>
  <c r="I64" i="32"/>
  <c r="E64" i="32"/>
  <c r="H64" i="32"/>
  <c r="I62" i="32"/>
  <c r="E62" i="32"/>
  <c r="D62" i="32"/>
  <c r="G62" i="32"/>
  <c r="C62" i="32"/>
  <c r="F62" i="32"/>
  <c r="G41" i="32"/>
  <c r="I3" i="32"/>
  <c r="T12" i="32"/>
  <c r="V3" i="32"/>
  <c r="V12" i="32" s="1"/>
  <c r="AB4" i="32"/>
  <c r="AA16" i="32"/>
  <c r="AC16" i="32" s="1"/>
  <c r="Z5" i="32"/>
  <c r="AB5" i="32" s="1"/>
  <c r="AC5" i="32" s="1"/>
  <c r="Z8" i="32"/>
  <c r="AB8" i="32" s="1"/>
  <c r="Z10" i="32"/>
  <c r="AB10" i="32" s="1"/>
  <c r="AC10" i="32" s="1"/>
  <c r="Q12" i="32"/>
  <c r="G72" i="32"/>
  <c r="C72" i="32"/>
  <c r="F72" i="32"/>
  <c r="I72" i="32"/>
  <c r="D72" i="32"/>
  <c r="E72" i="32"/>
  <c r="I15" i="32"/>
  <c r="E17" i="32"/>
  <c r="X3" i="32"/>
  <c r="I5" i="32"/>
  <c r="Z7" i="32"/>
  <c r="AB7" i="32" s="1"/>
  <c r="H19" i="32"/>
  <c r="P12" i="32"/>
  <c r="AB3" i="32"/>
  <c r="Z6" i="32"/>
  <c r="AB6" i="32" s="1"/>
  <c r="I66" i="32"/>
  <c r="E66" i="32"/>
  <c r="H66" i="32"/>
  <c r="D66" i="32"/>
  <c r="G66" i="32"/>
  <c r="C66" i="32"/>
  <c r="F66" i="32"/>
  <c r="X7" i="32"/>
  <c r="AC7" i="32" s="1"/>
  <c r="G17" i="32"/>
  <c r="H9" i="32"/>
  <c r="Z11" i="32"/>
  <c r="AB11" i="32" s="1"/>
  <c r="I70" i="32"/>
  <c r="E70" i="32"/>
  <c r="H70" i="32"/>
  <c r="D70" i="32"/>
  <c r="F70" i="32"/>
  <c r="G70" i="32"/>
  <c r="C70" i="32"/>
  <c r="S12" i="32"/>
  <c r="AA15" i="32"/>
  <c r="AC15" i="32" s="1"/>
  <c r="G37" i="32"/>
  <c r="G39" i="32"/>
  <c r="F63" i="32"/>
  <c r="D65" i="32"/>
  <c r="H65" i="32"/>
  <c r="F67" i="32"/>
  <c r="D69" i="32"/>
  <c r="K69" i="32" s="1"/>
  <c r="H31" i="32" s="1"/>
  <c r="I31" i="32" s="1"/>
  <c r="H69" i="32"/>
  <c r="F71" i="32"/>
  <c r="I4" i="32"/>
  <c r="I6" i="32"/>
  <c r="I8" i="32"/>
  <c r="I11" i="32"/>
  <c r="I13" i="32"/>
  <c r="C63" i="32"/>
  <c r="E65" i="32"/>
  <c r="C67" i="32"/>
  <c r="E69" i="32"/>
  <c r="C71" i="32"/>
  <c r="D83" i="31"/>
  <c r="C54" i="41"/>
  <c r="J59" i="41"/>
  <c r="J27" i="41"/>
  <c r="N46" i="31"/>
  <c r="N47" i="31"/>
  <c r="N48" i="31"/>
  <c r="N49" i="31"/>
  <c r="N50" i="31"/>
  <c r="N51" i="31"/>
  <c r="N52" i="31"/>
  <c r="N53" i="31"/>
  <c r="N54" i="31"/>
  <c r="N55" i="31"/>
  <c r="N56" i="31"/>
  <c r="N57" i="31"/>
  <c r="N45" i="31"/>
  <c r="M45" i="31"/>
  <c r="G9" i="31"/>
  <c r="N60" i="32" l="1"/>
  <c r="J77" i="32"/>
  <c r="K63" i="32"/>
  <c r="H25" i="32" s="1"/>
  <c r="I25" i="32" s="1"/>
  <c r="AC4" i="32"/>
  <c r="K70" i="32"/>
  <c r="H32" i="32" s="1"/>
  <c r="I32" i="32" s="1"/>
  <c r="I77" i="32"/>
  <c r="AC8" i="32"/>
  <c r="AE8" i="32" s="1"/>
  <c r="AC6" i="32"/>
  <c r="AE6" i="32" s="1"/>
  <c r="K71" i="32"/>
  <c r="H33" i="32" s="1"/>
  <c r="I33" i="32" s="1"/>
  <c r="AC11" i="32"/>
  <c r="AE11" i="32" s="1"/>
  <c r="J73" i="32"/>
  <c r="K65" i="32"/>
  <c r="H27" i="32" s="1"/>
  <c r="I27" i="32" s="1"/>
  <c r="K62" i="32"/>
  <c r="J75" i="32"/>
  <c r="AE10" i="32"/>
  <c r="AD10" i="32"/>
  <c r="AE4" i="32"/>
  <c r="AD4" i="32"/>
  <c r="G68" i="32"/>
  <c r="C68" i="32"/>
  <c r="C73" i="32" s="1"/>
  <c r="F68" i="32"/>
  <c r="F73" i="32" s="1"/>
  <c r="H68" i="32"/>
  <c r="H73" i="32" s="1"/>
  <c r="D68" i="32"/>
  <c r="I68" i="32"/>
  <c r="E68" i="32"/>
  <c r="E73" i="32" s="1"/>
  <c r="K64" i="32"/>
  <c r="C77" i="32"/>
  <c r="AB12" i="32"/>
  <c r="I21" i="32"/>
  <c r="K72" i="32"/>
  <c r="I9" i="32"/>
  <c r="H17" i="32"/>
  <c r="I75" i="32"/>
  <c r="I73" i="32"/>
  <c r="D77" i="32"/>
  <c r="G77" i="32"/>
  <c r="AD7" i="32"/>
  <c r="AE7" i="32"/>
  <c r="I19" i="32"/>
  <c r="I17" i="32"/>
  <c r="G73" i="32"/>
  <c r="G75" i="32"/>
  <c r="E75" i="32"/>
  <c r="AD8" i="32"/>
  <c r="K67" i="32"/>
  <c r="H29" i="32" s="1"/>
  <c r="I29" i="32" s="1"/>
  <c r="K66" i="32"/>
  <c r="H28" i="32" s="1"/>
  <c r="I28" i="32" s="1"/>
  <c r="X15" i="32"/>
  <c r="AD15" i="32" s="1"/>
  <c r="AE15" i="32" s="1"/>
  <c r="AC3" i="32"/>
  <c r="X12" i="32"/>
  <c r="F75" i="32"/>
  <c r="D75" i="32"/>
  <c r="D73" i="32"/>
  <c r="H77" i="32"/>
  <c r="AE5" i="32"/>
  <c r="AD5" i="32"/>
  <c r="X16" i="32"/>
  <c r="AD16" i="32" s="1"/>
  <c r="AE16" i="32" s="1"/>
  <c r="C75" i="32"/>
  <c r="H75" i="32"/>
  <c r="E77" i="32"/>
  <c r="F77" i="32"/>
  <c r="Z12" i="32"/>
  <c r="AE9" i="32"/>
  <c r="AD9" i="32"/>
  <c r="J70" i="31"/>
  <c r="J71" i="31"/>
  <c r="J69" i="31"/>
  <c r="J68" i="31"/>
  <c r="J63" i="31"/>
  <c r="J64" i="31"/>
  <c r="J65" i="31"/>
  <c r="J66" i="31"/>
  <c r="J67" i="31"/>
  <c r="J62" i="31"/>
  <c r="J72" i="31"/>
  <c r="D30" i="31"/>
  <c r="E9" i="31"/>
  <c r="AD11" i="32" l="1"/>
  <c r="AD6" i="32"/>
  <c r="K75" i="32"/>
  <c r="H24" i="32"/>
  <c r="AC12" i="32"/>
  <c r="AE12" i="32" s="1"/>
  <c r="AD3" i="32"/>
  <c r="AD12" i="32" s="1"/>
  <c r="AE3" i="32"/>
  <c r="K77" i="32"/>
  <c r="H26" i="32"/>
  <c r="K68" i="32"/>
  <c r="H30" i="32" s="1"/>
  <c r="I30" i="32" s="1"/>
  <c r="M46" i="31"/>
  <c r="M47" i="31"/>
  <c r="M48" i="31"/>
  <c r="M49" i="31"/>
  <c r="M50" i="31"/>
  <c r="M51" i="31"/>
  <c r="M52" i="31"/>
  <c r="M53" i="31"/>
  <c r="M54" i="31"/>
  <c r="M55" i="31"/>
  <c r="M56" i="31"/>
  <c r="M57" i="31"/>
  <c r="D63" i="31"/>
  <c r="D69" i="31"/>
  <c r="D72" i="31"/>
  <c r="C84" i="31"/>
  <c r="B84" i="31"/>
  <c r="E83" i="31"/>
  <c r="E84" i="31" s="1"/>
  <c r="I72" i="31"/>
  <c r="E69" i="31"/>
  <c r="G63" i="31"/>
  <c r="E63" i="31"/>
  <c r="F41" i="31"/>
  <c r="E41" i="31"/>
  <c r="D41" i="31"/>
  <c r="C41" i="31"/>
  <c r="F39" i="31"/>
  <c r="E39" i="31"/>
  <c r="D39" i="31"/>
  <c r="C39" i="31"/>
  <c r="F37" i="31"/>
  <c r="E37" i="31"/>
  <c r="D37" i="31"/>
  <c r="C37" i="31"/>
  <c r="G34" i="31"/>
  <c r="I34" i="31" s="1"/>
  <c r="G33" i="31"/>
  <c r="G32" i="31"/>
  <c r="G31" i="31"/>
  <c r="G30" i="31"/>
  <c r="G29" i="31"/>
  <c r="G28" i="31"/>
  <c r="G27" i="31"/>
  <c r="G26" i="31"/>
  <c r="G25" i="31"/>
  <c r="G24" i="31"/>
  <c r="G21" i="31"/>
  <c r="F21" i="31"/>
  <c r="E21" i="31"/>
  <c r="C21" i="31"/>
  <c r="G19" i="31"/>
  <c r="F19" i="31"/>
  <c r="E19" i="31"/>
  <c r="C19" i="31"/>
  <c r="F17" i="31"/>
  <c r="C17" i="31"/>
  <c r="H16" i="31"/>
  <c r="I16" i="31" s="1"/>
  <c r="H15" i="31"/>
  <c r="I14" i="31"/>
  <c r="H13" i="31"/>
  <c r="C71" i="31" s="1"/>
  <c r="O12" i="31"/>
  <c r="H12" i="31"/>
  <c r="I70" i="31" s="1"/>
  <c r="AA11" i="31"/>
  <c r="T11" i="31"/>
  <c r="V11" i="31" s="1"/>
  <c r="S11" i="31"/>
  <c r="Q11" i="31"/>
  <c r="P11" i="31"/>
  <c r="H11" i="31"/>
  <c r="I69" i="31" s="1"/>
  <c r="AA10" i="31"/>
  <c r="T10" i="31"/>
  <c r="V10" i="31" s="1"/>
  <c r="Q10" i="31"/>
  <c r="S10" i="31" s="1"/>
  <c r="P10" i="31"/>
  <c r="H10" i="31"/>
  <c r="I10" i="31" s="1"/>
  <c r="AA9" i="31"/>
  <c r="T9" i="31"/>
  <c r="V9" i="31" s="1"/>
  <c r="X9" i="31" s="1"/>
  <c r="Q9" i="31"/>
  <c r="S9" i="31" s="1"/>
  <c r="P9" i="31"/>
  <c r="H9" i="31"/>
  <c r="AA8" i="31"/>
  <c r="T8" i="31"/>
  <c r="V8" i="31" s="1"/>
  <c r="X8" i="31" s="1"/>
  <c r="Q8" i="31"/>
  <c r="S8" i="31" s="1"/>
  <c r="P8" i="31"/>
  <c r="H8" i="31"/>
  <c r="H67" i="31" s="1"/>
  <c r="AA7" i="31"/>
  <c r="T7" i="31"/>
  <c r="V7" i="31" s="1"/>
  <c r="Q7" i="31"/>
  <c r="S7" i="31" s="1"/>
  <c r="P7" i="31"/>
  <c r="H7" i="31"/>
  <c r="D66" i="31" s="1"/>
  <c r="AA6" i="31"/>
  <c r="T6" i="31"/>
  <c r="V6" i="31" s="1"/>
  <c r="Q6" i="31"/>
  <c r="S6" i="31" s="1"/>
  <c r="P6" i="31"/>
  <c r="H6" i="31"/>
  <c r="AA5" i="31"/>
  <c r="T5" i="31"/>
  <c r="V5" i="31" s="1"/>
  <c r="Q5" i="31"/>
  <c r="S5" i="31" s="1"/>
  <c r="P5" i="31"/>
  <c r="H5" i="31"/>
  <c r="I64" i="31" s="1"/>
  <c r="AA4" i="31"/>
  <c r="V4" i="31"/>
  <c r="X4" i="31" s="1"/>
  <c r="T4" i="31"/>
  <c r="Q4" i="31"/>
  <c r="S4" i="31" s="1"/>
  <c r="P4" i="31"/>
  <c r="I4" i="31"/>
  <c r="H4" i="31"/>
  <c r="H63" i="31" s="1"/>
  <c r="AA3" i="31"/>
  <c r="T3" i="31"/>
  <c r="V3" i="31" s="1"/>
  <c r="S3" i="31"/>
  <c r="Q3" i="31"/>
  <c r="P3" i="31"/>
  <c r="H3" i="31"/>
  <c r="D62" i="31" s="1"/>
  <c r="AD2" i="31"/>
  <c r="AA2" i="31"/>
  <c r="Z2" i="31"/>
  <c r="X2" i="31"/>
  <c r="V2" i="31"/>
  <c r="T2" i="31"/>
  <c r="Q2" i="31"/>
  <c r="P2" i="31"/>
  <c r="O2" i="31"/>
  <c r="I68" i="24"/>
  <c r="H68" i="24"/>
  <c r="F68" i="24"/>
  <c r="E68" i="24"/>
  <c r="D68" i="24"/>
  <c r="H60" i="24"/>
  <c r="I60" i="24"/>
  <c r="F60" i="24"/>
  <c r="E60" i="24"/>
  <c r="D60" i="24"/>
  <c r="H37" i="32" l="1"/>
  <c r="H39" i="32"/>
  <c r="I24" i="32"/>
  <c r="H41" i="32"/>
  <c r="I26" i="32"/>
  <c r="I41" i="32" s="1"/>
  <c r="K73" i="32"/>
  <c r="G70" i="31"/>
  <c r="C66" i="31"/>
  <c r="F66" i="31"/>
  <c r="Z9" i="31"/>
  <c r="AB9" i="31" s="1"/>
  <c r="AC9" i="31" s="1"/>
  <c r="E64" i="31"/>
  <c r="F63" i="31"/>
  <c r="Z4" i="31"/>
  <c r="AB4" i="31" s="1"/>
  <c r="AC4" i="31" s="1"/>
  <c r="H68" i="31"/>
  <c r="G67" i="31"/>
  <c r="F71" i="31"/>
  <c r="D64" i="31"/>
  <c r="X5" i="31"/>
  <c r="T12" i="31"/>
  <c r="C62" i="31"/>
  <c r="D65" i="31"/>
  <c r="AA15" i="31"/>
  <c r="AC15" i="31" s="1"/>
  <c r="I67" i="31"/>
  <c r="H70" i="31"/>
  <c r="G71" i="31"/>
  <c r="C65" i="31"/>
  <c r="D68" i="31"/>
  <c r="Z6" i="31"/>
  <c r="AB6" i="31" s="1"/>
  <c r="I8" i="31"/>
  <c r="I12" i="31"/>
  <c r="F62" i="31"/>
  <c r="H64" i="31"/>
  <c r="E67" i="31"/>
  <c r="K67" i="31" s="1"/>
  <c r="H29" i="31" s="1"/>
  <c r="I29" i="31" s="1"/>
  <c r="C70" i="31"/>
  <c r="I71" i="31"/>
  <c r="C64" i="31"/>
  <c r="D71" i="31"/>
  <c r="D67" i="31"/>
  <c r="D75" i="31"/>
  <c r="AA16" i="31"/>
  <c r="AC16" i="31" s="1"/>
  <c r="X6" i="31"/>
  <c r="Z7" i="31"/>
  <c r="AB7" i="31" s="1"/>
  <c r="Z8" i="31"/>
  <c r="AB8" i="31" s="1"/>
  <c r="AC8" i="31" s="1"/>
  <c r="I9" i="31"/>
  <c r="X10" i="31"/>
  <c r="Z11" i="31"/>
  <c r="AB11" i="31" s="1"/>
  <c r="H19" i="31"/>
  <c r="G62" i="31"/>
  <c r="G75" i="31" s="1"/>
  <c r="I63" i="31"/>
  <c r="F67" i="31"/>
  <c r="F70" i="31"/>
  <c r="C67" i="31"/>
  <c r="C63" i="31"/>
  <c r="K63" i="31" s="1"/>
  <c r="H25" i="31" s="1"/>
  <c r="I25" i="31" s="1"/>
  <c r="D70" i="31"/>
  <c r="V12" i="31"/>
  <c r="F65" i="31"/>
  <c r="Z10" i="31"/>
  <c r="AB10" i="31" s="1"/>
  <c r="I65" i="31"/>
  <c r="Q12" i="31"/>
  <c r="Z3" i="31"/>
  <c r="I6" i="31"/>
  <c r="I66" i="31"/>
  <c r="E66" i="31"/>
  <c r="X7" i="31"/>
  <c r="G72" i="31"/>
  <c r="C72" i="31"/>
  <c r="K72" i="31" s="1"/>
  <c r="E17" i="31"/>
  <c r="G41" i="31"/>
  <c r="G39" i="31"/>
  <c r="E65" i="31"/>
  <c r="G66" i="31"/>
  <c r="I68" i="31"/>
  <c r="I62" i="31"/>
  <c r="E62" i="31"/>
  <c r="H17" i="31"/>
  <c r="X3" i="31"/>
  <c r="Z5" i="31"/>
  <c r="AB5" i="31" s="1"/>
  <c r="I7" i="31"/>
  <c r="G68" i="31"/>
  <c r="C68" i="31"/>
  <c r="F69" i="31"/>
  <c r="X11" i="31"/>
  <c r="P12" i="31"/>
  <c r="I15" i="31"/>
  <c r="H62" i="31"/>
  <c r="G65" i="31"/>
  <c r="H66" i="31"/>
  <c r="E68" i="31"/>
  <c r="G69" i="31"/>
  <c r="E72" i="31"/>
  <c r="I3" i="31"/>
  <c r="G64" i="31"/>
  <c r="H21" i="31"/>
  <c r="I5" i="31"/>
  <c r="I11" i="31"/>
  <c r="S12" i="31"/>
  <c r="H71" i="31"/>
  <c r="I13" i="31"/>
  <c r="G17" i="31"/>
  <c r="G37" i="31"/>
  <c r="D84" i="31"/>
  <c r="F64" i="31"/>
  <c r="H65" i="31"/>
  <c r="F68" i="31"/>
  <c r="C69" i="31"/>
  <c r="H69" i="31"/>
  <c r="E71" i="31"/>
  <c r="F72" i="31"/>
  <c r="E70" i="31"/>
  <c r="D74" i="24"/>
  <c r="I39" i="32" l="1"/>
  <c r="I37" i="32"/>
  <c r="D77" i="31"/>
  <c r="AC5" i="31"/>
  <c r="AC10" i="31"/>
  <c r="AD10" i="31" s="1"/>
  <c r="AC6" i="31"/>
  <c r="AD6" i="31" s="1"/>
  <c r="N60" i="31"/>
  <c r="AC11" i="31"/>
  <c r="AD11" i="31" s="1"/>
  <c r="AC7" i="31"/>
  <c r="AD7" i="31" s="1"/>
  <c r="F75" i="31"/>
  <c r="K70" i="31"/>
  <c r="H32" i="31" s="1"/>
  <c r="I32" i="31" s="1"/>
  <c r="D73" i="31"/>
  <c r="AE8" i="31"/>
  <c r="AD8" i="31"/>
  <c r="H77" i="31"/>
  <c r="G73" i="31"/>
  <c r="I77" i="31"/>
  <c r="J77" i="31"/>
  <c r="F77" i="31"/>
  <c r="AE5" i="31"/>
  <c r="AD5" i="31"/>
  <c r="I21" i="31"/>
  <c r="I19" i="31"/>
  <c r="I17" i="31"/>
  <c r="E77" i="31"/>
  <c r="I75" i="31"/>
  <c r="I73" i="31"/>
  <c r="K69" i="31"/>
  <c r="H31" i="31" s="1"/>
  <c r="I31" i="31" s="1"/>
  <c r="K65" i="31"/>
  <c r="H27" i="31" s="1"/>
  <c r="I27" i="31" s="1"/>
  <c r="H75" i="31"/>
  <c r="H73" i="31"/>
  <c r="K68" i="31"/>
  <c r="H30" i="31" s="1"/>
  <c r="I30" i="31" s="1"/>
  <c r="X15" i="31"/>
  <c r="AD15" i="31" s="1"/>
  <c r="AE15" i="31" s="1"/>
  <c r="X12" i="31"/>
  <c r="K64" i="31"/>
  <c r="C77" i="31"/>
  <c r="K66" i="31"/>
  <c r="H28" i="31" s="1"/>
  <c r="I28" i="31" s="1"/>
  <c r="C73" i="31"/>
  <c r="C75" i="31"/>
  <c r="K62" i="31"/>
  <c r="AE11" i="31"/>
  <c r="AB3" i="31"/>
  <c r="AB12" i="31" s="1"/>
  <c r="Z12" i="31"/>
  <c r="F73" i="31"/>
  <c r="AD9" i="31"/>
  <c r="AE9" i="31"/>
  <c r="X16" i="31"/>
  <c r="AD16" i="31" s="1"/>
  <c r="AE16" i="31" s="1"/>
  <c r="K71" i="31"/>
  <c r="H33" i="31" s="1"/>
  <c r="I33" i="31" s="1"/>
  <c r="J75" i="31"/>
  <c r="J73" i="31"/>
  <c r="G77" i="31"/>
  <c r="E75" i="31"/>
  <c r="E73" i="31"/>
  <c r="AD4" i="31"/>
  <c r="AE4" i="31"/>
  <c r="N79" i="24"/>
  <c r="O79" i="24"/>
  <c r="O80" i="24"/>
  <c r="D80" i="24"/>
  <c r="F84" i="24"/>
  <c r="F85" i="24" s="1"/>
  <c r="F74" i="24" s="1"/>
  <c r="G84" i="24"/>
  <c r="G85" i="24" s="1"/>
  <c r="G74" i="24" s="1"/>
  <c r="H84" i="24"/>
  <c r="H85" i="24" s="1"/>
  <c r="H74" i="24" s="1"/>
  <c r="I84" i="24"/>
  <c r="J84" i="24"/>
  <c r="E84" i="24"/>
  <c r="E85" i="24" s="1"/>
  <c r="E74" i="24" s="1"/>
  <c r="D85" i="24"/>
  <c r="AE10" i="31" l="1"/>
  <c r="AE6" i="31"/>
  <c r="AE7" i="31"/>
  <c r="AC3" i="31"/>
  <c r="AD3" i="31" s="1"/>
  <c r="AD12" i="31" s="1"/>
  <c r="H26" i="31"/>
  <c r="K77" i="31"/>
  <c r="K73" i="31"/>
  <c r="K75" i="31"/>
  <c r="H24" i="31"/>
  <c r="O81" i="24"/>
  <c r="O75" i="24" s="1"/>
  <c r="I85" i="24"/>
  <c r="I74" i="24" s="1"/>
  <c r="AC12" i="31" l="1"/>
  <c r="AE12" i="31" s="1"/>
  <c r="AE3" i="31"/>
  <c r="H39" i="31"/>
  <c r="H37" i="31"/>
  <c r="I24" i="31"/>
  <c r="I26" i="31"/>
  <c r="I41" i="31" s="1"/>
  <c r="H41" i="31"/>
  <c r="F59" i="41"/>
  <c r="G56" i="41"/>
  <c r="D56" i="41"/>
  <c r="E36" i="41"/>
  <c r="F36" i="41" s="1"/>
  <c r="G36" i="41" s="1"/>
  <c r="H36" i="41" s="1"/>
  <c r="I36" i="41" s="1"/>
  <c r="D55" i="24"/>
  <c r="E69" i="24"/>
  <c r="E59" i="41" s="1"/>
  <c r="F69" i="24"/>
  <c r="D69" i="24"/>
  <c r="D59" i="41" s="1"/>
  <c r="F61" i="24"/>
  <c r="E61" i="24"/>
  <c r="D61" i="24"/>
  <c r="D27" i="41"/>
  <c r="I37" i="31" l="1"/>
  <c r="I39" i="31"/>
  <c r="D49" i="41"/>
  <c r="D16" i="41"/>
  <c r="D17" i="41"/>
  <c r="H24" i="41"/>
  <c r="E24" i="41"/>
  <c r="E27" i="41"/>
  <c r="F27" i="41"/>
  <c r="D22" i="41"/>
  <c r="D23" i="41" s="1"/>
  <c r="E4" i="41"/>
  <c r="F4" i="41" s="1"/>
  <c r="G4" i="41" s="1"/>
  <c r="H4" i="41" s="1"/>
  <c r="I4" i="41" s="1"/>
  <c r="J4" i="41" s="1"/>
  <c r="AL63" i="41"/>
  <c r="J56" i="41"/>
  <c r="AL55" i="41"/>
  <c r="Z55" i="41"/>
  <c r="N55" i="41"/>
  <c r="AM55" i="41"/>
  <c r="AA55" i="41"/>
  <c r="P54" i="41"/>
  <c r="O55" i="41"/>
  <c r="Z39" i="41"/>
  <c r="Y39" i="41"/>
  <c r="AK39" i="41" s="1"/>
  <c r="AL39" i="41" s="1"/>
  <c r="N39" i="41"/>
  <c r="O37" i="41"/>
  <c r="J36" i="41"/>
  <c r="AL31" i="41"/>
  <c r="K24" i="41"/>
  <c r="C23" i="41"/>
  <c r="P22" i="41"/>
  <c r="Q22" i="41" s="1"/>
  <c r="R22" i="41" s="1"/>
  <c r="S22" i="41" s="1"/>
  <c r="T22" i="41" s="1"/>
  <c r="U22" i="41" s="1"/>
  <c r="V22" i="41" s="1"/>
  <c r="W22" i="41" s="1"/>
  <c r="X22" i="41" s="1"/>
  <c r="Y22" i="41" s="1"/>
  <c r="AB22" i="41" s="1"/>
  <c r="AC22" i="41" s="1"/>
  <c r="AD22" i="41" s="1"/>
  <c r="AE22" i="41" s="1"/>
  <c r="AF22" i="41" s="1"/>
  <c r="AG22" i="41" s="1"/>
  <c r="AH22" i="41" s="1"/>
  <c r="AI22" i="41" s="1"/>
  <c r="AJ22" i="41" s="1"/>
  <c r="AK22" i="41" s="1"/>
  <c r="AN22" i="41" s="1"/>
  <c r="AO22" i="41" s="1"/>
  <c r="AP22" i="41" s="1"/>
  <c r="AQ22" i="41" s="1"/>
  <c r="AR22" i="41" s="1"/>
  <c r="AS22" i="41" s="1"/>
  <c r="AT22" i="41" s="1"/>
  <c r="AU22" i="41" s="1"/>
  <c r="AV22" i="41" s="1"/>
  <c r="AW22" i="41" s="1"/>
  <c r="C21" i="41"/>
  <c r="N7" i="41"/>
  <c r="M7" i="41"/>
  <c r="Y7" i="41" s="1"/>
  <c r="Z7" i="41" s="1"/>
  <c r="AA5" i="41"/>
  <c r="AM5" i="41" s="1"/>
  <c r="AK7" i="41" l="1"/>
  <c r="AL7" i="41" s="1"/>
  <c r="AA37" i="41"/>
  <c r="AN54" i="41"/>
  <c r="AN55" i="41" s="1"/>
  <c r="E16" i="41"/>
  <c r="I24" i="41"/>
  <c r="I56" i="41" s="1"/>
  <c r="H56" i="41"/>
  <c r="E22" i="41"/>
  <c r="D54" i="41"/>
  <c r="D48" i="41"/>
  <c r="AB54" i="41"/>
  <c r="AB55" i="41" s="1"/>
  <c r="F24" i="41"/>
  <c r="F56" i="41" s="1"/>
  <c r="E56" i="41"/>
  <c r="C55" i="41"/>
  <c r="E17" i="41"/>
  <c r="K4" i="41"/>
  <c r="Q54" i="41"/>
  <c r="P55" i="41"/>
  <c r="L4" i="41"/>
  <c r="AM37" i="41"/>
  <c r="L24" i="41"/>
  <c r="K56" i="41"/>
  <c r="K36" i="41"/>
  <c r="F17" i="41" l="1"/>
  <c r="AC54" i="41"/>
  <c r="AD54" i="41" s="1"/>
  <c r="E48" i="41"/>
  <c r="AO54" i="41"/>
  <c r="D55" i="41"/>
  <c r="E54" i="41"/>
  <c r="E49" i="41"/>
  <c r="F49" i="41" s="1"/>
  <c r="F22" i="41"/>
  <c r="E23" i="41"/>
  <c r="F16" i="41"/>
  <c r="L56" i="41"/>
  <c r="M4" i="41"/>
  <c r="O7" i="41" s="1"/>
  <c r="N10" i="41" s="1"/>
  <c r="L36" i="41"/>
  <c r="Q55" i="41"/>
  <c r="R54" i="41"/>
  <c r="AC55" i="41" l="1"/>
  <c r="AP54" i="41"/>
  <c r="AO55" i="41"/>
  <c r="G22" i="41"/>
  <c r="F23" i="41"/>
  <c r="F54" i="41"/>
  <c r="E55" i="41"/>
  <c r="G16" i="41"/>
  <c r="H16" i="41" s="1"/>
  <c r="F48" i="41"/>
  <c r="M36" i="41"/>
  <c r="R55" i="41"/>
  <c r="S54" i="41"/>
  <c r="M56" i="41"/>
  <c r="N24" i="41"/>
  <c r="AD55" i="41"/>
  <c r="AE54" i="41"/>
  <c r="AQ54" i="41" l="1"/>
  <c r="AP55" i="41"/>
  <c r="G48" i="41"/>
  <c r="G54" i="41"/>
  <c r="F55" i="41"/>
  <c r="H22" i="41"/>
  <c r="G23" i="41"/>
  <c r="AE55" i="41"/>
  <c r="AF54" i="41"/>
  <c r="N56" i="41"/>
  <c r="O24" i="41"/>
  <c r="S55" i="41"/>
  <c r="T54" i="41"/>
  <c r="O39" i="41"/>
  <c r="N42" i="41" s="1"/>
  <c r="AQ55" i="41" l="1"/>
  <c r="AR54" i="41"/>
  <c r="I22" i="41"/>
  <c r="H23" i="41"/>
  <c r="I16" i="41"/>
  <c r="H54" i="41"/>
  <c r="G55" i="41"/>
  <c r="H48" i="41"/>
  <c r="AF55" i="41"/>
  <c r="AG54" i="41"/>
  <c r="P24" i="41"/>
  <c r="O56" i="41"/>
  <c r="U54" i="41"/>
  <c r="T55" i="41"/>
  <c r="J16" i="41" l="1"/>
  <c r="AR55" i="41"/>
  <c r="AS54" i="41"/>
  <c r="I48" i="41"/>
  <c r="H55" i="41"/>
  <c r="I54" i="41"/>
  <c r="I23" i="41"/>
  <c r="J22" i="41"/>
  <c r="K16" i="41" s="1"/>
  <c r="P56" i="41"/>
  <c r="P47" i="41" s="1"/>
  <c r="P15" i="41"/>
  <c r="Q24" i="41"/>
  <c r="U55" i="41"/>
  <c r="V54" i="41"/>
  <c r="AH54" i="41"/>
  <c r="AG55" i="41"/>
  <c r="AT54" i="41" l="1"/>
  <c r="AS55" i="41"/>
  <c r="J23" i="41"/>
  <c r="K22" i="41"/>
  <c r="I55" i="41"/>
  <c r="J54" i="41"/>
  <c r="J48" i="41"/>
  <c r="AH55" i="41"/>
  <c r="AI54" i="41"/>
  <c r="V55" i="41"/>
  <c r="W54" i="41"/>
  <c r="R24" i="41"/>
  <c r="Q56" i="41"/>
  <c r="Q15" i="41"/>
  <c r="AU54" i="41" l="1"/>
  <c r="AT55" i="41"/>
  <c r="J55" i="41"/>
  <c r="K54" i="41"/>
  <c r="Q47" i="41"/>
  <c r="K48" i="41"/>
  <c r="K23" i="41"/>
  <c r="L22" i="41"/>
  <c r="L16" i="41"/>
  <c r="W55" i="41"/>
  <c r="X54" i="41"/>
  <c r="AI55" i="41"/>
  <c r="AJ54" i="41"/>
  <c r="R15" i="41"/>
  <c r="R56" i="41"/>
  <c r="R47" i="41" s="1"/>
  <c r="S24" i="41"/>
  <c r="AU55" i="41" l="1"/>
  <c r="AV54" i="41"/>
  <c r="M22" i="41"/>
  <c r="M23" i="41" s="1"/>
  <c r="L23" i="41"/>
  <c r="L48" i="41"/>
  <c r="K55" i="41"/>
  <c r="L54" i="41"/>
  <c r="M16" i="41"/>
  <c r="S15" i="41"/>
  <c r="S56" i="41"/>
  <c r="S47" i="41" s="1"/>
  <c r="T24" i="41"/>
  <c r="AK54" i="41"/>
  <c r="AK55" i="41" s="1"/>
  <c r="AJ55" i="41"/>
  <c r="Y54" i="41"/>
  <c r="Y55" i="41" s="1"/>
  <c r="X55" i="41"/>
  <c r="M48" i="41" l="1"/>
  <c r="AW54" i="41"/>
  <c r="AW55" i="41" s="1"/>
  <c r="AV55" i="41"/>
  <c r="M54" i="41"/>
  <c r="L55" i="41"/>
  <c r="T56" i="41"/>
  <c r="T47" i="41" s="1"/>
  <c r="U24" i="41"/>
  <c r="T15" i="41"/>
  <c r="M55" i="41" l="1"/>
  <c r="U15" i="41"/>
  <c r="U56" i="41"/>
  <c r="U47" i="41" s="1"/>
  <c r="V24" i="41"/>
  <c r="V15" i="41" l="1"/>
  <c r="V56" i="41"/>
  <c r="V47" i="41" s="1"/>
  <c r="W24" i="41"/>
  <c r="X24" i="41" l="1"/>
  <c r="W56" i="41"/>
  <c r="W47" i="41" s="1"/>
  <c r="W15" i="41"/>
  <c r="X15" i="41" l="1"/>
  <c r="X56" i="41"/>
  <c r="X47" i="41" s="1"/>
  <c r="Y24" i="41"/>
  <c r="Y56" i="41" l="1"/>
  <c r="Y47" i="41" s="1"/>
  <c r="Z24" i="41"/>
  <c r="Y15" i="41"/>
  <c r="Z15" i="41" l="1"/>
  <c r="Z56" i="41"/>
  <c r="Z47" i="41" s="1"/>
  <c r="AA24" i="41"/>
  <c r="AA56" i="41" l="1"/>
  <c r="AA47" i="41" s="1"/>
  <c r="AB24" i="41"/>
  <c r="AA15" i="41"/>
  <c r="AB56" i="41" l="1"/>
  <c r="AB47" i="41" s="1"/>
  <c r="AC24" i="41"/>
  <c r="AB15" i="41"/>
  <c r="AB16" i="41"/>
  <c r="AC16" i="41" l="1"/>
  <c r="AC15" i="41"/>
  <c r="AB48" i="41"/>
  <c r="AC56" i="41"/>
  <c r="AC47" i="41" s="1"/>
  <c r="AD24" i="41"/>
  <c r="AD56" i="41" l="1"/>
  <c r="AD47" i="41" s="1"/>
  <c r="AE24" i="41"/>
  <c r="AC48" i="41"/>
  <c r="AD15" i="41"/>
  <c r="AD16" i="41"/>
  <c r="AE16" i="41" l="1"/>
  <c r="AD48" i="41"/>
  <c r="AF24" i="41"/>
  <c r="AE56" i="41"/>
  <c r="AE47" i="41" s="1"/>
  <c r="AE15" i="41"/>
  <c r="AF15" i="41" l="1"/>
  <c r="AF56" i="41"/>
  <c r="AF47" i="41" s="1"/>
  <c r="AG24" i="41"/>
  <c r="AE48" i="41"/>
  <c r="AF16" i="41"/>
  <c r="AF48" i="41" l="1"/>
  <c r="AG56" i="41"/>
  <c r="AG47" i="41" s="1"/>
  <c r="AH24" i="41"/>
  <c r="AG16" i="41"/>
  <c r="AG15" i="41"/>
  <c r="AH16" i="41" l="1"/>
  <c r="AH56" i="41"/>
  <c r="AH47" i="41" s="1"/>
  <c r="AI24" i="41"/>
  <c r="AH15" i="41"/>
  <c r="AG48" i="41"/>
  <c r="AH48" i="41" l="1"/>
  <c r="AI16" i="41"/>
  <c r="AI15" i="41"/>
  <c r="AI56" i="41"/>
  <c r="AI47" i="41" s="1"/>
  <c r="AJ24" i="41"/>
  <c r="AI48" i="41" l="1"/>
  <c r="AJ56" i="41"/>
  <c r="AJ48" i="41" s="1"/>
  <c r="AK24" i="41"/>
  <c r="AJ15" i="41"/>
  <c r="AJ16" i="41"/>
  <c r="AJ47" i="41" l="1"/>
  <c r="AK16" i="41"/>
  <c r="AK15" i="41"/>
  <c r="AK56" i="41"/>
  <c r="AK48" i="41" s="1"/>
  <c r="AL24" i="41"/>
  <c r="AM24" i="41" l="1"/>
  <c r="AL56" i="41"/>
  <c r="AK47" i="41"/>
  <c r="AL15" i="41"/>
  <c r="AM15" i="41" l="1"/>
  <c r="AL47" i="41"/>
  <c r="AN24" i="41"/>
  <c r="AM56" i="41"/>
  <c r="AN56" i="41" l="1"/>
  <c r="AN47" i="41" s="1"/>
  <c r="AN15" i="41"/>
  <c r="AO24" i="41"/>
  <c r="AM47" i="41"/>
  <c r="AN16" i="41"/>
  <c r="AO16" i="41" l="1"/>
  <c r="AN48" i="41"/>
  <c r="AO56" i="41"/>
  <c r="AO47" i="41" s="1"/>
  <c r="AP24" i="41"/>
  <c r="AO15" i="41"/>
  <c r="AP16" i="41" l="1"/>
  <c r="AP15" i="41"/>
  <c r="AP56" i="41"/>
  <c r="AP47" i="41" s="1"/>
  <c r="AQ24" i="41"/>
  <c r="AO48" i="41"/>
  <c r="AR24" i="41" l="1"/>
  <c r="AQ56" i="41"/>
  <c r="AQ47" i="41" s="1"/>
  <c r="AQ15" i="41"/>
  <c r="AP48" i="41"/>
  <c r="AQ16" i="41"/>
  <c r="AQ48" i="41" l="1"/>
  <c r="AR15" i="41"/>
  <c r="AR56" i="41"/>
  <c r="AS24" i="41"/>
  <c r="AR16" i="41"/>
  <c r="AR48" i="41" l="1"/>
  <c r="AS16" i="41"/>
  <c r="AR47" i="41"/>
  <c r="AS15" i="41"/>
  <c r="AS56" i="41"/>
  <c r="AT24" i="41"/>
  <c r="AS47" i="41" l="1"/>
  <c r="AS48" i="41"/>
  <c r="AT56" i="41"/>
  <c r="AT48" i="41" s="1"/>
  <c r="AU24" i="41"/>
  <c r="AT15" i="41"/>
  <c r="AT16" i="41"/>
  <c r="AU16" i="41" l="1"/>
  <c r="AT47" i="41"/>
  <c r="AV24" i="41"/>
  <c r="AU56" i="41"/>
  <c r="AU15" i="41"/>
  <c r="AU47" i="41" l="1"/>
  <c r="AU48" i="41"/>
  <c r="AV15" i="41"/>
  <c r="AV56" i="41"/>
  <c r="AW24" i="41"/>
  <c r="AV16" i="41"/>
  <c r="AV47" i="41" l="1"/>
  <c r="AW16" i="41"/>
  <c r="AV48" i="41"/>
  <c r="AW15" i="41"/>
  <c r="AW56" i="41"/>
  <c r="AW47" i="41" s="1"/>
  <c r="AK31" i="41" l="1"/>
  <c r="AJ63" i="41"/>
  <c r="AW48" i="41"/>
  <c r="AK63" i="41"/>
  <c r="AG31" i="41" l="1"/>
  <c r="AC31" i="41"/>
  <c r="AI31" i="41"/>
  <c r="AB31" i="41"/>
  <c r="AJ31" i="41"/>
  <c r="AA31" i="41"/>
  <c r="AI63" i="41"/>
  <c r="AE63" i="41"/>
  <c r="AC63" i="41"/>
  <c r="AG63" i="41"/>
  <c r="AF63" i="41"/>
  <c r="AH63" i="41"/>
  <c r="AA63" i="41"/>
  <c r="AD63" i="41"/>
  <c r="AB63" i="41"/>
  <c r="AH31" i="41" l="1"/>
  <c r="AD31" i="41"/>
  <c r="AE31" i="41"/>
  <c r="AF31" i="41"/>
  <c r="AW31" i="41" l="1"/>
  <c r="AO31" i="41" l="1"/>
  <c r="AM31" i="41"/>
  <c r="AU31" i="41"/>
  <c r="AV31" i="41"/>
  <c r="AT31" i="41"/>
  <c r="AW63" i="41"/>
  <c r="AR31" i="41" l="1"/>
  <c r="AN31" i="41"/>
  <c r="AS31" i="41"/>
  <c r="AP31" i="41"/>
  <c r="AQ31" i="41"/>
  <c r="AP63" i="41"/>
  <c r="AR63" i="41"/>
  <c r="AM63" i="41"/>
  <c r="AV63" i="41"/>
  <c r="AO63" i="41"/>
  <c r="AS63" i="41"/>
  <c r="AQ63" i="41"/>
  <c r="AN63" i="41"/>
  <c r="AT63" i="41" l="1"/>
  <c r="AU63" i="41"/>
  <c r="D67" i="30" l="1"/>
  <c r="D68" i="30"/>
  <c r="D63" i="30"/>
  <c r="D64" i="30"/>
  <c r="D65" i="30"/>
  <c r="D66" i="30"/>
  <c r="D69" i="30"/>
  <c r="D70" i="30"/>
  <c r="D71" i="30"/>
  <c r="D72" i="30"/>
  <c r="D62" i="30"/>
  <c r="O69" i="24" l="1"/>
  <c r="N69" i="24"/>
  <c r="M70" i="24"/>
  <c r="M69" i="24" s="1"/>
  <c r="L70" i="24"/>
  <c r="L69" i="24" s="1"/>
  <c r="K70" i="24"/>
  <c r="K69" i="24" s="1"/>
  <c r="K59" i="41" s="1"/>
  <c r="J70" i="24"/>
  <c r="J69" i="24" s="1"/>
  <c r="O62" i="24"/>
  <c r="O61" i="24" s="1"/>
  <c r="N61" i="24"/>
  <c r="M62" i="24"/>
  <c r="M61" i="24" s="1"/>
  <c r="M27" i="41" s="1"/>
  <c r="L62" i="24"/>
  <c r="L61" i="24" s="1"/>
  <c r="K62" i="24"/>
  <c r="K61" i="24" s="1"/>
  <c r="K27" i="41" s="1"/>
  <c r="J62" i="24"/>
  <c r="J61" i="24" s="1"/>
  <c r="I35" i="24" l="1"/>
  <c r="I40" i="24"/>
  <c r="I41" i="24"/>
  <c r="N41" i="24"/>
  <c r="L41" i="24"/>
  <c r="K41" i="24"/>
  <c r="J41" i="24"/>
  <c r="N40" i="24"/>
  <c r="M40" i="24"/>
  <c r="L40" i="24"/>
  <c r="K40" i="24"/>
  <c r="J40" i="24"/>
  <c r="N39" i="24"/>
  <c r="M39" i="24"/>
  <c r="L39" i="24"/>
  <c r="K39" i="24"/>
  <c r="J39" i="24"/>
  <c r="N35" i="24"/>
  <c r="M35" i="24"/>
  <c r="L35" i="24"/>
  <c r="K35" i="24"/>
  <c r="J35" i="24"/>
  <c r="D83" i="30"/>
  <c r="K57" i="30" l="1"/>
  <c r="L57" i="30" s="1"/>
  <c r="L56" i="30"/>
  <c r="K56" i="30"/>
  <c r="K55" i="30"/>
  <c r="L55" i="30" s="1"/>
  <c r="L54" i="30"/>
  <c r="K54" i="30"/>
  <c r="K53" i="30"/>
  <c r="L53" i="30" s="1"/>
  <c r="L52" i="30"/>
  <c r="K52" i="30"/>
  <c r="K51" i="30"/>
  <c r="L51" i="30" s="1"/>
  <c r="L50" i="30"/>
  <c r="K50" i="30"/>
  <c r="K49" i="30"/>
  <c r="L49" i="30" s="1"/>
  <c r="L48" i="30"/>
  <c r="K48" i="30"/>
  <c r="K47" i="30"/>
  <c r="L47" i="30" s="1"/>
  <c r="L46" i="30"/>
  <c r="K46" i="30"/>
  <c r="K45" i="30"/>
  <c r="L45" i="30" s="1"/>
  <c r="L60" i="30" l="1"/>
  <c r="K63" i="30"/>
  <c r="K62" i="30"/>
  <c r="D77" i="30"/>
  <c r="F77" i="30"/>
  <c r="D75" i="30"/>
  <c r="D73" i="30"/>
  <c r="C69" i="30"/>
  <c r="C62" i="30"/>
  <c r="K75" i="30" l="1"/>
  <c r="E9" i="30"/>
  <c r="G9" i="30"/>
  <c r="D3" i="30" l="1"/>
  <c r="C84" i="30"/>
  <c r="B84" i="30"/>
  <c r="E83" i="30"/>
  <c r="E84" i="30" s="1"/>
  <c r="D84" i="30"/>
  <c r="F41" i="30"/>
  <c r="E41" i="30"/>
  <c r="D41" i="30"/>
  <c r="C41" i="30"/>
  <c r="F39" i="30"/>
  <c r="E39" i="30"/>
  <c r="D39" i="30"/>
  <c r="C39" i="30"/>
  <c r="F37" i="30"/>
  <c r="E37" i="30"/>
  <c r="C37" i="30"/>
  <c r="G34" i="30"/>
  <c r="I34" i="30" s="1"/>
  <c r="G33" i="30"/>
  <c r="G32" i="30"/>
  <c r="G31" i="30"/>
  <c r="G30" i="30"/>
  <c r="D37" i="30"/>
  <c r="G29" i="30"/>
  <c r="G28" i="30"/>
  <c r="G27" i="30"/>
  <c r="G26" i="30"/>
  <c r="G25" i="30"/>
  <c r="G24" i="30"/>
  <c r="G21" i="30"/>
  <c r="F21" i="30"/>
  <c r="E21" i="30"/>
  <c r="C21" i="30"/>
  <c r="G19" i="30"/>
  <c r="F19" i="30"/>
  <c r="E19" i="30"/>
  <c r="C19" i="30"/>
  <c r="F17" i="30"/>
  <c r="E17" i="30"/>
  <c r="C17" i="30"/>
  <c r="H16" i="30"/>
  <c r="H15" i="30"/>
  <c r="I14" i="30"/>
  <c r="H13" i="30"/>
  <c r="H71" i="30" s="1"/>
  <c r="D13" i="30"/>
  <c r="O12" i="30"/>
  <c r="H12" i="30"/>
  <c r="H70" i="30" s="1"/>
  <c r="D12" i="30"/>
  <c r="AA11" i="30"/>
  <c r="T11" i="30"/>
  <c r="Q11" i="30"/>
  <c r="S11" i="30" s="1"/>
  <c r="P11" i="30"/>
  <c r="H11" i="30"/>
  <c r="J69" i="30" s="1"/>
  <c r="D11" i="30"/>
  <c r="AA10" i="30"/>
  <c r="T10" i="30"/>
  <c r="V10" i="30" s="1"/>
  <c r="Q10" i="30"/>
  <c r="S10" i="30" s="1"/>
  <c r="P10" i="30"/>
  <c r="H10" i="30"/>
  <c r="I10" i="30" s="1"/>
  <c r="AA9" i="30"/>
  <c r="V9" i="30"/>
  <c r="T9" i="30"/>
  <c r="Q9" i="30"/>
  <c r="S9" i="30" s="1"/>
  <c r="P9" i="30"/>
  <c r="Z9" i="30" s="1"/>
  <c r="AB9" i="30" s="1"/>
  <c r="G17" i="30"/>
  <c r="AA8" i="30"/>
  <c r="T8" i="30"/>
  <c r="V8" i="30" s="1"/>
  <c r="Q8" i="30"/>
  <c r="S8" i="30" s="1"/>
  <c r="X8" i="30" s="1"/>
  <c r="P8" i="30"/>
  <c r="H8" i="30"/>
  <c r="H67" i="30" s="1"/>
  <c r="D8" i="30"/>
  <c r="AA7" i="30"/>
  <c r="T7" i="30"/>
  <c r="V7" i="30" s="1"/>
  <c r="Q7" i="30"/>
  <c r="S7" i="30" s="1"/>
  <c r="X7" i="30" s="1"/>
  <c r="P7" i="30"/>
  <c r="H7" i="30"/>
  <c r="F66" i="30" s="1"/>
  <c r="D7" i="30"/>
  <c r="AA6" i="30"/>
  <c r="T6" i="30"/>
  <c r="V6" i="30" s="1"/>
  <c r="Q6" i="30"/>
  <c r="S6" i="30" s="1"/>
  <c r="X6" i="30" s="1"/>
  <c r="P6" i="30"/>
  <c r="H6" i="30"/>
  <c r="J65" i="30" s="1"/>
  <c r="D6" i="30"/>
  <c r="AA5" i="30"/>
  <c r="T5" i="30"/>
  <c r="V5" i="30" s="1"/>
  <c r="Q5" i="30"/>
  <c r="S5" i="30" s="1"/>
  <c r="P5" i="30"/>
  <c r="H5" i="30"/>
  <c r="H64" i="30" s="1"/>
  <c r="D5" i="30"/>
  <c r="AA4" i="30"/>
  <c r="T4" i="30"/>
  <c r="V4" i="30" s="1"/>
  <c r="Q4" i="30"/>
  <c r="S4" i="30" s="1"/>
  <c r="P4" i="30"/>
  <c r="H4" i="30"/>
  <c r="H63" i="30" s="1"/>
  <c r="D4" i="30"/>
  <c r="AA3" i="30"/>
  <c r="T3" i="30"/>
  <c r="V3" i="30" s="1"/>
  <c r="Q3" i="30"/>
  <c r="S3" i="30" s="1"/>
  <c r="P3" i="30"/>
  <c r="H3" i="30"/>
  <c r="AD2" i="30"/>
  <c r="AA2" i="30"/>
  <c r="Z2" i="30"/>
  <c r="X2" i="30"/>
  <c r="V2" i="30"/>
  <c r="T2" i="30"/>
  <c r="Q2" i="30"/>
  <c r="P2" i="30"/>
  <c r="O2" i="30"/>
  <c r="X5" i="30" l="1"/>
  <c r="G39" i="30"/>
  <c r="G67" i="30"/>
  <c r="J64" i="30"/>
  <c r="G71" i="30"/>
  <c r="I11" i="30"/>
  <c r="I12" i="30"/>
  <c r="J63" i="30"/>
  <c r="J67" i="30"/>
  <c r="G70" i="30"/>
  <c r="Z4" i="30"/>
  <c r="AB4" i="30" s="1"/>
  <c r="Z7" i="30"/>
  <c r="AB7" i="30" s="1"/>
  <c r="AC7" i="30" s="1"/>
  <c r="I8" i="30"/>
  <c r="F64" i="30"/>
  <c r="F69" i="30"/>
  <c r="J70" i="30"/>
  <c r="G63" i="30"/>
  <c r="F70" i="30"/>
  <c r="I4" i="30"/>
  <c r="J71" i="30"/>
  <c r="F63" i="30"/>
  <c r="G64" i="30"/>
  <c r="F67" i="30"/>
  <c r="F71" i="30"/>
  <c r="X3" i="30"/>
  <c r="S12" i="30"/>
  <c r="V11" i="30"/>
  <c r="X11" i="30" s="1"/>
  <c r="Z11" i="30"/>
  <c r="AB11" i="30" s="1"/>
  <c r="I16" i="30"/>
  <c r="F72" i="30"/>
  <c r="H62" i="30"/>
  <c r="I62" i="30"/>
  <c r="E62" i="30"/>
  <c r="G62" i="30"/>
  <c r="F62" i="30"/>
  <c r="I3" i="30"/>
  <c r="J62" i="30"/>
  <c r="H19" i="30"/>
  <c r="X10" i="30"/>
  <c r="Z6" i="30"/>
  <c r="AB6" i="30" s="1"/>
  <c r="AC6" i="30" s="1"/>
  <c r="I72" i="30"/>
  <c r="C72" i="30"/>
  <c r="I15" i="30"/>
  <c r="J72" i="30"/>
  <c r="E72" i="30"/>
  <c r="G72" i="30"/>
  <c r="G41" i="30"/>
  <c r="P12" i="30"/>
  <c r="Z3" i="30"/>
  <c r="X4" i="30"/>
  <c r="Z5" i="30"/>
  <c r="AB5" i="30" s="1"/>
  <c r="AA16" i="30"/>
  <c r="AC16" i="30" s="1"/>
  <c r="H66" i="30"/>
  <c r="C66" i="30"/>
  <c r="I66" i="30"/>
  <c r="E66" i="30"/>
  <c r="G66" i="30"/>
  <c r="X9" i="30"/>
  <c r="AC9" i="30" s="1"/>
  <c r="Z10" i="30"/>
  <c r="AB10" i="30" s="1"/>
  <c r="T12" i="30"/>
  <c r="AA15" i="30"/>
  <c r="AC15" i="30" s="1"/>
  <c r="G37" i="30"/>
  <c r="J66" i="30"/>
  <c r="Q12" i="30"/>
  <c r="H65" i="30"/>
  <c r="C65" i="30"/>
  <c r="I6" i="30"/>
  <c r="G65" i="30"/>
  <c r="I65" i="30"/>
  <c r="E65" i="30"/>
  <c r="I7" i="30"/>
  <c r="Z8" i="30"/>
  <c r="AB8" i="30" s="1"/>
  <c r="AC8" i="30" s="1"/>
  <c r="H69" i="30"/>
  <c r="I69" i="30"/>
  <c r="E69" i="30"/>
  <c r="G69" i="30"/>
  <c r="F65" i="30"/>
  <c r="I5" i="30"/>
  <c r="H9" i="30"/>
  <c r="I13" i="30"/>
  <c r="H21" i="30"/>
  <c r="E63" i="30"/>
  <c r="I63" i="30"/>
  <c r="E64" i="30"/>
  <c r="I64" i="30"/>
  <c r="E67" i="30"/>
  <c r="I67" i="30"/>
  <c r="E70" i="30"/>
  <c r="I70" i="30"/>
  <c r="E71" i="30"/>
  <c r="I71" i="30"/>
  <c r="C63" i="30"/>
  <c r="C64" i="30"/>
  <c r="C67" i="30"/>
  <c r="C70" i="30"/>
  <c r="C71" i="30"/>
  <c r="E77" i="30" l="1"/>
  <c r="AC5" i="30"/>
  <c r="AD5" i="30" s="1"/>
  <c r="AC4" i="30"/>
  <c r="AD4" i="30" s="1"/>
  <c r="J77" i="30"/>
  <c r="V12" i="30"/>
  <c r="H25" i="30"/>
  <c r="I25" i="30" s="1"/>
  <c r="K71" i="30"/>
  <c r="H33" i="30" s="1"/>
  <c r="I33" i="30" s="1"/>
  <c r="H77" i="30"/>
  <c r="X16" i="30"/>
  <c r="AE6" i="30"/>
  <c r="AD6" i="30"/>
  <c r="C77" i="30"/>
  <c r="K64" i="30"/>
  <c r="I77" i="30"/>
  <c r="AB3" i="30"/>
  <c r="AB12" i="30" s="1"/>
  <c r="Z12" i="30"/>
  <c r="K72" i="30"/>
  <c r="I19" i="30"/>
  <c r="E75" i="30"/>
  <c r="AD8" i="30"/>
  <c r="AE8" i="30"/>
  <c r="G77" i="30"/>
  <c r="F75" i="30"/>
  <c r="I75" i="30"/>
  <c r="K70" i="30"/>
  <c r="H32" i="30" s="1"/>
  <c r="I32" i="30" s="1"/>
  <c r="H68" i="30"/>
  <c r="H73" i="30" s="1"/>
  <c r="C68" i="30"/>
  <c r="C73" i="30" s="1"/>
  <c r="G68" i="30"/>
  <c r="G73" i="30" s="1"/>
  <c r="I68" i="30"/>
  <c r="I73" i="30" s="1"/>
  <c r="E68" i="30"/>
  <c r="E73" i="30" s="1"/>
  <c r="J68" i="30"/>
  <c r="J73" i="30" s="1"/>
  <c r="F68" i="30"/>
  <c r="F73" i="30" s="1"/>
  <c r="I9" i="30"/>
  <c r="I17" i="30" s="1"/>
  <c r="AD9" i="30"/>
  <c r="AE9" i="30"/>
  <c r="AC10" i="30"/>
  <c r="G75" i="30"/>
  <c r="C75" i="30"/>
  <c r="X15" i="30"/>
  <c r="X12" i="30"/>
  <c r="K67" i="30"/>
  <c r="H29" i="30" s="1"/>
  <c r="I29" i="30" s="1"/>
  <c r="I21" i="30"/>
  <c r="AC11" i="30"/>
  <c r="K69" i="30"/>
  <c r="H31" i="30" s="1"/>
  <c r="I31" i="30" s="1"/>
  <c r="K65" i="30"/>
  <c r="H27" i="30" s="1"/>
  <c r="I27" i="30" s="1"/>
  <c r="AE7" i="30"/>
  <c r="AD7" i="30"/>
  <c r="K66" i="30"/>
  <c r="H28" i="30" s="1"/>
  <c r="I28" i="30" s="1"/>
  <c r="J75" i="30"/>
  <c r="H17" i="30"/>
  <c r="H75" i="30"/>
  <c r="K77" i="30" l="1"/>
  <c r="K73" i="30"/>
  <c r="AD15" i="30"/>
  <c r="AE15" i="30" s="1"/>
  <c r="I62" i="24"/>
  <c r="I61" i="24" s="1"/>
  <c r="I27" i="41" s="1"/>
  <c r="AD16" i="30"/>
  <c r="AE16" i="30" s="1"/>
  <c r="I70" i="24"/>
  <c r="I69" i="24" s="1"/>
  <c r="I59" i="41" s="1"/>
  <c r="AE4" i="30"/>
  <c r="AE5" i="30"/>
  <c r="AC3" i="30"/>
  <c r="AD3" i="30" s="1"/>
  <c r="AC12" i="30"/>
  <c r="AE12" i="30" s="1"/>
  <c r="AD11" i="30"/>
  <c r="AE11" i="30"/>
  <c r="H24" i="30"/>
  <c r="AE10" i="30"/>
  <c r="AD10" i="30"/>
  <c r="H26" i="30"/>
  <c r="K68" i="30"/>
  <c r="H30" i="30" s="1"/>
  <c r="I30" i="30" s="1"/>
  <c r="H70" i="24"/>
  <c r="H69" i="24" s="1"/>
  <c r="H59" i="41" s="1"/>
  <c r="H62" i="24"/>
  <c r="H61" i="24"/>
  <c r="H27" i="41" s="1"/>
  <c r="G70" i="24"/>
  <c r="G62" i="24"/>
  <c r="AE3" i="30" l="1"/>
  <c r="I26" i="30"/>
  <c r="I41" i="30" s="1"/>
  <c r="I39" i="24" s="1"/>
  <c r="H41" i="30"/>
  <c r="AD12" i="30"/>
  <c r="H39" i="30"/>
  <c r="H37" i="30"/>
  <c r="I24" i="30"/>
  <c r="D12" i="29"/>
  <c r="D13" i="29"/>
  <c r="D11" i="29"/>
  <c r="D4" i="29"/>
  <c r="D5" i="29"/>
  <c r="D6" i="29"/>
  <c r="D7" i="29"/>
  <c r="D8" i="29"/>
  <c r="D3" i="29"/>
  <c r="G9" i="29"/>
  <c r="I39" i="30" l="1"/>
  <c r="I37" i="30"/>
  <c r="D30" i="29"/>
  <c r="H35" i="24" l="1"/>
  <c r="H39" i="24"/>
  <c r="H40" i="24"/>
  <c r="H41" i="24"/>
  <c r="D83" i="29"/>
  <c r="E9" i="29" l="1"/>
  <c r="AN57" i="38" l="1"/>
  <c r="AO57" i="38"/>
  <c r="AP57" i="38"/>
  <c r="AQ57" i="38"/>
  <c r="AR57" i="38"/>
  <c r="AS57" i="38"/>
  <c r="AT57" i="38"/>
  <c r="AU57" i="38"/>
  <c r="AV57" i="38"/>
  <c r="AW57" i="38"/>
  <c r="AX57" i="38"/>
  <c r="AM57" i="38"/>
  <c r="E42" i="24" l="1"/>
  <c r="F42" i="24"/>
  <c r="G42" i="24"/>
  <c r="D42" i="24"/>
  <c r="E36" i="24"/>
  <c r="F36" i="24"/>
  <c r="G36" i="24"/>
  <c r="D36" i="24"/>
  <c r="E20" i="24"/>
  <c r="F20" i="24"/>
  <c r="G20" i="24"/>
  <c r="D20" i="24"/>
  <c r="E14" i="24"/>
  <c r="F14" i="24"/>
  <c r="G14" i="24"/>
  <c r="D14" i="24"/>
  <c r="E26" i="38"/>
  <c r="E27" i="38" s="1"/>
  <c r="BE20" i="38"/>
  <c r="BE18" i="38"/>
  <c r="W14" i="38"/>
  <c r="X14" i="38"/>
  <c r="Y14" i="38"/>
  <c r="Z14" i="38"/>
  <c r="AA14" i="38"/>
  <c r="AB14" i="38"/>
  <c r="AC14" i="38"/>
  <c r="AD14" i="38"/>
  <c r="AE14" i="38"/>
  <c r="AF14" i="38"/>
  <c r="AG14" i="38"/>
  <c r="V14" i="38"/>
  <c r="W10" i="38"/>
  <c r="X10" i="38"/>
  <c r="Y10" i="38"/>
  <c r="Z10" i="38"/>
  <c r="AA10" i="38"/>
  <c r="AB10" i="38"/>
  <c r="AC10" i="38"/>
  <c r="AD10" i="38"/>
  <c r="AE10" i="38"/>
  <c r="AF10" i="38"/>
  <c r="AG10" i="38"/>
  <c r="V10" i="38"/>
  <c r="W13" i="38"/>
  <c r="X13" i="38"/>
  <c r="Y13" i="38"/>
  <c r="Z13" i="38"/>
  <c r="AA13" i="38"/>
  <c r="AB13" i="38"/>
  <c r="AC13" i="38"/>
  <c r="AD13" i="38"/>
  <c r="AE13" i="38"/>
  <c r="AF13" i="38"/>
  <c r="AG13" i="38"/>
  <c r="V13" i="38"/>
  <c r="W9" i="38"/>
  <c r="X9" i="38"/>
  <c r="Y9" i="38"/>
  <c r="Z9" i="38"/>
  <c r="AH9" i="38" s="1"/>
  <c r="AA9" i="38"/>
  <c r="AB9" i="38"/>
  <c r="AC9" i="38"/>
  <c r="AD9" i="38"/>
  <c r="AE9" i="38"/>
  <c r="AF9" i="38"/>
  <c r="AG9" i="38"/>
  <c r="V9" i="38"/>
  <c r="AX55" i="38"/>
  <c r="AW55" i="38"/>
  <c r="AT55" i="38"/>
  <c r="AS55" i="38"/>
  <c r="AP55" i="38"/>
  <c r="AO55" i="38"/>
  <c r="AY54" i="38"/>
  <c r="AX53" i="38"/>
  <c r="AW53" i="38"/>
  <c r="AV53" i="38"/>
  <c r="AV55" i="38" s="1"/>
  <c r="AU53" i="38"/>
  <c r="AU55" i="38" s="1"/>
  <c r="AT53" i="38"/>
  <c r="AS53" i="38"/>
  <c r="AR53" i="38"/>
  <c r="AR55" i="38" s="1"/>
  <c r="AQ53" i="38"/>
  <c r="AQ55" i="38" s="1"/>
  <c r="AP53" i="38"/>
  <c r="AO53" i="38"/>
  <c r="AN53" i="38"/>
  <c r="AN55" i="38" s="1"/>
  <c r="AM53" i="38"/>
  <c r="AM55" i="38" s="1"/>
  <c r="AX52" i="38"/>
  <c r="AW52" i="38"/>
  <c r="AV52" i="38"/>
  <c r="AU52" i="38"/>
  <c r="AT52" i="38"/>
  <c r="AS52" i="38"/>
  <c r="AR52" i="38"/>
  <c r="AQ52" i="38"/>
  <c r="AP52" i="38"/>
  <c r="AO52" i="38"/>
  <c r="AN52" i="38"/>
  <c r="AM52" i="38"/>
  <c r="AY51" i="38"/>
  <c r="AY50" i="38"/>
  <c r="AY52" i="38" s="1"/>
  <c r="AX50" i="38"/>
  <c r="AW50" i="38"/>
  <c r="AV50" i="38"/>
  <c r="AU50" i="38"/>
  <c r="AT50" i="38"/>
  <c r="AS50" i="38"/>
  <c r="AR50" i="38"/>
  <c r="AQ50" i="38"/>
  <c r="AP50" i="38"/>
  <c r="AO50" i="38"/>
  <c r="AN50" i="38"/>
  <c r="AM50" i="38"/>
  <c r="AX48" i="38"/>
  <c r="AW48" i="38"/>
  <c r="AV48" i="38"/>
  <c r="AU48" i="38"/>
  <c r="AT48" i="38"/>
  <c r="AS48" i="38"/>
  <c r="AR48" i="38"/>
  <c r="AQ48" i="38"/>
  <c r="AP48" i="38"/>
  <c r="AO48" i="38"/>
  <c r="AN48" i="38"/>
  <c r="AM48" i="38"/>
  <c r="AY57" i="38" s="1"/>
  <c r="AY47" i="38"/>
  <c r="AX47" i="38"/>
  <c r="AW47" i="38"/>
  <c r="AV47" i="38"/>
  <c r="AU47" i="38"/>
  <c r="AT47" i="38"/>
  <c r="AS47" i="38"/>
  <c r="AR47" i="38"/>
  <c r="AQ47" i="38"/>
  <c r="AP47" i="38"/>
  <c r="AO47" i="38"/>
  <c r="AN47" i="38"/>
  <c r="AM47" i="38"/>
  <c r="AY46" i="38"/>
  <c r="AX46" i="38"/>
  <c r="AW46" i="38"/>
  <c r="AV46" i="38"/>
  <c r="AU46" i="38"/>
  <c r="AT46" i="38"/>
  <c r="AS46" i="38"/>
  <c r="AR46" i="38"/>
  <c r="AQ46" i="38"/>
  <c r="AP46" i="38"/>
  <c r="AO46" i="38"/>
  <c r="AN46" i="38"/>
  <c r="AM46" i="38"/>
  <c r="AY45" i="38"/>
  <c r="AX45" i="38"/>
  <c r="AW45" i="38"/>
  <c r="AV45" i="38"/>
  <c r="AU45" i="38"/>
  <c r="AT45" i="38"/>
  <c r="AS45" i="38"/>
  <c r="AR45" i="38"/>
  <c r="AQ45" i="38"/>
  <c r="AP45" i="38"/>
  <c r="AO45" i="38"/>
  <c r="AN45" i="38"/>
  <c r="AM45" i="38"/>
  <c r="AY44" i="38"/>
  <c r="AY48" i="38" s="1"/>
  <c r="AX44" i="38"/>
  <c r="AW44" i="38"/>
  <c r="AV44" i="38"/>
  <c r="AU44" i="38"/>
  <c r="AT44" i="38"/>
  <c r="AS44" i="38"/>
  <c r="AR44" i="38"/>
  <c r="AQ44" i="38"/>
  <c r="AP44" i="38"/>
  <c r="AO44" i="38"/>
  <c r="AN44" i="38"/>
  <c r="AM44" i="38"/>
  <c r="AY43" i="38"/>
  <c r="AX43" i="38"/>
  <c r="AW43" i="38"/>
  <c r="AV43" i="38"/>
  <c r="AU43" i="38"/>
  <c r="AT43" i="38"/>
  <c r="AS43" i="38"/>
  <c r="AR43" i="38"/>
  <c r="AQ43" i="38"/>
  <c r="AP43" i="38"/>
  <c r="AO43" i="38"/>
  <c r="AN43" i="38"/>
  <c r="AM43" i="38"/>
  <c r="AY42" i="38"/>
  <c r="AX42" i="38"/>
  <c r="AW42" i="38"/>
  <c r="AV42" i="38"/>
  <c r="AU42" i="38"/>
  <c r="AT42" i="38"/>
  <c r="AS42" i="38"/>
  <c r="AR42" i="38"/>
  <c r="AQ42" i="38"/>
  <c r="AP42" i="38"/>
  <c r="AO42" i="38"/>
  <c r="AN42" i="38"/>
  <c r="AM42" i="38"/>
  <c r="AY39" i="38"/>
  <c r="AX39" i="38"/>
  <c r="AW39" i="38"/>
  <c r="AV39" i="38"/>
  <c r="AU39" i="38"/>
  <c r="AT39" i="38"/>
  <c r="AS39" i="38"/>
  <c r="AR39" i="38"/>
  <c r="AQ39" i="38"/>
  <c r="AP39" i="38"/>
  <c r="AO39" i="38"/>
  <c r="AN39" i="38"/>
  <c r="AM39" i="38"/>
  <c r="AY38" i="38"/>
  <c r="AY37" i="38"/>
  <c r="AY36" i="38"/>
  <c r="AY35" i="38"/>
  <c r="AY34" i="38"/>
  <c r="AY33" i="38"/>
  <c r="AY30" i="38"/>
  <c r="AY22" i="38"/>
  <c r="AX22" i="38"/>
  <c r="AW22" i="38"/>
  <c r="AV22" i="38"/>
  <c r="AU22" i="38"/>
  <c r="AT22" i="38"/>
  <c r="AS22" i="38"/>
  <c r="AR22" i="38"/>
  <c r="AQ22" i="38"/>
  <c r="AP22" i="38"/>
  <c r="AO22" i="38"/>
  <c r="AN22" i="38"/>
  <c r="AM22" i="38"/>
  <c r="AY21" i="38"/>
  <c r="AY20" i="38"/>
  <c r="AY19" i="38"/>
  <c r="AY18" i="38"/>
  <c r="AY17" i="38"/>
  <c r="AY16" i="38"/>
  <c r="AY13" i="38"/>
  <c r="AX13" i="38"/>
  <c r="AW13" i="38"/>
  <c r="AV13" i="38"/>
  <c r="AU13" i="38"/>
  <c r="AT13" i="38"/>
  <c r="AS13" i="38"/>
  <c r="AR13" i="38"/>
  <c r="AQ13" i="38"/>
  <c r="AP13" i="38"/>
  <c r="AO13" i="38"/>
  <c r="AN13" i="38"/>
  <c r="AM13" i="38"/>
  <c r="AY12" i="38"/>
  <c r="AY11" i="38"/>
  <c r="AY10" i="38"/>
  <c r="AY9" i="38"/>
  <c r="AY8" i="38"/>
  <c r="AY7" i="38"/>
  <c r="S2" i="38"/>
  <c r="S25" i="38"/>
  <c r="S26" i="38" s="1"/>
  <c r="S23" i="38"/>
  <c r="S22" i="38"/>
  <c r="S21" i="38"/>
  <c r="AH10" i="38"/>
  <c r="S10" i="38"/>
  <c r="U23" i="38" s="1"/>
  <c r="S9" i="38"/>
  <c r="S8" i="38"/>
  <c r="Q20" i="38"/>
  <c r="P20" i="38"/>
  <c r="Q12" i="38"/>
  <c r="P12" i="38"/>
  <c r="O14" i="38"/>
  <c r="F34" i="38"/>
  <c r="G33" i="38"/>
  <c r="F33" i="38"/>
  <c r="G32" i="38"/>
  <c r="G34" i="38" s="1"/>
  <c r="F32" i="38"/>
  <c r="G31" i="38"/>
  <c r="F31" i="38"/>
  <c r="G30" i="38"/>
  <c r="F30" i="38"/>
  <c r="I21" i="38"/>
  <c r="H21" i="38"/>
  <c r="G21" i="38"/>
  <c r="F21" i="38"/>
  <c r="E21" i="38"/>
  <c r="E19" i="38"/>
  <c r="E13" i="38"/>
  <c r="K11" i="38"/>
  <c r="J11" i="38"/>
  <c r="I11" i="38"/>
  <c r="H11" i="38"/>
  <c r="G11" i="38"/>
  <c r="F11" i="38"/>
  <c r="E11" i="38"/>
  <c r="E10" i="38"/>
  <c r="E9" i="38"/>
  <c r="BE22" i="38" l="1"/>
  <c r="BE24" i="38" s="1"/>
  <c r="AH13" i="38"/>
  <c r="AY53" i="38"/>
  <c r="AY55" i="38" s="1"/>
  <c r="U27" i="38"/>
  <c r="S27" i="38"/>
  <c r="AH14" i="38"/>
  <c r="J14" i="38"/>
  <c r="J15" i="38" s="1"/>
  <c r="G14" i="38"/>
  <c r="G15" i="38" s="1"/>
  <c r="K14" i="38"/>
  <c r="K15" i="38" s="1"/>
  <c r="H14" i="38"/>
  <c r="H15" i="38" s="1"/>
  <c r="H17" i="38" s="1"/>
  <c r="H23" i="38" s="1"/>
  <c r="H40" i="38" s="1"/>
  <c r="H41" i="38" s="1"/>
  <c r="E14" i="38"/>
  <c r="I14" i="38"/>
  <c r="I15" i="38" s="1"/>
  <c r="I17" i="38" s="1"/>
  <c r="I23" i="38" s="1"/>
  <c r="I40" i="38" s="1"/>
  <c r="I41" i="38" s="1"/>
  <c r="F14" i="38"/>
  <c r="F15" i="38" s="1"/>
  <c r="P21" i="38" s="1"/>
  <c r="G17" i="38" l="1"/>
  <c r="G23" i="38" s="1"/>
  <c r="Q21" i="38"/>
  <c r="F17" i="38"/>
  <c r="E15" i="38"/>
  <c r="G40" i="38" l="1"/>
  <c r="G41" i="38" s="1"/>
  <c r="Q10" i="38"/>
  <c r="Q14" i="38" s="1"/>
  <c r="F23" i="38"/>
  <c r="P10" i="38" s="1"/>
  <c r="P14" i="38" s="1"/>
  <c r="E17" i="38"/>
  <c r="P19" i="38" l="1"/>
  <c r="P22" i="38" s="1"/>
  <c r="AH22" i="38"/>
  <c r="Q19" i="38"/>
  <c r="Q22" i="38" s="1"/>
  <c r="AH26" i="38"/>
  <c r="E23" i="38"/>
  <c r="F40" i="38"/>
  <c r="F41" i="38" s="1"/>
  <c r="X27" i="38" l="1"/>
  <c r="AB27" i="38"/>
  <c r="AF27" i="38"/>
  <c r="Y27" i="38"/>
  <c r="AC27" i="38"/>
  <c r="AG27" i="38"/>
  <c r="V27" i="38"/>
  <c r="Z27" i="38"/>
  <c r="AD27" i="38"/>
  <c r="W27" i="38"/>
  <c r="AA27" i="38"/>
  <c r="AE27" i="38"/>
  <c r="Y23" i="38"/>
  <c r="AC23" i="38"/>
  <c r="AG23" i="38"/>
  <c r="Z23" i="38"/>
  <c r="AD23" i="38"/>
  <c r="W23" i="38"/>
  <c r="AA23" i="38"/>
  <c r="AE23" i="38"/>
  <c r="V23" i="38"/>
  <c r="X23" i="38"/>
  <c r="AB23" i="38"/>
  <c r="AF23" i="38"/>
  <c r="AH27" i="38" l="1"/>
  <c r="AH23" i="38"/>
  <c r="A6" i="23" l="1"/>
  <c r="A4" i="18"/>
  <c r="A2" i="18"/>
  <c r="A5" i="16"/>
  <c r="E26" i="15"/>
  <c r="C21" i="29" l="1"/>
  <c r="G33" i="15" l="1"/>
  <c r="F33" i="15"/>
  <c r="G31" i="15"/>
  <c r="F31" i="15"/>
  <c r="G30" i="15"/>
  <c r="F30" i="15"/>
  <c r="E27" i="15"/>
  <c r="I21" i="15"/>
  <c r="G32" i="15" s="1"/>
  <c r="G34" i="15" s="1"/>
  <c r="H21" i="15"/>
  <c r="G21" i="15"/>
  <c r="F21" i="15"/>
  <c r="F32" i="15" s="1"/>
  <c r="F34" i="15" s="1"/>
  <c r="E21" i="15"/>
  <c r="E19" i="15"/>
  <c r="E13" i="15"/>
  <c r="K11" i="15"/>
  <c r="J11" i="15"/>
  <c r="I11" i="15"/>
  <c r="H11" i="15"/>
  <c r="G11" i="15"/>
  <c r="F11" i="15"/>
  <c r="E11" i="15" s="1"/>
  <c r="E10" i="15"/>
  <c r="E9" i="15"/>
  <c r="H14" i="15" l="1"/>
  <c r="H15" i="15" s="1"/>
  <c r="H17" i="15" s="1"/>
  <c r="H23" i="15" s="1"/>
  <c r="H39" i="15" s="1"/>
  <c r="H40" i="15" s="1"/>
  <c r="K14" i="15"/>
  <c r="K15" i="15" s="1"/>
  <c r="G14" i="15"/>
  <c r="G15" i="15" s="1"/>
  <c r="J14" i="15"/>
  <c r="J15" i="15" s="1"/>
  <c r="F14" i="15"/>
  <c r="F15" i="15" s="1"/>
  <c r="I14" i="15"/>
  <c r="I15" i="15" s="1"/>
  <c r="I17" i="15" s="1"/>
  <c r="I23" i="15" s="1"/>
  <c r="I39" i="15" s="1"/>
  <c r="I40" i="15" s="1"/>
  <c r="E14" i="15"/>
  <c r="E15" i="15" l="1"/>
  <c r="F17" i="15"/>
  <c r="F23" i="15" s="1"/>
  <c r="G17" i="15"/>
  <c r="G23" i="15" s="1"/>
  <c r="G39" i="15" s="1"/>
  <c r="G40" i="15" s="1"/>
  <c r="E23" i="16"/>
  <c r="E17" i="15" l="1"/>
  <c r="F39" i="15"/>
  <c r="F40" i="15" s="1"/>
  <c r="E23" i="15"/>
  <c r="K56" i="29" l="1"/>
  <c r="K46" i="29"/>
  <c r="K45" i="29"/>
  <c r="H48" i="24" l="1"/>
  <c r="C84" i="29"/>
  <c r="B84" i="29"/>
  <c r="E83" i="29"/>
  <c r="E84" i="29" s="1"/>
  <c r="K57" i="29"/>
  <c r="L56" i="29"/>
  <c r="K55" i="29"/>
  <c r="K54" i="29"/>
  <c r="K53" i="29"/>
  <c r="K52" i="29"/>
  <c r="K51" i="29"/>
  <c r="D84" i="29" s="1"/>
  <c r="K50" i="29"/>
  <c r="K49" i="29"/>
  <c r="K48" i="29"/>
  <c r="K47" i="29"/>
  <c r="F41" i="29"/>
  <c r="E41" i="29"/>
  <c r="D41" i="29"/>
  <c r="C41" i="29"/>
  <c r="F39" i="29"/>
  <c r="E39" i="29"/>
  <c r="D39" i="29"/>
  <c r="C39" i="29"/>
  <c r="F37" i="29"/>
  <c r="E37" i="29"/>
  <c r="C37" i="29"/>
  <c r="G34" i="29"/>
  <c r="I34" i="29" s="1"/>
  <c r="G33" i="29"/>
  <c r="G32" i="29"/>
  <c r="G31" i="29"/>
  <c r="G30" i="29"/>
  <c r="G29" i="29"/>
  <c r="G28" i="29"/>
  <c r="G27" i="29"/>
  <c r="G26" i="29"/>
  <c r="G25" i="29"/>
  <c r="G24" i="29"/>
  <c r="G21" i="29"/>
  <c r="F21" i="29"/>
  <c r="E21" i="29"/>
  <c r="G19" i="29"/>
  <c r="F19" i="29"/>
  <c r="E19" i="29"/>
  <c r="C19" i="29"/>
  <c r="F17" i="29"/>
  <c r="C17" i="29"/>
  <c r="H16" i="29"/>
  <c r="I16" i="29" s="1"/>
  <c r="H15" i="29"/>
  <c r="I14" i="29"/>
  <c r="H13" i="29"/>
  <c r="G71" i="29" s="1"/>
  <c r="O12" i="29"/>
  <c r="H12" i="29"/>
  <c r="G70" i="29" s="1"/>
  <c r="AA11" i="29"/>
  <c r="T11" i="29"/>
  <c r="V11" i="29" s="1"/>
  <c r="Q11" i="29"/>
  <c r="P11" i="29"/>
  <c r="H11" i="29"/>
  <c r="G69" i="29" s="1"/>
  <c r="AA10" i="29"/>
  <c r="T10" i="29"/>
  <c r="V10" i="29" s="1"/>
  <c r="Q10" i="29"/>
  <c r="S10" i="29" s="1"/>
  <c r="P10" i="29"/>
  <c r="H10" i="29"/>
  <c r="I10" i="29" s="1"/>
  <c r="AA9" i="29"/>
  <c r="T9" i="29"/>
  <c r="V9" i="29" s="1"/>
  <c r="Q9" i="29"/>
  <c r="P9" i="29"/>
  <c r="E17" i="29"/>
  <c r="AA8" i="29"/>
  <c r="T8" i="29"/>
  <c r="V8" i="29" s="1"/>
  <c r="Q8" i="29"/>
  <c r="P8" i="29"/>
  <c r="H8" i="29"/>
  <c r="G67" i="29" s="1"/>
  <c r="AA7" i="29"/>
  <c r="T7" i="29"/>
  <c r="V7" i="29" s="1"/>
  <c r="Q7" i="29"/>
  <c r="S7" i="29" s="1"/>
  <c r="P7" i="29"/>
  <c r="H7" i="29"/>
  <c r="G66" i="29" s="1"/>
  <c r="AA6" i="29"/>
  <c r="T6" i="29"/>
  <c r="V6" i="29" s="1"/>
  <c r="Q6" i="29"/>
  <c r="P6" i="29"/>
  <c r="H6" i="29"/>
  <c r="G65" i="29" s="1"/>
  <c r="AA5" i="29"/>
  <c r="T5" i="29"/>
  <c r="V5" i="29" s="1"/>
  <c r="Q5" i="29"/>
  <c r="S5" i="29" s="1"/>
  <c r="P5" i="29"/>
  <c r="H5" i="29"/>
  <c r="G64" i="29" s="1"/>
  <c r="AA4" i="29"/>
  <c r="T4" i="29"/>
  <c r="V4" i="29" s="1"/>
  <c r="Q4" i="29"/>
  <c r="P4" i="29"/>
  <c r="H4" i="29"/>
  <c r="G63" i="29" s="1"/>
  <c r="AA3" i="29"/>
  <c r="T3" i="29"/>
  <c r="Q3" i="29"/>
  <c r="P3" i="29"/>
  <c r="H3" i="29"/>
  <c r="AD2" i="29"/>
  <c r="AA2" i="29"/>
  <c r="Z2" i="29"/>
  <c r="X2" i="29"/>
  <c r="V2" i="29"/>
  <c r="T2" i="29"/>
  <c r="Q2" i="29"/>
  <c r="P2" i="29"/>
  <c r="O2" i="29"/>
  <c r="G62" i="29" l="1"/>
  <c r="D62" i="29"/>
  <c r="F62" i="29"/>
  <c r="I13" i="29"/>
  <c r="F71" i="29"/>
  <c r="L55" i="29"/>
  <c r="Z7" i="29"/>
  <c r="AB7" i="29" s="1"/>
  <c r="X7" i="29"/>
  <c r="F66" i="29"/>
  <c r="Z5" i="29"/>
  <c r="AB5" i="29" s="1"/>
  <c r="X5" i="29"/>
  <c r="L47" i="29"/>
  <c r="G41" i="29"/>
  <c r="L50" i="29"/>
  <c r="I4" i="29"/>
  <c r="I6" i="29"/>
  <c r="I8" i="29"/>
  <c r="I12" i="29"/>
  <c r="L48" i="29"/>
  <c r="L52" i="29"/>
  <c r="F64" i="29"/>
  <c r="F69" i="29"/>
  <c r="L46" i="29"/>
  <c r="L54" i="29"/>
  <c r="F63" i="29"/>
  <c r="F67" i="29"/>
  <c r="I3" i="29"/>
  <c r="I19" i="29" s="1"/>
  <c r="I5" i="29"/>
  <c r="I7" i="29"/>
  <c r="X10" i="29"/>
  <c r="I11" i="29"/>
  <c r="H19" i="29"/>
  <c r="L45" i="29"/>
  <c r="L49" i="29"/>
  <c r="L53" i="29"/>
  <c r="F65" i="29"/>
  <c r="F70" i="29"/>
  <c r="G75" i="29"/>
  <c r="G17" i="29"/>
  <c r="H9" i="29"/>
  <c r="H17" i="29" s="1"/>
  <c r="T12" i="29"/>
  <c r="V3" i="29"/>
  <c r="V12" i="29" s="1"/>
  <c r="Z8" i="29"/>
  <c r="AB8" i="29" s="1"/>
  <c r="S8" i="29"/>
  <c r="X8" i="29" s="1"/>
  <c r="Z9" i="29"/>
  <c r="AB9" i="29" s="1"/>
  <c r="S9" i="29"/>
  <c r="X9" i="29" s="1"/>
  <c r="AA15" i="29"/>
  <c r="AC15" i="29" s="1"/>
  <c r="Z4" i="29"/>
  <c r="AB4" i="29" s="1"/>
  <c r="S4" i="29"/>
  <c r="X4" i="29" s="1"/>
  <c r="Q12" i="29"/>
  <c r="G77" i="29"/>
  <c r="Z10" i="29"/>
  <c r="AB10" i="29" s="1"/>
  <c r="Z11" i="29"/>
  <c r="AB11" i="29" s="1"/>
  <c r="S11" i="29"/>
  <c r="X11" i="29" s="1"/>
  <c r="L57" i="29"/>
  <c r="Z6" i="29"/>
  <c r="AB6" i="29" s="1"/>
  <c r="S6" i="29"/>
  <c r="X6" i="29" s="1"/>
  <c r="H72" i="29"/>
  <c r="C72" i="29"/>
  <c r="I15" i="29"/>
  <c r="E72" i="29"/>
  <c r="I72" i="29"/>
  <c r="D72" i="29"/>
  <c r="F72" i="29"/>
  <c r="G37" i="29"/>
  <c r="G39" i="29"/>
  <c r="P12" i="29"/>
  <c r="AA16" i="29"/>
  <c r="AC16" i="29" s="1"/>
  <c r="H21" i="29"/>
  <c r="D37" i="29"/>
  <c r="H62" i="29"/>
  <c r="D63" i="29"/>
  <c r="H63" i="29"/>
  <c r="D64" i="29"/>
  <c r="H64" i="29"/>
  <c r="D65" i="29"/>
  <c r="H65" i="29"/>
  <c r="D66" i="29"/>
  <c r="H66" i="29"/>
  <c r="D67" i="29"/>
  <c r="H67" i="29"/>
  <c r="D69" i="29"/>
  <c r="H69" i="29"/>
  <c r="D70" i="29"/>
  <c r="H70" i="29"/>
  <c r="D71" i="29"/>
  <c r="H71" i="29"/>
  <c r="S3" i="29"/>
  <c r="Z3" i="29"/>
  <c r="E62" i="29"/>
  <c r="I62" i="29"/>
  <c r="E63" i="29"/>
  <c r="I63" i="29"/>
  <c r="E64" i="29"/>
  <c r="I64" i="29"/>
  <c r="E65" i="29"/>
  <c r="I65" i="29"/>
  <c r="E66" i="29"/>
  <c r="I66" i="29"/>
  <c r="E67" i="29"/>
  <c r="I67" i="29"/>
  <c r="E69" i="29"/>
  <c r="I69" i="29"/>
  <c r="E70" i="29"/>
  <c r="I70" i="29"/>
  <c r="E71" i="29"/>
  <c r="I71" i="29"/>
  <c r="C62" i="29"/>
  <c r="C63" i="29"/>
  <c r="C64" i="29"/>
  <c r="C65" i="29"/>
  <c r="C66" i="29"/>
  <c r="C67" i="29"/>
  <c r="C69" i="29"/>
  <c r="C70" i="29"/>
  <c r="C71" i="29"/>
  <c r="G35" i="24"/>
  <c r="G39" i="24"/>
  <c r="G40" i="24"/>
  <c r="G41" i="24"/>
  <c r="L51" i="29" l="1"/>
  <c r="L60" i="29" s="1"/>
  <c r="F75" i="29"/>
  <c r="AC5" i="29"/>
  <c r="AD5" i="29" s="1"/>
  <c r="AC10" i="29"/>
  <c r="AE10" i="29" s="1"/>
  <c r="AC7" i="29"/>
  <c r="AD7" i="29" s="1"/>
  <c r="X16" i="29"/>
  <c r="AD16" i="29" s="1"/>
  <c r="AE16" i="29" s="1"/>
  <c r="F77" i="29"/>
  <c r="J70" i="29"/>
  <c r="H32" i="29" s="1"/>
  <c r="I32" i="29" s="1"/>
  <c r="J65" i="29"/>
  <c r="H27" i="29" s="1"/>
  <c r="I27" i="29" s="1"/>
  <c r="I77" i="29"/>
  <c r="H77" i="29"/>
  <c r="AC11" i="29"/>
  <c r="AD11" i="29" s="1"/>
  <c r="AC8" i="29"/>
  <c r="AE8" i="29" s="1"/>
  <c r="I21" i="29"/>
  <c r="J67" i="29"/>
  <c r="H29" i="29" s="1"/>
  <c r="I29" i="29" s="1"/>
  <c r="J63" i="29"/>
  <c r="H25" i="29" s="1"/>
  <c r="I25" i="29" s="1"/>
  <c r="AC4" i="29"/>
  <c r="AD4" i="29" s="1"/>
  <c r="AC9" i="29"/>
  <c r="AD9" i="29" s="1"/>
  <c r="H75" i="29"/>
  <c r="J72" i="29"/>
  <c r="I75" i="29"/>
  <c r="J69" i="29"/>
  <c r="H31" i="29" s="1"/>
  <c r="I31" i="29" s="1"/>
  <c r="AB3" i="29"/>
  <c r="AB12" i="29" s="1"/>
  <c r="Z12" i="29"/>
  <c r="J71" i="29"/>
  <c r="H33" i="29" s="1"/>
  <c r="I33" i="29" s="1"/>
  <c r="J66" i="29"/>
  <c r="H28" i="29" s="1"/>
  <c r="I28" i="29" s="1"/>
  <c r="C75" i="29"/>
  <c r="J62" i="29"/>
  <c r="X3" i="29"/>
  <c r="S12" i="29"/>
  <c r="C77" i="29"/>
  <c r="J64" i="29"/>
  <c r="E77" i="29"/>
  <c r="E75" i="29"/>
  <c r="D77" i="29"/>
  <c r="D75" i="29"/>
  <c r="AC6" i="29"/>
  <c r="G68" i="29"/>
  <c r="G73" i="29" s="1"/>
  <c r="C68" i="29"/>
  <c r="I68" i="29"/>
  <c r="I73" i="29" s="1"/>
  <c r="E68" i="29"/>
  <c r="E73" i="29" s="1"/>
  <c r="H68" i="29"/>
  <c r="H73" i="29" s="1"/>
  <c r="D68" i="29"/>
  <c r="D73" i="29" s="1"/>
  <c r="I9" i="29"/>
  <c r="I17" i="29" s="1"/>
  <c r="F68" i="29"/>
  <c r="F73" i="29" s="1"/>
  <c r="G9" i="28"/>
  <c r="AE5" i="29" l="1"/>
  <c r="AE7" i="29"/>
  <c r="AD10" i="29"/>
  <c r="AD8" i="29"/>
  <c r="AE4" i="29"/>
  <c r="AE11" i="29"/>
  <c r="AE9" i="29"/>
  <c r="AD6" i="29"/>
  <c r="AE6" i="29"/>
  <c r="J68" i="29"/>
  <c r="H30" i="29" s="1"/>
  <c r="I30" i="29" s="1"/>
  <c r="C73" i="29"/>
  <c r="X12" i="29"/>
  <c r="X15" i="29"/>
  <c r="AD15" i="29" s="1"/>
  <c r="AE15" i="29" s="1"/>
  <c r="AC3" i="29"/>
  <c r="J77" i="29"/>
  <c r="H26" i="29"/>
  <c r="H24" i="29"/>
  <c r="J75" i="29"/>
  <c r="D86" i="28"/>
  <c r="J73" i="29" l="1"/>
  <c r="AD3" i="29"/>
  <c r="AD12" i="29" s="1"/>
  <c r="AC12" i="29"/>
  <c r="AE12" i="29" s="1"/>
  <c r="AE3" i="29"/>
  <c r="H39" i="29"/>
  <c r="H37" i="29"/>
  <c r="I24" i="29"/>
  <c r="I26" i="29"/>
  <c r="I41" i="29" s="1"/>
  <c r="H41" i="29"/>
  <c r="I37" i="29" l="1"/>
  <c r="I39" i="29"/>
  <c r="T10" i="28"/>
  <c r="V10" i="28" s="1"/>
  <c r="T11" i="28"/>
  <c r="V11" i="28" s="1"/>
  <c r="T9" i="28"/>
  <c r="T4" i="28"/>
  <c r="T5" i="28"/>
  <c r="T6" i="28"/>
  <c r="V6" i="28" s="1"/>
  <c r="T7" i="28"/>
  <c r="V7" i="28" s="1"/>
  <c r="T8" i="28"/>
  <c r="T3" i="28"/>
  <c r="Q10" i="28"/>
  <c r="Q11" i="28"/>
  <c r="S11" i="28" s="1"/>
  <c r="Q9" i="28"/>
  <c r="S9" i="28" s="1"/>
  <c r="Q4" i="28"/>
  <c r="S4" i="28" s="1"/>
  <c r="Q5" i="28"/>
  <c r="S5" i="28" s="1"/>
  <c r="Q6" i="28"/>
  <c r="Q7" i="28"/>
  <c r="S7" i="28" s="1"/>
  <c r="Q8" i="28"/>
  <c r="Z8" i="28" s="1"/>
  <c r="AB8" i="28" s="1"/>
  <c r="Q3" i="28"/>
  <c r="P10" i="28"/>
  <c r="P11" i="28"/>
  <c r="P9" i="28"/>
  <c r="P4" i="28"/>
  <c r="P5" i="28"/>
  <c r="P6" i="28"/>
  <c r="P7" i="28"/>
  <c r="P8" i="28"/>
  <c r="P3" i="28"/>
  <c r="AA11" i="28"/>
  <c r="AA10" i="28"/>
  <c r="S10" i="28"/>
  <c r="AA9" i="28"/>
  <c r="V9" i="28"/>
  <c r="AA8" i="28"/>
  <c r="V8" i="28"/>
  <c r="S8" i="28"/>
  <c r="X8" i="28" s="1"/>
  <c r="AA7" i="28"/>
  <c r="AA6" i="28"/>
  <c r="S6" i="28"/>
  <c r="AA5" i="28"/>
  <c r="V5" i="28"/>
  <c r="AA4" i="28"/>
  <c r="V4" i="28"/>
  <c r="Z4" i="28"/>
  <c r="AB4" i="28" s="1"/>
  <c r="AA3" i="28"/>
  <c r="V3" i="28"/>
  <c r="S3" i="28"/>
  <c r="X3" i="28" s="1"/>
  <c r="AD2" i="28"/>
  <c r="AA2" i="28"/>
  <c r="Z2" i="28"/>
  <c r="X2" i="28"/>
  <c r="V2" i="28"/>
  <c r="T2" i="28"/>
  <c r="Q2" i="28"/>
  <c r="P2" i="28"/>
  <c r="O2" i="28"/>
  <c r="X10" i="28" l="1"/>
  <c r="AA15" i="28"/>
  <c r="AC15" i="28" s="1"/>
  <c r="X9" i="28"/>
  <c r="X7" i="28"/>
  <c r="AC7" i="28" s="1"/>
  <c r="X5" i="28"/>
  <c r="AC5" i="28" s="1"/>
  <c r="X6" i="28"/>
  <c r="Z7" i="28"/>
  <c r="AB7" i="28" s="1"/>
  <c r="X4" i="28"/>
  <c r="X15" i="28" s="1"/>
  <c r="T12" i="28"/>
  <c r="Z6" i="28"/>
  <c r="AB6" i="28" s="1"/>
  <c r="Z9" i="28"/>
  <c r="AB9" i="28" s="1"/>
  <c r="AC9" i="28" s="1"/>
  <c r="AE9" i="28" s="1"/>
  <c r="AC8" i="28"/>
  <c r="AD8" i="28" s="1"/>
  <c r="Z5" i="28"/>
  <c r="AB5" i="28" s="1"/>
  <c r="V12" i="28"/>
  <c r="AC6" i="28"/>
  <c r="S12" i="28"/>
  <c r="X11" i="28"/>
  <c r="Z10" i="28"/>
  <c r="AB10" i="28" s="1"/>
  <c r="AC10" i="28" s="1"/>
  <c r="Z11" i="28"/>
  <c r="AB11" i="28" s="1"/>
  <c r="Q12" i="28"/>
  <c r="AA16" i="28"/>
  <c r="AC16" i="28" s="1"/>
  <c r="Z3" i="28"/>
  <c r="O12" i="28"/>
  <c r="P12" i="28"/>
  <c r="AE8" i="28" l="1"/>
  <c r="AD15" i="28"/>
  <c r="AE15" i="28" s="1"/>
  <c r="G61" i="24"/>
  <c r="G27" i="41" s="1"/>
  <c r="G17" i="41" s="1"/>
  <c r="H17" i="41" s="1"/>
  <c r="I17" i="41" s="1"/>
  <c r="J17" i="41" s="1"/>
  <c r="K17" i="41" s="1"/>
  <c r="L17" i="41" s="1"/>
  <c r="M17" i="41" s="1"/>
  <c r="AC4" i="28"/>
  <c r="AE4" i="28" s="1"/>
  <c r="X12" i="28"/>
  <c r="X16" i="28"/>
  <c r="G69" i="24" s="1"/>
  <c r="G59" i="41" s="1"/>
  <c r="G49" i="41" s="1"/>
  <c r="H49" i="41" s="1"/>
  <c r="I49" i="41" s="1"/>
  <c r="J49" i="41" s="1"/>
  <c r="K49" i="41" s="1"/>
  <c r="L49" i="41" s="1"/>
  <c r="M49" i="41" s="1"/>
  <c r="AD9" i="28"/>
  <c r="AE10" i="28"/>
  <c r="AD10" i="28"/>
  <c r="AD16" i="28"/>
  <c r="AE16" i="28" s="1"/>
  <c r="AE5" i="28"/>
  <c r="AD5" i="28"/>
  <c r="AE6" i="28"/>
  <c r="AD6" i="28"/>
  <c r="AB3" i="28"/>
  <c r="Z12" i="28"/>
  <c r="AD4" i="28"/>
  <c r="AC11" i="28"/>
  <c r="AE7" i="28"/>
  <c r="AD7" i="28"/>
  <c r="N5" i="41" l="1"/>
  <c r="N17" i="41"/>
  <c r="O17" i="41" s="1"/>
  <c r="P17" i="41" s="1"/>
  <c r="Q17" i="41" s="1"/>
  <c r="R17" i="41" s="1"/>
  <c r="S17" i="41" s="1"/>
  <c r="N50" i="41"/>
  <c r="O50" i="41" s="1"/>
  <c r="P50" i="41" s="1"/>
  <c r="Q50" i="41" s="1"/>
  <c r="R50" i="41" s="1"/>
  <c r="S50" i="41" s="1"/>
  <c r="T50" i="41" s="1"/>
  <c r="U50" i="41" s="1"/>
  <c r="V50" i="41" s="1"/>
  <c r="W50" i="41" s="1"/>
  <c r="X50" i="41" s="1"/>
  <c r="Y50" i="41" s="1"/>
  <c r="N37" i="41"/>
  <c r="AB12" i="28"/>
  <c r="AC3" i="28"/>
  <c r="AE11" i="28"/>
  <c r="AD11" i="28"/>
  <c r="N38" i="41" l="1"/>
  <c r="N40" i="41" s="1"/>
  <c r="N6" i="41"/>
  <c r="N8" i="41" s="1"/>
  <c r="AC12" i="28"/>
  <c r="AE12" i="28" s="1"/>
  <c r="AE3" i="28"/>
  <c r="AD3" i="28"/>
  <c r="AD12" i="28" s="1"/>
  <c r="O36" i="41" l="1"/>
  <c r="O38" i="41"/>
  <c r="AH9" i="41"/>
  <c r="AF9" i="41"/>
  <c r="AK9" i="41"/>
  <c r="M20" i="41" s="1"/>
  <c r="AD9" i="41"/>
  <c r="Z9" i="41"/>
  <c r="AB9" i="41"/>
  <c r="AJ9" i="41"/>
  <c r="L20" i="41" s="1"/>
  <c r="AC9" i="41"/>
  <c r="AE9" i="41"/>
  <c r="AA9" i="41"/>
  <c r="AG9" i="41"/>
  <c r="AI9" i="41"/>
  <c r="AG41" i="41"/>
  <c r="AH41" i="41"/>
  <c r="AD41" i="41"/>
  <c r="AJ41" i="41"/>
  <c r="Z41" i="41"/>
  <c r="AB41" i="41"/>
  <c r="AC41" i="41"/>
  <c r="AE41" i="41"/>
  <c r="AA41" i="41"/>
  <c r="AK41" i="41"/>
  <c r="M52" i="41" s="1"/>
  <c r="AI41" i="41"/>
  <c r="AF41" i="41"/>
  <c r="F37" i="28"/>
  <c r="D30" i="28"/>
  <c r="E9" i="28"/>
  <c r="E86" i="28"/>
  <c r="K20" i="41" l="1"/>
  <c r="J20" i="41"/>
  <c r="H52" i="41"/>
  <c r="L52" i="41"/>
  <c r="M63" i="41" s="1"/>
  <c r="G20" i="41"/>
  <c r="O4" i="41"/>
  <c r="N18" i="41"/>
  <c r="O6" i="41"/>
  <c r="E52" i="41"/>
  <c r="K31" i="41"/>
  <c r="E20" i="41"/>
  <c r="F20" i="41"/>
  <c r="G52" i="41"/>
  <c r="N63" i="41"/>
  <c r="J52" i="41"/>
  <c r="I20" i="41"/>
  <c r="L31" i="41"/>
  <c r="N31" i="41"/>
  <c r="M31" i="41"/>
  <c r="N80" i="24"/>
  <c r="N81" i="24" s="1"/>
  <c r="N75" i="24" s="1"/>
  <c r="M79" i="24"/>
  <c r="N49" i="41"/>
  <c r="K52" i="41"/>
  <c r="F52" i="41"/>
  <c r="D52" i="41"/>
  <c r="C51" i="41"/>
  <c r="I52" i="41"/>
  <c r="D20" i="41"/>
  <c r="H20" i="41"/>
  <c r="P36" i="41"/>
  <c r="K51" i="28"/>
  <c r="K50" i="28"/>
  <c r="K80" i="24" l="1"/>
  <c r="J31" i="41"/>
  <c r="M80" i="24"/>
  <c r="M81" i="24" s="1"/>
  <c r="M75" i="24" s="1"/>
  <c r="O49" i="41"/>
  <c r="I63" i="41"/>
  <c r="L79" i="24"/>
  <c r="K63" i="41"/>
  <c r="G31" i="41"/>
  <c r="L63" i="41"/>
  <c r="G63" i="41"/>
  <c r="E63" i="41"/>
  <c r="P59" i="41"/>
  <c r="Q36" i="41"/>
  <c r="I80" i="24"/>
  <c r="H79" i="24"/>
  <c r="H31" i="41"/>
  <c r="D63" i="41"/>
  <c r="G79" i="24"/>
  <c r="H63" i="41"/>
  <c r="L80" i="24"/>
  <c r="C53" i="41"/>
  <c r="E31" i="41"/>
  <c r="E79" i="24"/>
  <c r="F80" i="24"/>
  <c r="D31" i="41"/>
  <c r="D79" i="24"/>
  <c r="D81" i="24" s="1"/>
  <c r="D75" i="24" s="1"/>
  <c r="E80" i="24"/>
  <c r="G80" i="24"/>
  <c r="F63" i="41"/>
  <c r="I31" i="41"/>
  <c r="I79" i="24"/>
  <c r="J80" i="24"/>
  <c r="H80" i="24"/>
  <c r="K79" i="24"/>
  <c r="K81" i="24" s="1"/>
  <c r="K75" i="24" s="1"/>
  <c r="J63" i="41"/>
  <c r="J79" i="24"/>
  <c r="F31" i="41"/>
  <c r="F79" i="24"/>
  <c r="O18" i="41"/>
  <c r="P4" i="41"/>
  <c r="E87" i="28"/>
  <c r="C87" i="28"/>
  <c r="B87" i="28"/>
  <c r="K62" i="28"/>
  <c r="K61" i="28"/>
  <c r="L61" i="28" s="1"/>
  <c r="K60" i="28"/>
  <c r="K59" i="28"/>
  <c r="K58" i="28"/>
  <c r="K57" i="28"/>
  <c r="K56" i="28"/>
  <c r="K55" i="28"/>
  <c r="K54" i="28"/>
  <c r="K53" i="28"/>
  <c r="K52" i="28"/>
  <c r="E41" i="28"/>
  <c r="D41" i="28"/>
  <c r="C41" i="28"/>
  <c r="F39" i="28"/>
  <c r="E39" i="28"/>
  <c r="D39" i="28"/>
  <c r="C39" i="28"/>
  <c r="E37" i="28"/>
  <c r="C37" i="28"/>
  <c r="G34" i="28"/>
  <c r="I34" i="28" s="1"/>
  <c r="G33" i="28"/>
  <c r="G32" i="28"/>
  <c r="G31" i="28"/>
  <c r="G30" i="28"/>
  <c r="D37" i="28"/>
  <c r="G29" i="28"/>
  <c r="G27" i="28"/>
  <c r="G26" i="28"/>
  <c r="G25" i="28"/>
  <c r="G24" i="28"/>
  <c r="F21" i="28"/>
  <c r="E21" i="28"/>
  <c r="C21" i="28"/>
  <c r="G19" i="28"/>
  <c r="F19" i="28"/>
  <c r="E19" i="28"/>
  <c r="C19" i="28"/>
  <c r="F17" i="28"/>
  <c r="C17" i="28"/>
  <c r="H16" i="28"/>
  <c r="I16" i="28" s="1"/>
  <c r="H15" i="28"/>
  <c r="F75" i="28" s="1"/>
  <c r="I14" i="28"/>
  <c r="H13" i="28"/>
  <c r="F74" i="28" s="1"/>
  <c r="H12" i="28"/>
  <c r="F73" i="28" s="1"/>
  <c r="H11" i="28"/>
  <c r="F72" i="28" s="1"/>
  <c r="H10" i="28"/>
  <c r="I10" i="28" s="1"/>
  <c r="H9" i="28"/>
  <c r="E17" i="28"/>
  <c r="H8" i="28"/>
  <c r="F70" i="28" s="1"/>
  <c r="G21" i="28"/>
  <c r="H6" i="28"/>
  <c r="F68" i="28" s="1"/>
  <c r="H5" i="28"/>
  <c r="F67" i="28" s="1"/>
  <c r="H4" i="28"/>
  <c r="F66" i="28" s="1"/>
  <c r="H3" i="28"/>
  <c r="F65" i="28" s="1"/>
  <c r="P49" i="41" l="1"/>
  <c r="L81" i="24"/>
  <c r="L75" i="24" s="1"/>
  <c r="J81" i="24"/>
  <c r="J75" i="24" s="1"/>
  <c r="I81" i="24"/>
  <c r="E81" i="24"/>
  <c r="P27" i="41"/>
  <c r="P18" i="41" s="1"/>
  <c r="Q4" i="41"/>
  <c r="D73" i="24"/>
  <c r="D76" i="24" s="1"/>
  <c r="G81" i="24"/>
  <c r="R36" i="41"/>
  <c r="Q59" i="41"/>
  <c r="F81" i="24"/>
  <c r="H81" i="24"/>
  <c r="D87" i="28"/>
  <c r="L62" i="28"/>
  <c r="I8" i="28"/>
  <c r="I13" i="28"/>
  <c r="I74" i="28"/>
  <c r="I11" i="28"/>
  <c r="L57" i="28"/>
  <c r="G39" i="28"/>
  <c r="L53" i="28"/>
  <c r="I68" i="28"/>
  <c r="I72" i="28"/>
  <c r="L60" i="28"/>
  <c r="E66" i="28"/>
  <c r="E70" i="28"/>
  <c r="E73" i="28"/>
  <c r="L51" i="28"/>
  <c r="L55" i="28"/>
  <c r="L58" i="28"/>
  <c r="I66" i="28"/>
  <c r="I70" i="28"/>
  <c r="I73" i="28"/>
  <c r="L59" i="28"/>
  <c r="E68" i="28"/>
  <c r="E72" i="28"/>
  <c r="E74" i="28"/>
  <c r="F78" i="28"/>
  <c r="F71" i="28"/>
  <c r="I71" i="28"/>
  <c r="L56" i="28"/>
  <c r="H71" i="28"/>
  <c r="D71" i="28"/>
  <c r="E71" i="28"/>
  <c r="G71" i="28"/>
  <c r="C71" i="28"/>
  <c r="I9" i="28"/>
  <c r="L52" i="28"/>
  <c r="I67" i="28"/>
  <c r="E75" i="28"/>
  <c r="C65" i="28"/>
  <c r="G65" i="28"/>
  <c r="C66" i="28"/>
  <c r="G66" i="28"/>
  <c r="C67" i="28"/>
  <c r="G67" i="28"/>
  <c r="C68" i="28"/>
  <c r="G68" i="28"/>
  <c r="C70" i="28"/>
  <c r="G70" i="28"/>
  <c r="C72" i="28"/>
  <c r="G72" i="28"/>
  <c r="C73" i="28"/>
  <c r="G73" i="28"/>
  <c r="C74" i="28"/>
  <c r="G74" i="28"/>
  <c r="C75" i="28"/>
  <c r="H75" i="28"/>
  <c r="L50" i="28"/>
  <c r="E65" i="28"/>
  <c r="I5" i="28"/>
  <c r="H7" i="28"/>
  <c r="H17" i="28" s="1"/>
  <c r="I12" i="28"/>
  <c r="I4" i="28"/>
  <c r="I6" i="28"/>
  <c r="I15" i="28"/>
  <c r="F41" i="28"/>
  <c r="D65" i="28"/>
  <c r="H65" i="28"/>
  <c r="D66" i="28"/>
  <c r="H66" i="28"/>
  <c r="D67" i="28"/>
  <c r="H67" i="28"/>
  <c r="D68" i="28"/>
  <c r="H68" i="28"/>
  <c r="D70" i="28"/>
  <c r="H70" i="28"/>
  <c r="D72" i="28"/>
  <c r="H72" i="28"/>
  <c r="D73" i="28"/>
  <c r="H73" i="28"/>
  <c r="D74" i="28"/>
  <c r="H74" i="28"/>
  <c r="D75" i="28"/>
  <c r="I75" i="28"/>
  <c r="H19" i="28"/>
  <c r="I65" i="28"/>
  <c r="E67" i="28"/>
  <c r="I3" i="28"/>
  <c r="G17" i="28"/>
  <c r="G28" i="28"/>
  <c r="D86" i="27"/>
  <c r="G73" i="27"/>
  <c r="G74" i="27"/>
  <c r="G72" i="27"/>
  <c r="F73" i="27"/>
  <c r="F74" i="27"/>
  <c r="F72" i="27"/>
  <c r="L51" i="27"/>
  <c r="L52" i="27"/>
  <c r="L53" i="27"/>
  <c r="L54" i="27"/>
  <c r="L55" i="27"/>
  <c r="L56" i="27"/>
  <c r="L57" i="27"/>
  <c r="L58" i="27"/>
  <c r="L59" i="27"/>
  <c r="L60" i="27"/>
  <c r="L61" i="27"/>
  <c r="L62" i="27"/>
  <c r="L50" i="27"/>
  <c r="L63" i="27" s="1"/>
  <c r="K51" i="27"/>
  <c r="K52" i="27"/>
  <c r="K53" i="27"/>
  <c r="K54" i="27"/>
  <c r="K55" i="27"/>
  <c r="K56" i="27"/>
  <c r="K57" i="27"/>
  <c r="K58" i="27"/>
  <c r="K59" i="27"/>
  <c r="K60" i="27"/>
  <c r="K61" i="27"/>
  <c r="K62" i="27"/>
  <c r="K50" i="27"/>
  <c r="D30" i="27"/>
  <c r="F28" i="27"/>
  <c r="G9" i="27"/>
  <c r="G7" i="27"/>
  <c r="E9" i="27"/>
  <c r="Q49" i="41" l="1"/>
  <c r="H75" i="24"/>
  <c r="H73" i="24" s="1"/>
  <c r="H76" i="24" s="1"/>
  <c r="G75" i="24"/>
  <c r="G73" i="24" s="1"/>
  <c r="G76" i="24" s="1"/>
  <c r="E75" i="24"/>
  <c r="E73" i="24" s="1"/>
  <c r="E76" i="24" s="1"/>
  <c r="F75" i="24"/>
  <c r="F73" i="24" s="1"/>
  <c r="F76" i="24" s="1"/>
  <c r="I75" i="24"/>
  <c r="I73" i="24" s="1"/>
  <c r="I76" i="24" s="1"/>
  <c r="Q27" i="41"/>
  <c r="Q18" i="41" s="1"/>
  <c r="R4" i="41"/>
  <c r="S36" i="41"/>
  <c r="R59" i="41"/>
  <c r="J71" i="28"/>
  <c r="H30" i="28" s="1"/>
  <c r="I30" i="28" s="1"/>
  <c r="G41" i="28"/>
  <c r="I19" i="28"/>
  <c r="H78" i="28"/>
  <c r="J75" i="28"/>
  <c r="J73" i="28"/>
  <c r="H32" i="28" s="1"/>
  <c r="I32" i="28" s="1"/>
  <c r="J70" i="28"/>
  <c r="H29" i="28" s="1"/>
  <c r="I29" i="28" s="1"/>
  <c r="J67" i="28"/>
  <c r="C78" i="28"/>
  <c r="J65" i="28"/>
  <c r="D78" i="28"/>
  <c r="E78" i="28"/>
  <c r="G37" i="28"/>
  <c r="I78" i="28"/>
  <c r="J74" i="28"/>
  <c r="H33" i="28" s="1"/>
  <c r="I33" i="28" s="1"/>
  <c r="J72" i="28"/>
  <c r="H31" i="28" s="1"/>
  <c r="I31" i="28" s="1"/>
  <c r="J68" i="28"/>
  <c r="H27" i="28" s="1"/>
  <c r="I27" i="28" s="1"/>
  <c r="J66" i="28"/>
  <c r="H25" i="28" s="1"/>
  <c r="I25" i="28" s="1"/>
  <c r="F69" i="28"/>
  <c r="H69" i="28"/>
  <c r="H80" i="28" s="1"/>
  <c r="D69" i="28"/>
  <c r="D76" i="28" s="1"/>
  <c r="I69" i="28"/>
  <c r="I76" i="28" s="1"/>
  <c r="E69" i="28"/>
  <c r="E80" i="28" s="1"/>
  <c r="L54" i="28"/>
  <c r="L63" i="28" s="1"/>
  <c r="G69" i="28"/>
  <c r="G80" i="28" s="1"/>
  <c r="C69" i="28"/>
  <c r="C76" i="28" s="1"/>
  <c r="I7" i="28"/>
  <c r="I17" i="28" s="1"/>
  <c r="G78" i="28"/>
  <c r="G76" i="28"/>
  <c r="H21" i="28"/>
  <c r="I75" i="27"/>
  <c r="H75" i="27"/>
  <c r="F75" i="27"/>
  <c r="E75" i="27"/>
  <c r="D75" i="27"/>
  <c r="C75" i="27"/>
  <c r="C72" i="27"/>
  <c r="D72" i="27"/>
  <c r="R49" i="41" l="1"/>
  <c r="T36" i="41"/>
  <c r="S59" i="41"/>
  <c r="S4" i="41"/>
  <c r="R27" i="41"/>
  <c r="R18" i="41" s="1"/>
  <c r="D80" i="28"/>
  <c r="H76" i="28"/>
  <c r="F76" i="28"/>
  <c r="F80" i="28"/>
  <c r="J69" i="28"/>
  <c r="H28" i="28" s="1"/>
  <c r="I28" i="28" s="1"/>
  <c r="I80" i="28"/>
  <c r="E76" i="28"/>
  <c r="H26" i="28"/>
  <c r="J80" i="28"/>
  <c r="H24" i="28"/>
  <c r="J78" i="28"/>
  <c r="C80" i="28"/>
  <c r="I21" i="28"/>
  <c r="E87" i="27"/>
  <c r="C87" i="27"/>
  <c r="B87" i="27"/>
  <c r="D87" i="27"/>
  <c r="F41" i="27"/>
  <c r="E41" i="27"/>
  <c r="D41" i="27"/>
  <c r="C41" i="27"/>
  <c r="F39" i="27"/>
  <c r="E39" i="27"/>
  <c r="D39" i="27"/>
  <c r="C39" i="27"/>
  <c r="F37" i="27"/>
  <c r="E37" i="27"/>
  <c r="C37" i="27"/>
  <c r="G34" i="27"/>
  <c r="I34" i="27" s="1"/>
  <c r="G33" i="27"/>
  <c r="G32" i="27"/>
  <c r="G31" i="27"/>
  <c r="G30" i="27"/>
  <c r="G29" i="27"/>
  <c r="G28" i="27"/>
  <c r="G27" i="27"/>
  <c r="G26" i="27"/>
  <c r="G25" i="27"/>
  <c r="G24" i="27"/>
  <c r="G21" i="27"/>
  <c r="F21" i="27"/>
  <c r="E21" i="27"/>
  <c r="C21" i="27"/>
  <c r="G19" i="27"/>
  <c r="F19" i="27"/>
  <c r="E19" i="27"/>
  <c r="C19" i="27"/>
  <c r="G17" i="27"/>
  <c r="F17" i="27"/>
  <c r="E17" i="27"/>
  <c r="C17" i="27"/>
  <c r="H16" i="27"/>
  <c r="I16" i="27" s="1"/>
  <c r="H15" i="27"/>
  <c r="I14" i="27"/>
  <c r="H13" i="27"/>
  <c r="H12" i="27"/>
  <c r="H11" i="27"/>
  <c r="H10" i="27"/>
  <c r="H9" i="27"/>
  <c r="H8" i="27"/>
  <c r="F70" i="27" s="1"/>
  <c r="H7" i="27"/>
  <c r="H6" i="27"/>
  <c r="F68" i="27" s="1"/>
  <c r="H5" i="27"/>
  <c r="C67" i="27" s="1"/>
  <c r="H4" i="27"/>
  <c r="F66" i="27" s="1"/>
  <c r="H3" i="27"/>
  <c r="C65" i="27" s="1"/>
  <c r="S49" i="41" l="1"/>
  <c r="T4" i="41"/>
  <c r="S27" i="41"/>
  <c r="S18" i="41" s="1"/>
  <c r="U36" i="41"/>
  <c r="T59" i="41"/>
  <c r="T49" i="41" s="1"/>
  <c r="H37" i="28"/>
  <c r="H39" i="28"/>
  <c r="I24" i="28"/>
  <c r="H41" i="28"/>
  <c r="I26" i="28"/>
  <c r="I41" i="28" s="1"/>
  <c r="J76" i="28"/>
  <c r="C74" i="27"/>
  <c r="D74" i="27"/>
  <c r="C73" i="27"/>
  <c r="D73" i="27"/>
  <c r="G71" i="27"/>
  <c r="C71" i="27"/>
  <c r="D71" i="27"/>
  <c r="I10" i="27"/>
  <c r="D37" i="27"/>
  <c r="D65" i="27"/>
  <c r="H66" i="27"/>
  <c r="G68" i="27"/>
  <c r="G70" i="27"/>
  <c r="H73" i="27"/>
  <c r="C66" i="27"/>
  <c r="C78" i="27" s="1"/>
  <c r="H68" i="27"/>
  <c r="H70" i="27"/>
  <c r="I73" i="27"/>
  <c r="H74" i="27"/>
  <c r="D66" i="27"/>
  <c r="C68" i="27"/>
  <c r="C70" i="27"/>
  <c r="I12" i="27"/>
  <c r="G66" i="27"/>
  <c r="D68" i="27"/>
  <c r="D70" i="27"/>
  <c r="E73" i="27"/>
  <c r="F69" i="27"/>
  <c r="I69" i="27"/>
  <c r="E69" i="27"/>
  <c r="F71" i="27"/>
  <c r="I71" i="27"/>
  <c r="E71" i="27"/>
  <c r="C69" i="27"/>
  <c r="F67" i="27"/>
  <c r="I67" i="27"/>
  <c r="E67" i="27"/>
  <c r="I7" i="27"/>
  <c r="I15" i="27"/>
  <c r="H21" i="27"/>
  <c r="D67" i="27"/>
  <c r="D69" i="27"/>
  <c r="F65" i="27"/>
  <c r="I65" i="27"/>
  <c r="E65" i="27"/>
  <c r="H19" i="27"/>
  <c r="I5" i="27"/>
  <c r="I74" i="27"/>
  <c r="E74" i="27"/>
  <c r="I13" i="27"/>
  <c r="G65" i="27"/>
  <c r="G67" i="27"/>
  <c r="G69" i="27"/>
  <c r="I3" i="27"/>
  <c r="I9" i="27"/>
  <c r="I72" i="27"/>
  <c r="E72" i="27"/>
  <c r="I11" i="27"/>
  <c r="H17" i="27"/>
  <c r="G37" i="27"/>
  <c r="G41" i="27"/>
  <c r="H65" i="27"/>
  <c r="H67" i="27"/>
  <c r="H69" i="27"/>
  <c r="H71" i="27"/>
  <c r="H72" i="27"/>
  <c r="G39" i="27"/>
  <c r="E66" i="27"/>
  <c r="I66" i="27"/>
  <c r="E68" i="27"/>
  <c r="I68" i="27"/>
  <c r="E70" i="27"/>
  <c r="I70" i="27"/>
  <c r="I4" i="27"/>
  <c r="I6" i="27"/>
  <c r="I8" i="27"/>
  <c r="E26" i="24"/>
  <c r="F26" i="24" s="1"/>
  <c r="F48" i="24" s="1"/>
  <c r="E13" i="24"/>
  <c r="G24" i="26"/>
  <c r="U59" i="41" l="1"/>
  <c r="U49" i="41" s="1"/>
  <c r="V36" i="41"/>
  <c r="U4" i="41"/>
  <c r="T27" i="41"/>
  <c r="T17" i="41" s="1"/>
  <c r="I39" i="28"/>
  <c r="I37" i="28"/>
  <c r="D78" i="27"/>
  <c r="J73" i="27"/>
  <c r="H32" i="27" s="1"/>
  <c r="I32" i="27" s="1"/>
  <c r="C76" i="27"/>
  <c r="J74" i="27"/>
  <c r="H33" i="27" s="1"/>
  <c r="I33" i="27" s="1"/>
  <c r="J70" i="27"/>
  <c r="H29" i="27" s="1"/>
  <c r="I29" i="27" s="1"/>
  <c r="J66" i="27"/>
  <c r="H25" i="27" s="1"/>
  <c r="I25" i="27" s="1"/>
  <c r="C80" i="27"/>
  <c r="J68" i="27"/>
  <c r="H27" i="27" s="1"/>
  <c r="I27" i="27" s="1"/>
  <c r="J72" i="27"/>
  <c r="H31" i="27" s="1"/>
  <c r="I31" i="27" s="1"/>
  <c r="I19" i="27"/>
  <c r="I17" i="27"/>
  <c r="G78" i="27"/>
  <c r="G76" i="27"/>
  <c r="E78" i="27"/>
  <c r="E76" i="27"/>
  <c r="I80" i="27"/>
  <c r="I78" i="27"/>
  <c r="I76" i="27"/>
  <c r="D80" i="27"/>
  <c r="D76" i="27"/>
  <c r="F80" i="27"/>
  <c r="J71" i="27"/>
  <c r="H30" i="27" s="1"/>
  <c r="I30" i="27" s="1"/>
  <c r="J67" i="27"/>
  <c r="H80" i="27"/>
  <c r="I21" i="27"/>
  <c r="F78" i="27"/>
  <c r="F76" i="27"/>
  <c r="H78" i="27"/>
  <c r="H76" i="27"/>
  <c r="J75" i="27"/>
  <c r="G80" i="27"/>
  <c r="E80" i="27"/>
  <c r="J69" i="27"/>
  <c r="H28" i="27" s="1"/>
  <c r="I28" i="27" s="1"/>
  <c r="J65" i="27"/>
  <c r="E35" i="24"/>
  <c r="E39" i="24"/>
  <c r="E40" i="24"/>
  <c r="E41" i="24"/>
  <c r="T18" i="41" l="1"/>
  <c r="V4" i="41"/>
  <c r="U27" i="41"/>
  <c r="U17" i="41" s="1"/>
  <c r="W36" i="41"/>
  <c r="V59" i="41"/>
  <c r="V49" i="41" s="1"/>
  <c r="J80" i="27"/>
  <c r="H26" i="27"/>
  <c r="J78" i="27"/>
  <c r="J76" i="27"/>
  <c r="H24" i="27"/>
  <c r="B87" i="26"/>
  <c r="C87" i="26"/>
  <c r="D87" i="26"/>
  <c r="E87" i="26"/>
  <c r="D86" i="26"/>
  <c r="D86" i="25"/>
  <c r="D30" i="26"/>
  <c r="E9" i="26"/>
  <c r="X36" i="41" l="1"/>
  <c r="W59" i="41"/>
  <c r="W49" i="41" s="1"/>
  <c r="W4" i="41"/>
  <c r="V27" i="41"/>
  <c r="V17" i="41" s="1"/>
  <c r="U18" i="41"/>
  <c r="H41" i="27"/>
  <c r="I26" i="27"/>
  <c r="I41" i="27" s="1"/>
  <c r="H39" i="27"/>
  <c r="H37" i="27"/>
  <c r="I24" i="27"/>
  <c r="F75" i="26"/>
  <c r="C72" i="26"/>
  <c r="F41" i="26"/>
  <c r="E41" i="26"/>
  <c r="D41" i="26"/>
  <c r="C41" i="26"/>
  <c r="F39" i="26"/>
  <c r="E39" i="26"/>
  <c r="D39" i="26"/>
  <c r="C39" i="26"/>
  <c r="F37" i="26"/>
  <c r="E37" i="26"/>
  <c r="D37" i="26"/>
  <c r="C37" i="26"/>
  <c r="G34" i="26"/>
  <c r="I34" i="26" s="1"/>
  <c r="G33" i="26"/>
  <c r="G32" i="26"/>
  <c r="G31" i="26"/>
  <c r="G30" i="26"/>
  <c r="G29" i="26"/>
  <c r="G28" i="26"/>
  <c r="G27" i="26"/>
  <c r="G26" i="26"/>
  <c r="G25" i="26"/>
  <c r="G21" i="26"/>
  <c r="F21" i="26"/>
  <c r="E21" i="26"/>
  <c r="C21" i="26"/>
  <c r="G19" i="26"/>
  <c r="F19" i="26"/>
  <c r="E19" i="26"/>
  <c r="C19" i="26"/>
  <c r="G17" i="26"/>
  <c r="F17" i="26"/>
  <c r="C17" i="26"/>
  <c r="H16" i="26"/>
  <c r="I16" i="26" s="1"/>
  <c r="H15" i="26"/>
  <c r="H75" i="26" s="1"/>
  <c r="I14" i="26"/>
  <c r="H13" i="26"/>
  <c r="H74" i="26" s="1"/>
  <c r="H12" i="26"/>
  <c r="F73" i="26" s="1"/>
  <c r="H11" i="26"/>
  <c r="D73" i="26" s="1"/>
  <c r="I10" i="26"/>
  <c r="H10" i="26"/>
  <c r="G72" i="26" s="1"/>
  <c r="H9" i="26"/>
  <c r="G71" i="26" s="1"/>
  <c r="H8" i="26"/>
  <c r="F70" i="26" s="1"/>
  <c r="H7" i="26"/>
  <c r="D69" i="26" s="1"/>
  <c r="H6" i="26"/>
  <c r="F68" i="26" s="1"/>
  <c r="H5" i="26"/>
  <c r="H4" i="26"/>
  <c r="F66" i="26" s="1"/>
  <c r="H3" i="26"/>
  <c r="D65" i="26" s="1"/>
  <c r="W27" i="41" l="1"/>
  <c r="W17" i="41" s="1"/>
  <c r="X4" i="41"/>
  <c r="V18" i="41"/>
  <c r="Y36" i="41"/>
  <c r="X59" i="41"/>
  <c r="I39" i="27"/>
  <c r="I37" i="27"/>
  <c r="C74" i="26"/>
  <c r="G75" i="26"/>
  <c r="G70" i="26"/>
  <c r="H70" i="26"/>
  <c r="H71" i="26"/>
  <c r="I9" i="26"/>
  <c r="G69" i="26"/>
  <c r="D66" i="26"/>
  <c r="D78" i="26" s="1"/>
  <c r="G66" i="26"/>
  <c r="D68" i="26"/>
  <c r="G68" i="26"/>
  <c r="H69" i="26"/>
  <c r="E73" i="26"/>
  <c r="D74" i="26"/>
  <c r="I7" i="26"/>
  <c r="I12" i="26"/>
  <c r="I15" i="26"/>
  <c r="H66" i="26"/>
  <c r="H68" i="26"/>
  <c r="C70" i="26"/>
  <c r="D71" i="26"/>
  <c r="D72" i="26"/>
  <c r="H73" i="26"/>
  <c r="G74" i="26"/>
  <c r="C66" i="26"/>
  <c r="C68" i="26"/>
  <c r="D70" i="26"/>
  <c r="I73" i="26"/>
  <c r="F67" i="26"/>
  <c r="I67" i="26"/>
  <c r="E67" i="26"/>
  <c r="H21" i="26"/>
  <c r="D67" i="26"/>
  <c r="F65" i="26"/>
  <c r="I65" i="26"/>
  <c r="E65" i="26"/>
  <c r="H19" i="26"/>
  <c r="I5" i="26"/>
  <c r="F74" i="26"/>
  <c r="I74" i="26"/>
  <c r="E74" i="26"/>
  <c r="I13" i="26"/>
  <c r="G65" i="26"/>
  <c r="G67" i="26"/>
  <c r="G80" i="26" s="1"/>
  <c r="C75" i="26"/>
  <c r="I3" i="26"/>
  <c r="F72" i="26"/>
  <c r="J72" i="26" s="1"/>
  <c r="H31" i="26" s="1"/>
  <c r="I31" i="26" s="1"/>
  <c r="I72" i="26"/>
  <c r="E72" i="26"/>
  <c r="I11" i="26"/>
  <c r="H17" i="26"/>
  <c r="G37" i="26"/>
  <c r="G41" i="26"/>
  <c r="H65" i="26"/>
  <c r="H67" i="26"/>
  <c r="H72" i="26"/>
  <c r="G73" i="26"/>
  <c r="D75" i="26"/>
  <c r="F69" i="26"/>
  <c r="I69" i="26"/>
  <c r="E69" i="26"/>
  <c r="F71" i="26"/>
  <c r="I71" i="26"/>
  <c r="E71" i="26"/>
  <c r="I75" i="26"/>
  <c r="E75" i="26"/>
  <c r="E17" i="26"/>
  <c r="C65" i="26"/>
  <c r="C67" i="26"/>
  <c r="C69" i="26"/>
  <c r="C71" i="26"/>
  <c r="C73" i="26"/>
  <c r="G39" i="26"/>
  <c r="E66" i="26"/>
  <c r="I66" i="26"/>
  <c r="E68" i="26"/>
  <c r="I68" i="26"/>
  <c r="E70" i="26"/>
  <c r="I70" i="26"/>
  <c r="I4" i="26"/>
  <c r="I6" i="26"/>
  <c r="I8" i="26"/>
  <c r="D35" i="24"/>
  <c r="D40" i="24"/>
  <c r="W18" i="41" l="1"/>
  <c r="Y59" i="41"/>
  <c r="AA39" i="41"/>
  <c r="Z42" i="41" s="1"/>
  <c r="Y4" i="41"/>
  <c r="X27" i="41"/>
  <c r="X17" i="41" s="1"/>
  <c r="X49" i="41"/>
  <c r="J74" i="26"/>
  <c r="H33" i="26" s="1"/>
  <c r="I33" i="26" s="1"/>
  <c r="J70" i="26"/>
  <c r="H29" i="26" s="1"/>
  <c r="I29" i="26" s="1"/>
  <c r="D80" i="26"/>
  <c r="J68" i="26"/>
  <c r="H27" i="26" s="1"/>
  <c r="I27" i="26" s="1"/>
  <c r="J66" i="26"/>
  <c r="H25" i="26" s="1"/>
  <c r="I25" i="26" s="1"/>
  <c r="J73" i="26"/>
  <c r="H32" i="26" s="1"/>
  <c r="I32" i="26" s="1"/>
  <c r="I21" i="26"/>
  <c r="F78" i="26"/>
  <c r="F76" i="26"/>
  <c r="J71" i="26"/>
  <c r="H30" i="26" s="1"/>
  <c r="I30" i="26" s="1"/>
  <c r="J67" i="26"/>
  <c r="C80" i="26"/>
  <c r="H80" i="26"/>
  <c r="E80" i="26"/>
  <c r="D76" i="26"/>
  <c r="H78" i="26"/>
  <c r="H76" i="26"/>
  <c r="I19" i="26"/>
  <c r="I17" i="26"/>
  <c r="G78" i="26"/>
  <c r="G76" i="26"/>
  <c r="E78" i="26"/>
  <c r="E76" i="26"/>
  <c r="I80" i="26"/>
  <c r="J69" i="26"/>
  <c r="H28" i="26" s="1"/>
  <c r="I28" i="26" s="1"/>
  <c r="J65" i="26"/>
  <c r="C76" i="26"/>
  <c r="C78" i="26"/>
  <c r="J75" i="26"/>
  <c r="I78" i="26"/>
  <c r="I76" i="26"/>
  <c r="F80" i="26"/>
  <c r="D30" i="25"/>
  <c r="D37" i="25"/>
  <c r="X18" i="41" l="1"/>
  <c r="AA42" i="41"/>
  <c r="AB42" i="41" s="1"/>
  <c r="AC42" i="41" s="1"/>
  <c r="AD42" i="41" s="1"/>
  <c r="AE42" i="41" s="1"/>
  <c r="AF42" i="41" s="1"/>
  <c r="AG42" i="41" s="1"/>
  <c r="AH42" i="41" s="1"/>
  <c r="AI42" i="41" s="1"/>
  <c r="AJ42" i="41" s="1"/>
  <c r="AK42" i="41" s="1"/>
  <c r="AA7" i="41"/>
  <c r="Z10" i="41" s="1"/>
  <c r="Y27" i="41"/>
  <c r="Y17" i="41" s="1"/>
  <c r="Y49" i="41"/>
  <c r="J80" i="26"/>
  <c r="H26" i="26"/>
  <c r="J78" i="26"/>
  <c r="J76" i="26"/>
  <c r="H24" i="26"/>
  <c r="I24" i="26" s="1"/>
  <c r="I39" i="26" s="1"/>
  <c r="AA10" i="41" l="1"/>
  <c r="AB10" i="41" s="1"/>
  <c r="AC10" i="41" s="1"/>
  <c r="AD10" i="41" s="1"/>
  <c r="AE10" i="41" s="1"/>
  <c r="AF10" i="41" s="1"/>
  <c r="AG10" i="41" s="1"/>
  <c r="AH10" i="41" s="1"/>
  <c r="AI10" i="41" s="1"/>
  <c r="AJ10" i="41" s="1"/>
  <c r="AK10" i="41" s="1"/>
  <c r="Y18" i="41"/>
  <c r="H39" i="26"/>
  <c r="H37" i="26"/>
  <c r="H41" i="26"/>
  <c r="I26" i="26"/>
  <c r="I41" i="26" s="1"/>
  <c r="E9" i="25"/>
  <c r="E17" i="24" l="1"/>
  <c r="I37" i="26"/>
  <c r="J48" i="24"/>
  <c r="K48" i="24"/>
  <c r="M48" i="24"/>
  <c r="N48" i="24"/>
  <c r="O48" i="24"/>
  <c r="F41" i="24"/>
  <c r="F40" i="24"/>
  <c r="F39" i="24"/>
  <c r="F35" i="24"/>
  <c r="G18" i="24"/>
  <c r="F18" i="24"/>
  <c r="E18" i="24"/>
  <c r="D18" i="24"/>
  <c r="G17" i="24"/>
  <c r="F17" i="24"/>
  <c r="G19" i="24"/>
  <c r="F19" i="24"/>
  <c r="E19" i="24"/>
  <c r="G13" i="24"/>
  <c r="F13" i="24"/>
  <c r="D13" i="24"/>
  <c r="E87" i="25"/>
  <c r="D87" i="25"/>
  <c r="C87" i="25"/>
  <c r="B87" i="25"/>
  <c r="F75" i="25"/>
  <c r="F41" i="25"/>
  <c r="E41" i="25"/>
  <c r="D41" i="25"/>
  <c r="C41" i="25"/>
  <c r="F39" i="25"/>
  <c r="E39" i="25"/>
  <c r="D39" i="25"/>
  <c r="C39" i="25"/>
  <c r="F37" i="25"/>
  <c r="E37" i="25"/>
  <c r="C37" i="25"/>
  <c r="G34" i="25"/>
  <c r="I34" i="25" s="1"/>
  <c r="G33" i="25"/>
  <c r="G32" i="25"/>
  <c r="G31" i="25"/>
  <c r="G30" i="25"/>
  <c r="G29" i="25"/>
  <c r="G28" i="25"/>
  <c r="G27" i="25"/>
  <c r="G26" i="25"/>
  <c r="G25" i="25"/>
  <c r="G24" i="25"/>
  <c r="G21" i="25"/>
  <c r="F21" i="25"/>
  <c r="E21" i="25"/>
  <c r="C21" i="25"/>
  <c r="G19" i="25"/>
  <c r="F19" i="25"/>
  <c r="E19" i="25"/>
  <c r="C19" i="25"/>
  <c r="G17" i="25"/>
  <c r="F17" i="25"/>
  <c r="C17" i="25"/>
  <c r="H16" i="25"/>
  <c r="I16" i="25" s="1"/>
  <c r="H15" i="25"/>
  <c r="I75" i="25" s="1"/>
  <c r="I14" i="25"/>
  <c r="H13" i="25"/>
  <c r="I74" i="25" s="1"/>
  <c r="H12" i="25"/>
  <c r="I73" i="25" s="1"/>
  <c r="H11" i="25"/>
  <c r="I72" i="25" s="1"/>
  <c r="H10" i="25"/>
  <c r="G72" i="25" s="1"/>
  <c r="H9" i="25"/>
  <c r="E17" i="25"/>
  <c r="H8" i="25"/>
  <c r="I70" i="25" s="1"/>
  <c r="H7" i="25"/>
  <c r="I69" i="25" s="1"/>
  <c r="H6" i="25"/>
  <c r="I68" i="25" s="1"/>
  <c r="H5" i="25"/>
  <c r="I67" i="25" s="1"/>
  <c r="H4" i="25"/>
  <c r="I66" i="25" s="1"/>
  <c r="H3" i="25"/>
  <c r="I65" i="25" s="1"/>
  <c r="C73" i="25" l="1"/>
  <c r="I11" i="25"/>
  <c r="G73" i="25"/>
  <c r="I71" i="25"/>
  <c r="I76" i="25" s="1"/>
  <c r="G41" i="25"/>
  <c r="G39" i="25"/>
  <c r="G75" i="25"/>
  <c r="F69" i="25"/>
  <c r="C67" i="25"/>
  <c r="G67" i="25"/>
  <c r="F65" i="25"/>
  <c r="G71" i="25"/>
  <c r="I9" i="25"/>
  <c r="C65" i="25"/>
  <c r="F67" i="25"/>
  <c r="G69" i="25"/>
  <c r="F72" i="25"/>
  <c r="F74" i="25"/>
  <c r="C71" i="25"/>
  <c r="C75" i="25"/>
  <c r="I13" i="25"/>
  <c r="G65" i="25"/>
  <c r="C69" i="25"/>
  <c r="F71" i="25"/>
  <c r="F73" i="25"/>
  <c r="I78" i="25"/>
  <c r="I80" i="25"/>
  <c r="F66" i="25"/>
  <c r="I4" i="25"/>
  <c r="C66" i="25"/>
  <c r="C70" i="25"/>
  <c r="G74" i="25"/>
  <c r="I10" i="25"/>
  <c r="I12" i="25"/>
  <c r="H17" i="25"/>
  <c r="H21" i="25"/>
  <c r="D65" i="25"/>
  <c r="H65" i="25"/>
  <c r="D66" i="25"/>
  <c r="H66" i="25"/>
  <c r="D67" i="25"/>
  <c r="H67" i="25"/>
  <c r="D68" i="25"/>
  <c r="H68" i="25"/>
  <c r="D69" i="25"/>
  <c r="H69" i="25"/>
  <c r="D70" i="25"/>
  <c r="H70" i="25"/>
  <c r="D71" i="25"/>
  <c r="H71" i="25"/>
  <c r="D72" i="25"/>
  <c r="H72" i="25"/>
  <c r="D73" i="25"/>
  <c r="H73" i="25"/>
  <c r="D74" i="25"/>
  <c r="H74" i="25"/>
  <c r="D75" i="25"/>
  <c r="H75" i="25"/>
  <c r="H19" i="25"/>
  <c r="G37" i="25"/>
  <c r="F68" i="25"/>
  <c r="F70" i="25"/>
  <c r="I6" i="25"/>
  <c r="I8" i="25"/>
  <c r="G66" i="25"/>
  <c r="C68" i="25"/>
  <c r="G68" i="25"/>
  <c r="G70" i="25"/>
  <c r="C72" i="25"/>
  <c r="C74" i="25"/>
  <c r="I3" i="25"/>
  <c r="I5" i="25"/>
  <c r="I7" i="25"/>
  <c r="I15" i="25"/>
  <c r="E65" i="25"/>
  <c r="E66" i="25"/>
  <c r="E67" i="25"/>
  <c r="E68" i="25"/>
  <c r="E69" i="25"/>
  <c r="E70" i="25"/>
  <c r="E71" i="25"/>
  <c r="E72" i="25"/>
  <c r="E73" i="25"/>
  <c r="E74" i="25"/>
  <c r="E75" i="25"/>
  <c r="G78" i="25" l="1"/>
  <c r="F80" i="25"/>
  <c r="I21" i="25"/>
  <c r="D41" i="24" s="1"/>
  <c r="C78" i="25"/>
  <c r="G76" i="25"/>
  <c r="F76" i="25"/>
  <c r="G80" i="25"/>
  <c r="J68" i="25"/>
  <c r="H27" i="25" s="1"/>
  <c r="I27" i="25" s="1"/>
  <c r="H80" i="25"/>
  <c r="H78" i="25"/>
  <c r="H76" i="25"/>
  <c r="J74" i="25"/>
  <c r="H33" i="25" s="1"/>
  <c r="I33" i="25" s="1"/>
  <c r="F78" i="25"/>
  <c r="E80" i="25"/>
  <c r="C76" i="25"/>
  <c r="J70" i="25"/>
  <c r="H29" i="25" s="1"/>
  <c r="I29" i="25" s="1"/>
  <c r="E78" i="25"/>
  <c r="E76" i="25"/>
  <c r="I17" i="25"/>
  <c r="I19" i="25"/>
  <c r="D19" i="24" s="1"/>
  <c r="J72" i="25"/>
  <c r="H31" i="25" s="1"/>
  <c r="I31" i="25" s="1"/>
  <c r="J75" i="25"/>
  <c r="J73" i="25"/>
  <c r="H32" i="25" s="1"/>
  <c r="I32" i="25" s="1"/>
  <c r="J71" i="25"/>
  <c r="H30" i="25" s="1"/>
  <c r="I30" i="25" s="1"/>
  <c r="J69" i="25"/>
  <c r="H28" i="25" s="1"/>
  <c r="I28" i="25" s="1"/>
  <c r="D80" i="25"/>
  <c r="J67" i="25"/>
  <c r="D78" i="25"/>
  <c r="D76" i="25"/>
  <c r="J65" i="25"/>
  <c r="J66" i="25"/>
  <c r="H25" i="25" s="1"/>
  <c r="I25" i="25" s="1"/>
  <c r="C80" i="25"/>
  <c r="H26" i="25" l="1"/>
  <c r="J80" i="25"/>
  <c r="H24" i="25"/>
  <c r="J78" i="25"/>
  <c r="J76" i="25"/>
  <c r="H39" i="25" l="1"/>
  <c r="H37" i="25"/>
  <c r="I24" i="25"/>
  <c r="H41" i="25"/>
  <c r="I26" i="25"/>
  <c r="I41" i="25" s="1"/>
  <c r="D39" i="24" s="1"/>
  <c r="I37" i="25" l="1"/>
  <c r="I39" i="25"/>
  <c r="D17" i="24" s="1"/>
  <c r="M19" i="24" l="1"/>
  <c r="L19" i="24"/>
  <c r="K19" i="24"/>
  <c r="J19" i="24"/>
  <c r="M18" i="24"/>
  <c r="L18" i="24"/>
  <c r="K18" i="24"/>
  <c r="J18" i="24"/>
  <c r="M17" i="24"/>
  <c r="L17" i="24"/>
  <c r="K17" i="24"/>
  <c r="M13" i="24"/>
  <c r="L13" i="24"/>
  <c r="K13" i="24"/>
  <c r="J13" i="24"/>
  <c r="I18" i="24"/>
  <c r="I13" i="24"/>
  <c r="J17" i="24" l="1"/>
  <c r="I19" i="24"/>
  <c r="I48" i="24"/>
  <c r="I17" i="24" l="1"/>
  <c r="O18" i="24" l="1"/>
  <c r="O13" i="24"/>
  <c r="O19" i="24" l="1"/>
  <c r="O17" i="24" l="1"/>
  <c r="N18" i="24" l="1"/>
  <c r="N13" i="24"/>
  <c r="N19" i="24" l="1"/>
  <c r="N17" i="24" l="1"/>
  <c r="H19" i="24" l="1"/>
  <c r="H18" i="24"/>
  <c r="H17" i="24"/>
  <c r="H13" i="24"/>
  <c r="D43" i="24" l="1"/>
  <c r="D21" i="24"/>
  <c r="D22" i="24" s="1"/>
  <c r="D23" i="24" s="1"/>
  <c r="E48" i="24"/>
  <c r="D44" i="24" l="1"/>
  <c r="D45" i="24" l="1"/>
  <c r="E21" i="24"/>
  <c r="E22" i="24" s="1"/>
  <c r="E23" i="24" l="1"/>
  <c r="C53" i="24"/>
  <c r="C51" i="24"/>
  <c r="D48" i="24"/>
  <c r="M42" i="24"/>
  <c r="M43" i="24" s="1"/>
  <c r="I42" i="24"/>
  <c r="I43" i="24" s="1"/>
  <c r="E43" i="24"/>
  <c r="A40" i="24"/>
  <c r="A36" i="24"/>
  <c r="A37" i="24" s="1"/>
  <c r="C29" i="24"/>
  <c r="C22" i="24"/>
  <c r="C21" i="24"/>
  <c r="N20" i="24"/>
  <c r="N21" i="24" s="1"/>
  <c r="J20" i="24"/>
  <c r="J21" i="24" s="1"/>
  <c r="F21" i="24"/>
  <c r="A14" i="24"/>
  <c r="E7" i="24"/>
  <c r="D4" i="24"/>
  <c r="E4" i="24" s="1"/>
  <c r="F4" i="24" s="1"/>
  <c r="G4" i="24" s="1"/>
  <c r="H4" i="24" s="1"/>
  <c r="I4" i="24" s="1"/>
  <c r="J4" i="24" s="1"/>
  <c r="K4" i="24" s="1"/>
  <c r="L4" i="24" s="1"/>
  <c r="M4" i="24" s="1"/>
  <c r="N4" i="24" s="1"/>
  <c r="O4" i="24" s="1"/>
  <c r="D22" i="16"/>
  <c r="D12" i="16"/>
  <c r="E12" i="16"/>
  <c r="F10" i="18"/>
  <c r="J10" i="18"/>
  <c r="N10" i="18"/>
  <c r="D14" i="18"/>
  <c r="A22" i="18"/>
  <c r="A23" i="18" s="1"/>
  <c r="A24" i="18" s="1"/>
  <c r="A26" i="18" s="1"/>
  <c r="A27" i="18" s="1"/>
  <c r="A9" i="18"/>
  <c r="A10" i="18" s="1"/>
  <c r="A11" i="18" s="1"/>
  <c r="C14" i="16"/>
  <c r="F7" i="24" l="1"/>
  <c r="E55" i="24"/>
  <c r="E44" i="24"/>
  <c r="E45" i="24" s="1"/>
  <c r="H14" i="18"/>
  <c r="L14" i="18"/>
  <c r="E10" i="18"/>
  <c r="A15" i="24"/>
  <c r="C24" i="24" s="1"/>
  <c r="C15" i="24"/>
  <c r="I10" i="18"/>
  <c r="C24" i="18"/>
  <c r="H20" i="24"/>
  <c r="H21" i="24" s="1"/>
  <c r="H22" i="24" s="1"/>
  <c r="H23" i="24" s="1"/>
  <c r="L20" i="24"/>
  <c r="L21" i="24" s="1"/>
  <c r="L22" i="24" s="1"/>
  <c r="L23" i="24" s="1"/>
  <c r="G43" i="24"/>
  <c r="G44" i="24" s="1"/>
  <c r="G45" i="24" s="1"/>
  <c r="K42" i="24"/>
  <c r="K43" i="24" s="1"/>
  <c r="K44" i="24" s="1"/>
  <c r="K45" i="24" s="1"/>
  <c r="O42" i="24"/>
  <c r="O43" i="24" s="1"/>
  <c r="O44" i="24" s="1"/>
  <c r="O45" i="24" s="1"/>
  <c r="O10" i="18"/>
  <c r="K10" i="18"/>
  <c r="G10" i="18"/>
  <c r="O14" i="18"/>
  <c r="K14" i="18"/>
  <c r="G14" i="18"/>
  <c r="I20" i="24"/>
  <c r="I21" i="24" s="1"/>
  <c r="I22" i="24" s="1"/>
  <c r="I23" i="24" s="1"/>
  <c r="M20" i="24"/>
  <c r="C37" i="24"/>
  <c r="H42" i="24"/>
  <c r="H43" i="24" s="1"/>
  <c r="H44" i="24" s="1"/>
  <c r="H45" i="24" s="1"/>
  <c r="L42" i="24"/>
  <c r="L43" i="24" s="1"/>
  <c r="L44" i="24" s="1"/>
  <c r="L45" i="24" s="1"/>
  <c r="M10" i="18"/>
  <c r="G21" i="24"/>
  <c r="G22" i="24" s="1"/>
  <c r="G23" i="24" s="1"/>
  <c r="K20" i="24"/>
  <c r="K21" i="24" s="1"/>
  <c r="K22" i="24" s="1"/>
  <c r="K23" i="24" s="1"/>
  <c r="O20" i="24"/>
  <c r="O21" i="24" s="1"/>
  <c r="O22" i="24" s="1"/>
  <c r="O23" i="24" s="1"/>
  <c r="F43" i="24"/>
  <c r="F44" i="24" s="1"/>
  <c r="F45" i="24" s="1"/>
  <c r="J42" i="24"/>
  <c r="J43" i="24" s="1"/>
  <c r="J44" i="24" s="1"/>
  <c r="J45" i="24" s="1"/>
  <c r="N42" i="24"/>
  <c r="N43" i="24" s="1"/>
  <c r="N44" i="24" s="1"/>
  <c r="N45" i="24" s="1"/>
  <c r="F22" i="24"/>
  <c r="F23" i="24" s="1"/>
  <c r="J22" i="24"/>
  <c r="J23" i="24" s="1"/>
  <c r="N22" i="24"/>
  <c r="N23" i="24" s="1"/>
  <c r="I44" i="24"/>
  <c r="I45" i="24" s="1"/>
  <c r="M44" i="24"/>
  <c r="M45" i="24" s="1"/>
  <c r="P13" i="24"/>
  <c r="P35" i="24"/>
  <c r="A41" i="24"/>
  <c r="P40" i="24"/>
  <c r="P18" i="24"/>
  <c r="D23" i="16"/>
  <c r="D10" i="18"/>
  <c r="C28" i="18"/>
  <c r="A28" i="18"/>
  <c r="G7" i="24" l="1"/>
  <c r="F55" i="24"/>
  <c r="M21" i="24"/>
  <c r="M22" i="24" s="1"/>
  <c r="M23" i="24" s="1"/>
  <c r="E14" i="18"/>
  <c r="J14" i="18"/>
  <c r="N14" i="18"/>
  <c r="H10" i="18"/>
  <c r="L10" i="18"/>
  <c r="F14" i="18"/>
  <c r="E22" i="16"/>
  <c r="M14" i="18"/>
  <c r="D10" i="16"/>
  <c r="D14" i="16" s="1"/>
  <c r="P19" i="24"/>
  <c r="I14" i="18"/>
  <c r="P41" i="24"/>
  <c r="P43" i="24"/>
  <c r="A42" i="24"/>
  <c r="A43" i="24" s="1"/>
  <c r="E10" i="16"/>
  <c r="E14" i="16" s="1"/>
  <c r="H7" i="24" l="1"/>
  <c r="G55" i="24"/>
  <c r="P10" i="18"/>
  <c r="O11" i="18" s="1"/>
  <c r="D21" i="16"/>
  <c r="D24" i="16" s="1"/>
  <c r="G11" i="18"/>
  <c r="L11" i="18"/>
  <c r="N11" i="18"/>
  <c r="J11" i="18"/>
  <c r="K11" i="18"/>
  <c r="E11" i="18"/>
  <c r="H11" i="18"/>
  <c r="M11" i="18"/>
  <c r="P21" i="24"/>
  <c r="P14" i="18"/>
  <c r="P23" i="18"/>
  <c r="A44" i="24"/>
  <c r="C46" i="24" s="1"/>
  <c r="C44" i="24"/>
  <c r="G48" i="24"/>
  <c r="C43" i="24"/>
  <c r="P27" i="18"/>
  <c r="E21" i="16"/>
  <c r="E24" i="16" s="1"/>
  <c r="I7" i="24" l="1"/>
  <c r="H55" i="24"/>
  <c r="O24" i="18"/>
  <c r="O14" i="24" s="1"/>
  <c r="O15" i="24" s="1"/>
  <c r="O24" i="24" s="1"/>
  <c r="O25" i="24" s="1"/>
  <c r="I11" i="18"/>
  <c r="D11" i="18"/>
  <c r="D24" i="18" s="1"/>
  <c r="D15" i="24" s="1"/>
  <c r="D24" i="24" s="1"/>
  <c r="D25" i="24" s="1"/>
  <c r="F11" i="18"/>
  <c r="K24" i="18"/>
  <c r="K14" i="24" s="1"/>
  <c r="K15" i="24" s="1"/>
  <c r="K24" i="24" s="1"/>
  <c r="K25" i="24" s="1"/>
  <c r="K57" i="24" s="1"/>
  <c r="K26" i="41" s="1"/>
  <c r="K29" i="41" s="1"/>
  <c r="E24" i="18"/>
  <c r="E15" i="24" s="1"/>
  <c r="E24" i="24" s="1"/>
  <c r="E25" i="24" s="1"/>
  <c r="L24" i="18"/>
  <c r="L14" i="24" s="1"/>
  <c r="L15" i="24" s="1"/>
  <c r="L24" i="24" s="1"/>
  <c r="L25" i="24" s="1"/>
  <c r="L26" i="41" s="1"/>
  <c r="L29" i="41" s="1"/>
  <c r="M24" i="18"/>
  <c r="M14" i="24" s="1"/>
  <c r="M15" i="24" s="1"/>
  <c r="M24" i="24" s="1"/>
  <c r="M25" i="24" s="1"/>
  <c r="J24" i="18"/>
  <c r="J14" i="24" s="1"/>
  <c r="J15" i="24" s="1"/>
  <c r="J24" i="24" s="1"/>
  <c r="J25" i="24" s="1"/>
  <c r="J57" i="24" s="1"/>
  <c r="I24" i="18"/>
  <c r="I14" i="24" s="1"/>
  <c r="I15" i="24" s="1"/>
  <c r="I24" i="24" s="1"/>
  <c r="N24" i="18"/>
  <c r="N14" i="24" s="1"/>
  <c r="N15" i="24" s="1"/>
  <c r="N24" i="24" s="1"/>
  <c r="H24" i="18"/>
  <c r="H14" i="24" s="1"/>
  <c r="H15" i="24" s="1"/>
  <c r="H24" i="24" s="1"/>
  <c r="G24" i="18"/>
  <c r="G15" i="24" s="1"/>
  <c r="G24" i="24" s="1"/>
  <c r="P11" i="18"/>
  <c r="I15" i="18"/>
  <c r="I28" i="18" s="1"/>
  <c r="I36" i="24" s="1"/>
  <c r="I37" i="24" s="1"/>
  <c r="I46" i="24" s="1"/>
  <c r="G15" i="18"/>
  <c r="G28" i="18" s="1"/>
  <c r="G37" i="24" s="1"/>
  <c r="G46" i="24" s="1"/>
  <c r="G47" i="24" s="1"/>
  <c r="O15" i="18"/>
  <c r="O28" i="18" s="1"/>
  <c r="O36" i="24" s="1"/>
  <c r="O37" i="24" s="1"/>
  <c r="O46" i="24" s="1"/>
  <c r="K15" i="18"/>
  <c r="K28" i="18" s="1"/>
  <c r="K36" i="24" s="1"/>
  <c r="K37" i="24" s="1"/>
  <c r="K46" i="24" s="1"/>
  <c r="L15" i="18"/>
  <c r="L28" i="18" s="1"/>
  <c r="L36" i="24" s="1"/>
  <c r="L37" i="24" s="1"/>
  <c r="L46" i="24" s="1"/>
  <c r="E15" i="18"/>
  <c r="E28" i="18" s="1"/>
  <c r="E37" i="24" s="1"/>
  <c r="E46" i="24" s="1"/>
  <c r="E47" i="24" s="1"/>
  <c r="H15" i="18"/>
  <c r="H28" i="18" s="1"/>
  <c r="H36" i="24" s="1"/>
  <c r="H37" i="24" s="1"/>
  <c r="H46" i="24" s="1"/>
  <c r="H47" i="24" s="1"/>
  <c r="J15" i="18"/>
  <c r="J28" i="18" s="1"/>
  <c r="J36" i="24" s="1"/>
  <c r="J37" i="24" s="1"/>
  <c r="J46" i="24" s="1"/>
  <c r="D15" i="18"/>
  <c r="F15" i="18"/>
  <c r="F28" i="18" s="1"/>
  <c r="F37" i="24" s="1"/>
  <c r="F46" i="24" s="1"/>
  <c r="F47" i="24" s="1"/>
  <c r="N15" i="18"/>
  <c r="N28" i="18" s="1"/>
  <c r="N36" i="24" s="1"/>
  <c r="N37" i="24" s="1"/>
  <c r="N46" i="24" s="1"/>
  <c r="M15" i="18"/>
  <c r="F24" i="18"/>
  <c r="P44" i="24"/>
  <c r="P45" i="24" s="1"/>
  <c r="P39" i="24"/>
  <c r="M28" i="18"/>
  <c r="M36" i="24" s="1"/>
  <c r="M37" i="24" s="1"/>
  <c r="M46" i="24" s="1"/>
  <c r="D28" i="18"/>
  <c r="O57" i="24" l="1"/>
  <c r="O26" i="41" s="1"/>
  <c r="N25" i="24"/>
  <c r="N57" i="24" s="1"/>
  <c r="M57" i="24"/>
  <c r="M26" i="41" s="1"/>
  <c r="M29" i="41" s="1"/>
  <c r="J26" i="41"/>
  <c r="J29" i="41" s="1"/>
  <c r="G25" i="24"/>
  <c r="G57" i="24" s="1"/>
  <c r="G26" i="41" s="1"/>
  <c r="G29" i="41" s="1"/>
  <c r="J7" i="24"/>
  <c r="I55" i="24"/>
  <c r="I25" i="24"/>
  <c r="I57" i="24" s="1"/>
  <c r="I26" i="41" s="1"/>
  <c r="I29" i="41" s="1"/>
  <c r="H25" i="24"/>
  <c r="H57" i="24" s="1"/>
  <c r="H26" i="41" s="1"/>
  <c r="H29" i="41" s="1"/>
  <c r="P24" i="18"/>
  <c r="D37" i="24"/>
  <c r="D46" i="24" s="1"/>
  <c r="F15" i="24"/>
  <c r="F24" i="24" s="1"/>
  <c r="E57" i="24"/>
  <c r="E26" i="41" s="1"/>
  <c r="E29" i="41" s="1"/>
  <c r="N47" i="24"/>
  <c r="N65" i="24" s="1"/>
  <c r="N58" i="41" s="1"/>
  <c r="N61" i="41" s="1"/>
  <c r="M47" i="24"/>
  <c r="M65" i="24" s="1"/>
  <c r="M58" i="41" s="1"/>
  <c r="M61" i="41" s="1"/>
  <c r="L47" i="24"/>
  <c r="L58" i="41" s="1"/>
  <c r="L61" i="41" s="1"/>
  <c r="K47" i="24"/>
  <c r="K65" i="24" s="1"/>
  <c r="K58" i="41" s="1"/>
  <c r="K61" i="41" s="1"/>
  <c r="J47" i="24"/>
  <c r="J65" i="24" s="1"/>
  <c r="J58" i="41" s="1"/>
  <c r="J61" i="41" s="1"/>
  <c r="I47" i="24"/>
  <c r="I65" i="24" s="1"/>
  <c r="I58" i="41" s="1"/>
  <c r="I61" i="41" s="1"/>
  <c r="H65" i="24"/>
  <c r="H58" i="41" s="1"/>
  <c r="H61" i="41" s="1"/>
  <c r="G65" i="24"/>
  <c r="G58" i="41" s="1"/>
  <c r="G61" i="41" s="1"/>
  <c r="O47" i="24"/>
  <c r="O65" i="24" s="1"/>
  <c r="O58" i="41" s="1"/>
  <c r="P15" i="18"/>
  <c r="F65" i="24"/>
  <c r="F58" i="41" s="1"/>
  <c r="F61" i="41" s="1"/>
  <c r="P17" i="24"/>
  <c r="P28" i="18"/>
  <c r="N26" i="41" l="1"/>
  <c r="N29" i="41" s="1"/>
  <c r="D47" i="24"/>
  <c r="D49" i="24" s="1"/>
  <c r="K7" i="24"/>
  <c r="J55" i="24"/>
  <c r="F25" i="24"/>
  <c r="F57" i="24" s="1"/>
  <c r="F26" i="41" s="1"/>
  <c r="F29" i="41" s="1"/>
  <c r="E65" i="24"/>
  <c r="E58" i="41" s="1"/>
  <c r="E61" i="41" s="1"/>
  <c r="P14" i="24"/>
  <c r="P15" i="24"/>
  <c r="P47" i="24"/>
  <c r="P22" i="24"/>
  <c r="L7" i="24" l="1"/>
  <c r="K55" i="24"/>
  <c r="P36" i="24"/>
  <c r="P25" i="24"/>
  <c r="M7" i="24" l="1"/>
  <c r="L55" i="24"/>
  <c r="P24" i="24"/>
  <c r="D57" i="24"/>
  <c r="D26" i="41" s="1"/>
  <c r="P37" i="24"/>
  <c r="D65" i="24"/>
  <c r="D58" i="41" s="1"/>
  <c r="D27" i="24"/>
  <c r="D15" i="41" l="1"/>
  <c r="D29" i="41"/>
  <c r="D47" i="41"/>
  <c r="D61" i="41"/>
  <c r="N7" i="24"/>
  <c r="M55" i="24"/>
  <c r="D29" i="24"/>
  <c r="E27" i="24" s="1"/>
  <c r="E28" i="24" s="1"/>
  <c r="D58" i="24"/>
  <c r="D59" i="24"/>
  <c r="P46" i="24"/>
  <c r="D28" i="24"/>
  <c r="E47" i="41" l="1"/>
  <c r="D53" i="41"/>
  <c r="E60" i="41"/>
  <c r="E62" i="41" s="1"/>
  <c r="D60" i="41"/>
  <c r="D62" i="41" s="1"/>
  <c r="O7" i="24"/>
  <c r="O55" i="24" s="1"/>
  <c r="N55" i="24"/>
  <c r="E15" i="41"/>
  <c r="D28" i="41"/>
  <c r="D30" i="41" s="1"/>
  <c r="D21" i="41"/>
  <c r="E59" i="24"/>
  <c r="E29" i="24"/>
  <c r="F27" i="24" s="1"/>
  <c r="F58" i="24" s="1"/>
  <c r="D51" i="24"/>
  <c r="D66" i="24"/>
  <c r="D67" i="24"/>
  <c r="E58" i="24"/>
  <c r="D50" i="24"/>
  <c r="F15" i="41" l="1"/>
  <c r="E21" i="41"/>
  <c r="F28" i="41"/>
  <c r="F30" i="41" s="1"/>
  <c r="E28" i="41"/>
  <c r="E30" i="41" s="1"/>
  <c r="D53" i="24"/>
  <c r="E49" i="24"/>
  <c r="F47" i="41"/>
  <c r="F60" i="41"/>
  <c r="F62" i="41" s="1"/>
  <c r="E53" i="41"/>
  <c r="F59" i="24"/>
  <c r="F28" i="24"/>
  <c r="F29" i="24"/>
  <c r="G27" i="24" s="1"/>
  <c r="G47" i="41" l="1"/>
  <c r="G60" i="41" s="1"/>
  <c r="G62" i="41" s="1"/>
  <c r="F53" i="41"/>
  <c r="G15" i="41"/>
  <c r="F21" i="41"/>
  <c r="G28" i="24"/>
  <c r="G59" i="24"/>
  <c r="G58" i="24"/>
  <c r="E66" i="24"/>
  <c r="E50" i="24"/>
  <c r="E51" i="24"/>
  <c r="E53" i="24" s="1"/>
  <c r="E67" i="24"/>
  <c r="G29" i="24"/>
  <c r="H27" i="24" s="1"/>
  <c r="H59" i="24" s="1"/>
  <c r="H15" i="41" l="1"/>
  <c r="G21" i="41"/>
  <c r="H28" i="41"/>
  <c r="H30" i="41" s="1"/>
  <c r="G28" i="41"/>
  <c r="G30" i="41" s="1"/>
  <c r="H47" i="41"/>
  <c r="H60" i="41" s="1"/>
  <c r="H62" i="41" s="1"/>
  <c r="G53" i="41"/>
  <c r="G60" i="24"/>
  <c r="F49" i="24"/>
  <c r="F66" i="24" s="1"/>
  <c r="H28" i="24"/>
  <c r="H29" i="24"/>
  <c r="I27" i="24" s="1"/>
  <c r="I28" i="24" s="1"/>
  <c r="H58" i="24"/>
  <c r="I47" i="41" l="1"/>
  <c r="I60" i="41"/>
  <c r="I62" i="41" s="1"/>
  <c r="H53" i="41"/>
  <c r="I15" i="41"/>
  <c r="H21" i="41"/>
  <c r="F51" i="24"/>
  <c r="F53" i="24" s="1"/>
  <c r="F50" i="24"/>
  <c r="F67" i="24"/>
  <c r="I59" i="24"/>
  <c r="I29" i="24"/>
  <c r="J27" i="24" s="1"/>
  <c r="J59" i="24" s="1"/>
  <c r="I58" i="24"/>
  <c r="J15" i="41" l="1"/>
  <c r="J28" i="41" s="1"/>
  <c r="J30" i="41" s="1"/>
  <c r="I21" i="41"/>
  <c r="I28" i="41"/>
  <c r="I30" i="41" s="1"/>
  <c r="J47" i="41"/>
  <c r="J60" i="41" s="1"/>
  <c r="J62" i="41" s="1"/>
  <c r="I53" i="41"/>
  <c r="G49" i="24"/>
  <c r="J58" i="24"/>
  <c r="J60" i="24" s="1"/>
  <c r="J28" i="24"/>
  <c r="J29" i="24"/>
  <c r="K27" i="24" s="1"/>
  <c r="K28" i="24" s="1"/>
  <c r="K47" i="41" l="1"/>
  <c r="K60" i="41" s="1"/>
  <c r="K62" i="41" s="1"/>
  <c r="J53" i="41"/>
  <c r="K15" i="41"/>
  <c r="J21" i="41"/>
  <c r="G67" i="24"/>
  <c r="G66" i="24"/>
  <c r="G50" i="24"/>
  <c r="G51" i="24"/>
  <c r="H49" i="24" s="1"/>
  <c r="H50" i="24" s="1"/>
  <c r="K58" i="24"/>
  <c r="K59" i="24"/>
  <c r="K29" i="24"/>
  <c r="L27" i="24" s="1"/>
  <c r="K60" i="24" l="1"/>
  <c r="L15" i="41"/>
  <c r="L28" i="41" s="1"/>
  <c r="L30" i="41" s="1"/>
  <c r="K21" i="41"/>
  <c r="K28" i="41"/>
  <c r="K30" i="41" s="1"/>
  <c r="L47" i="41"/>
  <c r="L60" i="41" s="1"/>
  <c r="L62" i="41" s="1"/>
  <c r="K53" i="41"/>
  <c r="G68" i="24"/>
  <c r="G53" i="24"/>
  <c r="H66" i="24"/>
  <c r="H67" i="24"/>
  <c r="H51" i="24"/>
  <c r="I49" i="24" s="1"/>
  <c r="L29" i="24"/>
  <c r="M27" i="24" s="1"/>
  <c r="L60" i="24"/>
  <c r="L28" i="24"/>
  <c r="M59" i="24" l="1"/>
  <c r="M58" i="24"/>
  <c r="M47" i="41"/>
  <c r="M60" i="41" s="1"/>
  <c r="M62" i="41" s="1"/>
  <c r="L53" i="41"/>
  <c r="M15" i="41"/>
  <c r="L21" i="41"/>
  <c r="H53" i="24"/>
  <c r="M28" i="24"/>
  <c r="M29" i="24"/>
  <c r="N27" i="24" s="1"/>
  <c r="I51" i="24"/>
  <c r="J49" i="24" s="1"/>
  <c r="I67" i="24"/>
  <c r="I66" i="24"/>
  <c r="I50" i="24"/>
  <c r="M60" i="24" l="1"/>
  <c r="N28" i="24"/>
  <c r="N58" i="24"/>
  <c r="N59" i="24"/>
  <c r="N15" i="41"/>
  <c r="N28" i="41" s="1"/>
  <c r="N30" i="41" s="1"/>
  <c r="M21" i="41"/>
  <c r="M28" i="41"/>
  <c r="M30" i="41" s="1"/>
  <c r="N47" i="41"/>
  <c r="N60" i="41" s="1"/>
  <c r="N62" i="41" s="1"/>
  <c r="M53" i="41"/>
  <c r="N29" i="24"/>
  <c r="O27" i="24" s="1"/>
  <c r="I53" i="24"/>
  <c r="J51" i="24"/>
  <c r="J53" i="24" s="1"/>
  <c r="J67" i="24"/>
  <c r="J66" i="24"/>
  <c r="J50" i="24"/>
  <c r="O59" i="24" l="1"/>
  <c r="O58" i="24"/>
  <c r="J68" i="24"/>
  <c r="N60" i="24"/>
  <c r="O47" i="41"/>
  <c r="N53" i="41"/>
  <c r="O15" i="41"/>
  <c r="N21" i="41"/>
  <c r="O29" i="24"/>
  <c r="K49" i="24"/>
  <c r="K66" i="24" s="1"/>
  <c r="O28" i="24"/>
  <c r="P27" i="24"/>
  <c r="O60" i="24" l="1"/>
  <c r="P16" i="41"/>
  <c r="P48" i="41"/>
  <c r="K67" i="24"/>
  <c r="K68" i="24" s="1"/>
  <c r="K50" i="24"/>
  <c r="K51" i="24"/>
  <c r="K53" i="24" s="1"/>
  <c r="P28" i="24"/>
  <c r="Q48" i="41" l="1"/>
  <c r="Q16" i="41"/>
  <c r="L49" i="24"/>
  <c r="R16" i="41" l="1"/>
  <c r="R48" i="41"/>
  <c r="L51" i="24"/>
  <c r="L53" i="24" s="1"/>
  <c r="L68" i="24"/>
  <c r="L50" i="24"/>
  <c r="S48" i="41" l="1"/>
  <c r="S16" i="41"/>
  <c r="M49" i="24"/>
  <c r="M67" i="24" l="1"/>
  <c r="M66" i="24"/>
  <c r="T16" i="41"/>
  <c r="T48" i="41"/>
  <c r="M50" i="24"/>
  <c r="M51" i="24"/>
  <c r="M53" i="24" s="1"/>
  <c r="M68" i="24" l="1"/>
  <c r="U48" i="41"/>
  <c r="U16" i="41"/>
  <c r="N49" i="24"/>
  <c r="N66" i="24" l="1"/>
  <c r="N67" i="24"/>
  <c r="V16" i="41"/>
  <c r="V48" i="41"/>
  <c r="N50" i="24"/>
  <c r="N51" i="24"/>
  <c r="O49" i="24" s="1"/>
  <c r="N68" i="24" l="1"/>
  <c r="O67" i="24"/>
  <c r="O66" i="24"/>
  <c r="W48" i="41"/>
  <c r="W16" i="41"/>
  <c r="N53" i="24"/>
  <c r="O51" i="24"/>
  <c r="O53" i="24" s="1"/>
  <c r="O50" i="24"/>
  <c r="P49" i="24"/>
  <c r="P50" i="24" s="1"/>
  <c r="O68" i="24" l="1"/>
  <c r="X16" i="41"/>
  <c r="X48" i="41"/>
  <c r="Y48" i="41" l="1"/>
  <c r="Y16" i="41"/>
  <c r="Z5" i="41" l="1"/>
  <c r="Z6" i="41" s="1"/>
  <c r="Z8" i="41" s="1"/>
  <c r="Z37" i="41"/>
  <c r="Z38" i="41" l="1"/>
  <c r="Z40" i="41" s="1"/>
  <c r="Z4" i="41"/>
  <c r="AW9" i="41"/>
  <c r="AR9" i="41"/>
  <c r="AM9" i="41"/>
  <c r="AT9" i="41"/>
  <c r="AS9" i="41"/>
  <c r="AN9" i="41"/>
  <c r="AV9" i="41"/>
  <c r="AP9" i="41"/>
  <c r="AO9" i="41"/>
  <c r="AU9" i="41"/>
  <c r="AL9" i="41"/>
  <c r="AQ9" i="41"/>
  <c r="AA4" i="41" l="1"/>
  <c r="AA6" i="41"/>
  <c r="Z27" i="41"/>
  <c r="AR41" i="41"/>
  <c r="AW41" i="41"/>
  <c r="AT41" i="41"/>
  <c r="AQ41" i="41"/>
  <c r="AO41" i="41"/>
  <c r="AN41" i="41"/>
  <c r="AL41" i="41"/>
  <c r="AP41" i="41"/>
  <c r="AV41" i="41"/>
  <c r="AM41" i="41"/>
  <c r="AS41" i="41"/>
  <c r="AU41" i="41"/>
  <c r="U11" i="41"/>
  <c r="P11" i="41"/>
  <c r="V11" i="41"/>
  <c r="Y11" i="41"/>
  <c r="Q11" i="41"/>
  <c r="X11" i="41"/>
  <c r="O11" i="41"/>
  <c r="O12" i="41" s="1"/>
  <c r="W11" i="41"/>
  <c r="T11" i="41"/>
  <c r="R11" i="41"/>
  <c r="S11" i="41"/>
  <c r="Z36" i="41"/>
  <c r="R12" i="41" l="1"/>
  <c r="R20" i="41" s="1"/>
  <c r="X12" i="41"/>
  <c r="X20" i="41" s="1"/>
  <c r="P12" i="41"/>
  <c r="P20" i="41" s="1"/>
  <c r="P21" i="41" s="1"/>
  <c r="T12" i="41"/>
  <c r="T20" i="41" s="1"/>
  <c r="Q12" i="41"/>
  <c r="Q20" i="41" s="1"/>
  <c r="U12" i="41"/>
  <c r="U20" i="41" s="1"/>
  <c r="W12" i="41"/>
  <c r="W20" i="41" s="1"/>
  <c r="W21" i="41" s="1"/>
  <c r="Y12" i="41"/>
  <c r="Y20" i="41" s="1"/>
  <c r="S12" i="41"/>
  <c r="S20" i="41" s="1"/>
  <c r="S21" i="41" s="1"/>
  <c r="V12" i="41"/>
  <c r="V20" i="41" s="1"/>
  <c r="O19" i="41"/>
  <c r="Z17" i="41"/>
  <c r="Z18" i="41"/>
  <c r="AA38" i="41"/>
  <c r="Z59" i="41"/>
  <c r="AA36" i="41"/>
  <c r="V43" i="41"/>
  <c r="U43" i="41"/>
  <c r="R43" i="41"/>
  <c r="S43" i="41"/>
  <c r="Q43" i="41"/>
  <c r="Y43" i="41"/>
  <c r="W43" i="41"/>
  <c r="O43" i="41"/>
  <c r="O44" i="41" s="1"/>
  <c r="X43" i="41"/>
  <c r="T43" i="41"/>
  <c r="P43" i="41"/>
  <c r="AB4" i="41"/>
  <c r="AA27" i="41"/>
  <c r="Q31" i="41" l="1"/>
  <c r="Q29" i="41" s="1"/>
  <c r="Q21" i="41"/>
  <c r="R21" i="41"/>
  <c r="S31" i="41"/>
  <c r="S29" i="41" s="1"/>
  <c r="R31" i="41"/>
  <c r="R29" i="41" s="1"/>
  <c r="U31" i="41"/>
  <c r="U29" i="41" s="1"/>
  <c r="U21" i="41"/>
  <c r="Z31" i="41"/>
  <c r="Z29" i="41" s="1"/>
  <c r="Y31" i="41"/>
  <c r="Y29" i="41" s="1"/>
  <c r="Y21" i="41"/>
  <c r="V31" i="41"/>
  <c r="V29" i="41" s="1"/>
  <c r="V21" i="41"/>
  <c r="W31" i="41"/>
  <c r="W29" i="41" s="1"/>
  <c r="X31" i="41"/>
  <c r="X29" i="41" s="1"/>
  <c r="X21" i="41"/>
  <c r="T31" i="41"/>
  <c r="T29" i="41" s="1"/>
  <c r="T21" i="41"/>
  <c r="T44" i="41"/>
  <c r="T52" i="41" s="1"/>
  <c r="Y44" i="41"/>
  <c r="Y52" i="41" s="1"/>
  <c r="U44" i="41"/>
  <c r="U52" i="41" s="1"/>
  <c r="X44" i="41"/>
  <c r="X52" i="41" s="1"/>
  <c r="Q44" i="41"/>
  <c r="Q52" i="41" s="1"/>
  <c r="V44" i="41"/>
  <c r="V52" i="41" s="1"/>
  <c r="S44" i="41"/>
  <c r="S52" i="41" s="1"/>
  <c r="P44" i="41"/>
  <c r="P52" i="41" s="1"/>
  <c r="P53" i="41" s="1"/>
  <c r="W44" i="41"/>
  <c r="W52" i="41" s="1"/>
  <c r="W53" i="41" s="1"/>
  <c r="R44" i="41"/>
  <c r="R52" i="41" s="1"/>
  <c r="O51" i="41"/>
  <c r="O31" i="41"/>
  <c r="O29" i="41" s="1"/>
  <c r="O21" i="41"/>
  <c r="P31" i="41"/>
  <c r="P29" i="41" s="1"/>
  <c r="Z21" i="41"/>
  <c r="AA18" i="41"/>
  <c r="Z49" i="41"/>
  <c r="Z50" i="41"/>
  <c r="Q28" i="41"/>
  <c r="Q30" i="41" s="1"/>
  <c r="L84" i="24"/>
  <c r="U28" i="41"/>
  <c r="U30" i="41" s="1"/>
  <c r="J85" i="24"/>
  <c r="K84" i="24"/>
  <c r="AA17" i="41"/>
  <c r="AA29" i="41"/>
  <c r="AC4" i="41"/>
  <c r="AB27" i="41"/>
  <c r="AB36" i="41"/>
  <c r="AA59" i="41"/>
  <c r="AA61" i="41" s="1"/>
  <c r="V28" i="41" l="1"/>
  <c r="V30" i="41" s="1"/>
  <c r="S28" i="41"/>
  <c r="S30" i="41" s="1"/>
  <c r="R28" i="41"/>
  <c r="R30" i="41" s="1"/>
  <c r="W28" i="41"/>
  <c r="W30" i="41" s="1"/>
  <c r="T63" i="41"/>
  <c r="T61" i="41" s="1"/>
  <c r="T53" i="41"/>
  <c r="U63" i="41"/>
  <c r="U61" i="41" s="1"/>
  <c r="U53" i="41"/>
  <c r="V53" i="41"/>
  <c r="V63" i="41"/>
  <c r="V61" i="41" s="1"/>
  <c r="R63" i="41"/>
  <c r="R61" i="41" s="1"/>
  <c r="R53" i="41"/>
  <c r="Q63" i="41"/>
  <c r="Q61" i="41" s="1"/>
  <c r="Y63" i="41"/>
  <c r="Y61" i="41" s="1"/>
  <c r="Y53" i="41"/>
  <c r="Z63" i="41"/>
  <c r="Z61" i="41" s="1"/>
  <c r="S63" i="41"/>
  <c r="S61" i="41" s="1"/>
  <c r="X63" i="41"/>
  <c r="X61" i="41" s="1"/>
  <c r="X53" i="41"/>
  <c r="S53" i="41"/>
  <c r="W63" i="41"/>
  <c r="W61" i="41" s="1"/>
  <c r="X28" i="41"/>
  <c r="X30" i="41" s="1"/>
  <c r="Q53" i="41"/>
  <c r="T28" i="41"/>
  <c r="T30" i="41" s="1"/>
  <c r="Z28" i="41"/>
  <c r="Z30" i="41" s="1"/>
  <c r="Y28" i="41"/>
  <c r="Y30" i="41" s="1"/>
  <c r="O28" i="41"/>
  <c r="O30" i="41" s="1"/>
  <c r="O53" i="41"/>
  <c r="O83" i="24"/>
  <c r="O63" i="41"/>
  <c r="O61" i="41" s="1"/>
  <c r="M84" i="24"/>
  <c r="O84" i="24"/>
  <c r="P63" i="41"/>
  <c r="P61" i="41" s="1"/>
  <c r="N84" i="24"/>
  <c r="P28" i="41"/>
  <c r="P30" i="41" s="1"/>
  <c r="AB18" i="41"/>
  <c r="Z53" i="41"/>
  <c r="AA50" i="41"/>
  <c r="U60" i="41"/>
  <c r="U62" i="41" s="1"/>
  <c r="T60" i="41"/>
  <c r="T62" i="41" s="1"/>
  <c r="K85" i="24"/>
  <c r="K74" i="24" s="1"/>
  <c r="K73" i="24" s="1"/>
  <c r="K76" i="24" s="1"/>
  <c r="J74" i="24"/>
  <c r="J73" i="24" s="1"/>
  <c r="J76" i="24" s="1"/>
  <c r="AB17" i="41"/>
  <c r="AB29" i="41"/>
  <c r="AA49" i="41"/>
  <c r="AD4" i="41"/>
  <c r="AC27" i="41"/>
  <c r="AC36" i="41"/>
  <c r="AB59" i="41"/>
  <c r="AB61" i="41" s="1"/>
  <c r="AA21" i="41"/>
  <c r="AA28" i="41"/>
  <c r="AA30" i="41" s="1"/>
  <c r="R60" i="41"/>
  <c r="R62" i="41" s="1"/>
  <c r="X60" i="41" l="1"/>
  <c r="X62" i="41" s="1"/>
  <c r="Y60" i="41"/>
  <c r="Y62" i="41" s="1"/>
  <c r="V60" i="41"/>
  <c r="V62" i="41" s="1"/>
  <c r="Q60" i="41"/>
  <c r="Q62" i="41" s="1"/>
  <c r="S60" i="41"/>
  <c r="S62" i="41" s="1"/>
  <c r="Z60" i="41"/>
  <c r="Z62" i="41" s="1"/>
  <c r="W60" i="41"/>
  <c r="W62" i="41" s="1"/>
  <c r="O60" i="41"/>
  <c r="O62" i="41" s="1"/>
  <c r="P60" i="41"/>
  <c r="P62" i="41" s="1"/>
  <c r="N85" i="24"/>
  <c r="N74" i="24" s="1"/>
  <c r="N73" i="24" s="1"/>
  <c r="N76" i="24" s="1"/>
  <c r="L85" i="24"/>
  <c r="L74" i="24" s="1"/>
  <c r="L73" i="24" s="1"/>
  <c r="L76" i="24" s="1"/>
  <c r="O85" i="24"/>
  <c r="O74" i="24" s="1"/>
  <c r="O73" i="24" s="1"/>
  <c r="O76" i="24" s="1"/>
  <c r="M85" i="24"/>
  <c r="M74" i="24" s="1"/>
  <c r="M73" i="24" s="1"/>
  <c r="M76" i="24" s="1"/>
  <c r="AC18" i="41"/>
  <c r="AB28" i="41"/>
  <c r="AB30" i="41" s="1"/>
  <c r="AB50" i="41"/>
  <c r="AB49" i="41"/>
  <c r="AA53" i="41"/>
  <c r="AA60" i="41"/>
  <c r="AA62" i="41" s="1"/>
  <c r="AE4" i="41"/>
  <c r="AD27" i="41"/>
  <c r="AC59" i="41"/>
  <c r="AC61" i="41" s="1"/>
  <c r="AD36" i="41"/>
  <c r="AC17" i="41"/>
  <c r="AC29" i="41"/>
  <c r="AB21" i="41"/>
  <c r="AC28" i="41" l="1"/>
  <c r="AC30" i="41" s="1"/>
  <c r="AD18" i="41"/>
  <c r="AB60" i="41"/>
  <c r="AB62" i="41" s="1"/>
  <c r="AC50" i="41"/>
  <c r="AD59" i="41"/>
  <c r="AD61" i="41" s="1"/>
  <c r="AE36" i="41"/>
  <c r="AD17" i="41"/>
  <c r="AD29" i="41"/>
  <c r="AC21" i="41"/>
  <c r="AF4" i="41"/>
  <c r="AE27" i="41"/>
  <c r="AC49" i="41"/>
  <c r="AC60" i="41" s="1"/>
  <c r="AC62" i="41" s="1"/>
  <c r="AB53" i="41"/>
  <c r="AE18" i="41" l="1"/>
  <c r="AD50" i="41"/>
  <c r="AF27" i="41"/>
  <c r="AG4" i="41"/>
  <c r="AD21" i="41"/>
  <c r="AD28" i="41"/>
  <c r="AD30" i="41" s="1"/>
  <c r="AE59" i="41"/>
  <c r="AE61" i="41" s="1"/>
  <c r="AF36" i="41"/>
  <c r="AE17" i="41"/>
  <c r="AE29" i="41"/>
  <c r="AD49" i="41"/>
  <c r="AC53" i="41"/>
  <c r="AF18" i="41" l="1"/>
  <c r="AD60" i="41"/>
  <c r="AD62" i="41" s="1"/>
  <c r="AE50" i="41"/>
  <c r="AE21" i="41"/>
  <c r="AG36" i="41"/>
  <c r="AF59" i="41"/>
  <c r="AE28" i="41"/>
  <c r="AE30" i="41" s="1"/>
  <c r="AE49" i="41"/>
  <c r="AD53" i="41"/>
  <c r="AG27" i="41"/>
  <c r="AH4" i="41"/>
  <c r="AF17" i="41"/>
  <c r="AF29" i="41"/>
  <c r="AG18" i="41" l="1"/>
  <c r="AE60" i="41"/>
  <c r="AE62" i="41" s="1"/>
  <c r="AF50" i="41"/>
  <c r="AF21" i="41"/>
  <c r="AH36" i="41"/>
  <c r="AG59" i="41"/>
  <c r="AF49" i="41"/>
  <c r="AF60" i="41" s="1"/>
  <c r="AF62" i="41" s="1"/>
  <c r="AF61" i="41"/>
  <c r="AI4" i="41"/>
  <c r="AH27" i="41"/>
  <c r="AE53" i="41"/>
  <c r="AF28" i="41"/>
  <c r="AF30" i="41" s="1"/>
  <c r="AG17" i="41"/>
  <c r="AG29" i="41"/>
  <c r="AH18" i="41" l="1"/>
  <c r="AG50" i="41"/>
  <c r="AJ4" i="41"/>
  <c r="AI27" i="41"/>
  <c r="AI36" i="41"/>
  <c r="AH59" i="41"/>
  <c r="AG21" i="41"/>
  <c r="AG28" i="41"/>
  <c r="AG30" i="41" s="1"/>
  <c r="AH17" i="41"/>
  <c r="AH29" i="41"/>
  <c r="AG49" i="41"/>
  <c r="AG61" i="41"/>
  <c r="AF53" i="41"/>
  <c r="AH50" i="41" l="1"/>
  <c r="AI18" i="41"/>
  <c r="AG60" i="41"/>
  <c r="AG62" i="41" s="1"/>
  <c r="AH21" i="41"/>
  <c r="AJ36" i="41"/>
  <c r="AI59" i="41"/>
  <c r="AH49" i="41"/>
  <c r="AH61" i="41"/>
  <c r="AG53" i="41"/>
  <c r="AH28" i="41"/>
  <c r="AH30" i="41" s="1"/>
  <c r="AI17" i="41"/>
  <c r="AI29" i="41"/>
  <c r="AK4" i="41"/>
  <c r="AJ27" i="41"/>
  <c r="AJ18" i="41" s="1"/>
  <c r="AH60" i="41" l="1"/>
  <c r="AH62" i="41" s="1"/>
  <c r="AI50" i="41"/>
  <c r="AJ59" i="41"/>
  <c r="AK36" i="41"/>
  <c r="AM7" i="41"/>
  <c r="AL10" i="41" s="1"/>
  <c r="AM10" i="41" s="1"/>
  <c r="AN10" i="41" s="1"/>
  <c r="AO10" i="41" s="1"/>
  <c r="AP10" i="41" s="1"/>
  <c r="AQ10" i="41" s="1"/>
  <c r="AR10" i="41" s="1"/>
  <c r="AS10" i="41" s="1"/>
  <c r="AT10" i="41" s="1"/>
  <c r="AU10" i="41" s="1"/>
  <c r="AV10" i="41" s="1"/>
  <c r="AW10" i="41" s="1"/>
  <c r="AK27" i="41"/>
  <c r="AK18" i="41" s="1"/>
  <c r="AI49" i="41"/>
  <c r="AI61" i="41"/>
  <c r="AI21" i="41"/>
  <c r="AI28" i="41"/>
  <c r="AI30" i="41" s="1"/>
  <c r="AJ17" i="41"/>
  <c r="AJ28" i="41" s="1"/>
  <c r="AJ30" i="41" s="1"/>
  <c r="AJ29" i="41"/>
  <c r="AH53" i="41"/>
  <c r="AI60" i="41" l="1"/>
  <c r="AI62" i="41" s="1"/>
  <c r="AJ50" i="41"/>
  <c r="AK17" i="41"/>
  <c r="AK28" i="41" s="1"/>
  <c r="AK30" i="41" s="1"/>
  <c r="AK29" i="41"/>
  <c r="AJ21" i="41"/>
  <c r="AM39" i="41"/>
  <c r="AL42" i="41" s="1"/>
  <c r="AM42" i="41" s="1"/>
  <c r="AN42" i="41" s="1"/>
  <c r="AO42" i="41" s="1"/>
  <c r="AP42" i="41" s="1"/>
  <c r="AQ42" i="41" s="1"/>
  <c r="AR42" i="41" s="1"/>
  <c r="AS42" i="41" s="1"/>
  <c r="AT42" i="41" s="1"/>
  <c r="AU42" i="41" s="1"/>
  <c r="AV42" i="41" s="1"/>
  <c r="AW42" i="41" s="1"/>
  <c r="AK59" i="41"/>
  <c r="AI53" i="41"/>
  <c r="AJ49" i="41"/>
  <c r="AJ61" i="41"/>
  <c r="AJ60" i="41" l="1"/>
  <c r="AJ62" i="41" s="1"/>
  <c r="AK50" i="41"/>
  <c r="AJ53" i="41"/>
  <c r="AK49" i="41"/>
  <c r="AK61" i="41"/>
  <c r="AK21" i="41"/>
  <c r="AL5" i="41"/>
  <c r="AL37" i="41" l="1"/>
  <c r="AL38" i="41" s="1"/>
  <c r="AL40" i="41" s="1"/>
  <c r="AL36" i="41" s="1"/>
  <c r="AK53" i="41"/>
  <c r="AK60" i="41"/>
  <c r="AK62" i="41" s="1"/>
  <c r="AL6" i="41"/>
  <c r="AL8" i="41" s="1"/>
  <c r="AL4" i="41" s="1"/>
  <c r="AM6" i="41" l="1"/>
  <c r="AM4" i="41"/>
  <c r="AL27" i="41"/>
  <c r="AL59" i="41"/>
  <c r="AL49" i="41" s="1"/>
  <c r="AM38" i="41"/>
  <c r="AM36" i="41"/>
  <c r="AL61" i="41" l="1"/>
  <c r="AL50" i="41"/>
  <c r="AL18" i="41"/>
  <c r="AL29" i="41"/>
  <c r="AL17" i="41"/>
  <c r="AN4" i="41"/>
  <c r="AM27" i="41"/>
  <c r="AM29" i="41" s="1"/>
  <c r="AM59" i="41"/>
  <c r="AM61" i="41" s="1"/>
  <c r="AN36" i="41"/>
  <c r="AM18" i="41" l="1"/>
  <c r="AM49" i="41"/>
  <c r="AO4" i="41"/>
  <c r="AN27" i="41"/>
  <c r="AM50" i="41"/>
  <c r="AL60" i="41"/>
  <c r="AL62" i="41" s="1"/>
  <c r="AL53" i="41"/>
  <c r="AN59" i="41"/>
  <c r="AN61" i="41" s="1"/>
  <c r="AO36" i="41"/>
  <c r="AM17" i="41"/>
  <c r="AL21" i="41"/>
  <c r="AL28" i="41"/>
  <c r="AL30" i="41" s="1"/>
  <c r="AN49" i="41" l="1"/>
  <c r="AM60" i="41"/>
  <c r="AM62" i="41" s="1"/>
  <c r="AN17" i="41"/>
  <c r="AM21" i="41"/>
  <c r="AP4" i="41"/>
  <c r="AO27" i="41"/>
  <c r="AO29" i="41" s="1"/>
  <c r="AO59" i="41"/>
  <c r="AP36" i="41"/>
  <c r="AN18" i="41"/>
  <c r="AN29" i="41"/>
  <c r="AM28" i="41"/>
  <c r="AM30" i="41" s="1"/>
  <c r="AN50" i="41"/>
  <c r="AM53" i="41"/>
  <c r="AO18" i="41" l="1"/>
  <c r="AN60" i="41"/>
  <c r="AN62" i="41" s="1"/>
  <c r="AO50" i="41"/>
  <c r="AN53" i="41"/>
  <c r="AP59" i="41"/>
  <c r="AP61" i="41" s="1"/>
  <c r="AQ36" i="41"/>
  <c r="AN28" i="41"/>
  <c r="AN30" i="41" s="1"/>
  <c r="AQ4" i="41"/>
  <c r="AP27" i="41"/>
  <c r="AO49" i="41"/>
  <c r="AO61" i="41"/>
  <c r="AO17" i="41"/>
  <c r="AN21" i="41"/>
  <c r="AO28" i="41" l="1"/>
  <c r="AO30" i="41" s="1"/>
  <c r="AO60" i="41"/>
  <c r="AO62" i="41" s="1"/>
  <c r="AR4" i="41"/>
  <c r="AQ27" i="41"/>
  <c r="AP18" i="41"/>
  <c r="AP29" i="41"/>
  <c r="AP17" i="41"/>
  <c r="AO21" i="41"/>
  <c r="AP49" i="41"/>
  <c r="AO53" i="41"/>
  <c r="AQ59" i="41"/>
  <c r="AQ61" i="41" s="1"/>
  <c r="AR36" i="41"/>
  <c r="AP50" i="41"/>
  <c r="AQ50" i="41" l="1"/>
  <c r="AP28" i="41"/>
  <c r="AP30" i="41" s="1"/>
  <c r="AS36" i="41"/>
  <c r="AR59" i="41"/>
  <c r="AR61" i="41" s="1"/>
  <c r="AQ49" i="41"/>
  <c r="AQ60" i="41" s="1"/>
  <c r="AQ62" i="41" s="1"/>
  <c r="AP53" i="41"/>
  <c r="AQ18" i="41"/>
  <c r="AQ29" i="41"/>
  <c r="AP60" i="41"/>
  <c r="AP62" i="41" s="1"/>
  <c r="AQ17" i="41"/>
  <c r="AP21" i="41"/>
  <c r="AR27" i="41"/>
  <c r="AS4" i="41"/>
  <c r="AQ28" i="41" l="1"/>
  <c r="AQ30" i="41" s="1"/>
  <c r="AR50" i="41"/>
  <c r="AR49" i="41"/>
  <c r="AQ53" i="41"/>
  <c r="AT4" i="41"/>
  <c r="AS27" i="41"/>
  <c r="AS29" i="41" s="1"/>
  <c r="AR17" i="41"/>
  <c r="AQ21" i="41"/>
  <c r="AR18" i="41"/>
  <c r="AR29" i="41"/>
  <c r="AT36" i="41"/>
  <c r="AS59" i="41"/>
  <c r="AS61" i="41" s="1"/>
  <c r="AS18" i="41" l="1"/>
  <c r="AR60" i="41"/>
  <c r="AR62" i="41" s="1"/>
  <c r="AR28" i="41"/>
  <c r="AR30" i="41" s="1"/>
  <c r="AS17" i="41"/>
  <c r="AR21" i="41"/>
  <c r="AT27" i="41"/>
  <c r="AT29" i="41" s="1"/>
  <c r="AU4" i="41"/>
  <c r="AT59" i="41"/>
  <c r="AT61" i="41" s="1"/>
  <c r="AU36" i="41"/>
  <c r="AS49" i="41"/>
  <c r="AR53" i="41"/>
  <c r="AS50" i="41"/>
  <c r="AT50" i="41" s="1"/>
  <c r="AS28" i="41" l="1"/>
  <c r="AS30" i="41" s="1"/>
  <c r="AT18" i="41"/>
  <c r="AV4" i="41"/>
  <c r="AU27" i="41"/>
  <c r="AV36" i="41"/>
  <c r="AU59" i="41"/>
  <c r="AU61" i="41" s="1"/>
  <c r="AT17" i="41"/>
  <c r="AS21" i="41"/>
  <c r="AT49" i="41"/>
  <c r="AS53" i="41"/>
  <c r="AS60" i="41"/>
  <c r="AS62" i="41" s="1"/>
  <c r="AT28" i="41" l="1"/>
  <c r="AT30" i="41" s="1"/>
  <c r="AU49" i="41"/>
  <c r="AT53" i="41"/>
  <c r="AT60" i="41"/>
  <c r="AT62" i="41" s="1"/>
  <c r="AU50" i="41"/>
  <c r="AV27" i="41"/>
  <c r="AV29" i="41" s="1"/>
  <c r="AW4" i="41"/>
  <c r="AW27" i="41" s="1"/>
  <c r="AW29" i="41" s="1"/>
  <c r="AW36" i="41"/>
  <c r="AW59" i="41" s="1"/>
  <c r="AW61" i="41" s="1"/>
  <c r="AV59" i="41"/>
  <c r="AU17" i="41"/>
  <c r="AT21" i="41"/>
  <c r="AU18" i="41"/>
  <c r="AV18" i="41" s="1"/>
  <c r="AU29" i="41"/>
  <c r="AW18" i="41" l="1"/>
  <c r="AV50" i="41"/>
  <c r="AW50" i="41" s="1"/>
  <c r="AV61" i="41"/>
  <c r="AV49" i="41"/>
  <c r="AU53" i="41"/>
  <c r="AU60" i="41"/>
  <c r="AU62" i="41" s="1"/>
  <c r="AU28" i="41"/>
  <c r="AU30" i="41" s="1"/>
  <c r="AV17" i="41"/>
  <c r="AU21" i="41"/>
  <c r="AV60" i="41" l="1"/>
  <c r="AV62" i="41" s="1"/>
  <c r="AW17" i="41"/>
  <c r="AW21" i="41" s="1"/>
  <c r="AV21" i="41"/>
  <c r="AW49" i="41"/>
  <c r="AW53" i="41" s="1"/>
  <c r="AV53" i="41"/>
  <c r="AV28" i="41"/>
  <c r="AV30" i="41" s="1"/>
  <c r="AW28" i="41" l="1"/>
  <c r="AW30" i="41" s="1"/>
  <c r="AW60" i="41"/>
  <c r="AW62" i="41" s="1"/>
</calcChain>
</file>

<file path=xl/comments1.xml><?xml version="1.0" encoding="utf-8"?>
<comments xmlns="http://schemas.openxmlformats.org/spreadsheetml/2006/main">
  <authors>
    <author>gzhkw6</author>
  </authors>
  <commentList>
    <comment ref="D83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  <comment ref="F83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  <comment ref="H83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  <comment ref="I83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  <comment ref="J83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  <comment ref="K83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  <comment ref="L83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  <comment ref="M83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  <comment ref="N83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</commentList>
</comments>
</file>

<file path=xl/comments10.xml><?xml version="1.0" encoding="utf-8"?>
<comments xmlns="http://schemas.openxmlformats.org/spreadsheetml/2006/main">
  <authors>
    <author>gzhkw6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</commentList>
</comments>
</file>

<file path=xl/comments11.xml><?xml version="1.0" encoding="utf-8"?>
<comments xmlns="http://schemas.openxmlformats.org/spreadsheetml/2006/main">
  <authors>
    <author>gzhkw6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</commentList>
</comments>
</file>

<file path=xl/comments12.xml><?xml version="1.0" encoding="utf-8"?>
<comments xmlns="http://schemas.openxmlformats.org/spreadsheetml/2006/main">
  <authors>
    <author>Jaa0175</author>
  </authors>
  <commentList>
    <comment ref="F24" authorId="0" shapeId="0">
      <text>
        <r>
          <rPr>
            <b/>
            <sz val="9"/>
            <color indexed="81"/>
            <rFont val="Tahoma"/>
            <family val="2"/>
          </rPr>
          <t>Jaa0175: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gzhkw6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</commentList>
</comments>
</file>

<file path=xl/comments3.xml><?xml version="1.0" encoding="utf-8"?>
<comments xmlns="http://schemas.openxmlformats.org/spreadsheetml/2006/main">
  <authors>
    <author>gzhkw6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</commentList>
</comments>
</file>

<file path=xl/comments4.xml><?xml version="1.0" encoding="utf-8"?>
<comments xmlns="http://schemas.openxmlformats.org/spreadsheetml/2006/main">
  <authors>
    <author>gzhkw6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</commentList>
</comments>
</file>

<file path=xl/comments5.xml><?xml version="1.0" encoding="utf-8"?>
<comments xmlns="http://schemas.openxmlformats.org/spreadsheetml/2006/main">
  <authors>
    <author>gzhkw6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</commentList>
</comments>
</file>

<file path=xl/comments6.xml><?xml version="1.0" encoding="utf-8"?>
<comments xmlns="http://schemas.openxmlformats.org/spreadsheetml/2006/main">
  <authors>
    <author>gzhkw6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</commentList>
</comments>
</file>

<file path=xl/comments7.xml><?xml version="1.0" encoding="utf-8"?>
<comments xmlns="http://schemas.openxmlformats.org/spreadsheetml/2006/main">
  <authors>
    <author>gzhkw6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</commentList>
</comments>
</file>

<file path=xl/comments8.xml><?xml version="1.0" encoding="utf-8"?>
<comments xmlns="http://schemas.openxmlformats.org/spreadsheetml/2006/main">
  <authors>
    <author>gzhkw6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</commentList>
</comments>
</file>

<file path=xl/comments9.xml><?xml version="1.0" encoding="utf-8"?>
<comments xmlns="http://schemas.openxmlformats.org/spreadsheetml/2006/main">
  <authors>
    <author>gzhkw6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</commentList>
</comments>
</file>

<file path=xl/sharedStrings.xml><?xml version="1.0" encoding="utf-8"?>
<sst xmlns="http://schemas.openxmlformats.org/spreadsheetml/2006/main" count="2176" uniqueCount="393">
  <si>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</si>
  <si>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</si>
  <si>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</si>
  <si>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</si>
  <si>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</si>
  <si>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</si>
  <si>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</si>
  <si>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</si>
  <si>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</si>
  <si>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</si>
  <si>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</si>
  <si>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</si>
  <si>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</si>
  <si>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</si>
  <si>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</si>
  <si>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</t>
  </si>
  <si>
    <t>Source</t>
  </si>
  <si>
    <t>Line No.</t>
  </si>
  <si>
    <t>Non-Residential Schedules*</t>
  </si>
  <si>
    <t>Residential</t>
  </si>
  <si>
    <t>Avista Utilities</t>
  </si>
  <si>
    <t xml:space="preserve"> 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</si>
  <si>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</si>
  <si>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</si>
  <si>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</si>
  <si>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</si>
  <si>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</si>
  <si>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</si>
  <si>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TOTAL</t>
  </si>
  <si>
    <t>SCH. 11,12</t>
  </si>
  <si>
    <t>SCH. 21,22</t>
  </si>
  <si>
    <t>SCHEDULE 25</t>
  </si>
  <si>
    <t>SCH. 30, 31, 32</t>
  </si>
  <si>
    <t>SCH. 41-48</t>
  </si>
  <si>
    <t>Customer Bills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</si>
  <si>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</si>
  <si>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</si>
  <si>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</si>
  <si>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</si>
  <si>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</si>
  <si>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</si>
  <si>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</si>
  <si>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</si>
  <si>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</si>
  <si>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</si>
  <si>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</si>
  <si>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</si>
  <si>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Electric Sales</t>
  </si>
  <si>
    <t xml:space="preserve"> - Weather-Normalized kWh Sales</t>
  </si>
  <si>
    <t xml:space="preserve">  - % of Annual Total</t>
  </si>
  <si>
    <t>Non-Residential*</t>
  </si>
  <si>
    <t>* Schedules 11, 12, 21, 22, 31, 32.</t>
  </si>
  <si>
    <t xml:space="preserve"> Electric Decoupling Mechanism</t>
  </si>
  <si>
    <t>% of Total</t>
  </si>
  <si>
    <t xml:space="preserve">* Schedules 11, 12, 21, 22, 31, 32.  </t>
  </si>
  <si>
    <t>Gross Up Factor for Revenue Related Exp</t>
  </si>
  <si>
    <t>Revenue Data</t>
  </si>
  <si>
    <t>Non-Residential Group</t>
  </si>
  <si>
    <t>Variable Power Supply Revenue (L4 * L5)</t>
  </si>
  <si>
    <t>Basic Charge Revenue (Ln 8 * Ln 9)</t>
  </si>
  <si>
    <t>Decoupled Revenue</t>
  </si>
  <si>
    <t>Delivery &amp; Power Plant Revenue (L3 - L6)</t>
  </si>
  <si>
    <t>Basic Charge Revenues</t>
  </si>
  <si>
    <t>Average Basic Charge</t>
  </si>
  <si>
    <t>Annual kWh</t>
  </si>
  <si>
    <t>Average Number of Customers (Line 8 / 12)</t>
  </si>
  <si>
    <t>Annual Total</t>
  </si>
  <si>
    <t>Decoupled Revenues</t>
  </si>
  <si>
    <t>Decoupled Revenue per Customer</t>
  </si>
  <si>
    <t>Revenues</t>
  </si>
  <si>
    <t>From revenue per customer</t>
  </si>
  <si>
    <t>From power supply</t>
  </si>
  <si>
    <t>From basic charge</t>
  </si>
  <si>
    <t>Development of Annual Decoupled Revenue Per Customer - Electric</t>
  </si>
  <si>
    <t>Monthly Decoupled Revenue Per Customer ("RPC")</t>
  </si>
  <si>
    <t>Development of Monthly Decoupled Revenue Per Customer - Electric</t>
  </si>
  <si>
    <t>Development of Decoupled Revenue by Rate Schedule - Electric</t>
  </si>
  <si>
    <t>Monthly Rate Year</t>
  </si>
  <si>
    <t>Excluded From Decoupling</t>
  </si>
  <si>
    <t>Test Year # of Customers 12 ME 09.2014</t>
  </si>
  <si>
    <t>Normalized Usage by Month</t>
  </si>
  <si>
    <t>WASHINGTON ELECTRIC SYSTEM</t>
  </si>
  <si>
    <t>March</t>
  </si>
  <si>
    <t>April</t>
  </si>
  <si>
    <t>Revenue Run Billed Usage</t>
  </si>
  <si>
    <t>General Svc Schedule 011/012</t>
  </si>
  <si>
    <t>Large Gen Svc Schedule 021/022</t>
  </si>
  <si>
    <t>Street and Area Lights</t>
  </si>
  <si>
    <t>Total Revenue Run Billed Usage</t>
  </si>
  <si>
    <t xml:space="preserve">Net Unbilled Usage </t>
  </si>
  <si>
    <t>Net Unbilled Usage</t>
  </si>
  <si>
    <t>Schedule Shifting Adjustment</t>
  </si>
  <si>
    <t>Other Usage Adjustments</t>
  </si>
  <si>
    <t>Weather Adjustment</t>
  </si>
  <si>
    <t>Total Weather Adjustment</t>
  </si>
  <si>
    <t>Normalized Test Year Usage</t>
  </si>
  <si>
    <t>Total Normalized Test Year Usage</t>
  </si>
  <si>
    <t>Residential Usage</t>
  </si>
  <si>
    <t>Schedule 001 Customers</t>
  </si>
  <si>
    <t>Schedule 001 Norm Use/Customer</t>
  </si>
  <si>
    <t>Non-Residential Group Usage</t>
  </si>
  <si>
    <t>Non-Residential Group Customers</t>
  </si>
  <si>
    <t>Non-Residential Group Norm Use/Customer</t>
  </si>
  <si>
    <t>WA Jurisdiction % of Annual Usage</t>
  </si>
  <si>
    <t>Actual Res Decoupling:</t>
  </si>
  <si>
    <t>456328</t>
  </si>
  <si>
    <t>Res</t>
  </si>
  <si>
    <t>Residential Group</t>
  </si>
  <si>
    <t>Actual Customers</t>
  </si>
  <si>
    <t>Revenue System</t>
  </si>
  <si>
    <t>Monthly Decoupled Revenue per Customer</t>
  </si>
  <si>
    <t>Actual Base Rate Revenue</t>
  </si>
  <si>
    <t>Actual Basic Charge Revenue</t>
  </si>
  <si>
    <t>Retail Revenue Credit ($/kWh)</t>
  </si>
  <si>
    <t>Variable Power Supply Payments</t>
  </si>
  <si>
    <t>Customer Decoupled Payments</t>
  </si>
  <si>
    <t>Residential Revenue Per Customer Received</t>
  </si>
  <si>
    <t>Deferral - Surcharge (Rebate)</t>
  </si>
  <si>
    <t>Deferral - Revenue Related Expenses</t>
  </si>
  <si>
    <t>Rev Conv Factor</t>
  </si>
  <si>
    <t>FERC Rate</t>
  </si>
  <si>
    <t>Interest on Deferral</t>
  </si>
  <si>
    <t>Avg Balance Calc</t>
  </si>
  <si>
    <t>Monthly Residential Deferral Totals</t>
  </si>
  <si>
    <t>Actual Non-Res Decoupling:</t>
  </si>
  <si>
    <t>456338</t>
  </si>
  <si>
    <t>Non-Res</t>
  </si>
  <si>
    <t>Non-Residential Revenue Per Customer Received</t>
  </si>
  <si>
    <t>Monthly Non-Residential Deferral Totals</t>
  </si>
  <si>
    <t>Cumulative Deferral (Rebate)/Surcharge Balance</t>
  </si>
  <si>
    <t>Total Cumulative Deferral (Rebate)/Surcharge Balance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</si>
  <si>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</si>
  <si>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</si>
  <si>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</si>
  <si>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</si>
  <si>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</si>
  <si>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</si>
  <si>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</si>
  <si>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</si>
  <si>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Accounting Entries</t>
  </si>
  <si>
    <t>186328 Residential Decoupled Deferred Revenue</t>
  </si>
  <si>
    <t>186338 Non-Residential Decoupled Deferred Revenue</t>
  </si>
  <si>
    <t>EDWA</t>
  </si>
  <si>
    <t>Allowed Revenue Increase (Attachment 1)</t>
  </si>
  <si>
    <t>Retail Revenue Adjustment (line 14)</t>
  </si>
  <si>
    <t>Allowed Basic Charges</t>
  </si>
  <si>
    <t>Retail Revenue Adjustment - (Attachment 3)</t>
  </si>
  <si>
    <t>Grossed Up Retail Revenue Adjustment</t>
  </si>
  <si>
    <t>check calculations - DO NOT PRINT</t>
  </si>
  <si>
    <t>avg decoupled rev/kwh</t>
  </si>
  <si>
    <t>check to avg rate</t>
  </si>
  <si>
    <t>Attachment 4, Page 1</t>
  </si>
  <si>
    <t xml:space="preserve">  -UE-150204 Decoupled RPC</t>
  </si>
  <si>
    <t>Attachment 4, P. 2 L. 3</t>
  </si>
  <si>
    <t xml:space="preserve">  - Monthly Decoupled RPC</t>
  </si>
  <si>
    <t>Copied From EMA-6, Page 3</t>
  </si>
  <si>
    <t>Revenue Conversion Factor</t>
  </si>
  <si>
    <t>Washington - Electric System</t>
  </si>
  <si>
    <t xml:space="preserve">Line </t>
  </si>
  <si>
    <t>No.</t>
  </si>
  <si>
    <t>Description</t>
  </si>
  <si>
    <t>Factor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</si>
  <si>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</si>
  <si>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</si>
  <si>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</si>
  <si>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</si>
  <si>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</si>
  <si>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</si>
  <si>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</si>
  <si>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</si>
  <si>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Attachment 4, Page 3</t>
  </si>
  <si>
    <t>Attachment 4,  Page 3</t>
  </si>
  <si>
    <t xml:space="preserve">Determination of Base Rate Revenue From Revenue System Reports </t>
  </si>
  <si>
    <t>Billed Customers</t>
  </si>
  <si>
    <t>Billed Usage</t>
  </si>
  <si>
    <t>Unbilled Reversal</t>
  </si>
  <si>
    <t>Unbilled Usage</t>
  </si>
  <si>
    <t>Calendar Usage</t>
  </si>
  <si>
    <t>WA002</t>
  </si>
  <si>
    <t>WA025 3rd block</t>
  </si>
  <si>
    <t>WA030</t>
  </si>
  <si>
    <t>Street Lights</t>
  </si>
  <si>
    <t>Sch 47 Area Lights</t>
  </si>
  <si>
    <t>Sch 48 Area Lights</t>
  </si>
  <si>
    <t>Non-Residential</t>
  </si>
  <si>
    <t>Fixed Charges from Billing Determinant Revenue Report</t>
  </si>
  <si>
    <t>Base Rate Billed Revenue From Billing Determinant Revenue Report</t>
  </si>
  <si>
    <t>Unbilled Rev Reversal</t>
  </si>
  <si>
    <t>Unbilled Revenue</t>
  </si>
  <si>
    <t>Calendar Total Revenue</t>
  </si>
  <si>
    <t>Deduct Unbilled Adder Schedule Revenue</t>
  </si>
  <si>
    <t>Base Rate Revenue</t>
  </si>
  <si>
    <t>Street &amp; Area Lights</t>
  </si>
  <si>
    <t>Adder Schedule Revenues</t>
  </si>
  <si>
    <t>Other Revenues</t>
  </si>
  <si>
    <t>Adder Schedule Rate Components:</t>
  </si>
  <si>
    <t>Sch 59</t>
  </si>
  <si>
    <t>Sch 89</t>
  </si>
  <si>
    <t>Sch 91</t>
  </si>
  <si>
    <t>Sch 92</t>
  </si>
  <si>
    <t>Sch 93</t>
  </si>
  <si>
    <t>Sch 98</t>
  </si>
  <si>
    <t>Net Unbilled Adder Schedule Revenue</t>
  </si>
  <si>
    <t>DJ 213 - Sch 89</t>
  </si>
  <si>
    <t>DJ213 - Sch 91</t>
  </si>
  <si>
    <t xml:space="preserve"> DJ213 - Sch 92</t>
  </si>
  <si>
    <t>DJ481 Sch 93</t>
  </si>
  <si>
    <t>DJ475 - Sch 98</t>
  </si>
  <si>
    <t>Total Net Unbilled Adder Schedule Revenue</t>
  </si>
  <si>
    <t xml:space="preserve">
DJ 127 - Sch 59</t>
  </si>
  <si>
    <t>456328 Res Decoupling Deferral</t>
  </si>
  <si>
    <t xml:space="preserve">456338 Non-Res Decoupling Deferral </t>
  </si>
  <si>
    <t>Actual Usage (kWhs)</t>
  </si>
  <si>
    <t>Sch 75</t>
  </si>
  <si>
    <t>1.30% of base revenue</t>
  </si>
  <si>
    <t>Schedule 25 Schedule Shifting Special Circumstance</t>
  </si>
  <si>
    <t>Customer Count</t>
  </si>
  <si>
    <t>KWh Usage</t>
  </si>
  <si>
    <t>Base Rate Revenue Received</t>
  </si>
  <si>
    <t>Customer 1</t>
  </si>
  <si>
    <t>Schedule 21 Adjustment</t>
  </si>
  <si>
    <t>Sch 21 Fixed Charge Revenue</t>
  </si>
  <si>
    <t>Add to Schedule 21 customer, usage and revenue statistics until incorporated in Decoupling base</t>
  </si>
  <si>
    <t>1 Large Schedule 21 customer in the test year moved to Schedule 25. (Schedule 25 not included in Decoupling, Schedule 21 included in Decoupling)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</si>
  <si>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$55,878.</t>
    </r>
  </si>
  <si>
    <t>Development of WA Electric Deferrals (Calendar Year 2018)</t>
  </si>
  <si>
    <t>January Billing</t>
  </si>
  <si>
    <t>February Billing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</si>
  <si>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$55,019.</t>
    </r>
  </si>
  <si>
    <t>Total Adder Schedule Rate/kWh</t>
  </si>
  <si>
    <t>Check</t>
  </si>
  <si>
    <t>March Billing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</si>
  <si>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$56,631.</t>
    </r>
  </si>
  <si>
    <t>April Billing</t>
  </si>
  <si>
    <t>WA Schedule 75 2016 Deferral Decoupling Mechanism Amortization</t>
  </si>
  <si>
    <t>Current Month</t>
  </si>
  <si>
    <t>Reasonableness check - do not print</t>
  </si>
  <si>
    <t>Prior Month</t>
  </si>
  <si>
    <t>11/1/2017 rate</t>
  </si>
  <si>
    <t>Unbilled Schedule 75 Revenue</t>
  </si>
  <si>
    <t>Usage Calculated Schedule 75 Revenue</t>
  </si>
  <si>
    <t>Unbilled True-up Sch 75</t>
  </si>
  <si>
    <t>Schedule 001</t>
  </si>
  <si>
    <t>Schedule 002</t>
  </si>
  <si>
    <t>Schedule 011</t>
  </si>
  <si>
    <t>Schedule 012</t>
  </si>
  <si>
    <t>Schedule 021</t>
  </si>
  <si>
    <t>Schedule 022</t>
  </si>
  <si>
    <t>Schedule 030</t>
  </si>
  <si>
    <t>Schedule 031</t>
  </si>
  <si>
    <t>Schedule 032</t>
  </si>
  <si>
    <t>UE-170939</t>
  </si>
  <si>
    <t>Conversion Factor</t>
  </si>
  <si>
    <t>Calendar kWhs</t>
  </si>
  <si>
    <t>Amortization Rate</t>
  </si>
  <si>
    <t>difference</t>
  </si>
  <si>
    <t>Residential Amortization</t>
  </si>
  <si>
    <t>Non-Residential Amortization</t>
  </si>
  <si>
    <t>Sch 21 Adjust.</t>
  </si>
  <si>
    <t>456329 Amortization Residential Decoupling Def Revenue</t>
  </si>
  <si>
    <t>182328 Reg Asset Residential Decoupling Surcharge</t>
  </si>
  <si>
    <t>254328 Reg Liability Residential Decoupling Rebate</t>
  </si>
  <si>
    <t>456339 Amortization Non-Resid Decoupling Def Revenue</t>
  </si>
  <si>
    <t>182338 Reg Asset Non-Resid Decoupling Surcharge</t>
  </si>
  <si>
    <t>254338 Reg Liability Non-Resid Decoupling Rebate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</si>
  <si>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$53,859.</t>
    </r>
  </si>
  <si>
    <t>Twelve Months Ended December 31, 2016</t>
  </si>
  <si>
    <t>Residential Schedule 001/002</t>
  </si>
  <si>
    <t>Extra Large Gen Schedule 025</t>
  </si>
  <si>
    <t>Pumping Schedule 031/032</t>
  </si>
  <si>
    <t>Washington Docket No. UE-170485 Compliance Filing</t>
  </si>
  <si>
    <t>SCHEDULE 1,2</t>
  </si>
  <si>
    <t>Total Normalized 12ME Dec 2016 Revenue</t>
  </si>
  <si>
    <t xml:space="preserve">Allowed Base Rate Revenue </t>
  </si>
  <si>
    <t>Normalized kWhs (12ME Dec 2016 Test Year)</t>
  </si>
  <si>
    <t>Customer Bills (12ME Dec 2016 Test Year)</t>
  </si>
  <si>
    <t>AVISTA UTILITIES</t>
  </si>
  <si>
    <t>WASHINGTON ELECTRIC</t>
  </si>
  <si>
    <t>TWELVE MONTHS ENDED DECEMBER 31, 2016</t>
  </si>
  <si>
    <t>With Tax Reform</t>
  </si>
  <si>
    <t xml:space="preserve">  Federal Income Tax @ 21%</t>
  </si>
  <si>
    <t>(Per Order No. 6; UE-120436, dated 6/20/2012 - "hard" CF rounded to 6 digits)</t>
  </si>
  <si>
    <t>Revised Conversion Factor per Bench Request 9, Attachment B Page 4</t>
  </si>
  <si>
    <t>Attachment 4, Page 4</t>
  </si>
  <si>
    <t>Test Year # of Customers 12 ME 12.2016</t>
  </si>
  <si>
    <t>Attachment 4, Page 2</t>
  </si>
  <si>
    <t xml:space="preserve">  -UE-170485 Decoupled RPC</t>
  </si>
  <si>
    <t>WUTC Docket No. UE-170485</t>
  </si>
  <si>
    <t>SCHEDULE 1</t>
  </si>
  <si>
    <t>Total Normalized 12 ME Sept 2014 Revenue</t>
  </si>
  <si>
    <t>Total Rate Revenue (January 11, 2016)</t>
  </si>
  <si>
    <t>Normalized kWhs (12ME Sept 2014 Test Year)</t>
  </si>
  <si>
    <t>Customer Bills (12ME Sept 2014 Test Year)</t>
  </si>
  <si>
    <t>January</t>
  </si>
  <si>
    <t>February</t>
  </si>
  <si>
    <t>June</t>
  </si>
  <si>
    <t>July</t>
  </si>
  <si>
    <t>August</t>
  </si>
  <si>
    <t>September</t>
  </si>
  <si>
    <t>October</t>
  </si>
  <si>
    <t>November</t>
  </si>
  <si>
    <t>December</t>
  </si>
  <si>
    <t>Residential Schedule 001</t>
  </si>
  <si>
    <t>Extra Large Gen Schedule 25</t>
  </si>
  <si>
    <t>Pumping Schedule 31/32</t>
  </si>
  <si>
    <t>WUTC Docket No. UE-150204</t>
  </si>
  <si>
    <t>Twelve Months Ended September 30, 2014</t>
  </si>
  <si>
    <t>TY Normalized Usage by Month</t>
  </si>
  <si>
    <t>Twelve Months Ended December 31, 2014</t>
  </si>
  <si>
    <t>Decoupling Mechanism - UE-150204 Base effective 1/11/2016, UE-170485 Base effective 5/1/2018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</si>
  <si>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$54,971.</t>
    </r>
  </si>
  <si>
    <t>May Billing</t>
  </si>
  <si>
    <t>Sch 74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</si>
  <si>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$54,601.</t>
    </r>
  </si>
  <si>
    <t>Forecast Usage</t>
  </si>
  <si>
    <t>1 Year Amort Rate</t>
  </si>
  <si>
    <t>Incremental Revenue Change</t>
  </si>
  <si>
    <t>Schedule 75 Rate</t>
  </si>
  <si>
    <t>Maximum Incremental Change</t>
  </si>
  <si>
    <t>Est Norm Billed Rev $000s</t>
  </si>
  <si>
    <t>Surcharge Cap</t>
  </si>
  <si>
    <t>Carryover Rate</t>
  </si>
  <si>
    <t>Implied Carryover Amortization</t>
  </si>
  <si>
    <t>Balance Sheet Accounts</t>
  </si>
  <si>
    <t>Current Deferrals</t>
  </si>
  <si>
    <t>Prior Year Pending</t>
  </si>
  <si>
    <t>Approved Surcharge</t>
  </si>
  <si>
    <t>Approved Rebate</t>
  </si>
  <si>
    <t>Contra Deferrals</t>
  </si>
  <si>
    <t>Prior Year Contra</t>
  </si>
  <si>
    <t>ADFIT Decoupling</t>
  </si>
  <si>
    <t>Provision for Rate Ref</t>
  </si>
  <si>
    <t>ADFIT Prov Rate Ref</t>
  </si>
  <si>
    <t>Interest Rate</t>
  </si>
  <si>
    <t>Income Statement Accounts</t>
  </si>
  <si>
    <t>Res Deferral</t>
  </si>
  <si>
    <t xml:space="preserve">Res Amortization </t>
  </si>
  <si>
    <t>419328/431328</t>
  </si>
  <si>
    <t>Interest (Income)/Expense</t>
  </si>
  <si>
    <t>410100/411100</t>
  </si>
  <si>
    <t xml:space="preserve">DFIT </t>
  </si>
  <si>
    <t>410200/411200</t>
  </si>
  <si>
    <t>non-op DFIT</t>
  </si>
  <si>
    <t>Contra Deferral</t>
  </si>
  <si>
    <t>EREV Jun Mid-Month 6 14 18</t>
  </si>
  <si>
    <t>Decoupling Calc</t>
  </si>
  <si>
    <t>Actual</t>
  </si>
  <si>
    <t>Beg Bal Dec 2017</t>
  </si>
  <si>
    <t>456311 Contra Decoupling Deferral</t>
  </si>
  <si>
    <t>253311 Contra Decoupling Deferred Revenue</t>
  </si>
  <si>
    <t>253312 Prior Year Contra Decoupling Deferred Revenue</t>
  </si>
  <si>
    <t>Contra Decoupling Detail - Account 253312</t>
  </si>
  <si>
    <t>Prior Contra Decoupling Balance for 2017 Deferrals</t>
  </si>
  <si>
    <t>Contra Decoupling Detail - Account 253311</t>
  </si>
  <si>
    <t>Prior Contra Decoupling Balance for 2018 Deferrals</t>
  </si>
  <si>
    <t>Current Contra Decoupling Balance for 2017 Deferrals</t>
  </si>
  <si>
    <t>Current Month Contra Decoupling Entry</t>
  </si>
  <si>
    <t>Current Contra Decoupling Balance for 2018 Deferrals</t>
  </si>
  <si>
    <t>Maximum Year 1 Rate</t>
  </si>
  <si>
    <t>Maximum 24 Month Recovery of 2018 Deferral</t>
  </si>
  <si>
    <t>Estimated Carryover Rate</t>
  </si>
  <si>
    <t>Residential Contra Decoupling Balance</t>
  </si>
  <si>
    <t>Debit (Credit)</t>
  </si>
  <si>
    <t>July Billing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</si>
  <si>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$50,898.</t>
    </r>
  </si>
  <si>
    <t xml:space="preserve">431328 Interest Expense formerly 431605 </t>
  </si>
  <si>
    <t>419328 Interest Income formerly 419605</t>
  </si>
  <si>
    <t>August Billing</t>
  </si>
  <si>
    <t>DJ 127 - Sch 59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</si>
  <si>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$52,015.</t>
    </r>
  </si>
  <si>
    <t>Sept Billing</t>
  </si>
  <si>
    <t>Non-Res Deferral</t>
  </si>
  <si>
    <t xml:space="preserve">Non-Res Amortization </t>
  </si>
  <si>
    <t>Schedule 75 Rate Per Docket No. UE-180702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</si>
  <si>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$50,694.</t>
    </r>
  </si>
  <si>
    <t>1.42% of base revenue</t>
  </si>
  <si>
    <t>check net unbilled</t>
  </si>
  <si>
    <t>do not print</t>
  </si>
  <si>
    <t>calendar avg kWh/cust</t>
  </si>
  <si>
    <t>billed avg rate/kWh</t>
  </si>
  <si>
    <t>Do not print</t>
  </si>
  <si>
    <r>
      <t>Including this adjustment reduced the non-residential group surcharge by</t>
    </r>
    <r>
      <rPr>
        <sz val="11"/>
        <color rgb="FF3333FF"/>
        <rFont val="Times New Roman"/>
        <family val="1"/>
      </rPr>
      <t xml:space="preserve"> $53,441.</t>
    </r>
  </si>
  <si>
    <t>Prior Month Unbilled Adder Revenue</t>
  </si>
  <si>
    <t>Current Month Unbilled Adder Revenue</t>
  </si>
  <si>
    <t>Net Unbilled Adder Revenue</t>
  </si>
  <si>
    <t>Prior Month Unbilled Adder Total Rate</t>
  </si>
  <si>
    <t>Current Month Unbilled Adder Total Rate</t>
  </si>
  <si>
    <t>11/1/2018 rate</t>
  </si>
  <si>
    <t>UE-180702</t>
  </si>
  <si>
    <t>WA Schedule 75 2017 Deferral Decoupling Mechanism Amortization</t>
  </si>
  <si>
    <t>Nov Billing</t>
  </si>
  <si>
    <r>
      <t>Including this adjustment reduced the non-residential group surcharge by:</t>
    </r>
    <r>
      <rPr>
        <sz val="11"/>
        <color rgb="FF3333FF"/>
        <rFont val="Times New Roman"/>
        <family val="1"/>
      </rPr>
      <t xml:space="preserve"> </t>
    </r>
  </si>
  <si>
    <t>Dec Billing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</si>
</sst>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[$-409]mmm\-yy;@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_-* #,##0.00\ _D_M_-;\-* #,##0.00\ _D_M_-;_-* &quot;-&quot;??\ _D_M_-;_-@_-"/>
    <numFmt numFmtId="175" formatCode="_(* #,##0.000_);_(* \(#,##0.000\);_(* &quot;-&quot;??_);_(@_)"/>
    <numFmt numFmtId="176" formatCode="#."/>
    <numFmt numFmtId="177" formatCode="_-* #,##0.00\ &quot;DM&quot;_-;\-* #,##0.00\ &quot;DM&quot;_-;_-* &quot;-&quot;??\ &quot;DM&quot;_-;_-@_-"/>
    <numFmt numFmtId="178" formatCode="_(* ###0_);_(* \(###0\);_(* &quot;-&quot;_);_(@_)"/>
    <numFmt numFmtId="179" formatCode="&quot;$&quot;#,##0\ ;\(&quot;$&quot;#,##0\)"/>
    <numFmt numFmtId="180" formatCode="mmmm\ d\,\ yyyy"/>
    <numFmt numFmtId="181" formatCode="[Blue]#,##0_);[Magenta]\(#,##0\)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00_);\(0.0000\)"/>
    <numFmt numFmtId="185" formatCode="0.00_)"/>
    <numFmt numFmtId="186" formatCode="&quot;$&quot;#,##0;\-&quot;$&quot;#,##0"/>
    <numFmt numFmtId="187" formatCode="_(&quot;$&quot;* #,##0.000000_);_(&quot;$&quot;* \(#,##0.000000\);_(&quot;$&quot;* &quot;-&quot;??????_);_(@_)"/>
    <numFmt numFmtId="188" formatCode="#,##0.00\ ;\(#,##0.00\)"/>
    <numFmt numFmtId="189" formatCode="0\ &quot; HR&quot;"/>
    <numFmt numFmtId="190" formatCode="0000000"/>
    <numFmt numFmtId="191" formatCode="0.0000%"/>
    <numFmt numFmtId="192" formatCode="0.00000%"/>
    <numFmt numFmtId="193" formatCode="mmm\-yyyy"/>
    <numFmt numFmtId="194" formatCode="_(&quot;$&quot;* #,##0.000_);_(&quot;$&quot;* \(#,##0.000\);_(&quot;$&quot;* &quot;-&quot;??_);_(@_)"/>
    <numFmt numFmtId="195" formatCode="m/yy"/>
    <numFmt numFmtId="196" formatCode="_(&quot;$&quot;* #,##0.0000_);_(&quot;$&quot;* \(#,##0.0000\);_(&quot;$&quot;* &quot;-&quot;????_);_(@_)"/>
    <numFmt numFmtId="197" formatCode="0.0%"/>
    <numFmt numFmtId="198" formatCode="_(* #,##0.0_);_(* \(#,##0.0\);_(* &quot;-&quot;_);_(@_)"/>
    <numFmt numFmtId="199" formatCode="0.000%"/>
    <numFmt numFmtId="200" formatCode="&quot;$&quot;#,##0.00"/>
    <numFmt numFmtId="201" formatCode="&quot;$&quot;#,##0.00000"/>
    <numFmt numFmtId="202" formatCode="_(&quot;$&quot;* #,##0.0000_);_(&quot;$&quot;* \(#,##0.0000\);_(&quot;$&quot;* &quot;-&quot;??_);_(@_)"/>
    <numFmt numFmtId="203" formatCode="_(* #,##0.000000_);_(* \(#,##0.000000\);_(* &quot;-&quot;??_);_(@_)"/>
    <numFmt numFmtId="204" formatCode="mmm\ yy"/>
    <numFmt numFmtId="205" formatCode="0.00000"/>
    <numFmt numFmtId="206" formatCode="#,##0,"/>
  </numFmts>
  <fonts count="1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0"/>
      <name val="Times New Roman"/>
      <family val="1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sz val="10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i/>
      <u/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11"/>
      <name val="Calibri"/>
      <family val="2"/>
      <scheme val="minor"/>
    </font>
    <font>
      <sz val="10"/>
      <color rgb="FF0000FF"/>
      <name val="Times New Roman"/>
      <family val="1"/>
    </font>
    <font>
      <sz val="11"/>
      <color rgb="FF0000FF"/>
      <name val="Calibri"/>
      <family val="2"/>
      <scheme val="minor"/>
    </font>
    <font>
      <sz val="10"/>
      <color rgb="FF3333CC"/>
      <name val="Times New Roman"/>
      <family val="1"/>
    </font>
    <font>
      <sz val="10"/>
      <color rgb="FF0000CC"/>
      <name val="Times New Roman"/>
      <family val="1"/>
    </font>
    <font>
      <sz val="10"/>
      <color rgb="FF3B2CFC"/>
      <name val="Times New Roman"/>
      <family val="1"/>
    </font>
    <font>
      <b/>
      <sz val="11"/>
      <color theme="1"/>
      <name val="Times New Roman"/>
      <family val="1"/>
    </font>
    <font>
      <sz val="11"/>
      <color rgb="FF3333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color rgb="FFFFC000"/>
      <name val="Calibri"/>
      <family val="2"/>
      <scheme val="minor"/>
    </font>
    <font>
      <sz val="11"/>
      <color theme="9" tint="-0.249977111117893"/>
      <name val="Calibri"/>
      <family val="2"/>
    </font>
    <font>
      <sz val="11"/>
      <color rgb="FFC00000"/>
      <name val="Calibri"/>
      <family val="2"/>
      <scheme val="minor"/>
    </font>
    <font>
      <sz val="11"/>
      <color rgb="FF0000FF"/>
      <name val="Times New Roman"/>
      <family val="1"/>
    </font>
    <font>
      <sz val="11"/>
      <name val="Times New Roman"/>
      <family val="1"/>
    </font>
    <font>
      <sz val="11"/>
      <color rgb="FF3333FF"/>
      <name val="Times New Roman"/>
      <family val="1"/>
    </font>
  </fonts>
  <fills count="10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5" tint="-0.24994659260841701"/>
      </left>
      <right/>
      <top/>
      <bottom/>
      <diagonal/>
    </border>
    <border>
      <left style="thick">
        <color theme="5" tint="-0.24994659260841701"/>
      </left>
      <right/>
      <top/>
      <bottom style="thin">
        <color indexed="64"/>
      </bottom>
      <diagonal/>
    </border>
    <border>
      <left style="thick">
        <color theme="5" tint="-0.24994659260841701"/>
      </left>
      <right/>
      <top style="thin">
        <color indexed="64"/>
      </top>
      <bottom/>
      <diagonal/>
    </border>
    <border>
      <left/>
      <right/>
      <top/>
      <bottom style="mediumDashed">
        <color auto="1"/>
      </bottom>
      <diagonal/>
    </border>
  </borders>
  <cellStyleXfs count="955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1" fillId="0" borderId="0"/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1" fillId="0" borderId="0"/>
    <xf numFmtId="0" fontId="21" fillId="0" borderId="0"/>
    <xf numFmtId="171" fontId="23" fillId="0" borderId="0">
      <alignment horizontal="left"/>
    </xf>
    <xf numFmtId="172" fontId="24" fillId="0" borderId="0">
      <alignment horizontal="left"/>
    </xf>
    <xf numFmtId="0" fontId="25" fillId="0" borderId="11"/>
    <xf numFmtId="0" fontId="26" fillId="0" borderId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2" fillId="0" borderId="0">
      <alignment horizontal="left" wrapText="1"/>
    </xf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8" fontId="22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4" borderId="0" applyNumberFormat="0" applyBorder="0" applyAlignment="0" applyProtection="0"/>
    <xf numFmtId="168" fontId="22" fillId="0" borderId="0">
      <alignment horizontal="left" wrapText="1"/>
    </xf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2" fillId="0" borderId="0">
      <alignment horizontal="left" wrapText="1"/>
    </xf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8" fontId="2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6" borderId="0" applyNumberFormat="0" applyBorder="0" applyAlignment="0" applyProtection="0"/>
    <xf numFmtId="168" fontId="22" fillId="0" borderId="0">
      <alignment horizontal="left" wrapText="1"/>
    </xf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2" fillId="0" borderId="0">
      <alignment horizontal="left" wrapText="1"/>
    </xf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168" fontId="22" fillId="0" borderId="0">
      <alignment horizontal="left" wrapText="1"/>
    </xf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8" fontId="22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2" fillId="0" borderId="0">
      <alignment horizontal="left" wrapText="1"/>
    </xf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2" fillId="0" borderId="0">
      <alignment horizontal="left" wrapText="1"/>
    </xf>
    <xf numFmtId="0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1" borderId="0" applyNumberFormat="0" applyBorder="0" applyAlignment="0" applyProtection="0"/>
    <xf numFmtId="168" fontId="22" fillId="0" borderId="0">
      <alignment horizontal="left" wrapText="1"/>
    </xf>
    <xf numFmtId="0" fontId="27" fillId="41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8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2" fillId="0" borderId="0">
      <alignment horizontal="left" wrapText="1"/>
    </xf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2" fillId="0" borderId="0">
      <alignment horizontal="left" wrapText="1"/>
    </xf>
    <xf numFmtId="0" fontId="2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8" fontId="22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3" borderId="0" applyNumberFormat="0" applyBorder="0" applyAlignment="0" applyProtection="0"/>
    <xf numFmtId="168" fontId="22" fillId="0" borderId="0">
      <alignment horizontal="left" wrapText="1"/>
    </xf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8" fontId="22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8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2" fillId="0" borderId="0">
      <alignment horizontal="left" wrapText="1"/>
    </xf>
    <xf numFmtId="0" fontId="2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5" borderId="0" applyNumberFormat="0" applyBorder="0" applyAlignment="0" applyProtection="0"/>
    <xf numFmtId="168" fontId="22" fillId="0" borderId="0">
      <alignment horizontal="left" wrapText="1"/>
    </xf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8" fontId="22" fillId="0" borderId="0">
      <alignment horizontal="left" wrapText="1"/>
    </xf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8" fontId="22" fillId="0" borderId="0">
      <alignment horizontal="left" wrapText="1"/>
    </xf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2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6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8" fontId="22" fillId="0" borderId="0">
      <alignment horizontal="left" wrapText="1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9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0" fontId="26" fillId="0" borderId="11"/>
    <xf numFmtId="173" fontId="30" fillId="0" borderId="0" applyFill="0" applyBorder="0" applyAlignment="0"/>
    <xf numFmtId="173" fontId="30" fillId="0" borderId="0" applyFill="0" applyBorder="0" applyAlignment="0"/>
    <xf numFmtId="168" fontId="22" fillId="0" borderId="0">
      <alignment horizontal="left" wrapText="1"/>
    </xf>
    <xf numFmtId="168" fontId="22" fillId="0" borderId="0">
      <alignment horizontal="left" wrapText="1"/>
    </xf>
    <xf numFmtId="173" fontId="30" fillId="0" borderId="0" applyFill="0" applyBorder="0" applyAlignment="0"/>
    <xf numFmtId="41" fontId="20" fillId="67" borderId="0"/>
    <xf numFmtId="0" fontId="31" fillId="68" borderId="12" applyNumberFormat="0" applyAlignment="0" applyProtection="0"/>
    <xf numFmtId="168" fontId="22" fillId="0" borderId="0">
      <alignment horizontal="left" wrapText="1"/>
    </xf>
    <xf numFmtId="0" fontId="31" fillId="68" borderId="12" applyNumberFormat="0" applyAlignment="0" applyProtection="0"/>
    <xf numFmtId="0" fontId="11" fillId="6" borderId="4" applyNumberFormat="0" applyAlignment="0" applyProtection="0"/>
    <xf numFmtId="0" fontId="32" fillId="69" borderId="4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0" fontId="11" fillId="6" borderId="4" applyNumberFormat="0" applyAlignment="0" applyProtection="0"/>
    <xf numFmtId="0" fontId="32" fillId="69" borderId="4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20" fillId="67" borderId="0"/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41" fontId="20" fillId="67" borderId="0"/>
    <xf numFmtId="41" fontId="20" fillId="67" borderId="0"/>
    <xf numFmtId="0" fontId="32" fillId="69" borderId="4" applyNumberFormat="0" applyAlignment="0" applyProtection="0"/>
    <xf numFmtId="0" fontId="11" fillId="6" borderId="4" applyNumberFormat="0" applyAlignment="0" applyProtection="0"/>
    <xf numFmtId="0" fontId="33" fillId="70" borderId="13" applyNumberFormat="0" applyAlignment="0" applyProtection="0"/>
    <xf numFmtId="0" fontId="33" fillId="70" borderId="13" applyNumberFormat="0" applyAlignment="0" applyProtection="0"/>
    <xf numFmtId="168" fontId="22" fillId="0" borderId="0">
      <alignment horizontal="left" wrapText="1"/>
    </xf>
    <xf numFmtId="0" fontId="33" fillId="70" borderId="13" applyNumberFormat="0" applyAlignment="0" applyProtection="0"/>
    <xf numFmtId="168" fontId="22" fillId="0" borderId="0">
      <alignment horizontal="left" wrapText="1"/>
    </xf>
    <xf numFmtId="0" fontId="13" fillId="7" borderId="7" applyNumberFormat="0" applyAlignment="0" applyProtection="0"/>
    <xf numFmtId="0" fontId="33" fillId="70" borderId="13" applyNumberFormat="0" applyAlignment="0" applyProtection="0"/>
    <xf numFmtId="41" fontId="20" fillId="71" borderId="0"/>
    <xf numFmtId="41" fontId="20" fillId="71" borderId="0"/>
    <xf numFmtId="168" fontId="22" fillId="0" borderId="0">
      <alignment horizontal="left" wrapText="1"/>
    </xf>
    <xf numFmtId="41" fontId="20" fillId="71" borderId="0"/>
    <xf numFmtId="41" fontId="20" fillId="71" borderId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3" fontId="37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68" fontId="22" fillId="0" borderId="0">
      <alignment horizontal="left" wrapText="1"/>
    </xf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6" fontId="44" fillId="0" borderId="0">
      <protection locked="0"/>
    </xf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168" fontId="22" fillId="0" borderId="0">
      <alignment horizontal="left" wrapText="1"/>
    </xf>
    <xf numFmtId="168" fontId="22" fillId="0" borderId="0">
      <alignment horizontal="left" wrapText="1"/>
    </xf>
    <xf numFmtId="0" fontId="46" fillId="0" borderId="0" applyNumberFormat="0" applyAlignment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47" fillId="0" borderId="0" applyFont="0" applyFill="0" applyBorder="0" applyAlignment="0" applyProtection="0"/>
    <xf numFmtId="44" fontId="48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8" fontId="3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35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8" fontId="34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78" fontId="20" fillId="0" borderId="0" applyFont="0" applyFill="0" applyBorder="0" applyAlignment="0" applyProtection="0"/>
    <xf numFmtId="179" fontId="49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8" fontId="22" fillId="0" borderId="0">
      <alignment horizontal="left" wrapText="1"/>
    </xf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79" fontId="37" fillId="0" borderId="0" applyFont="0" applyFill="0" applyBorder="0" applyAlignment="0" applyProtection="0"/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80" fontId="37" fillId="0" borderId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168" fontId="22" fillId="0" borderId="0">
      <alignment horizontal="left" wrapText="1"/>
    </xf>
    <xf numFmtId="180" fontId="37" fillId="0" borderId="0" applyFill="0" applyBorder="0" applyAlignment="0" applyProtection="0"/>
    <xf numFmtId="0" fontId="42" fillId="0" borderId="0" applyFont="0" applyFill="0" applyBorder="0" applyAlignment="0" applyProtection="0"/>
    <xf numFmtId="0" fontId="20" fillId="0" borderId="0" applyFont="0" applyFill="0" applyBorder="0" applyAlignment="0" applyProtection="0"/>
    <xf numFmtId="180" fontId="37" fillId="0" borderId="0" applyFill="0" applyBorder="0" applyAlignment="0" applyProtection="0"/>
    <xf numFmtId="0" fontId="49" fillId="0" borderId="0" applyFont="0" applyFill="0" applyBorder="0" applyAlignment="0" applyProtection="0"/>
    <xf numFmtId="0" fontId="26" fillId="0" borderId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168" fontId="20" fillId="0" borderId="0"/>
    <xf numFmtId="168" fontId="20" fillId="0" borderId="0"/>
    <xf numFmtId="16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/>
    <xf numFmtId="168" fontId="20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81" fontId="51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/>
    <xf numFmtId="168" fontId="20" fillId="0" borderId="0"/>
    <xf numFmtId="168" fontId="20" fillId="0" borderId="0"/>
    <xf numFmtId="182" fontId="20" fillId="0" borderId="0" applyFont="0" applyFill="0" applyBorder="0" applyAlignment="0" applyProtection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22" fillId="0" borderId="0">
      <alignment horizontal="left" wrapText="1"/>
    </xf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0" fontId="38" fillId="0" borderId="0"/>
    <xf numFmtId="0" fontId="38" fillId="0" borderId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53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168" fontId="22" fillId="0" borderId="0">
      <alignment horizontal="left" wrapText="1"/>
    </xf>
    <xf numFmtId="38" fontId="54" fillId="71" borderId="0" applyNumberFormat="0" applyBorder="0" applyAlignment="0" applyProtection="0"/>
    <xf numFmtId="0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0" fontId="55" fillId="0" borderId="11"/>
    <xf numFmtId="183" fontId="56" fillId="0" borderId="0" applyNumberFormat="0" applyFill="0" applyBorder="0" applyProtection="0">
      <alignment horizontal="right"/>
    </xf>
    <xf numFmtId="0" fontId="57" fillId="0" borderId="14" applyNumberFormat="0" applyAlignment="0" applyProtection="0">
      <alignment horizontal="left"/>
    </xf>
    <xf numFmtId="0" fontId="57" fillId="0" borderId="14" applyNumberFormat="0" applyAlignment="0" applyProtection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57" fillId="0" borderId="14" applyNumberFormat="0" applyAlignment="0" applyProtection="0">
      <alignment horizontal="left"/>
    </xf>
    <xf numFmtId="168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8" fontId="22" fillId="0" borderId="0">
      <alignment horizontal="left" wrapText="1"/>
    </xf>
    <xf numFmtId="14" fontId="58" fillId="75" borderId="16">
      <alignment horizontal="center" vertical="center" wrapText="1"/>
    </xf>
    <xf numFmtId="0" fontId="42" fillId="0" borderId="0" applyNumberFormat="0" applyFill="0" applyBorder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1" fillId="0" borderId="0" applyNumberFormat="0" applyFill="0" applyBorder="0" applyAlignment="0" applyProtection="0"/>
    <xf numFmtId="168" fontId="22" fillId="0" borderId="0">
      <alignment horizontal="left" wrapText="1"/>
    </xf>
    <xf numFmtId="0" fontId="60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42" fillId="0" borderId="0" applyNumberFormat="0" applyFill="0" applyBorder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54" fillId="0" borderId="0" applyNumberFormat="0" applyFill="0" applyBorder="0" applyAlignment="0" applyProtection="0"/>
    <xf numFmtId="168" fontId="22" fillId="0" borderId="0">
      <alignment horizontal="left" wrapText="1"/>
    </xf>
    <xf numFmtId="0" fontId="63" fillId="0" borderId="20" applyNumberFormat="0" applyFill="0" applyAlignment="0" applyProtection="0"/>
    <xf numFmtId="0" fontId="54" fillId="0" borderId="0" applyNumberFormat="0" applyFill="0" applyBorder="0" applyAlignment="0" applyProtection="0"/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5" fillId="0" borderId="3" applyNumberFormat="0" applyFill="0" applyAlignment="0" applyProtection="0"/>
    <xf numFmtId="0" fontId="65" fillId="0" borderId="2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38" fontId="66" fillId="0" borderId="0"/>
    <xf numFmtId="38" fontId="66" fillId="0" borderId="0"/>
    <xf numFmtId="38" fontId="66" fillId="0" borderId="0"/>
    <xf numFmtId="38" fontId="66" fillId="0" borderId="0"/>
    <xf numFmtId="168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38" fontId="66" fillId="0" borderId="0"/>
    <xf numFmtId="38" fontId="66" fillId="0" borderId="0"/>
    <xf numFmtId="38" fontId="66" fillId="0" borderId="0"/>
    <xf numFmtId="40" fontId="66" fillId="0" borderId="0"/>
    <xf numFmtId="40" fontId="66" fillId="0" borderId="0"/>
    <xf numFmtId="40" fontId="66" fillId="0" borderId="0"/>
    <xf numFmtId="40" fontId="66" fillId="0" borderId="0"/>
    <xf numFmtId="168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40" fontId="66" fillId="0" borderId="0"/>
    <xf numFmtId="40" fontId="66" fillId="0" borderId="0"/>
    <xf numFmtId="40" fontId="66" fillId="0" borderId="0"/>
    <xf numFmtId="0" fontId="67" fillId="0" borderId="0" applyNumberFormat="0" applyFill="0" applyBorder="0" applyAlignment="0" applyProtection="0">
      <alignment vertical="top"/>
      <protection locked="0"/>
    </xf>
    <xf numFmtId="168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8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168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168" fontId="22" fillId="0" borderId="0">
      <alignment horizontal="left" wrapText="1"/>
    </xf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41" fontId="69" fillId="76" borderId="24">
      <alignment horizontal="left"/>
      <protection locked="0"/>
    </xf>
    <xf numFmtId="168" fontId="22" fillId="0" borderId="0">
      <alignment horizontal="left" wrapText="1"/>
    </xf>
    <xf numFmtId="41" fontId="69" fillId="76" borderId="24">
      <alignment horizontal="left"/>
      <protection locked="0"/>
    </xf>
    <xf numFmtId="10" fontId="69" fillId="76" borderId="24">
      <alignment horizontal="right"/>
      <protection locked="0"/>
    </xf>
    <xf numFmtId="168" fontId="22" fillId="0" borderId="0">
      <alignment horizontal="left" wrapText="1"/>
    </xf>
    <xf numFmtId="10" fontId="69" fillId="76" borderId="24">
      <alignment horizontal="right"/>
      <protection locked="0"/>
    </xf>
    <xf numFmtId="168" fontId="22" fillId="0" borderId="0">
      <alignment horizontal="left" wrapText="1"/>
    </xf>
    <xf numFmtId="41" fontId="69" fillId="76" borderId="24">
      <alignment horizontal="left"/>
      <protection locked="0"/>
    </xf>
    <xf numFmtId="0" fontId="55" fillId="0" borderId="25"/>
    <xf numFmtId="0" fontId="54" fillId="71" borderId="0"/>
    <xf numFmtId="0" fontId="54" fillId="71" borderId="0"/>
    <xf numFmtId="0" fontId="54" fillId="71" borderId="0"/>
    <xf numFmtId="0" fontId="54" fillId="71" borderId="0"/>
    <xf numFmtId="168" fontId="22" fillId="0" borderId="0">
      <alignment horizontal="left" wrapText="1"/>
    </xf>
    <xf numFmtId="3" fontId="70" fillId="0" borderId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70" fillId="0" borderId="0" applyFill="0" applyBorder="0" applyAlignment="0" applyProtection="0"/>
    <xf numFmtId="3" fontId="70" fillId="0" borderId="0" applyFill="0" applyBorder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12" fillId="0" borderId="6" applyNumberFormat="0" applyFill="0" applyAlignment="0" applyProtection="0"/>
    <xf numFmtId="0" fontId="72" fillId="0" borderId="27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8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168" fontId="22" fillId="0" borderId="0">
      <alignment horizontal="left" wrapText="1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168" fontId="22" fillId="0" borderId="0">
      <alignment horizontal="left" wrapText="1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8" fillId="4" borderId="0" applyNumberFormat="0" applyBorder="0" applyAlignment="0" applyProtection="0"/>
    <xf numFmtId="0" fontId="74" fillId="4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75" fillId="4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37" fontId="76" fillId="0" borderId="0"/>
    <xf numFmtId="37" fontId="76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37" fontId="76" fillId="0" borderId="0"/>
    <xf numFmtId="185" fontId="77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7" fontId="22" fillId="0" borderId="0"/>
    <xf numFmtId="187" fontId="22" fillId="0" borderId="0"/>
    <xf numFmtId="185" fontId="77" fillId="0" borderId="0"/>
    <xf numFmtId="0" fontId="20" fillId="0" borderId="0"/>
    <xf numFmtId="185" fontId="77" fillId="0" borderId="0"/>
    <xf numFmtId="18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7" fontId="22" fillId="0" borderId="0"/>
    <xf numFmtId="189" fontId="20" fillId="0" borderId="0"/>
    <xf numFmtId="190" fontId="36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 applyFill="0" applyBorder="0" applyAlignment="0" applyProtection="0"/>
    <xf numFmtId="0" fontId="1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86" fontId="22" fillId="0" borderId="0">
      <alignment horizontal="left" wrapText="1"/>
    </xf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186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186" fontId="22" fillId="0" borderId="0">
      <alignment horizontal="left" wrapText="1"/>
    </xf>
    <xf numFmtId="168" fontId="20" fillId="0" borderId="0">
      <alignment horizontal="left" wrapText="1"/>
    </xf>
    <xf numFmtId="186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86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8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35" fillId="0" borderId="0"/>
    <xf numFmtId="168" fontId="22" fillId="0" borderId="0">
      <alignment horizontal="left" wrapText="1"/>
    </xf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91" fontId="20" fillId="0" borderId="0">
      <alignment horizontal="left" wrapText="1"/>
    </xf>
    <xf numFmtId="191" fontId="20" fillId="0" borderId="0">
      <alignment horizontal="left" wrapText="1"/>
    </xf>
    <xf numFmtId="168" fontId="22" fillId="0" borderId="0">
      <alignment horizontal="left" wrapText="1"/>
    </xf>
    <xf numFmtId="191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1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2" fillId="0" borderId="0"/>
    <xf numFmtId="193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9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0" fontId="47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39" fontId="79" fillId="0" borderId="0" applyNumberFormat="0" applyFill="0" applyBorder="0" applyAlignment="0" applyProtection="0"/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195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78" fillId="0" borderId="0"/>
    <xf numFmtId="19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168" fontId="22" fillId="0" borderId="0">
      <alignment horizontal="left" wrapText="1"/>
    </xf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2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8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8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168" fontId="22" fillId="0" borderId="0">
      <alignment horizontal="left" wrapText="1"/>
    </xf>
    <xf numFmtId="0" fontId="80" fillId="68" borderId="31" applyNumberForma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80" fillId="69" borderId="31" applyNumberFormat="0" applyAlignment="0" applyProtection="0"/>
    <xf numFmtId="0" fontId="10" fillId="69" borderId="5" applyNumberFormat="0" applyAlignment="0" applyProtection="0"/>
    <xf numFmtId="0" fontId="10" fillId="69" borderId="5" applyNumberFormat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197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48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>
      <alignment horizontal="left" wrapText="1"/>
    </xf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41" fontId="20" fillId="77" borderId="24"/>
    <xf numFmtId="41" fontId="20" fillId="77" borderId="24"/>
    <xf numFmtId="168" fontId="22" fillId="0" borderId="0">
      <alignment horizontal="left" wrapText="1"/>
    </xf>
    <xf numFmtId="41" fontId="20" fillId="77" borderId="24"/>
    <xf numFmtId="41" fontId="20" fillId="77" borderId="24"/>
    <xf numFmtId="168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" fontId="35" fillId="0" borderId="0" applyFont="0" applyFill="0" applyBorder="0" applyAlignment="0" applyProtection="0"/>
    <xf numFmtId="0" fontId="81" fillId="0" borderId="16">
      <alignment horizontal="center"/>
    </xf>
    <xf numFmtId="0" fontId="81" fillId="0" borderId="16">
      <alignment horizontal="center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81" fillId="0" borderId="16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35" fillId="0" borderId="0" applyFont="0" applyFill="0" applyBorder="0" applyAlignment="0" applyProtection="0"/>
    <xf numFmtId="0" fontId="35" fillId="78" borderId="0" applyNumberFormat="0" applyFont="0" applyBorder="0" applyAlignment="0" applyProtection="0"/>
    <xf numFmtId="0" fontId="35" fillId="78" borderId="0" applyNumberFormat="0" applyFon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35" fillId="78" borderId="0" applyNumberFormat="0" applyFont="0" applyBorder="0" applyAlignment="0" applyProtection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82" fillId="0" borderId="0" applyFill="0" applyBorder="0" applyAlignment="0" applyProtection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42" fontId="20" fillId="67" borderId="0"/>
    <xf numFmtId="0" fontId="39" fillId="79" borderId="0"/>
    <xf numFmtId="0" fontId="85" fillId="79" borderId="25"/>
    <xf numFmtId="0" fontId="86" fillId="80" borderId="32"/>
    <xf numFmtId="0" fontId="87" fillId="79" borderId="33"/>
    <xf numFmtId="42" fontId="20" fillId="67" borderId="0"/>
    <xf numFmtId="168" fontId="22" fillId="0" borderId="0">
      <alignment horizontal="left" wrapText="1"/>
    </xf>
    <xf numFmtId="42" fontId="20" fillId="67" borderId="0"/>
    <xf numFmtId="168" fontId="22" fillId="0" borderId="0">
      <alignment horizontal="left" wrapText="1"/>
    </xf>
    <xf numFmtId="42" fontId="20" fillId="67" borderId="0"/>
    <xf numFmtId="42" fontId="20" fillId="67" borderId="0"/>
    <xf numFmtId="42" fontId="20" fillId="67" borderId="34">
      <alignment vertical="center"/>
    </xf>
    <xf numFmtId="42" fontId="20" fillId="67" borderId="34">
      <alignment vertical="center"/>
    </xf>
    <xf numFmtId="168" fontId="22" fillId="0" borderId="0">
      <alignment horizontal="left" wrapText="1"/>
    </xf>
    <xf numFmtId="42" fontId="20" fillId="67" borderId="34">
      <alignment vertical="center"/>
    </xf>
    <xf numFmtId="168" fontId="22" fillId="0" borderId="0">
      <alignment horizontal="left" wrapText="1"/>
    </xf>
    <xf numFmtId="42" fontId="20" fillId="67" borderId="34">
      <alignment vertical="center"/>
    </xf>
    <xf numFmtId="168" fontId="22" fillId="0" borderId="0">
      <alignment horizontal="left" wrapText="1"/>
    </xf>
    <xf numFmtId="0" fontId="58" fillId="67" borderId="10" applyNumberFormat="0">
      <alignment horizontal="center" vertical="center" wrapText="1"/>
    </xf>
    <xf numFmtId="0" fontId="58" fillId="67" borderId="35" applyNumberFormat="0">
      <alignment horizontal="center" vertical="center" wrapText="1"/>
    </xf>
    <xf numFmtId="0" fontId="58" fillId="67" borderId="10" applyNumberFormat="0">
      <alignment horizontal="center" vertical="center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96" fontId="20" fillId="67" borderId="0"/>
    <xf numFmtId="196" fontId="20" fillId="67" borderId="0"/>
    <xf numFmtId="196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96" fontId="20" fillId="67" borderId="0"/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96" fontId="20" fillId="67" borderId="0"/>
    <xf numFmtId="196" fontId="20" fillId="67" borderId="0"/>
    <xf numFmtId="196" fontId="20" fillId="67" borderId="0"/>
    <xf numFmtId="42" fontId="20" fillId="67" borderId="0"/>
    <xf numFmtId="166" fontId="66" fillId="0" borderId="0" applyBorder="0" applyAlignment="0"/>
    <xf numFmtId="166" fontId="66" fillId="0" borderId="0" applyBorder="0" applyAlignment="0"/>
    <xf numFmtId="166" fontId="66" fillId="0" borderId="0" applyBorder="0" applyAlignment="0"/>
    <xf numFmtId="42" fontId="20" fillId="67" borderId="36">
      <alignment horizontal="left"/>
    </xf>
    <xf numFmtId="42" fontId="20" fillId="67" borderId="36">
      <alignment horizontal="left"/>
    </xf>
    <xf numFmtId="168" fontId="22" fillId="0" borderId="0">
      <alignment horizontal="left" wrapText="1"/>
    </xf>
    <xf numFmtId="42" fontId="20" fillId="67" borderId="36">
      <alignment horizontal="left"/>
    </xf>
    <xf numFmtId="168" fontId="22" fillId="0" borderId="0">
      <alignment horizontal="left" wrapText="1"/>
    </xf>
    <xf numFmtId="42" fontId="20" fillId="67" borderId="36">
      <alignment horizontal="left"/>
    </xf>
    <xf numFmtId="168" fontId="22" fillId="0" borderId="0">
      <alignment horizontal="left" wrapText="1"/>
    </xf>
    <xf numFmtId="196" fontId="88" fillId="67" borderId="36">
      <alignment horizontal="left"/>
    </xf>
    <xf numFmtId="168" fontId="22" fillId="0" borderId="0">
      <alignment horizontal="left" wrapText="1"/>
    </xf>
    <xf numFmtId="196" fontId="88" fillId="67" borderId="36">
      <alignment horizontal="left"/>
    </xf>
    <xf numFmtId="166" fontId="66" fillId="0" borderId="0" applyBorder="0" applyAlignment="0"/>
    <xf numFmtId="14" fontId="22" fillId="0" borderId="0" applyNumberFormat="0" applyFill="0" applyBorder="0" applyAlignment="0" applyProtection="0">
      <alignment horizontal="left"/>
    </xf>
    <xf numFmtId="14" fontId="22" fillId="0" borderId="0" applyNumberFormat="0" applyFill="0" applyBorder="0" applyAlignment="0" applyProtection="0">
      <alignment horizontal="left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4" fontId="89" fillId="76" borderId="31" applyNumberFormat="0" applyProtection="0">
      <alignment vertical="center"/>
    </xf>
    <xf numFmtId="168" fontId="22" fillId="0" borderId="0">
      <alignment horizontal="left" wrapText="1"/>
    </xf>
    <xf numFmtId="4" fontId="89" fillId="76" borderId="31" applyNumberFormat="0" applyProtection="0">
      <alignment vertical="center"/>
    </xf>
    <xf numFmtId="4" fontId="90" fillId="76" borderId="31" applyNumberFormat="0" applyProtection="0">
      <alignment vertical="center"/>
    </xf>
    <xf numFmtId="168" fontId="22" fillId="0" borderId="0">
      <alignment horizontal="left" wrapText="1"/>
    </xf>
    <xf numFmtId="4" fontId="90" fillId="76" borderId="31" applyNumberFormat="0" applyProtection="0">
      <alignment vertical="center"/>
    </xf>
    <xf numFmtId="4" fontId="89" fillId="76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4" fontId="89" fillId="76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2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83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3" borderId="31" applyNumberFormat="0" applyProtection="0">
      <alignment horizontal="right" vertical="center"/>
    </xf>
    <xf numFmtId="4" fontId="89" fillId="84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4" borderId="31" applyNumberFormat="0" applyProtection="0">
      <alignment horizontal="right" vertical="center"/>
    </xf>
    <xf numFmtId="4" fontId="89" fillId="85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5" borderId="31" applyNumberFormat="0" applyProtection="0">
      <alignment horizontal="right" vertical="center"/>
    </xf>
    <xf numFmtId="4" fontId="89" fillId="86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6" borderId="31" applyNumberFormat="0" applyProtection="0">
      <alignment horizontal="right" vertical="center"/>
    </xf>
    <xf numFmtId="4" fontId="89" fillId="87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7" borderId="31" applyNumberFormat="0" applyProtection="0">
      <alignment horizontal="right" vertical="center"/>
    </xf>
    <xf numFmtId="4" fontId="89" fillId="88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8" borderId="31" applyNumberFormat="0" applyProtection="0">
      <alignment horizontal="right" vertical="center"/>
    </xf>
    <xf numFmtId="4" fontId="89" fillId="89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9" borderId="31" applyNumberFormat="0" applyProtection="0">
      <alignment horizontal="right" vertical="center"/>
    </xf>
    <xf numFmtId="4" fontId="89" fillId="90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0" borderId="31" applyNumberFormat="0" applyProtection="0">
      <alignment horizontal="right" vertical="center"/>
    </xf>
    <xf numFmtId="4" fontId="89" fillId="91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1" borderId="31" applyNumberFormat="0" applyProtection="0">
      <alignment horizontal="right" vertical="center"/>
    </xf>
    <xf numFmtId="4" fontId="91" fillId="92" borderId="31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2" borderId="31" applyNumberFormat="0" applyProtection="0">
      <alignment horizontal="left" vertical="center" indent="1"/>
    </xf>
    <xf numFmtId="4" fontId="89" fillId="94" borderId="37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69" borderId="23" applyNumberFormat="0">
      <protection locked="0"/>
    </xf>
    <xf numFmtId="0" fontId="20" fillId="69" borderId="23" applyNumberFormat="0">
      <protection locked="0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66" fillId="64" borderId="38" applyBorder="0"/>
    <xf numFmtId="4" fontId="89" fillId="98" borderId="31" applyNumberFormat="0" applyProtection="0">
      <alignment vertical="center"/>
    </xf>
    <xf numFmtId="168" fontId="22" fillId="0" borderId="0">
      <alignment horizontal="left" wrapText="1"/>
    </xf>
    <xf numFmtId="4" fontId="89" fillId="98" borderId="31" applyNumberFormat="0" applyProtection="0">
      <alignment vertical="center"/>
    </xf>
    <xf numFmtId="4" fontId="90" fillId="98" borderId="31" applyNumberFormat="0" applyProtection="0">
      <alignment vertical="center"/>
    </xf>
    <xf numFmtId="168" fontId="22" fillId="0" borderId="0">
      <alignment horizontal="left" wrapText="1"/>
    </xf>
    <xf numFmtId="4" fontId="90" fillId="98" borderId="31" applyNumberFormat="0" applyProtection="0">
      <alignment vertical="center"/>
    </xf>
    <xf numFmtId="4" fontId="89" fillId="98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8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4" borderId="31" applyNumberFormat="0" applyProtection="0">
      <alignment horizontal="right" vertical="center"/>
    </xf>
    <xf numFmtId="4" fontId="89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4" borderId="31" applyNumberFormat="0" applyProtection="0">
      <alignment horizontal="right" vertical="center"/>
    </xf>
    <xf numFmtId="4" fontId="90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90" fillId="94" borderId="31" applyNumberFormat="0" applyProtection="0">
      <alignment horizontal="right" vertical="center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94" fillId="0" borderId="0"/>
    <xf numFmtId="0" fontId="94" fillId="0" borderId="0"/>
    <xf numFmtId="0" fontId="95" fillId="0" borderId="0" applyNumberFormat="0" applyProtection="0">
      <alignment horizontal="left" indent="5"/>
    </xf>
    <xf numFmtId="0" fontId="54" fillId="99" borderId="23"/>
    <xf numFmtId="4" fontId="96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96" fillId="94" borderId="31" applyNumberFormat="0" applyProtection="0">
      <alignment horizontal="right" vertical="center"/>
    </xf>
    <xf numFmtId="39" fontId="20" fillId="100" borderId="0"/>
    <xf numFmtId="39" fontId="20" fillId="100" borderId="0"/>
    <xf numFmtId="39" fontId="20" fillId="10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20" fillId="100" borderId="0"/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20" fillId="100" borderId="0"/>
    <xf numFmtId="39" fontId="20" fillId="100" borderId="0"/>
    <xf numFmtId="39" fontId="20" fillId="100" borderId="0"/>
    <xf numFmtId="0" fontId="97" fillId="0" borderId="0" applyNumberFormat="0" applyFill="0" applyBorder="0" applyAlignment="0" applyProtection="0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168" fontId="22" fillId="0" borderId="0">
      <alignment horizontal="left" wrapText="1"/>
    </xf>
    <xf numFmtId="38" fontId="54" fillId="0" borderId="39"/>
    <xf numFmtId="0" fontId="54" fillId="0" borderId="39"/>
    <xf numFmtId="38" fontId="54" fillId="0" borderId="39"/>
    <xf numFmtId="38" fontId="54" fillId="0" borderId="39"/>
    <xf numFmtId="38" fontId="54" fillId="0" borderId="39"/>
    <xf numFmtId="38" fontId="66" fillId="0" borderId="36"/>
    <xf numFmtId="38" fontId="66" fillId="0" borderId="36"/>
    <xf numFmtId="38" fontId="66" fillId="0" borderId="36"/>
    <xf numFmtId="38" fontId="66" fillId="0" borderId="36"/>
    <xf numFmtId="168" fontId="22" fillId="0" borderId="0">
      <alignment horizontal="left" wrapText="1"/>
    </xf>
    <xf numFmtId="0" fontId="66" fillId="0" borderId="36"/>
    <xf numFmtId="0" fontId="66" fillId="0" borderId="36"/>
    <xf numFmtId="0" fontId="66" fillId="0" borderId="36"/>
    <xf numFmtId="38" fontId="66" fillId="0" borderId="36"/>
    <xf numFmtId="38" fontId="66" fillId="0" borderId="36"/>
    <xf numFmtId="38" fontId="66" fillId="0" borderId="36"/>
    <xf numFmtId="38" fontId="66" fillId="0" borderId="36"/>
    <xf numFmtId="39" fontId="22" fillId="101" borderId="0"/>
    <xf numFmtId="39" fontId="22" fillId="101" borderId="0"/>
    <xf numFmtId="168" fontId="20" fillId="0" borderId="0">
      <alignment horizontal="left" wrapText="1"/>
    </xf>
    <xf numFmtId="199" fontId="20" fillId="0" borderId="0">
      <alignment horizontal="left" wrapText="1"/>
    </xf>
    <xf numFmtId="191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7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94" fontId="20" fillId="0" borderId="0">
      <alignment horizontal="left" wrapText="1"/>
    </xf>
    <xf numFmtId="194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4" fontId="20" fillId="0" borderId="0">
      <alignment horizontal="left" wrapText="1"/>
    </xf>
    <xf numFmtId="199" fontId="20" fillId="0" borderId="0">
      <alignment horizontal="left" wrapText="1"/>
    </xf>
    <xf numFmtId="199" fontId="20" fillId="0" borderId="0">
      <alignment horizontal="left" wrapText="1"/>
    </xf>
    <xf numFmtId="168" fontId="22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92" fontId="20" fillId="0" borderId="0">
      <alignment horizontal="left" wrapText="1"/>
    </xf>
    <xf numFmtId="168" fontId="20" fillId="0" borderId="0">
      <alignment horizontal="left" wrapText="1"/>
    </xf>
    <xf numFmtId="197" fontId="20" fillId="0" borderId="0">
      <alignment horizontal="left" wrapText="1"/>
    </xf>
    <xf numFmtId="168" fontId="20" fillId="0" borderId="0">
      <alignment horizontal="left" wrapText="1"/>
    </xf>
    <xf numFmtId="0" fontId="20" fillId="0" borderId="0">
      <alignment horizontal="left" wrapText="1"/>
    </xf>
    <xf numFmtId="0" fontId="89" fillId="0" borderId="0" applyNumberFormat="0" applyBorder="0" applyAlignment="0"/>
    <xf numFmtId="0" fontId="98" fillId="0" borderId="0" applyNumberFormat="0" applyBorder="0" applyAlignment="0"/>
    <xf numFmtId="0" fontId="91" fillId="0" borderId="0" applyNumberFormat="0" applyBorder="0" applyAlignment="0"/>
    <xf numFmtId="0" fontId="99" fillId="0" borderId="0"/>
    <xf numFmtId="0" fontId="55" fillId="0" borderId="33"/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0" fontId="102" fillId="0" borderId="0"/>
    <xf numFmtId="0" fontId="20" fillId="0" borderId="0" applyNumberFormat="0" applyBorder="0" applyAlignment="0"/>
    <xf numFmtId="0" fontId="103" fillId="0" borderId="0" applyFill="0" applyBorder="0" applyProtection="0">
      <alignment horizontal="left" vertical="top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9" fillId="0" borderId="0"/>
    <xf numFmtId="0" fontId="85" fillId="79" borderId="0"/>
    <xf numFmtId="200" fontId="105" fillId="67" borderId="0">
      <alignment horizontal="left" vertical="center"/>
    </xf>
    <xf numFmtId="200" fontId="106" fillId="0" borderId="0">
      <alignment horizontal="left" vertical="center"/>
    </xf>
    <xf numFmtId="200" fontId="106" fillId="0" borderId="0">
      <alignment horizontal="left" vertical="center"/>
    </xf>
    <xf numFmtId="0" fontId="58" fillId="67" borderId="0">
      <alignment horizontal="left" wrapText="1"/>
    </xf>
    <xf numFmtId="0" fontId="58" fillId="67" borderId="0">
      <alignment horizontal="left" wrapText="1"/>
    </xf>
    <xf numFmtId="0" fontId="58" fillId="67" borderId="0">
      <alignment horizontal="left" wrapText="1"/>
    </xf>
    <xf numFmtId="168" fontId="22" fillId="0" borderId="0">
      <alignment horizontal="left" wrapText="1"/>
    </xf>
    <xf numFmtId="0" fontId="107" fillId="0" borderId="0">
      <alignment horizontal="left" vertical="center"/>
    </xf>
    <xf numFmtId="0" fontId="107" fillId="0" borderId="0">
      <alignment horizontal="left" vertical="center"/>
    </xf>
    <xf numFmtId="0" fontId="42" fillId="0" borderId="40" applyNumberFormat="0" applyFon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58" fillId="67" borderId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41" fontId="58" fillId="67" borderId="0">
      <alignment horizontal="left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40" fillId="0" borderId="43"/>
    <xf numFmtId="0" fontId="41" fillId="0" borderId="43"/>
    <xf numFmtId="0" fontId="41" fillId="0" borderId="43"/>
    <xf numFmtId="0" fontId="40" fillId="0" borderId="43"/>
    <xf numFmtId="0" fontId="41" fillId="0" borderId="43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22" fillId="0" borderId="0">
      <alignment horizontal="left" wrapText="1"/>
    </xf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8" fillId="67" borderId="35" applyNumberFormat="0">
      <alignment horizontal="center" vertical="center" wrapText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2" fillId="0" borderId="0">
      <alignment readingOrder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3" fontId="19" fillId="0" borderId="0"/>
    <xf numFmtId="9" fontId="20" fillId="0" borderId="0" applyFont="0" applyFill="0" applyBorder="0" applyAlignment="0" applyProtection="0"/>
    <xf numFmtId="0" fontId="20" fillId="89" borderId="0" applyNumberFormat="0" applyFont="0" applyFill="0" applyBorder="0" applyAlignment="0" applyProtection="0"/>
    <xf numFmtId="166" fontId="37" fillId="76" borderId="0" applyFont="0" applyFill="0" applyBorder="0" applyAlignment="0" applyProtection="0">
      <alignment wrapText="1"/>
    </xf>
    <xf numFmtId="3" fontId="19" fillId="0" borderId="0"/>
    <xf numFmtId="0" fontId="112" fillId="0" borderId="0">
      <alignment readingOrder="1"/>
    </xf>
    <xf numFmtId="38" fontId="111" fillId="0" borderId="0" applyNumberFormat="0" applyFont="0" applyFill="0" applyBorder="0">
      <alignment horizontal="left" indent="4"/>
      <protection locked="0"/>
    </xf>
    <xf numFmtId="9" fontId="37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9" fillId="0" borderId="0" applyFont="0" applyFill="0" applyBorder="0" applyAlignment="0" applyProtection="0"/>
    <xf numFmtId="0" fontId="110" fillId="0" borderId="0"/>
    <xf numFmtId="0" fontId="37" fillId="0" borderId="0"/>
    <xf numFmtId="0" fontId="109" fillId="0" borderId="0"/>
    <xf numFmtId="0" fontId="109" fillId="0" borderId="0"/>
    <xf numFmtId="44" fontId="109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08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/>
    <xf numFmtId="9" fontId="20" fillId="0" borderId="0" applyFont="0" applyFill="0" applyBorder="0" applyAlignment="0" applyProtection="0"/>
    <xf numFmtId="0" fontId="21" fillId="0" borderId="0"/>
    <xf numFmtId="0" fontId="114" fillId="77" borderId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3" fontId="19" fillId="0" borderId="0"/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</cellStyleXfs>
  <cellXfs count="404">
    <xf numFmtId="0" fontId="0" fillId="0" borderId="0" xfId="0"/>
    <xf numFmtId="0" fontId="115" fillId="0" borderId="0" xfId="0" applyFont="1"/>
    <xf numFmtId="0" fontId="116" fillId="0" borderId="0" xfId="0" applyFont="1"/>
    <xf numFmtId="0" fontId="116" fillId="0" borderId="0" xfId="0" applyFont="1" applyAlignment="1">
      <alignment horizontal="center"/>
    </xf>
    <xf numFmtId="164" fontId="116" fillId="0" borderId="0" xfId="0" applyNumberFormat="1" applyFont="1"/>
    <xf numFmtId="37" fontId="116" fillId="0" borderId="0" xfId="0" applyNumberFormat="1" applyFont="1"/>
    <xf numFmtId="44" fontId="116" fillId="0" borderId="0" xfId="0" applyNumberFormat="1" applyFont="1"/>
    <xf numFmtId="0" fontId="116" fillId="33" borderId="0" xfId="0" applyFont="1" applyFill="1" applyAlignment="1">
      <alignment horizontal="center"/>
    </xf>
    <xf numFmtId="0" fontId="116" fillId="33" borderId="0" xfId="0" applyFont="1" applyFill="1"/>
    <xf numFmtId="0" fontId="21" fillId="33" borderId="0" xfId="0" applyFont="1" applyFill="1" applyBorder="1" applyAlignment="1">
      <alignment horizontal="center"/>
    </xf>
    <xf numFmtId="164" fontId="116" fillId="33" borderId="0" xfId="2" applyNumberFormat="1" applyFont="1" applyFill="1"/>
    <xf numFmtId="166" fontId="116" fillId="33" borderId="0" xfId="0" applyNumberFormat="1" applyFont="1" applyFill="1"/>
    <xf numFmtId="166" fontId="116" fillId="33" borderId="0" xfId="1" applyNumberFormat="1" applyFont="1" applyFill="1"/>
    <xf numFmtId="165" fontId="116" fillId="33" borderId="0" xfId="0" applyNumberFormat="1" applyFont="1" applyFill="1"/>
    <xf numFmtId="164" fontId="116" fillId="33" borderId="0" xfId="0" applyNumberFormat="1" applyFont="1" applyFill="1"/>
    <xf numFmtId="37" fontId="116" fillId="33" borderId="0" xfId="0" applyNumberFormat="1" applyFont="1" applyFill="1"/>
    <xf numFmtId="164" fontId="116" fillId="33" borderId="0" xfId="2" applyNumberFormat="1" applyFont="1" applyFill="1" applyAlignment="1">
      <alignment horizontal="center"/>
    </xf>
    <xf numFmtId="201" fontId="116" fillId="33" borderId="0" xfId="0" applyNumberFormat="1" applyFont="1" applyFill="1"/>
    <xf numFmtId="10" fontId="116" fillId="33" borderId="0" xfId="3" applyNumberFormat="1" applyFont="1" applyFill="1"/>
    <xf numFmtId="44" fontId="116" fillId="33" borderId="0" xfId="0" applyNumberFormat="1" applyFont="1" applyFill="1"/>
    <xf numFmtId="0" fontId="118" fillId="33" borderId="0" xfId="4" applyFont="1" applyFill="1"/>
    <xf numFmtId="0" fontId="118" fillId="33" borderId="0" xfId="4" applyFont="1" applyFill="1" applyAlignment="1">
      <alignment horizontal="center"/>
    </xf>
    <xf numFmtId="164" fontId="118" fillId="33" borderId="0" xfId="7408" applyNumberFormat="1" applyFont="1" applyFill="1"/>
    <xf numFmtId="0" fontId="118" fillId="33" borderId="0" xfId="4" quotePrefix="1" applyFont="1" applyFill="1" applyAlignment="1">
      <alignment horizontal="left"/>
    </xf>
    <xf numFmtId="0" fontId="116" fillId="33" borderId="0" xfId="4" applyFont="1" applyFill="1"/>
    <xf numFmtId="0" fontId="116" fillId="33" borderId="0" xfId="4" applyFont="1" applyFill="1" applyAlignment="1">
      <alignment horizontal="center"/>
    </xf>
    <xf numFmtId="0" fontId="120" fillId="33" borderId="0" xfId="4" applyFont="1" applyFill="1" applyAlignment="1">
      <alignment horizontal="left"/>
    </xf>
    <xf numFmtId="164" fontId="116" fillId="33" borderId="0" xfId="7408" applyNumberFormat="1" applyFont="1" applyFill="1"/>
    <xf numFmtId="166" fontId="116" fillId="33" borderId="0" xfId="6" applyNumberFormat="1" applyFont="1" applyFill="1" applyBorder="1"/>
    <xf numFmtId="44" fontId="116" fillId="33" borderId="0" xfId="7408" applyNumberFormat="1" applyFont="1" applyFill="1" applyBorder="1"/>
    <xf numFmtId="164" fontId="116" fillId="33" borderId="0" xfId="4" applyNumberFormat="1" applyFont="1" applyFill="1"/>
    <xf numFmtId="0" fontId="116" fillId="33" borderId="0" xfId="4" quotePrefix="1" applyFont="1" applyFill="1" applyAlignment="1">
      <alignment horizontal="left"/>
    </xf>
    <xf numFmtId="0" fontId="121" fillId="33" borderId="0" xfId="4" applyFont="1" applyFill="1"/>
    <xf numFmtId="3" fontId="118" fillId="33" borderId="0" xfId="4" applyNumberFormat="1" applyFont="1" applyFill="1"/>
    <xf numFmtId="0" fontId="122" fillId="33" borderId="0" xfId="4" applyFont="1" applyFill="1"/>
    <xf numFmtId="3" fontId="109" fillId="33" borderId="0" xfId="4" applyNumberFormat="1" applyFont="1" applyFill="1"/>
    <xf numFmtId="0" fontId="109" fillId="33" borderId="0" xfId="4" quotePrefix="1" applyFont="1" applyFill="1" applyAlignment="1">
      <alignment horizontal="center"/>
    </xf>
    <xf numFmtId="10" fontId="109" fillId="33" borderId="0" xfId="8776" applyNumberFormat="1" applyFont="1" applyFill="1"/>
    <xf numFmtId="0" fontId="109" fillId="33" borderId="0" xfId="4" applyFont="1" applyFill="1" applyAlignment="1">
      <alignment horizontal="center"/>
    </xf>
    <xf numFmtId="0" fontId="109" fillId="33" borderId="0" xfId="4" applyFont="1" applyFill="1"/>
    <xf numFmtId="10" fontId="118" fillId="33" borderId="0" xfId="8776" applyNumberFormat="1" applyFont="1" applyFill="1"/>
    <xf numFmtId="0" fontId="118" fillId="33" borderId="0" xfId="4" quotePrefix="1" applyFont="1" applyFill="1" applyAlignment="1">
      <alignment horizontal="center"/>
    </xf>
    <xf numFmtId="44" fontId="118" fillId="33" borderId="0" xfId="5" applyFont="1" applyFill="1" applyAlignment="1">
      <alignment horizontal="center"/>
    </xf>
    <xf numFmtId="44" fontId="118" fillId="33" borderId="0" xfId="4" applyNumberFormat="1" applyFont="1" applyFill="1"/>
    <xf numFmtId="166" fontId="118" fillId="33" borderId="0" xfId="6" applyNumberFormat="1" applyFont="1" applyFill="1" applyAlignment="1">
      <alignment horizontal="center"/>
    </xf>
    <xf numFmtId="166" fontId="118" fillId="0" borderId="0" xfId="0" applyNumberFormat="1" applyFont="1"/>
    <xf numFmtId="202" fontId="116" fillId="0" borderId="0" xfId="0" applyNumberFormat="1" applyFont="1"/>
    <xf numFmtId="166" fontId="116" fillId="0" borderId="0" xfId="1" applyNumberFormat="1" applyFont="1"/>
    <xf numFmtId="166" fontId="116" fillId="0" borderId="0" xfId="0" applyNumberFormat="1" applyFont="1"/>
    <xf numFmtId="7" fontId="116" fillId="0" borderId="0" xfId="2" applyNumberFormat="1" applyFont="1"/>
    <xf numFmtId="166" fontId="0" fillId="0" borderId="0" xfId="0" applyNumberFormat="1"/>
    <xf numFmtId="166" fontId="0" fillId="0" borderId="36" xfId="0" applyNumberFormat="1" applyBorder="1"/>
    <xf numFmtId="0" fontId="116" fillId="0" borderId="0" xfId="0" applyFont="1" applyAlignment="1">
      <alignment horizontal="right"/>
    </xf>
    <xf numFmtId="164" fontId="116" fillId="33" borderId="36" xfId="7408" applyNumberFormat="1" applyFont="1" applyFill="1" applyBorder="1"/>
    <xf numFmtId="44" fontId="116" fillId="0" borderId="0" xfId="2" applyNumberFormat="1" applyFont="1" applyFill="1" applyAlignment="1">
      <alignment horizontal="center"/>
    </xf>
    <xf numFmtId="164" fontId="116" fillId="0" borderId="0" xfId="2" applyNumberFormat="1" applyFont="1" applyFill="1"/>
    <xf numFmtId="166" fontId="0" fillId="0" borderId="0" xfId="0" applyNumberFormat="1" applyBorder="1"/>
    <xf numFmtId="197" fontId="0" fillId="0" borderId="0" xfId="3" applyNumberFormat="1" applyFont="1"/>
    <xf numFmtId="0" fontId="118" fillId="0" borderId="0" xfId="4" applyFont="1"/>
    <xf numFmtId="0" fontId="124" fillId="33" borderId="0" xfId="4" applyFont="1" applyFill="1" applyAlignment="1"/>
    <xf numFmtId="0" fontId="124" fillId="33" borderId="0" xfId="0" applyFont="1" applyFill="1" applyAlignment="1"/>
    <xf numFmtId="0" fontId="125" fillId="0" borderId="0" xfId="4" applyNumberFormat="1" applyFont="1" applyBorder="1"/>
    <xf numFmtId="0" fontId="118" fillId="33" borderId="0" xfId="0" applyFont="1" applyFill="1" applyAlignment="1">
      <alignment horizontal="center"/>
    </xf>
    <xf numFmtId="0" fontId="115" fillId="33" borderId="0" xfId="0" applyFont="1" applyFill="1" applyAlignment="1">
      <alignment horizontal="center"/>
    </xf>
    <xf numFmtId="0" fontId="125" fillId="33" borderId="35" xfId="4" applyFont="1" applyFill="1" applyBorder="1" applyAlignment="1">
      <alignment horizontal="center" vertical="center" wrapText="1"/>
    </xf>
    <xf numFmtId="0" fontId="125" fillId="33" borderId="35" xfId="4" applyFont="1" applyFill="1" applyBorder="1" applyAlignment="1">
      <alignment vertical="center"/>
    </xf>
    <xf numFmtId="0" fontId="125" fillId="33" borderId="35" xfId="4" applyFont="1" applyFill="1" applyBorder="1" applyAlignment="1">
      <alignment horizontal="center" vertical="center"/>
    </xf>
    <xf numFmtId="167" fontId="125" fillId="33" borderId="35" xfId="4" applyNumberFormat="1" applyFont="1" applyFill="1" applyBorder="1" applyAlignment="1">
      <alignment horizontal="center" vertical="center"/>
    </xf>
    <xf numFmtId="0" fontId="125" fillId="33" borderId="0" xfId="4" applyFont="1" applyFill="1" applyAlignment="1">
      <alignment horizontal="left"/>
    </xf>
    <xf numFmtId="0" fontId="118" fillId="0" borderId="0" xfId="4" quotePrefix="1" applyFont="1"/>
    <xf numFmtId="166" fontId="118" fillId="102" borderId="0" xfId="1" applyNumberFormat="1" applyFont="1" applyFill="1" applyAlignment="1">
      <alignment horizontal="center"/>
    </xf>
    <xf numFmtId="166" fontId="118" fillId="33" borderId="0" xfId="1" applyNumberFormat="1" applyFont="1" applyFill="1"/>
    <xf numFmtId="0" fontId="125" fillId="33" borderId="0" xfId="4" applyFont="1" applyFill="1" applyAlignment="1">
      <alignment horizontal="center"/>
    </xf>
    <xf numFmtId="0" fontId="118" fillId="33" borderId="0" xfId="4" applyFont="1" applyFill="1" applyAlignment="1">
      <alignment horizontal="center" vertical="center" wrapText="1"/>
    </xf>
    <xf numFmtId="200" fontId="109" fillId="33" borderId="0" xfId="4" applyNumberFormat="1" applyFont="1" applyFill="1" applyAlignment="1">
      <alignment vertical="center" wrapText="1"/>
    </xf>
    <xf numFmtId="164" fontId="109" fillId="33" borderId="0" xfId="4" applyNumberFormat="1" applyFont="1" applyFill="1"/>
    <xf numFmtId="164" fontId="118" fillId="33" borderId="0" xfId="4" applyNumberFormat="1" applyFont="1" applyFill="1"/>
    <xf numFmtId="0" fontId="118" fillId="33" borderId="0" xfId="4" applyFont="1" applyFill="1" applyAlignment="1">
      <alignment horizontal="left"/>
    </xf>
    <xf numFmtId="165" fontId="118" fillId="33" borderId="0" xfId="4" applyNumberFormat="1" applyFont="1" applyFill="1"/>
    <xf numFmtId="0" fontId="118" fillId="33" borderId="0" xfId="4" applyFont="1" applyFill="1" applyAlignment="1"/>
    <xf numFmtId="164" fontId="109" fillId="102" borderId="0" xfId="4" applyNumberFormat="1" applyFont="1" applyFill="1"/>
    <xf numFmtId="203" fontId="118" fillId="33" borderId="0" xfId="1" applyNumberFormat="1" applyFont="1" applyFill="1"/>
    <xf numFmtId="10" fontId="109" fillId="0" borderId="0" xfId="3" applyNumberFormat="1" applyFont="1" applyFill="1"/>
    <xf numFmtId="164" fontId="109" fillId="33" borderId="0" xfId="5" applyNumberFormat="1" applyFont="1" applyFill="1"/>
    <xf numFmtId="0" fontId="118" fillId="0" borderId="0" xfId="4" applyFont="1" applyFill="1"/>
    <xf numFmtId="0" fontId="125" fillId="33" borderId="0" xfId="4" applyFont="1" applyFill="1"/>
    <xf numFmtId="164" fontId="117" fillId="33" borderId="36" xfId="4" applyNumberFormat="1" applyFont="1" applyFill="1" applyBorder="1"/>
    <xf numFmtId="164" fontId="125" fillId="33" borderId="36" xfId="4" applyNumberFormat="1" applyFont="1" applyFill="1" applyBorder="1"/>
    <xf numFmtId="164" fontId="117" fillId="33" borderId="44" xfId="4" applyNumberFormat="1" applyFont="1" applyFill="1" applyBorder="1"/>
    <xf numFmtId="10" fontId="125" fillId="33" borderId="0" xfId="3" applyNumberFormat="1" applyFont="1" applyFill="1" applyBorder="1"/>
    <xf numFmtId="164" fontId="117" fillId="33" borderId="0" xfId="4" applyNumberFormat="1" applyFont="1" applyFill="1" applyBorder="1"/>
    <xf numFmtId="164" fontId="125" fillId="33" borderId="44" xfId="4" applyNumberFormat="1" applyFont="1" applyFill="1" applyBorder="1"/>
    <xf numFmtId="0" fontId="118" fillId="33" borderId="0" xfId="4" applyFont="1" applyFill="1" applyAlignment="1">
      <alignment wrapText="1"/>
    </xf>
    <xf numFmtId="0" fontId="125" fillId="33" borderId="0" xfId="4" applyFont="1" applyFill="1" applyAlignment="1">
      <alignment wrapText="1"/>
    </xf>
    <xf numFmtId="0" fontId="0" fillId="0" borderId="0" xfId="0" applyAlignment="1">
      <alignment horizontal="center"/>
    </xf>
    <xf numFmtId="166" fontId="0" fillId="0" borderId="0" xfId="1" applyNumberFormat="1" applyFont="1"/>
    <xf numFmtId="166" fontId="118" fillId="0" borderId="0" xfId="6" applyNumberFormat="1" applyFont="1" applyFill="1"/>
    <xf numFmtId="164" fontId="118" fillId="0" borderId="0" xfId="4" applyNumberFormat="1" applyFont="1" applyFill="1"/>
    <xf numFmtId="166" fontId="118" fillId="0" borderId="0" xfId="1" applyNumberFormat="1" applyFont="1" applyFill="1"/>
    <xf numFmtId="0" fontId="125" fillId="0" borderId="0" xfId="4" applyFont="1" applyFill="1"/>
    <xf numFmtId="9" fontId="118" fillId="33" borderId="0" xfId="3" applyFont="1" applyFill="1" applyAlignment="1">
      <alignment horizontal="center"/>
    </xf>
    <xf numFmtId="17" fontId="125" fillId="33" borderId="35" xfId="4" applyNumberFormat="1" applyFont="1" applyFill="1" applyBorder="1" applyAlignment="1">
      <alignment horizontal="center" vertical="center"/>
    </xf>
    <xf numFmtId="0" fontId="21" fillId="33" borderId="45" xfId="0" applyFont="1" applyFill="1" applyBorder="1" applyAlignment="1">
      <alignment horizontal="center"/>
    </xf>
    <xf numFmtId="0" fontId="21" fillId="33" borderId="46" xfId="0" applyFont="1" applyFill="1" applyBorder="1" applyAlignment="1">
      <alignment horizontal="center"/>
    </xf>
    <xf numFmtId="0" fontId="116" fillId="33" borderId="45" xfId="0" applyFont="1" applyFill="1" applyBorder="1"/>
    <xf numFmtId="0" fontId="116" fillId="33" borderId="0" xfId="0" applyFont="1" applyFill="1" applyBorder="1"/>
    <xf numFmtId="164" fontId="116" fillId="0" borderId="45" xfId="2" applyNumberFormat="1" applyFont="1" applyFill="1" applyBorder="1"/>
    <xf numFmtId="164" fontId="116" fillId="0" borderId="0" xfId="2" applyNumberFormat="1" applyFont="1" applyFill="1" applyBorder="1"/>
    <xf numFmtId="164" fontId="116" fillId="33" borderId="45" xfId="2" applyNumberFormat="1" applyFont="1" applyFill="1" applyBorder="1"/>
    <xf numFmtId="164" fontId="116" fillId="33" borderId="0" xfId="2" applyNumberFormat="1" applyFont="1" applyFill="1" applyBorder="1"/>
    <xf numFmtId="166" fontId="116" fillId="33" borderId="45" xfId="1" applyNumberFormat="1" applyFont="1" applyFill="1" applyBorder="1"/>
    <xf numFmtId="166" fontId="116" fillId="33" borderId="0" xfId="1" applyNumberFormat="1" applyFont="1" applyFill="1" applyBorder="1"/>
    <xf numFmtId="165" fontId="116" fillId="33" borderId="45" xfId="0" applyNumberFormat="1" applyFont="1" applyFill="1" applyBorder="1"/>
    <xf numFmtId="165" fontId="116" fillId="33" borderId="0" xfId="0" applyNumberFormat="1" applyFont="1" applyFill="1" applyBorder="1"/>
    <xf numFmtId="201" fontId="116" fillId="0" borderId="0" xfId="0" applyNumberFormat="1" applyFont="1" applyFill="1"/>
    <xf numFmtId="168" fontId="116" fillId="0" borderId="0" xfId="0" applyNumberFormat="1" applyFont="1"/>
    <xf numFmtId="165" fontId="116" fillId="0" borderId="0" xfId="0" applyNumberFormat="1" applyFont="1"/>
    <xf numFmtId="41" fontId="119" fillId="33" borderId="10" xfId="9068" applyNumberFormat="1" applyFont="1" applyFill="1" applyBorder="1">
      <alignment horizontal="center" vertical="center" wrapText="1"/>
    </xf>
    <xf numFmtId="0" fontId="116" fillId="33" borderId="10" xfId="4" applyFont="1" applyFill="1" applyBorder="1"/>
    <xf numFmtId="41" fontId="117" fillId="33" borderId="10" xfId="9505" applyNumberFormat="1" applyFont="1" applyFill="1" applyBorder="1">
      <alignment horizontal="center" vertical="center" wrapText="1"/>
    </xf>
    <xf numFmtId="0" fontId="118" fillId="33" borderId="10" xfId="4" applyFont="1" applyFill="1" applyBorder="1"/>
    <xf numFmtId="41" fontId="117" fillId="33" borderId="10" xfId="9505" applyNumberFormat="1" applyFont="1" applyFill="1" applyBorder="1" applyAlignment="1">
      <alignment horizontal="center" vertical="center" wrapText="1"/>
    </xf>
    <xf numFmtId="167" fontId="117" fillId="33" borderId="10" xfId="9505" applyNumberFormat="1" applyFont="1" applyFill="1" applyBorder="1">
      <alignment horizontal="center" vertical="center" wrapText="1"/>
    </xf>
    <xf numFmtId="0" fontId="117" fillId="0" borderId="0" xfId="0" applyFont="1" applyAlignment="1">
      <alignment horizontal="left"/>
    </xf>
    <xf numFmtId="0" fontId="117" fillId="0" borderId="0" xfId="0" applyFont="1" applyAlignment="1">
      <alignment horizontal="centerContinuous"/>
    </xf>
    <xf numFmtId="0" fontId="126" fillId="0" borderId="0" xfId="0" applyFont="1" applyAlignment="1">
      <alignment horizontal="centerContinuous"/>
    </xf>
    <xf numFmtId="0" fontId="109" fillId="0" borderId="0" xfId="0" applyFont="1"/>
    <xf numFmtId="0" fontId="127" fillId="0" borderId="0" xfId="0" applyFont="1"/>
    <xf numFmtId="0" fontId="117" fillId="0" borderId="0" xfId="0" applyFont="1" applyAlignment="1">
      <alignment horizontal="center"/>
    </xf>
    <xf numFmtId="0" fontId="126" fillId="0" borderId="0" xfId="0" applyFont="1" applyBorder="1" applyAlignment="1">
      <alignment horizontal="center"/>
    </xf>
    <xf numFmtId="0" fontId="117" fillId="0" borderId="10" xfId="0" applyFont="1" applyBorder="1" applyAlignment="1">
      <alignment horizontal="center"/>
    </xf>
    <xf numFmtId="0" fontId="117" fillId="0" borderId="0" xfId="0" applyFont="1" applyBorder="1" applyAlignment="1">
      <alignment horizontal="center"/>
    </xf>
    <xf numFmtId="0" fontId="126" fillId="0" borderId="10" xfId="0" applyFont="1" applyBorder="1" applyAlignment="1">
      <alignment horizontal="center"/>
    </xf>
    <xf numFmtId="0" fontId="109" fillId="0" borderId="0" xfId="0" applyFont="1" applyAlignment="1">
      <alignment horizontal="center"/>
    </xf>
    <xf numFmtId="0" fontId="117" fillId="0" borderId="0" xfId="0" applyFont="1"/>
    <xf numFmtId="168" fontId="127" fillId="0" borderId="0" xfId="0" applyNumberFormat="1" applyFont="1"/>
    <xf numFmtId="168" fontId="117" fillId="0" borderId="0" xfId="0" applyNumberFormat="1" applyFont="1"/>
    <xf numFmtId="168" fontId="109" fillId="0" borderId="0" xfId="0" applyNumberFormat="1" applyFont="1"/>
    <xf numFmtId="168" fontId="127" fillId="0" borderId="15" xfId="0" applyNumberFormat="1" applyFont="1" applyBorder="1"/>
    <xf numFmtId="168" fontId="127" fillId="0" borderId="0" xfId="0" applyNumberFormat="1" applyFont="1" applyBorder="1"/>
    <xf numFmtId="10" fontId="128" fillId="0" borderId="0" xfId="0" applyNumberFormat="1" applyFont="1"/>
    <xf numFmtId="168" fontId="127" fillId="0" borderId="10" xfId="0" applyNumberFormat="1" applyFont="1" applyBorder="1"/>
    <xf numFmtId="168" fontId="127" fillId="103" borderId="47" xfId="0" applyNumberFormat="1" applyFont="1" applyFill="1" applyBorder="1"/>
    <xf numFmtId="0" fontId="118" fillId="0" borderId="0" xfId="4" applyFont="1" applyFill="1" applyAlignment="1">
      <alignment horizontal="center" vertical="center" wrapText="1"/>
    </xf>
    <xf numFmtId="200" fontId="109" fillId="0" borderId="0" xfId="4" applyNumberFormat="1" applyFont="1" applyFill="1" applyAlignment="1">
      <alignment vertical="center" wrapText="1"/>
    </xf>
    <xf numFmtId="0" fontId="118" fillId="0" borderId="0" xfId="4" applyFont="1" applyFill="1" applyAlignment="1">
      <alignment horizontal="center" wrapText="1"/>
    </xf>
    <xf numFmtId="165" fontId="109" fillId="0" borderId="0" xfId="5" applyNumberFormat="1" applyFont="1" applyFill="1"/>
    <xf numFmtId="166" fontId="130" fillId="33" borderId="0" xfId="6" applyNumberFormat="1" applyFont="1" applyFill="1"/>
    <xf numFmtId="164" fontId="130" fillId="33" borderId="0" xfId="4" applyNumberFormat="1" applyFont="1" applyFill="1"/>
    <xf numFmtId="166" fontId="130" fillId="33" borderId="0" xfId="1" applyNumberFormat="1" applyFont="1" applyFill="1"/>
    <xf numFmtId="44" fontId="0" fillId="0" borderId="0" xfId="0" applyNumberFormat="1"/>
    <xf numFmtId="0" fontId="0" fillId="0" borderId="0" xfId="0"/>
    <xf numFmtId="0" fontId="118" fillId="0" borderId="0" xfId="0" applyFont="1" applyFill="1"/>
    <xf numFmtId="0" fontId="117" fillId="103" borderId="0" xfId="0" applyFont="1" applyFill="1"/>
    <xf numFmtId="0" fontId="118" fillId="103" borderId="0" xfId="0" applyFont="1" applyFill="1"/>
    <xf numFmtId="204" fontId="118" fillId="103" borderId="0" xfId="0" applyNumberFormat="1" applyFont="1" applyFill="1" applyAlignment="1">
      <alignment horizontal="center"/>
    </xf>
    <xf numFmtId="204" fontId="118" fillId="103" borderId="0" xfId="0" applyNumberFormat="1" applyFont="1" applyFill="1" applyAlignment="1">
      <alignment horizontal="center" wrapText="1"/>
    </xf>
    <xf numFmtId="3" fontId="130" fillId="0" borderId="0" xfId="4" applyNumberFormat="1" applyFont="1" applyFill="1" applyAlignment="1">
      <alignment horizontal="left" indent="1"/>
    </xf>
    <xf numFmtId="166" fontId="132" fillId="0" borderId="0" xfId="1" applyNumberFormat="1" applyFont="1" applyFill="1"/>
    <xf numFmtId="166" fontId="109" fillId="0" borderId="0" xfId="1" applyNumberFormat="1" applyFont="1" applyFill="1"/>
    <xf numFmtId="166" fontId="118" fillId="0" borderId="36" xfId="0" applyNumberFormat="1" applyFont="1" applyFill="1" applyBorder="1"/>
    <xf numFmtId="166" fontId="125" fillId="0" borderId="48" xfId="0" applyNumberFormat="1" applyFont="1" applyFill="1" applyBorder="1"/>
    <xf numFmtId="166" fontId="118" fillId="0" borderId="0" xfId="0" applyNumberFormat="1" applyFont="1" applyFill="1"/>
    <xf numFmtId="0" fontId="118" fillId="0" borderId="49" xfId="0" applyFont="1" applyFill="1" applyBorder="1"/>
    <xf numFmtId="204" fontId="118" fillId="103" borderId="0" xfId="0" applyNumberFormat="1" applyFont="1" applyFill="1"/>
    <xf numFmtId="0" fontId="118" fillId="103" borderId="0" xfId="0" applyFont="1" applyFill="1" applyAlignment="1">
      <alignment horizontal="center"/>
    </xf>
    <xf numFmtId="44" fontId="118" fillId="0" borderId="36" xfId="2" applyFont="1" applyFill="1" applyBorder="1"/>
    <xf numFmtId="166" fontId="118" fillId="0" borderId="0" xfId="1" applyNumberFormat="1" applyFont="1" applyFill="1"/>
    <xf numFmtId="44" fontId="118" fillId="0" borderId="0" xfId="2" applyFont="1" applyFill="1"/>
    <xf numFmtId="44" fontId="125" fillId="0" borderId="48" xfId="2" applyFont="1" applyFill="1" applyBorder="1"/>
    <xf numFmtId="0" fontId="0" fillId="0" borderId="0" xfId="0" applyFill="1"/>
    <xf numFmtId="165" fontId="118" fillId="0" borderId="0" xfId="2" applyNumberFormat="1" applyFont="1" applyFill="1"/>
    <xf numFmtId="0" fontId="118" fillId="103" borderId="0" xfId="0" applyFont="1" applyFill="1" applyAlignment="1">
      <alignment horizontal="center" wrapText="1"/>
    </xf>
    <xf numFmtId="44" fontId="125" fillId="0" borderId="49" xfId="2" applyFont="1" applyFill="1" applyBorder="1"/>
    <xf numFmtId="44" fontId="109" fillId="0" borderId="0" xfId="2" applyFont="1" applyFill="1"/>
    <xf numFmtId="44" fontId="125" fillId="0" borderId="50" xfId="2" applyFont="1" applyFill="1" applyBorder="1"/>
    <xf numFmtId="44" fontId="118" fillId="0" borderId="0" xfId="2" applyFont="1" applyFill="1" applyBorder="1"/>
    <xf numFmtId="166" fontId="125" fillId="0" borderId="50" xfId="0" applyNumberFormat="1" applyFont="1" applyFill="1" applyBorder="1"/>
    <xf numFmtId="166" fontId="118" fillId="0" borderId="0" xfId="0" applyNumberFormat="1" applyFont="1" applyFill="1" applyBorder="1"/>
    <xf numFmtId="0" fontId="117" fillId="103" borderId="0" xfId="0" applyFont="1" applyFill="1" applyAlignment="1">
      <alignment horizontal="center" wrapText="1"/>
    </xf>
    <xf numFmtId="3" fontId="109" fillId="0" borderId="0" xfId="4" applyNumberFormat="1" applyFont="1" applyFill="1" applyAlignment="1">
      <alignment horizontal="left" indent="1"/>
    </xf>
    <xf numFmtId="44" fontId="134" fillId="0" borderId="0" xfId="2" applyFont="1" applyFill="1"/>
    <xf numFmtId="166" fontId="133" fillId="0" borderId="0" xfId="1" applyNumberFormat="1" applyFont="1" applyFill="1"/>
    <xf numFmtId="44" fontId="133" fillId="0" borderId="0" xfId="2" applyFont="1" applyFill="1"/>
    <xf numFmtId="44" fontId="131" fillId="0" borderId="0" xfId="0" applyNumberFormat="1" applyFont="1" applyFill="1"/>
    <xf numFmtId="44" fontId="0" fillId="0" borderId="0" xfId="0" applyNumberFormat="1" applyFill="1"/>
    <xf numFmtId="165" fontId="118" fillId="0" borderId="0" xfId="2" applyNumberFormat="1" applyFont="1" applyFill="1" applyAlignment="1"/>
    <xf numFmtId="0" fontId="0" fillId="0" borderId="0" xfId="0" applyAlignment="1">
      <alignment shrinkToFit="1"/>
    </xf>
    <xf numFmtId="44" fontId="125" fillId="0" borderId="0" xfId="2" applyFont="1" applyFill="1" applyBorder="1"/>
    <xf numFmtId="166" fontId="115" fillId="0" borderId="0" xfId="0" applyNumberFormat="1" applyFont="1"/>
    <xf numFmtId="0" fontId="135" fillId="0" borderId="49" xfId="0" applyFont="1" applyBorder="1"/>
    <xf numFmtId="14" fontId="115" fillId="0" borderId="0" xfId="0" applyNumberFormat="1" applyFont="1"/>
    <xf numFmtId="14" fontId="115" fillId="0" borderId="0" xfId="0" applyNumberFormat="1" applyFont="1" applyAlignment="1">
      <alignment horizontal="center"/>
    </xf>
    <xf numFmtId="44" fontId="115" fillId="0" borderId="36" xfId="0" applyNumberFormat="1" applyFont="1" applyBorder="1"/>
    <xf numFmtId="0" fontId="115" fillId="0" borderId="0" xfId="0" applyFont="1" applyFill="1"/>
    <xf numFmtId="0" fontId="115" fillId="0" borderId="35" xfId="0" applyFont="1" applyFill="1" applyBorder="1"/>
    <xf numFmtId="14" fontId="118" fillId="0" borderId="0" xfId="0" applyNumberFormat="1" applyFont="1"/>
    <xf numFmtId="0" fontId="0" fillId="0" borderId="0" xfId="0" applyFill="1" applyAlignment="1">
      <alignment horizontal="center" wrapText="1"/>
    </xf>
    <xf numFmtId="0" fontId="136" fillId="0" borderId="0" xfId="0" applyFont="1" applyFill="1" applyAlignment="1">
      <alignment horizontal="center"/>
    </xf>
    <xf numFmtId="166" fontId="136" fillId="0" borderId="0" xfId="1" applyNumberFormat="1" applyFont="1" applyFill="1"/>
    <xf numFmtId="7" fontId="136" fillId="0" borderId="0" xfId="2" applyNumberFormat="1" applyFont="1" applyFill="1"/>
    <xf numFmtId="0" fontId="0" fillId="0" borderId="0" xfId="0" applyAlignment="1">
      <alignment horizontal="left"/>
    </xf>
    <xf numFmtId="0" fontId="16" fillId="0" borderId="0" xfId="0" applyFont="1" applyFill="1" applyAlignment="1">
      <alignment horizontal="center" wrapText="1"/>
    </xf>
    <xf numFmtId="0" fontId="16" fillId="0" borderId="36" xfId="0" applyFont="1" applyFill="1" applyBorder="1" applyAlignment="1">
      <alignment horizontal="center"/>
    </xf>
    <xf numFmtId="166" fontId="16" fillId="0" borderId="36" xfId="0" applyNumberFormat="1" applyFont="1" applyFill="1" applyBorder="1"/>
    <xf numFmtId="7" fontId="16" fillId="0" borderId="36" xfId="0" applyNumberFormat="1" applyFont="1" applyFill="1" applyBorder="1"/>
    <xf numFmtId="0" fontId="129" fillId="0" borderId="0" xfId="0" applyFont="1" applyFill="1"/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 wrapText="1"/>
    </xf>
    <xf numFmtId="43" fontId="115" fillId="0" borderId="0" xfId="1" applyFont="1"/>
    <xf numFmtId="0" fontId="0" fillId="0" borderId="0" xfId="0" applyAlignment="1">
      <alignment horizontal="center" wrapText="1"/>
    </xf>
    <xf numFmtId="44" fontId="131" fillId="0" borderId="0" xfId="2" applyFont="1" applyFill="1"/>
    <xf numFmtId="44" fontId="0" fillId="0" borderId="0" xfId="2" applyFont="1" applyFill="1"/>
    <xf numFmtId="44" fontId="0" fillId="0" borderId="0" xfId="2" applyFont="1"/>
    <xf numFmtId="43" fontId="0" fillId="0" borderId="0" xfId="0" applyNumberFormat="1"/>
    <xf numFmtId="9" fontId="0" fillId="0" borderId="0" xfId="3" applyFont="1"/>
    <xf numFmtId="205" fontId="129" fillId="0" borderId="0" xfId="0" applyNumberFormat="1" applyFont="1" applyFill="1"/>
    <xf numFmtId="205" fontId="0" fillId="0" borderId="0" xfId="0" applyNumberFormat="1" applyFill="1"/>
    <xf numFmtId="44" fontId="0" fillId="0" borderId="36" xfId="0" applyNumberFormat="1" applyBorder="1"/>
    <xf numFmtId="0" fontId="0" fillId="0" borderId="0" xfId="0" applyAlignment="1">
      <alignment horizontal="right"/>
    </xf>
    <xf numFmtId="44" fontId="16" fillId="0" borderId="0" xfId="0" applyNumberFormat="1" applyFont="1"/>
    <xf numFmtId="0" fontId="131" fillId="0" borderId="0" xfId="0" applyFont="1"/>
    <xf numFmtId="166" fontId="129" fillId="0" borderId="0" xfId="1" applyNumberFormat="1" applyFont="1" applyFill="1"/>
    <xf numFmtId="0" fontId="118" fillId="0" borderId="51" xfId="4" applyFont="1" applyFill="1" applyBorder="1"/>
    <xf numFmtId="0" fontId="118" fillId="0" borderId="52" xfId="4" applyFont="1" applyFill="1" applyBorder="1"/>
    <xf numFmtId="0" fontId="118" fillId="0" borderId="53" xfId="4" applyFont="1" applyFill="1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5" xfId="0" applyFill="1" applyBorder="1"/>
    <xf numFmtId="0" fontId="0" fillId="0" borderId="56" xfId="0" applyFill="1" applyBorder="1"/>
    <xf numFmtId="167" fontId="16" fillId="0" borderId="0" xfId="0" applyNumberFormat="1" applyFont="1" applyAlignment="1">
      <alignment horizontal="center"/>
    </xf>
    <xf numFmtId="0" fontId="118" fillId="0" borderId="0" xfId="0" applyFont="1" applyFill="1" applyAlignment="1">
      <alignment horizontal="center"/>
    </xf>
    <xf numFmtId="165" fontId="118" fillId="0" borderId="0" xfId="2" applyNumberFormat="1" applyFont="1" applyFill="1" applyAlignment="1">
      <alignment horizontal="center" wrapText="1"/>
    </xf>
    <xf numFmtId="0" fontId="117" fillId="0" borderId="0" xfId="0" applyFont="1" applyAlignment="1">
      <alignment horizontal="center"/>
    </xf>
    <xf numFmtId="0" fontId="21" fillId="33" borderId="35" xfId="0" applyFont="1" applyFill="1" applyBorder="1" applyAlignment="1">
      <alignment horizontal="center"/>
    </xf>
    <xf numFmtId="0" fontId="21" fillId="33" borderId="0" xfId="0" applyFont="1" applyFill="1"/>
    <xf numFmtId="0" fontId="126" fillId="0" borderId="0" xfId="0" applyFont="1" applyAlignment="1">
      <alignment horizontal="center"/>
    </xf>
    <xf numFmtId="0" fontId="117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27" fillId="0" borderId="0" xfId="0" applyFont="1" applyAlignment="1">
      <alignment horizontal="left" vertical="top" wrapText="1"/>
    </xf>
    <xf numFmtId="0" fontId="109" fillId="0" borderId="0" xfId="0" applyFont="1" applyAlignment="1">
      <alignment vertical="top" wrapText="1"/>
    </xf>
    <xf numFmtId="0" fontId="124" fillId="0" borderId="0" xfId="0" applyFont="1"/>
    <xf numFmtId="0" fontId="124" fillId="0" borderId="0" xfId="0" applyFont="1" applyAlignment="1">
      <alignment horizontal="left"/>
    </xf>
    <xf numFmtId="0" fontId="0" fillId="103" borderId="0" xfId="0" applyFill="1"/>
    <xf numFmtId="41" fontId="119" fillId="33" borderId="35" xfId="9068" applyNumberFormat="1" applyFont="1" applyFill="1" applyBorder="1">
      <alignment horizontal="center" vertical="center" wrapText="1"/>
    </xf>
    <xf numFmtId="0" fontId="116" fillId="33" borderId="35" xfId="4" applyFont="1" applyFill="1" applyBorder="1"/>
    <xf numFmtId="0" fontId="16" fillId="0" borderId="0" xfId="0" applyFont="1"/>
    <xf numFmtId="41" fontId="117" fillId="33" borderId="35" xfId="9505" applyNumberFormat="1" applyFont="1" applyFill="1" applyBorder="1">
      <alignment horizontal="center" vertical="center" wrapText="1"/>
    </xf>
    <xf numFmtId="0" fontId="118" fillId="33" borderId="35" xfId="4" applyFont="1" applyFill="1" applyBorder="1"/>
    <xf numFmtId="41" fontId="117" fillId="33" borderId="35" xfId="9505" applyNumberFormat="1" applyFont="1" applyFill="1" applyBorder="1" applyAlignment="1">
      <alignment horizontal="center" vertical="center" wrapText="1"/>
    </xf>
    <xf numFmtId="167" fontId="117" fillId="33" borderId="35" xfId="9505" applyNumberFormat="1" applyFont="1" applyFill="1" applyBorder="1">
      <alignment horizontal="center" vertical="center" wrapText="1"/>
    </xf>
    <xf numFmtId="0" fontId="117" fillId="0" borderId="35" xfId="0" applyFont="1" applyBorder="1" applyAlignment="1">
      <alignment horizontal="center"/>
    </xf>
    <xf numFmtId="0" fontId="126" fillId="0" borderId="35" xfId="0" applyFont="1" applyBorder="1" applyAlignment="1">
      <alignment horizontal="center"/>
    </xf>
    <xf numFmtId="168" fontId="127" fillId="0" borderId="35" xfId="0" applyNumberFormat="1" applyFont="1" applyBorder="1"/>
    <xf numFmtId="10" fontId="116" fillId="0" borderId="0" xfId="3" applyNumberFormat="1" applyFont="1" applyFill="1"/>
    <xf numFmtId="0" fontId="118" fillId="33" borderId="57" xfId="4" applyFont="1" applyFill="1" applyBorder="1"/>
    <xf numFmtId="167" fontId="125" fillId="33" borderId="58" xfId="4" applyNumberFormat="1" applyFont="1" applyFill="1" applyBorder="1" applyAlignment="1">
      <alignment horizontal="center" vertical="center"/>
    </xf>
    <xf numFmtId="0" fontId="118" fillId="33" borderId="57" xfId="4" applyFont="1" applyFill="1" applyBorder="1" applyAlignment="1">
      <alignment horizontal="center"/>
    </xf>
    <xf numFmtId="166" fontId="118" fillId="102" borderId="57" xfId="1" applyNumberFormat="1" applyFont="1" applyFill="1" applyBorder="1" applyAlignment="1">
      <alignment horizontal="center"/>
    </xf>
    <xf numFmtId="166" fontId="130" fillId="33" borderId="57" xfId="6" applyNumberFormat="1" applyFont="1" applyFill="1" applyBorder="1"/>
    <xf numFmtId="200" fontId="109" fillId="0" borderId="57" xfId="4" applyNumberFormat="1" applyFont="1" applyFill="1" applyBorder="1" applyAlignment="1">
      <alignment vertical="center" wrapText="1"/>
    </xf>
    <xf numFmtId="164" fontId="109" fillId="33" borderId="57" xfId="4" applyNumberFormat="1" applyFont="1" applyFill="1" applyBorder="1"/>
    <xf numFmtId="0" fontId="109" fillId="33" borderId="57" xfId="4" applyFont="1" applyFill="1" applyBorder="1"/>
    <xf numFmtId="164" fontId="130" fillId="33" borderId="57" xfId="4" applyNumberFormat="1" applyFont="1" applyFill="1" applyBorder="1"/>
    <xf numFmtId="166" fontId="130" fillId="33" borderId="57" xfId="1" applyNumberFormat="1" applyFont="1" applyFill="1" applyBorder="1"/>
    <xf numFmtId="165" fontId="109" fillId="0" borderId="57" xfId="5" applyNumberFormat="1" applyFont="1" applyFill="1" applyBorder="1"/>
    <xf numFmtId="200" fontId="109" fillId="33" borderId="57" xfId="4" applyNumberFormat="1" applyFont="1" applyFill="1" applyBorder="1" applyAlignment="1">
      <alignment vertical="center" wrapText="1"/>
    </xf>
    <xf numFmtId="164" fontId="109" fillId="102" borderId="57" xfId="4" applyNumberFormat="1" applyFont="1" applyFill="1" applyBorder="1"/>
    <xf numFmtId="10" fontId="109" fillId="0" borderId="57" xfId="3" applyNumberFormat="1" applyFont="1" applyFill="1" applyBorder="1"/>
    <xf numFmtId="164" fontId="109" fillId="33" borderId="57" xfId="5" applyNumberFormat="1" applyFont="1" applyFill="1" applyBorder="1"/>
    <xf numFmtId="164" fontId="117" fillId="33" borderId="59" xfId="4" applyNumberFormat="1" applyFont="1" applyFill="1" applyBorder="1"/>
    <xf numFmtId="0" fontId="118" fillId="0" borderId="57" xfId="4" applyFont="1" applyBorder="1"/>
    <xf numFmtId="164" fontId="118" fillId="33" borderId="57" xfId="4" applyNumberFormat="1" applyFont="1" applyFill="1" applyBorder="1"/>
    <xf numFmtId="205" fontId="0" fillId="0" borderId="0" xfId="0" applyNumberFormat="1"/>
    <xf numFmtId="10" fontId="0" fillId="0" borderId="0" xfId="0" applyNumberFormat="1"/>
    <xf numFmtId="10" fontId="131" fillId="0" borderId="0" xfId="0" applyNumberFormat="1" applyFont="1"/>
    <xf numFmtId="166" fontId="16" fillId="0" borderId="0" xfId="1" applyNumberFormat="1" applyFont="1" applyFill="1"/>
    <xf numFmtId="10" fontId="136" fillId="0" borderId="0" xfId="0" applyNumberFormat="1" applyFont="1"/>
    <xf numFmtId="43" fontId="115" fillId="0" borderId="0" xfId="0" applyNumberFormat="1" applyFont="1" applyFill="1"/>
    <xf numFmtId="43" fontId="115" fillId="0" borderId="0" xfId="0" applyNumberFormat="1" applyFont="1"/>
    <xf numFmtId="167" fontId="16" fillId="0" borderId="0" xfId="0" applyNumberFormat="1" applyFont="1" applyBorder="1" applyAlignment="1">
      <alignment horizontal="center"/>
    </xf>
    <xf numFmtId="0" fontId="0" fillId="0" borderId="0" xfId="0" applyBorder="1"/>
    <xf numFmtId="44" fontId="0" fillId="0" borderId="0" xfId="0" applyNumberFormat="1" applyBorder="1"/>
    <xf numFmtId="0" fontId="0" fillId="0" borderId="0" xfId="0" applyAlignment="1">
      <alignment horizontal="center" wrapText="1"/>
    </xf>
    <xf numFmtId="0" fontId="118" fillId="0" borderId="0" xfId="0" applyFont="1" applyFill="1" applyAlignment="1">
      <alignment horizontal="center"/>
    </xf>
    <xf numFmtId="165" fontId="118" fillId="0" borderId="0" xfId="2" applyNumberFormat="1" applyFont="1" applyFill="1" applyAlignment="1">
      <alignment horizontal="center" wrapText="1"/>
    </xf>
    <xf numFmtId="10" fontId="109" fillId="0" borderId="0" xfId="3" applyNumberFormat="1" applyFont="1" applyFill="1" applyBorder="1"/>
    <xf numFmtId="17" fontId="0" fillId="0" borderId="0" xfId="0" applyNumberFormat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206" fontId="136" fillId="0" borderId="0" xfId="1" applyNumberFormat="1" applyFont="1"/>
    <xf numFmtId="169" fontId="0" fillId="0" borderId="0" xfId="1" applyNumberFormat="1" applyFont="1" applyAlignment="1">
      <alignment horizontal="left"/>
    </xf>
    <xf numFmtId="169" fontId="16" fillId="0" borderId="0" xfId="1" applyNumberFormat="1" applyFont="1" applyAlignment="1">
      <alignment horizontal="center"/>
    </xf>
    <xf numFmtId="169" fontId="0" fillId="0" borderId="0" xfId="1" applyNumberFormat="1" applyFont="1"/>
    <xf numFmtId="205" fontId="136" fillId="104" borderId="0" xfId="0" applyNumberFormat="1" applyFont="1" applyFill="1"/>
    <xf numFmtId="0" fontId="136" fillId="0" borderId="0" xfId="0" applyFont="1"/>
    <xf numFmtId="0" fontId="129" fillId="0" borderId="0" xfId="0" applyFont="1"/>
    <xf numFmtId="164" fontId="0" fillId="0" borderId="0" xfId="2" applyNumberFormat="1" applyFont="1"/>
    <xf numFmtId="164" fontId="136" fillId="0" borderId="0" xfId="2" applyNumberFormat="1" applyFont="1"/>
    <xf numFmtId="164" fontId="0" fillId="0" borderId="0" xfId="0" applyNumberFormat="1"/>
    <xf numFmtId="164" fontId="129" fillId="0" borderId="0" xfId="2" applyNumberFormat="1" applyFont="1"/>
    <xf numFmtId="164" fontId="16" fillId="0" borderId="0" xfId="0" applyNumberFormat="1" applyFont="1" applyAlignment="1">
      <alignment horizontal="center"/>
    </xf>
    <xf numFmtId="164" fontId="0" fillId="104" borderId="0" xfId="2" applyNumberFormat="1" applyFont="1" applyFill="1"/>
    <xf numFmtId="164" fontId="0" fillId="104" borderId="0" xfId="0" applyNumberFormat="1" applyFill="1"/>
    <xf numFmtId="164" fontId="136" fillId="0" borderId="0" xfId="0" applyNumberFormat="1" applyFont="1"/>
    <xf numFmtId="164" fontId="0" fillId="0" borderId="0" xfId="2" quotePrefix="1" applyNumberFormat="1" applyFont="1"/>
    <xf numFmtId="164" fontId="136" fillId="105" borderId="0" xfId="2" applyNumberFormat="1" applyFont="1" applyFill="1"/>
    <xf numFmtId="164" fontId="136" fillId="0" borderId="0" xfId="2" applyNumberFormat="1" applyFont="1" applyFill="1"/>
    <xf numFmtId="0" fontId="16" fillId="0" borderId="0" xfId="0" applyFont="1" applyAlignment="1">
      <alignment horizontal="left"/>
    </xf>
    <xf numFmtId="164" fontId="131" fillId="0" borderId="0" xfId="2" applyNumberFormat="1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4" fontId="131" fillId="0" borderId="0" xfId="0" applyNumberFormat="1" applyFont="1"/>
    <xf numFmtId="0" fontId="16" fillId="0" borderId="0" xfId="0" applyFont="1" applyAlignment="1">
      <alignment horizontal="center"/>
    </xf>
    <xf numFmtId="44" fontId="139" fillId="0" borderId="0" xfId="0" applyNumberFormat="1" applyFont="1" applyFill="1" applyBorder="1"/>
    <xf numFmtId="0" fontId="0" fillId="0" borderId="60" xfId="0" applyBorder="1"/>
    <xf numFmtId="0" fontId="140" fillId="0" borderId="60" xfId="0" applyFont="1" applyBorder="1"/>
    <xf numFmtId="0" fontId="129" fillId="0" borderId="0" xfId="0" applyFont="1" applyBorder="1" applyAlignment="1">
      <alignment horizontal="center"/>
    </xf>
    <xf numFmtId="0" fontId="125" fillId="0" borderId="0" xfId="4" applyFont="1" applyFill="1" applyAlignment="1">
      <alignment horizontal="left"/>
    </xf>
    <xf numFmtId="44" fontId="136" fillId="0" borderId="0" xfId="0" applyNumberFormat="1" applyFont="1" applyFill="1"/>
    <xf numFmtId="44" fontId="129" fillId="0" borderId="0" xfId="0" applyNumberFormat="1" applyFont="1" applyFill="1"/>
    <xf numFmtId="44" fontId="141" fillId="0" borderId="0" xfId="0" applyNumberFormat="1" applyFont="1" applyFill="1" applyBorder="1"/>
    <xf numFmtId="166" fontId="16" fillId="104" borderId="0" xfId="1" applyNumberFormat="1" applyFont="1" applyFill="1"/>
    <xf numFmtId="167" fontId="0" fillId="0" borderId="0" xfId="0" applyNumberFormat="1"/>
    <xf numFmtId="165" fontId="118" fillId="0" borderId="0" xfId="2" applyNumberFormat="1" applyFont="1" applyFill="1" applyAlignment="1">
      <alignment horizontal="center" wrapText="1"/>
    </xf>
    <xf numFmtId="0" fontId="131" fillId="0" borderId="0" xfId="0" applyFont="1" applyFill="1"/>
    <xf numFmtId="0" fontId="16" fillId="0" borderId="0" xfId="0" applyFont="1" applyAlignment="1">
      <alignment horizontal="center"/>
    </xf>
    <xf numFmtId="164" fontId="0" fillId="106" borderId="0" xfId="0" applyNumberFormat="1" applyFill="1"/>
    <xf numFmtId="164" fontId="0" fillId="106" borderId="44" xfId="0" applyNumberFormat="1" applyFill="1" applyBorder="1"/>
    <xf numFmtId="165" fontId="118" fillId="0" borderId="0" xfId="2" applyNumberFormat="1" applyFont="1" applyFill="1" applyAlignment="1">
      <alignment horizontal="center" wrapText="1"/>
    </xf>
    <xf numFmtId="0" fontId="16" fillId="0" borderId="0" xfId="0" applyFont="1" applyAlignment="1">
      <alignment horizontal="center"/>
    </xf>
    <xf numFmtId="43" fontId="115" fillId="0" borderId="0" xfId="1" applyFont="1" applyFill="1"/>
    <xf numFmtId="165" fontId="118" fillId="0" borderId="0" xfId="2" applyNumberFormat="1" applyFont="1" applyFill="1" applyAlignment="1">
      <alignment horizontal="center" wrapText="1"/>
    </xf>
    <xf numFmtId="44" fontId="118" fillId="0" borderId="36" xfId="0" applyNumberFormat="1" applyFont="1" applyBorder="1"/>
    <xf numFmtId="169" fontId="142" fillId="0" borderId="0" xfId="1" applyNumberFormat="1" applyFont="1"/>
    <xf numFmtId="0" fontId="142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165" fontId="115" fillId="0" borderId="0" xfId="2" applyNumberFormat="1" applyFont="1"/>
    <xf numFmtId="165" fontId="118" fillId="0" borderId="0" xfId="2" applyNumberFormat="1" applyFont="1" applyFill="1" applyAlignment="1">
      <alignment horizontal="center" wrapText="1"/>
    </xf>
    <xf numFmtId="0" fontId="143" fillId="0" borderId="0" xfId="0" applyFont="1"/>
    <xf numFmtId="0" fontId="115" fillId="0" borderId="0" xfId="0" applyFont="1" applyAlignment="1">
      <alignment horizontal="center" wrapText="1"/>
    </xf>
    <xf numFmtId="166" fontId="144" fillId="0" borderId="0" xfId="1" applyNumberFormat="1" applyFont="1" applyFill="1"/>
    <xf numFmtId="0" fontId="144" fillId="0" borderId="0" xfId="0" applyFont="1" applyFill="1"/>
    <xf numFmtId="44" fontId="115" fillId="0" borderId="0" xfId="2" applyFont="1" applyFill="1"/>
    <xf numFmtId="44" fontId="115" fillId="0" borderId="0" xfId="2" applyFont="1"/>
    <xf numFmtId="44" fontId="115" fillId="0" borderId="0" xfId="0" applyNumberFormat="1" applyFont="1"/>
    <xf numFmtId="166" fontId="115" fillId="0" borderId="0" xfId="1" applyNumberFormat="1" applyFont="1"/>
    <xf numFmtId="9" fontId="115" fillId="0" borderId="0" xfId="3" applyFont="1"/>
    <xf numFmtId="205" fontId="144" fillId="0" borderId="0" xfId="0" applyNumberFormat="1" applyFont="1" applyFill="1"/>
    <xf numFmtId="205" fontId="115" fillId="0" borderId="0" xfId="0" applyNumberFormat="1" applyFont="1" applyFill="1"/>
    <xf numFmtId="166" fontId="115" fillId="0" borderId="36" xfId="0" applyNumberFormat="1" applyFont="1" applyBorder="1"/>
    <xf numFmtId="0" fontId="115" fillId="0" borderId="0" xfId="0" applyFont="1" applyAlignment="1">
      <alignment horizontal="right"/>
    </xf>
    <xf numFmtId="44" fontId="135" fillId="0" borderId="0" xfId="0" applyNumberFormat="1" applyFont="1"/>
    <xf numFmtId="0" fontId="115" fillId="0" borderId="0" xfId="0" applyFont="1" applyFill="1" applyAlignment="1">
      <alignment horizontal="center" wrapText="1"/>
    </xf>
    <xf numFmtId="7" fontId="145" fillId="0" borderId="0" xfId="2" applyNumberFormat="1" applyFont="1" applyFill="1"/>
    <xf numFmtId="0" fontId="143" fillId="0" borderId="0" xfId="0" applyFont="1" applyFill="1"/>
    <xf numFmtId="0" fontId="115" fillId="0" borderId="0" xfId="0" applyFont="1" applyAlignment="1">
      <alignment horizontal="left"/>
    </xf>
    <xf numFmtId="0" fontId="145" fillId="0" borderId="0" xfId="0" applyFont="1" applyFill="1" applyAlignment="1">
      <alignment horizontal="center"/>
    </xf>
    <xf numFmtId="166" fontId="145" fillId="0" borderId="0" xfId="1" applyNumberFormat="1" applyFont="1" applyFill="1"/>
    <xf numFmtId="0" fontId="135" fillId="0" borderId="0" xfId="0" applyFont="1" applyFill="1" applyAlignment="1">
      <alignment horizontal="center" wrapText="1"/>
    </xf>
    <xf numFmtId="0" fontId="135" fillId="0" borderId="36" xfId="0" applyFont="1" applyFill="1" applyBorder="1" applyAlignment="1">
      <alignment horizontal="center"/>
    </xf>
    <xf numFmtId="166" fontId="135" fillId="0" borderId="36" xfId="0" applyNumberFormat="1" applyFont="1" applyFill="1" applyBorder="1"/>
    <xf numFmtId="7" fontId="135" fillId="0" borderId="36" xfId="0" applyNumberFormat="1" applyFont="1" applyFill="1" applyBorder="1"/>
    <xf numFmtId="0" fontId="16" fillId="0" borderId="0" xfId="0" applyFont="1" applyAlignment="1">
      <alignment horizontal="center"/>
    </xf>
    <xf numFmtId="44" fontId="143" fillId="0" borderId="0" xfId="2" applyFont="1" applyFill="1"/>
    <xf numFmtId="44" fontId="118" fillId="0" borderId="0" xfId="2" applyNumberFormat="1" applyFont="1" applyFill="1"/>
    <xf numFmtId="166" fontId="115" fillId="0" borderId="0" xfId="0" applyNumberFormat="1" applyFont="1" applyFill="1"/>
    <xf numFmtId="165" fontId="118" fillId="0" borderId="0" xfId="2" applyNumberFormat="1" applyFont="1" applyFill="1" applyAlignment="1">
      <alignment horizontal="center" wrapText="1"/>
    </xf>
    <xf numFmtId="0" fontId="118" fillId="0" borderId="0" xfId="0" applyFont="1" applyFill="1" applyAlignment="1">
      <alignment horizontal="center"/>
    </xf>
    <xf numFmtId="0" fontId="118" fillId="107" borderId="0" xfId="0" applyFont="1" applyFill="1" applyAlignment="1">
      <alignment horizontal="center"/>
    </xf>
    <xf numFmtId="14" fontId="118" fillId="107" borderId="0" xfId="0" applyNumberFormat="1" applyFont="1" applyFill="1" applyAlignment="1">
      <alignment horizontal="center"/>
    </xf>
    <xf numFmtId="14" fontId="115" fillId="0" borderId="0" xfId="0" applyNumberFormat="1" applyFont="1" applyFill="1"/>
    <xf numFmtId="169" fontId="115" fillId="0" borderId="0" xfId="1" applyNumberFormat="1" applyFont="1" applyFill="1"/>
    <xf numFmtId="0" fontId="16" fillId="0" borderId="0" xfId="0" applyFont="1" applyAlignment="1">
      <alignment horizontal="center"/>
    </xf>
    <xf numFmtId="0" fontId="118" fillId="0" borderId="0" xfId="0" applyFont="1" applyFill="1" applyAlignment="1">
      <alignment horizontal="center"/>
    </xf>
    <xf numFmtId="165" fontId="118" fillId="0" borderId="0" xfId="2" applyNumberFormat="1" applyFont="1" applyFill="1" applyAlignment="1">
      <alignment horizontal="center" wrapText="1"/>
    </xf>
    <xf numFmtId="5" fontId="145" fillId="0" borderId="0" xfId="2" applyNumberFormat="1" applyFont="1" applyFill="1"/>
    <xf numFmtId="14" fontId="118" fillId="0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117" fillId="103" borderId="0" xfId="0" applyFont="1" applyFill="1" applyAlignment="1">
      <alignment horizontal="center"/>
    </xf>
    <xf numFmtId="0" fontId="123" fillId="33" borderId="0" xfId="4" applyFont="1" applyFill="1" applyAlignment="1">
      <alignment horizontal="center"/>
    </xf>
    <xf numFmtId="0" fontId="123" fillId="33" borderId="0" xfId="4" quotePrefix="1" applyFont="1" applyFill="1" applyAlignment="1">
      <alignment horizontal="center"/>
    </xf>
    <xf numFmtId="0" fontId="119" fillId="33" borderId="0" xfId="4" applyFont="1" applyFill="1" applyAlignment="1">
      <alignment horizontal="center"/>
    </xf>
    <xf numFmtId="0" fontId="119" fillId="33" borderId="0" xfId="4" quotePrefix="1" applyFont="1" applyFill="1" applyAlignment="1">
      <alignment horizontal="center"/>
    </xf>
    <xf numFmtId="0" fontId="117" fillId="0" borderId="0" xfId="0" applyFont="1" applyAlignment="1">
      <alignment horizontal="center"/>
    </xf>
    <xf numFmtId="0" fontId="116" fillId="33" borderId="45" xfId="0" applyFont="1" applyFill="1" applyBorder="1" applyAlignment="1">
      <alignment horizontal="center" vertical="center"/>
    </xf>
    <xf numFmtId="0" fontId="116" fillId="33" borderId="0" xfId="0" applyFont="1" applyFill="1" applyBorder="1" applyAlignment="1">
      <alignment horizontal="center" vertical="center"/>
    </xf>
    <xf numFmtId="41" fontId="119" fillId="33" borderId="0" xfId="9068" applyNumberFormat="1" applyFont="1" applyFill="1" applyBorder="1" applyAlignment="1">
      <alignment horizontal="center" vertical="center" wrapText="1"/>
    </xf>
    <xf numFmtId="41" fontId="119" fillId="33" borderId="35" xfId="9068" applyNumberFormat="1" applyFont="1" applyFill="1" applyBorder="1" applyAlignment="1">
      <alignment horizontal="center" vertical="center" wrapText="1"/>
    </xf>
    <xf numFmtId="0" fontId="124" fillId="33" borderId="0" xfId="0" applyFont="1" applyFill="1" applyAlignment="1">
      <alignment horizontal="center"/>
    </xf>
    <xf numFmtId="0" fontId="124" fillId="33" borderId="0" xfId="4" applyFont="1" applyFill="1" applyAlignment="1">
      <alignment horizontal="center"/>
    </xf>
    <xf numFmtId="0" fontId="127" fillId="0" borderId="0" xfId="0" applyFont="1" applyAlignment="1">
      <alignment horizontal="center" vertical="top" wrapText="1"/>
    </xf>
    <xf numFmtId="168" fontId="117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24" fillId="33" borderId="0" xfId="4" quotePrefix="1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0" fontId="115" fillId="0" borderId="0" xfId="0" applyFont="1" applyAlignment="1">
      <alignment horizontal="center"/>
    </xf>
    <xf numFmtId="165" fontId="118" fillId="0" borderId="0" xfId="2" applyNumberFormat="1" applyFont="1" applyFill="1" applyAlignment="1">
      <alignment horizontal="center" wrapText="1"/>
    </xf>
    <xf numFmtId="0" fontId="144" fillId="0" borderId="0" xfId="0" applyFont="1" applyFill="1" applyAlignment="1">
      <alignment horizontal="center" wrapText="1"/>
    </xf>
    <xf numFmtId="0" fontId="129" fillId="0" borderId="0" xfId="0" applyFont="1" applyFill="1" applyAlignment="1">
      <alignment horizontal="center" wrapText="1"/>
    </xf>
  </cellXfs>
  <cellStyles count="9555">
    <cellStyle name="_x0013_" xfId="7"/>
    <cellStyle name=" 1" xfId="8"/>
    <cellStyle name=" 1 2" xfId="9"/>
    <cellStyle name=" 1 3" xfId="10"/>
    <cellStyle name="_x0013_ 10" xfId="11"/>
    <cellStyle name="_x0013_ 11" xfId="12"/>
    <cellStyle name="_x0013_ 2" xfId="13"/>
    <cellStyle name="_x0013_ 2 2" xfId="14"/>
    <cellStyle name="_x0013_ 3" xfId="15"/>
    <cellStyle name="_x0013_ 4" xfId="16"/>
    <cellStyle name="_x0013_ 5" xfId="17"/>
    <cellStyle name="_x0013_ 6" xfId="18"/>
    <cellStyle name="_x0013_ 7" xfId="19"/>
    <cellStyle name="_x0013_ 8" xfId="20"/>
    <cellStyle name="_x0013_ 9" xfId="21"/>
    <cellStyle name="_(C) 2007 CB Weather Adjust" xfId="22"/>
    <cellStyle name="_(C) 2007 CB Weather Adjust (2)" xfId="23"/>
    <cellStyle name="_09GRC Gas Transport For Review" xfId="24"/>
    <cellStyle name="_09GRC Gas Transport For Review 2" xfId="25"/>
    <cellStyle name="_09GRC Gas Transport For Review 2 2" xfId="26"/>
    <cellStyle name="_09GRC Gas Transport For Review 3" xfId="27"/>
    <cellStyle name="_09GRC Gas Transport For Review_Book4" xfId="28"/>
    <cellStyle name="_09GRC Gas Transport For Review_Book4 2" xfId="29"/>
    <cellStyle name="_09GRC Gas Transport For Review_Book4 2 2" xfId="30"/>
    <cellStyle name="_09GRC Gas Transport For Review_Book4 3" xfId="31"/>
    <cellStyle name="_x0013__16.07E Wild Horse Wind Expansionwrkingfile" xfId="32"/>
    <cellStyle name="_x0013__16.07E Wild Horse Wind Expansionwrkingfile 2" xfId="33"/>
    <cellStyle name="_x0013__16.07E Wild Horse Wind Expansionwrkingfile 2 2" xfId="34"/>
    <cellStyle name="_x0013__16.07E Wild Horse Wind Expansionwrkingfile 3" xfId="35"/>
    <cellStyle name="_x0013__16.07E Wild Horse Wind Expansionwrkingfile SF" xfId="36"/>
    <cellStyle name="_x0013__16.07E Wild Horse Wind Expansionwrkingfile SF 2" xfId="37"/>
    <cellStyle name="_x0013__16.07E Wild Horse Wind Expansionwrkingfile SF 2 2" xfId="38"/>
    <cellStyle name="_x0013__16.07E Wild Horse Wind Expansionwrkingfile SF 3" xfId="39"/>
    <cellStyle name="_x0013__16.37E Wild Horse Expansion DeferralRevwrkingfile SF" xfId="40"/>
    <cellStyle name="_x0013__16.37E Wild Horse Expansion DeferralRevwrkingfile SF 2" xfId="41"/>
    <cellStyle name="_x0013__16.37E Wild Horse Expansion DeferralRevwrkingfile SF 2 2" xfId="42"/>
    <cellStyle name="_x0013__16.37E Wild Horse Expansion DeferralRevwrkingfile SF 3" xfId="43"/>
    <cellStyle name="_2.01G Temp Normalization(C)" xfId="44"/>
    <cellStyle name="_2.05G Pass-Through Revenue and Expenses" xfId="45"/>
    <cellStyle name="_2.11G Interest on Customer Deposits" xfId="46"/>
    <cellStyle name="_2008 Strat Plan Power Costs Forecast V2 (2009 Update)" xfId="47"/>
    <cellStyle name="_2008 Strat Plan Power Costs Forecast V2 (2009 Update) 2" xfId="48"/>
    <cellStyle name="_2008 Strat Plan Power Costs Forecast V2 (2009 Update)_NIM Summary" xfId="49"/>
    <cellStyle name="_2008 Strat Plan Power Costs Forecast V2 (2009 Update)_NIM Summary 2" xfId="50"/>
    <cellStyle name="_4.01E Temp Normalization" xfId="51"/>
    <cellStyle name="_4.03G Lease Everett Delta" xfId="52"/>
    <cellStyle name="_4.04G Pass-Through Revenue and ExpensesWFMI" xfId="53"/>
    <cellStyle name="_4.06E Pass Throughs" xfId="54"/>
    <cellStyle name="_4.06E Pass Throughs 2" xfId="55"/>
    <cellStyle name="_4.06E Pass Throughs 2 2" xfId="56"/>
    <cellStyle name="_4.06E Pass Throughs 2 2 2" xfId="57"/>
    <cellStyle name="_4.06E Pass Throughs 2 3" xfId="58"/>
    <cellStyle name="_4.06E Pass Throughs 3" xfId="59"/>
    <cellStyle name="_4.06E Pass Throughs 3 2" xfId="60"/>
    <cellStyle name="_4.06E Pass Throughs 3 2 2" xfId="61"/>
    <cellStyle name="_4.06E Pass Throughs 3 3" xfId="62"/>
    <cellStyle name="_4.06E Pass Throughs 3 3 2" xfId="63"/>
    <cellStyle name="_4.06E Pass Throughs 3 4" xfId="64"/>
    <cellStyle name="_4.06E Pass Throughs 3 4 2" xfId="65"/>
    <cellStyle name="_4.06E Pass Throughs 4" xfId="66"/>
    <cellStyle name="_4.06E Pass Throughs 4 2" xfId="67"/>
    <cellStyle name="_4.06E Pass Throughs 5" xfId="68"/>
    <cellStyle name="_4.06E Pass Throughs 6" xfId="69"/>
    <cellStyle name="_4.06E Pass Throughs 7" xfId="70"/>
    <cellStyle name="_4.06E Pass Throughs_04 07E Wild Horse Wind Expansion (C) (2)" xfId="71"/>
    <cellStyle name="_4.06E Pass Throughs_04 07E Wild Horse Wind Expansion (C) (2) 2" xfId="72"/>
    <cellStyle name="_4.06E Pass Throughs_04 07E Wild Horse Wind Expansion (C) (2) 2 2" xfId="73"/>
    <cellStyle name="_4.06E Pass Throughs_04 07E Wild Horse Wind Expansion (C) (2) 3" xfId="74"/>
    <cellStyle name="_4.06E Pass Throughs_04 07E Wild Horse Wind Expansion (C) (2)_Adj Bench DR 3 for Initial Briefs (Electric)" xfId="75"/>
    <cellStyle name="_4.06E Pass Throughs_04 07E Wild Horse Wind Expansion (C) (2)_Adj Bench DR 3 for Initial Briefs (Electric) 2" xfId="76"/>
    <cellStyle name="_4.06E Pass Throughs_04 07E Wild Horse Wind Expansion (C) (2)_Adj Bench DR 3 for Initial Briefs (Electric) 2 2" xfId="77"/>
    <cellStyle name="_4.06E Pass Throughs_04 07E Wild Horse Wind Expansion (C) (2)_Adj Bench DR 3 for Initial Briefs (Electric) 3" xfId="78"/>
    <cellStyle name="_4.06E Pass Throughs_04 07E Wild Horse Wind Expansion (C) (2)_Book1" xfId="79"/>
    <cellStyle name="_4.06E Pass Throughs_04 07E Wild Horse Wind Expansion (C) (2)_Electric Rev Req Model (2009 GRC) " xfId="80"/>
    <cellStyle name="_4.06E Pass Throughs_04 07E Wild Horse Wind Expansion (C) (2)_Electric Rev Req Model (2009 GRC)  2" xfId="81"/>
    <cellStyle name="_4.06E Pass Throughs_04 07E Wild Horse Wind Expansion (C) (2)_Electric Rev Req Model (2009 GRC)  2 2" xfId="82"/>
    <cellStyle name="_4.06E Pass Throughs_04 07E Wild Horse Wind Expansion (C) (2)_Electric Rev Req Model (2009 GRC)  3" xfId="83"/>
    <cellStyle name="_4.06E Pass Throughs_04 07E Wild Horse Wind Expansion (C) (2)_Electric Rev Req Model (2009 GRC) Rebuttal" xfId="84"/>
    <cellStyle name="_4.06E Pass Throughs_04 07E Wild Horse Wind Expansion (C) (2)_Electric Rev Req Model (2009 GRC) Rebuttal 2" xfId="85"/>
    <cellStyle name="_4.06E Pass Throughs_04 07E Wild Horse Wind Expansion (C) (2)_Electric Rev Req Model (2009 GRC) Rebuttal 2 2" xfId="86"/>
    <cellStyle name="_4.06E Pass Throughs_04 07E Wild Horse Wind Expansion (C) (2)_Electric Rev Req Model (2009 GRC) Rebuttal 3" xfId="87"/>
    <cellStyle name="_4.06E Pass Throughs_04 07E Wild Horse Wind Expansion (C) (2)_Electric Rev Req Model (2009 GRC) Rebuttal REmoval of New  WH Solar AdjustMI" xfId="88"/>
    <cellStyle name="_4.06E Pass Throughs_04 07E Wild Horse Wind Expansion (C) (2)_Electric Rev Req Model (2009 GRC) Rebuttal REmoval of New  WH Solar AdjustMI 2" xfId="89"/>
    <cellStyle name="_4.06E Pass Throughs_04 07E Wild Horse Wind Expansion (C) (2)_Electric Rev Req Model (2009 GRC) Rebuttal REmoval of New  WH Solar AdjustMI 2 2" xfId="90"/>
    <cellStyle name="_4.06E Pass Throughs_04 07E Wild Horse Wind Expansion (C) (2)_Electric Rev Req Model (2009 GRC) Rebuttal REmoval of New  WH Solar AdjustMI 3" xfId="91"/>
    <cellStyle name="_4.06E Pass Throughs_04 07E Wild Horse Wind Expansion (C) (2)_Electric Rev Req Model (2009 GRC) Revised 01-18-2010" xfId="92"/>
    <cellStyle name="_4.06E Pass Throughs_04 07E Wild Horse Wind Expansion (C) (2)_Electric Rev Req Model (2009 GRC) Revised 01-18-2010 2" xfId="93"/>
    <cellStyle name="_4.06E Pass Throughs_04 07E Wild Horse Wind Expansion (C) (2)_Electric Rev Req Model (2009 GRC) Revised 01-18-2010 2 2" xfId="94"/>
    <cellStyle name="_4.06E Pass Throughs_04 07E Wild Horse Wind Expansion (C) (2)_Electric Rev Req Model (2009 GRC) Revised 01-18-2010 3" xfId="95"/>
    <cellStyle name="_4.06E Pass Throughs_04 07E Wild Horse Wind Expansion (C) (2)_Electric Rev Req Model (2010 GRC)" xfId="96"/>
    <cellStyle name="_4.06E Pass Throughs_04 07E Wild Horse Wind Expansion (C) (2)_Electric Rev Req Model (2010 GRC) SF" xfId="97"/>
    <cellStyle name="_4.06E Pass Throughs_04 07E Wild Horse Wind Expansion (C) (2)_Final Order Electric EXHIBIT A-1" xfId="98"/>
    <cellStyle name="_4.06E Pass Throughs_04 07E Wild Horse Wind Expansion (C) (2)_Final Order Electric EXHIBIT A-1 2" xfId="99"/>
    <cellStyle name="_4.06E Pass Throughs_04 07E Wild Horse Wind Expansion (C) (2)_Final Order Electric EXHIBIT A-1 2 2" xfId="100"/>
    <cellStyle name="_4.06E Pass Throughs_04 07E Wild Horse Wind Expansion (C) (2)_Final Order Electric EXHIBIT A-1 3" xfId="101"/>
    <cellStyle name="_4.06E Pass Throughs_04 07E Wild Horse Wind Expansion (C) (2)_TENASKA REGULATORY ASSET" xfId="102"/>
    <cellStyle name="_4.06E Pass Throughs_04 07E Wild Horse Wind Expansion (C) (2)_TENASKA REGULATORY ASSET 2" xfId="103"/>
    <cellStyle name="_4.06E Pass Throughs_04 07E Wild Horse Wind Expansion (C) (2)_TENASKA REGULATORY ASSET 2 2" xfId="104"/>
    <cellStyle name="_4.06E Pass Throughs_04 07E Wild Horse Wind Expansion (C) (2)_TENASKA REGULATORY ASSET 3" xfId="105"/>
    <cellStyle name="_4.06E Pass Throughs_16.37E Wild Horse Expansion DeferralRevwrkingfile SF" xfId="106"/>
    <cellStyle name="_4.06E Pass Throughs_16.37E Wild Horse Expansion DeferralRevwrkingfile SF 2" xfId="107"/>
    <cellStyle name="_4.06E Pass Throughs_16.37E Wild Horse Expansion DeferralRevwrkingfile SF 2 2" xfId="108"/>
    <cellStyle name="_4.06E Pass Throughs_16.37E Wild Horse Expansion DeferralRevwrkingfile SF 3" xfId="109"/>
    <cellStyle name="_4.06E Pass Throughs_2009 Compliance Filing PCA Exhibits for GRC" xfId="110"/>
    <cellStyle name="_4.06E Pass Throughs_2009 GRC Compl Filing - Exhibit D" xfId="111"/>
    <cellStyle name="_4.06E Pass Throughs_2009 GRC Compl Filing - Exhibit D 2" xfId="112"/>
    <cellStyle name="_4.06E Pass Throughs_3.01 Income Statement" xfId="113"/>
    <cellStyle name="_4.06E Pass Throughs_4 31 Regulatory Assets and Liabilities  7 06- Exhibit D" xfId="114"/>
    <cellStyle name="_4.06E Pass Throughs_4 31 Regulatory Assets and Liabilities  7 06- Exhibit D 2" xfId="115"/>
    <cellStyle name="_4.06E Pass Throughs_4 31 Regulatory Assets and Liabilities  7 06- Exhibit D 2 2" xfId="116"/>
    <cellStyle name="_4.06E Pass Throughs_4 31 Regulatory Assets and Liabilities  7 06- Exhibit D 3" xfId="117"/>
    <cellStyle name="_4.06E Pass Throughs_4 31 Regulatory Assets and Liabilities  7 06- Exhibit D_NIM Summary" xfId="118"/>
    <cellStyle name="_4.06E Pass Throughs_4 31 Regulatory Assets and Liabilities  7 06- Exhibit D_NIM Summary 2" xfId="119"/>
    <cellStyle name="_4.06E Pass Throughs_4 32 Regulatory Assets and Liabilities  7 06- Exhibit D" xfId="120"/>
    <cellStyle name="_4.06E Pass Throughs_4 32 Regulatory Assets and Liabilities  7 06- Exhibit D 2" xfId="121"/>
    <cellStyle name="_4.06E Pass Throughs_4 32 Regulatory Assets and Liabilities  7 06- Exhibit D 2 2" xfId="122"/>
    <cellStyle name="_4.06E Pass Throughs_4 32 Regulatory Assets and Liabilities  7 06- Exhibit D 3" xfId="123"/>
    <cellStyle name="_4.06E Pass Throughs_4 32 Regulatory Assets and Liabilities  7 06- Exhibit D_NIM Summary" xfId="124"/>
    <cellStyle name="_4.06E Pass Throughs_4 32 Regulatory Assets and Liabilities  7 06- Exhibit D_NIM Summary 2" xfId="125"/>
    <cellStyle name="_4.06E Pass Throughs_AURORA Total New" xfId="126"/>
    <cellStyle name="_4.06E Pass Throughs_AURORA Total New 2" xfId="127"/>
    <cellStyle name="_4.06E Pass Throughs_Book2" xfId="128"/>
    <cellStyle name="_4.06E Pass Throughs_Book2 2" xfId="129"/>
    <cellStyle name="_4.06E Pass Throughs_Book2 2 2" xfId="130"/>
    <cellStyle name="_4.06E Pass Throughs_Book2 3" xfId="131"/>
    <cellStyle name="_4.06E Pass Throughs_Book2_Adj Bench DR 3 for Initial Briefs (Electric)" xfId="132"/>
    <cellStyle name="_4.06E Pass Throughs_Book2_Adj Bench DR 3 for Initial Briefs (Electric) 2" xfId="133"/>
    <cellStyle name="_4.06E Pass Throughs_Book2_Adj Bench DR 3 for Initial Briefs (Electric) 2 2" xfId="134"/>
    <cellStyle name="_4.06E Pass Throughs_Book2_Adj Bench DR 3 for Initial Briefs (Electric) 3" xfId="135"/>
    <cellStyle name="_4.06E Pass Throughs_Book2_Electric Rev Req Model (2009 GRC) Rebuttal" xfId="136"/>
    <cellStyle name="_4.06E Pass Throughs_Book2_Electric Rev Req Model (2009 GRC) Rebuttal 2" xfId="137"/>
    <cellStyle name="_4.06E Pass Throughs_Book2_Electric Rev Req Model (2009 GRC) Rebuttal 2 2" xfId="138"/>
    <cellStyle name="_4.06E Pass Throughs_Book2_Electric Rev Req Model (2009 GRC) Rebuttal 3" xfId="139"/>
    <cellStyle name="_4.06E Pass Throughs_Book2_Electric Rev Req Model (2009 GRC) Rebuttal REmoval of New  WH Solar AdjustMI" xfId="140"/>
    <cellStyle name="_4.06E Pass Throughs_Book2_Electric Rev Req Model (2009 GRC) Rebuttal REmoval of New  WH Solar AdjustMI 2" xfId="141"/>
    <cellStyle name="_4.06E Pass Throughs_Book2_Electric Rev Req Model (2009 GRC) Rebuttal REmoval of New  WH Solar AdjustMI 2 2" xfId="142"/>
    <cellStyle name="_4.06E Pass Throughs_Book2_Electric Rev Req Model (2009 GRC) Rebuttal REmoval of New  WH Solar AdjustMI 3" xfId="143"/>
    <cellStyle name="_4.06E Pass Throughs_Book2_Electric Rev Req Model (2009 GRC) Revised 01-18-2010" xfId="144"/>
    <cellStyle name="_4.06E Pass Throughs_Book2_Electric Rev Req Model (2009 GRC) Revised 01-18-2010 2" xfId="145"/>
    <cellStyle name="_4.06E Pass Throughs_Book2_Electric Rev Req Model (2009 GRC) Revised 01-18-2010 2 2" xfId="146"/>
    <cellStyle name="_4.06E Pass Throughs_Book2_Electric Rev Req Model (2009 GRC) Revised 01-18-2010 3" xfId="147"/>
    <cellStyle name="_4.06E Pass Throughs_Book2_Final Order Electric EXHIBIT A-1" xfId="148"/>
    <cellStyle name="_4.06E Pass Throughs_Book2_Final Order Electric EXHIBIT A-1 2" xfId="149"/>
    <cellStyle name="_4.06E Pass Throughs_Book2_Final Order Electric EXHIBIT A-1 2 2" xfId="150"/>
    <cellStyle name="_4.06E Pass Throughs_Book2_Final Order Electric EXHIBIT A-1 3" xfId="151"/>
    <cellStyle name="_4.06E Pass Throughs_Book4" xfId="152"/>
    <cellStyle name="_4.06E Pass Throughs_Book4 2" xfId="153"/>
    <cellStyle name="_4.06E Pass Throughs_Book4 2 2" xfId="154"/>
    <cellStyle name="_4.06E Pass Throughs_Book4 3" xfId="155"/>
    <cellStyle name="_4.06E Pass Throughs_Book9" xfId="156"/>
    <cellStyle name="_4.06E Pass Throughs_Book9 2" xfId="157"/>
    <cellStyle name="_4.06E Pass Throughs_Book9 2 2" xfId="158"/>
    <cellStyle name="_4.06E Pass Throughs_Book9 3" xfId="159"/>
    <cellStyle name="_4.06E Pass Throughs_Chelan PUD Power Costs (8-10)" xfId="160"/>
    <cellStyle name="_4.06E Pass Throughs_INPUTS" xfId="161"/>
    <cellStyle name="_4.06E Pass Throughs_INPUTS 2" xfId="162"/>
    <cellStyle name="_4.06E Pass Throughs_INPUTS 2 2" xfId="163"/>
    <cellStyle name="_4.06E Pass Throughs_INPUTS 3" xfId="164"/>
    <cellStyle name="_4.06E Pass Throughs_NIM Summary" xfId="165"/>
    <cellStyle name="_4.06E Pass Throughs_NIM Summary 09GRC" xfId="166"/>
    <cellStyle name="_4.06E Pass Throughs_NIM Summary 09GRC 2" xfId="167"/>
    <cellStyle name="_4.06E Pass Throughs_NIM Summary 2" xfId="168"/>
    <cellStyle name="_4.06E Pass Throughs_NIM Summary 3" xfId="169"/>
    <cellStyle name="_4.06E Pass Throughs_NIM Summary 4" xfId="170"/>
    <cellStyle name="_4.06E Pass Throughs_NIM Summary 5" xfId="171"/>
    <cellStyle name="_4.06E Pass Throughs_NIM Summary 6" xfId="172"/>
    <cellStyle name="_4.06E Pass Throughs_NIM Summary 7" xfId="173"/>
    <cellStyle name="_4.06E Pass Throughs_NIM Summary 8" xfId="174"/>
    <cellStyle name="_4.06E Pass Throughs_NIM Summary 9" xfId="175"/>
    <cellStyle name="_4.06E Pass Throughs_PCA 10 -  Exhibit D from A Kellogg Jan 2011" xfId="176"/>
    <cellStyle name="_4.06E Pass Throughs_PCA 10 -  Exhibit D from A Kellogg July 2011" xfId="177"/>
    <cellStyle name="_4.06E Pass Throughs_PCA 10 -  Exhibit D from S Free Rcv'd 12-11" xfId="178"/>
    <cellStyle name="_4.06E Pass Throughs_PCA 9 -  Exhibit D April 2010" xfId="179"/>
    <cellStyle name="_4.06E Pass Throughs_PCA 9 -  Exhibit D April 2010 (3)" xfId="180"/>
    <cellStyle name="_4.06E Pass Throughs_PCA 9 -  Exhibit D April 2010 (3) 2" xfId="181"/>
    <cellStyle name="_4.06E Pass Throughs_PCA 9 -  Exhibit D Nov 2010" xfId="182"/>
    <cellStyle name="_4.06E Pass Throughs_PCA 9 - Exhibit D at August 2010" xfId="183"/>
    <cellStyle name="_4.06E Pass Throughs_PCA 9 - Exhibit D June 2010 GRC" xfId="184"/>
    <cellStyle name="_4.06E Pass Throughs_Power Costs - Comparison bx Rbtl-Staff-Jt-PC" xfId="185"/>
    <cellStyle name="_4.06E Pass Throughs_Power Costs - Comparison bx Rbtl-Staff-Jt-PC 2" xfId="186"/>
    <cellStyle name="_4.06E Pass Throughs_Power Costs - Comparison bx Rbtl-Staff-Jt-PC 2 2" xfId="187"/>
    <cellStyle name="_4.06E Pass Throughs_Power Costs - Comparison bx Rbtl-Staff-Jt-PC 3" xfId="188"/>
    <cellStyle name="_4.06E Pass Throughs_Power Costs - Comparison bx Rbtl-Staff-Jt-PC_Adj Bench DR 3 for Initial Briefs (Electric)" xfId="189"/>
    <cellStyle name="_4.06E Pass Throughs_Power Costs - Comparison bx Rbtl-Staff-Jt-PC_Adj Bench DR 3 for Initial Briefs (Electric) 2" xfId="190"/>
    <cellStyle name="_4.06E Pass Throughs_Power Costs - Comparison bx Rbtl-Staff-Jt-PC_Adj Bench DR 3 for Initial Briefs (Electric) 2 2" xfId="191"/>
    <cellStyle name="_4.06E Pass Throughs_Power Costs - Comparison bx Rbtl-Staff-Jt-PC_Adj Bench DR 3 for Initial Briefs (Electric) 3" xfId="192"/>
    <cellStyle name="_4.06E Pass Throughs_Power Costs - Comparison bx Rbtl-Staff-Jt-PC_Electric Rev Req Model (2009 GRC) Rebuttal" xfId="193"/>
    <cellStyle name="_4.06E Pass Throughs_Power Costs - Comparison bx Rbtl-Staff-Jt-PC_Electric Rev Req Model (2009 GRC) Rebuttal 2" xfId="194"/>
    <cellStyle name="_4.06E Pass Throughs_Power Costs - Comparison bx Rbtl-Staff-Jt-PC_Electric Rev Req Model (2009 GRC) Rebuttal 2 2" xfId="195"/>
    <cellStyle name="_4.06E Pass Throughs_Power Costs - Comparison bx Rbtl-Staff-Jt-PC_Electric Rev Req Model (2009 GRC) Rebuttal 3" xfId="196"/>
    <cellStyle name="_4.06E Pass Throughs_Power Costs - Comparison bx Rbtl-Staff-Jt-PC_Electric Rev Req Model (2009 GRC) Rebuttal REmoval of New  WH Solar AdjustMI" xfId="197"/>
    <cellStyle name="_4.06E Pass Throughs_Power Costs - Comparison bx Rbtl-Staff-Jt-PC_Electric Rev Req Model (2009 GRC) Rebuttal REmoval of New  WH Solar AdjustMI 2" xfId="198"/>
    <cellStyle name="_4.06E Pass Throughs_Power Costs - Comparison bx Rbtl-Staff-Jt-PC_Electric Rev Req Model (2009 GRC) Rebuttal REmoval of New  WH Solar AdjustMI 2 2" xfId="199"/>
    <cellStyle name="_4.06E Pass Throughs_Power Costs - Comparison bx Rbtl-Staff-Jt-PC_Electric Rev Req Model (2009 GRC) Rebuttal REmoval of New  WH Solar AdjustMI 3" xfId="200"/>
    <cellStyle name="_4.06E Pass Throughs_Power Costs - Comparison bx Rbtl-Staff-Jt-PC_Electric Rev Req Model (2009 GRC) Revised 01-18-2010" xfId="201"/>
    <cellStyle name="_4.06E Pass Throughs_Power Costs - Comparison bx Rbtl-Staff-Jt-PC_Electric Rev Req Model (2009 GRC) Revised 01-18-2010 2" xfId="202"/>
    <cellStyle name="_4.06E Pass Throughs_Power Costs - Comparison bx Rbtl-Staff-Jt-PC_Electric Rev Req Model (2009 GRC) Revised 01-18-2010 2 2" xfId="203"/>
    <cellStyle name="_4.06E Pass Throughs_Power Costs - Comparison bx Rbtl-Staff-Jt-PC_Electric Rev Req Model (2009 GRC) Revised 01-18-2010 3" xfId="204"/>
    <cellStyle name="_4.06E Pass Throughs_Power Costs - Comparison bx Rbtl-Staff-Jt-PC_Final Order Electric EXHIBIT A-1" xfId="205"/>
    <cellStyle name="_4.06E Pass Throughs_Power Costs - Comparison bx Rbtl-Staff-Jt-PC_Final Order Electric EXHIBIT A-1 2" xfId="206"/>
    <cellStyle name="_4.06E Pass Throughs_Power Costs - Comparison bx Rbtl-Staff-Jt-PC_Final Order Electric EXHIBIT A-1 2 2" xfId="207"/>
    <cellStyle name="_4.06E Pass Throughs_Power Costs - Comparison bx Rbtl-Staff-Jt-PC_Final Order Electric EXHIBIT A-1 3" xfId="208"/>
    <cellStyle name="_4.06E Pass Throughs_Production Adj 4.37" xfId="209"/>
    <cellStyle name="_4.06E Pass Throughs_Production Adj 4.37 2" xfId="210"/>
    <cellStyle name="_4.06E Pass Throughs_Production Adj 4.37 2 2" xfId="211"/>
    <cellStyle name="_4.06E Pass Throughs_Production Adj 4.37 3" xfId="212"/>
    <cellStyle name="_4.06E Pass Throughs_Purchased Power Adj 4.03" xfId="213"/>
    <cellStyle name="_4.06E Pass Throughs_Purchased Power Adj 4.03 2" xfId="214"/>
    <cellStyle name="_4.06E Pass Throughs_Purchased Power Adj 4.03 2 2" xfId="215"/>
    <cellStyle name="_4.06E Pass Throughs_Purchased Power Adj 4.03 3" xfId="216"/>
    <cellStyle name="_4.06E Pass Throughs_Rebuttal Power Costs" xfId="217"/>
    <cellStyle name="_4.06E Pass Throughs_Rebuttal Power Costs 2" xfId="218"/>
    <cellStyle name="_4.06E Pass Throughs_Rebuttal Power Costs 2 2" xfId="219"/>
    <cellStyle name="_4.06E Pass Throughs_Rebuttal Power Costs 3" xfId="220"/>
    <cellStyle name="_4.06E Pass Throughs_Rebuttal Power Costs_Adj Bench DR 3 for Initial Briefs (Electric)" xfId="221"/>
    <cellStyle name="_4.06E Pass Throughs_Rebuttal Power Costs_Adj Bench DR 3 for Initial Briefs (Electric) 2" xfId="222"/>
    <cellStyle name="_4.06E Pass Throughs_Rebuttal Power Costs_Adj Bench DR 3 for Initial Briefs (Electric) 2 2" xfId="223"/>
    <cellStyle name="_4.06E Pass Throughs_Rebuttal Power Costs_Adj Bench DR 3 for Initial Briefs (Electric) 3" xfId="224"/>
    <cellStyle name="_4.06E Pass Throughs_Rebuttal Power Costs_Electric Rev Req Model (2009 GRC) Rebuttal" xfId="225"/>
    <cellStyle name="_4.06E Pass Throughs_Rebuttal Power Costs_Electric Rev Req Model (2009 GRC) Rebuttal 2" xfId="226"/>
    <cellStyle name="_4.06E Pass Throughs_Rebuttal Power Costs_Electric Rev Req Model (2009 GRC) Rebuttal 2 2" xfId="227"/>
    <cellStyle name="_4.06E Pass Throughs_Rebuttal Power Costs_Electric Rev Req Model (2009 GRC) Rebuttal 3" xfId="228"/>
    <cellStyle name="_4.06E Pass Throughs_Rebuttal Power Costs_Electric Rev Req Model (2009 GRC) Rebuttal REmoval of New  WH Solar AdjustMI" xfId="229"/>
    <cellStyle name="_4.06E Pass Throughs_Rebuttal Power Costs_Electric Rev Req Model (2009 GRC) Rebuttal REmoval of New  WH Solar AdjustMI 2" xfId="230"/>
    <cellStyle name="_4.06E Pass Throughs_Rebuttal Power Costs_Electric Rev Req Model (2009 GRC) Rebuttal REmoval of New  WH Solar AdjustMI 2 2" xfId="231"/>
    <cellStyle name="_4.06E Pass Throughs_Rebuttal Power Costs_Electric Rev Req Model (2009 GRC) Rebuttal REmoval of New  WH Solar AdjustMI 3" xfId="232"/>
    <cellStyle name="_4.06E Pass Throughs_Rebuttal Power Costs_Electric Rev Req Model (2009 GRC) Revised 01-18-2010" xfId="233"/>
    <cellStyle name="_4.06E Pass Throughs_Rebuttal Power Costs_Electric Rev Req Model (2009 GRC) Revised 01-18-2010 2" xfId="234"/>
    <cellStyle name="_4.06E Pass Throughs_Rebuttal Power Costs_Electric Rev Req Model (2009 GRC) Revised 01-18-2010 2 2" xfId="235"/>
    <cellStyle name="_4.06E Pass Throughs_Rebuttal Power Costs_Electric Rev Req Model (2009 GRC) Revised 01-18-2010 3" xfId="236"/>
    <cellStyle name="_4.06E Pass Throughs_Rebuttal Power Costs_Final Order Electric EXHIBIT A-1" xfId="237"/>
    <cellStyle name="_4.06E Pass Throughs_Rebuttal Power Costs_Final Order Electric EXHIBIT A-1 2" xfId="238"/>
    <cellStyle name="_4.06E Pass Throughs_Rebuttal Power Costs_Final Order Electric EXHIBIT A-1 2 2" xfId="239"/>
    <cellStyle name="_4.06E Pass Throughs_Rebuttal Power Costs_Final Order Electric EXHIBIT A-1 3" xfId="240"/>
    <cellStyle name="_4.06E Pass Throughs_ROR &amp; CONV FACTOR" xfId="241"/>
    <cellStyle name="_4.06E Pass Throughs_ROR &amp; CONV FACTOR 2" xfId="242"/>
    <cellStyle name="_4.06E Pass Throughs_ROR &amp; CONV FACTOR 2 2" xfId="243"/>
    <cellStyle name="_4.06E Pass Throughs_ROR &amp; CONV FACTOR 3" xfId="244"/>
    <cellStyle name="_4.06E Pass Throughs_ROR 5.02" xfId="245"/>
    <cellStyle name="_4.06E Pass Throughs_ROR 5.02 2" xfId="246"/>
    <cellStyle name="_4.06E Pass Throughs_ROR 5.02 2 2" xfId="247"/>
    <cellStyle name="_4.06E Pass Throughs_ROR 5.02 3" xfId="248"/>
    <cellStyle name="_4.06E Pass Throughs_Wind Integration 10GRC" xfId="249"/>
    <cellStyle name="_4.06E Pass Throughs_Wind Integration 10GRC 2" xfId="250"/>
    <cellStyle name="_4.13E Montana Energy Tax" xfId="251"/>
    <cellStyle name="_4.13E Montana Energy Tax 2" xfId="252"/>
    <cellStyle name="_4.13E Montana Energy Tax 2 2" xfId="253"/>
    <cellStyle name="_4.13E Montana Energy Tax 2 2 2" xfId="254"/>
    <cellStyle name="_4.13E Montana Energy Tax 2 3" xfId="255"/>
    <cellStyle name="_4.13E Montana Energy Tax 3" xfId="256"/>
    <cellStyle name="_4.13E Montana Energy Tax 3 2" xfId="257"/>
    <cellStyle name="_4.13E Montana Energy Tax 3 2 2" xfId="258"/>
    <cellStyle name="_4.13E Montana Energy Tax 3 3" xfId="259"/>
    <cellStyle name="_4.13E Montana Energy Tax 3 3 2" xfId="260"/>
    <cellStyle name="_4.13E Montana Energy Tax 3 4" xfId="261"/>
    <cellStyle name="_4.13E Montana Energy Tax 3 4 2" xfId="262"/>
    <cellStyle name="_4.13E Montana Energy Tax 4" xfId="263"/>
    <cellStyle name="_4.13E Montana Energy Tax 4 2" xfId="264"/>
    <cellStyle name="_4.13E Montana Energy Tax 5" xfId="265"/>
    <cellStyle name="_4.13E Montana Energy Tax 6" xfId="266"/>
    <cellStyle name="_4.13E Montana Energy Tax 7" xfId="267"/>
    <cellStyle name="_4.13E Montana Energy Tax_04 07E Wild Horse Wind Expansion (C) (2)" xfId="268"/>
    <cellStyle name="_4.13E Montana Energy Tax_04 07E Wild Horse Wind Expansion (C) (2) 2" xfId="269"/>
    <cellStyle name="_4.13E Montana Energy Tax_04 07E Wild Horse Wind Expansion (C) (2) 2 2" xfId="270"/>
    <cellStyle name="_4.13E Montana Energy Tax_04 07E Wild Horse Wind Expansion (C) (2) 3" xfId="271"/>
    <cellStyle name="_4.13E Montana Energy Tax_04 07E Wild Horse Wind Expansion (C) (2)_Adj Bench DR 3 for Initial Briefs (Electric)" xfId="272"/>
    <cellStyle name="_4.13E Montana Energy Tax_04 07E Wild Horse Wind Expansion (C) (2)_Adj Bench DR 3 for Initial Briefs (Electric) 2" xfId="273"/>
    <cellStyle name="_4.13E Montana Energy Tax_04 07E Wild Horse Wind Expansion (C) (2)_Adj Bench DR 3 for Initial Briefs (Electric) 2 2" xfId="274"/>
    <cellStyle name="_4.13E Montana Energy Tax_04 07E Wild Horse Wind Expansion (C) (2)_Adj Bench DR 3 for Initial Briefs (Electric) 3" xfId="275"/>
    <cellStyle name="_4.13E Montana Energy Tax_04 07E Wild Horse Wind Expansion (C) (2)_Book1" xfId="276"/>
    <cellStyle name="_4.13E Montana Energy Tax_04 07E Wild Horse Wind Expansion (C) (2)_Electric Rev Req Model (2009 GRC) " xfId="277"/>
    <cellStyle name="_4.13E Montana Energy Tax_04 07E Wild Horse Wind Expansion (C) (2)_Electric Rev Req Model (2009 GRC)  2" xfId="278"/>
    <cellStyle name="_4.13E Montana Energy Tax_04 07E Wild Horse Wind Expansion (C) (2)_Electric Rev Req Model (2009 GRC)  2 2" xfId="279"/>
    <cellStyle name="_4.13E Montana Energy Tax_04 07E Wild Horse Wind Expansion (C) (2)_Electric Rev Req Model (2009 GRC)  3" xfId="280"/>
    <cellStyle name="_4.13E Montana Energy Tax_04 07E Wild Horse Wind Expansion (C) (2)_Electric Rev Req Model (2009 GRC) Rebuttal" xfId="281"/>
    <cellStyle name="_4.13E Montana Energy Tax_04 07E Wild Horse Wind Expansion (C) (2)_Electric Rev Req Model (2009 GRC) Rebuttal 2" xfId="282"/>
    <cellStyle name="_4.13E Montana Energy Tax_04 07E Wild Horse Wind Expansion (C) (2)_Electric Rev Req Model (2009 GRC) Rebuttal 2 2" xfId="283"/>
    <cellStyle name="_4.13E Montana Energy Tax_04 07E Wild Horse Wind Expansion (C) (2)_Electric Rev Req Model (2009 GRC) Rebuttal 3" xfId="284"/>
    <cellStyle name="_4.13E Montana Energy Tax_04 07E Wild Horse Wind Expansion (C) (2)_Electric Rev Req Model (2009 GRC) Rebuttal REmoval of New  WH Solar AdjustMI" xfId="285"/>
    <cellStyle name="_4.13E Montana Energy Tax_04 07E Wild Horse Wind Expansion (C) (2)_Electric Rev Req Model (2009 GRC) Rebuttal REmoval of New  WH Solar AdjustMI 2" xfId="286"/>
    <cellStyle name="_4.13E Montana Energy Tax_04 07E Wild Horse Wind Expansion (C) (2)_Electric Rev Req Model (2009 GRC) Rebuttal REmoval of New  WH Solar AdjustMI 2 2" xfId="287"/>
    <cellStyle name="_4.13E Montana Energy Tax_04 07E Wild Horse Wind Expansion (C) (2)_Electric Rev Req Model (2009 GRC) Rebuttal REmoval of New  WH Solar AdjustMI 3" xfId="288"/>
    <cellStyle name="_4.13E Montana Energy Tax_04 07E Wild Horse Wind Expansion (C) (2)_Electric Rev Req Model (2009 GRC) Revised 01-18-2010" xfId="289"/>
    <cellStyle name="_4.13E Montana Energy Tax_04 07E Wild Horse Wind Expansion (C) (2)_Electric Rev Req Model (2009 GRC) Revised 01-18-2010 2" xfId="290"/>
    <cellStyle name="_4.13E Montana Energy Tax_04 07E Wild Horse Wind Expansion (C) (2)_Electric Rev Req Model (2009 GRC) Revised 01-18-2010 2 2" xfId="291"/>
    <cellStyle name="_4.13E Montana Energy Tax_04 07E Wild Horse Wind Expansion (C) (2)_Electric Rev Req Model (2009 GRC) Revised 01-18-2010 3" xfId="292"/>
    <cellStyle name="_4.13E Montana Energy Tax_04 07E Wild Horse Wind Expansion (C) (2)_Electric Rev Req Model (2010 GRC)" xfId="293"/>
    <cellStyle name="_4.13E Montana Energy Tax_04 07E Wild Horse Wind Expansion (C) (2)_Electric Rev Req Model (2010 GRC) SF" xfId="294"/>
    <cellStyle name="_4.13E Montana Energy Tax_04 07E Wild Horse Wind Expansion (C) (2)_Final Order Electric EXHIBIT A-1" xfId="295"/>
    <cellStyle name="_4.13E Montana Energy Tax_04 07E Wild Horse Wind Expansion (C) (2)_Final Order Electric EXHIBIT A-1 2" xfId="296"/>
    <cellStyle name="_4.13E Montana Energy Tax_04 07E Wild Horse Wind Expansion (C) (2)_Final Order Electric EXHIBIT A-1 2 2" xfId="297"/>
    <cellStyle name="_4.13E Montana Energy Tax_04 07E Wild Horse Wind Expansion (C) (2)_Final Order Electric EXHIBIT A-1 3" xfId="298"/>
    <cellStyle name="_4.13E Montana Energy Tax_04 07E Wild Horse Wind Expansion (C) (2)_TENASKA REGULATORY ASSET" xfId="299"/>
    <cellStyle name="_4.13E Montana Energy Tax_04 07E Wild Horse Wind Expansion (C) (2)_TENASKA REGULATORY ASSET 2" xfId="300"/>
    <cellStyle name="_4.13E Montana Energy Tax_04 07E Wild Horse Wind Expansion (C) (2)_TENASKA REGULATORY ASSET 2 2" xfId="301"/>
    <cellStyle name="_4.13E Montana Energy Tax_04 07E Wild Horse Wind Expansion (C) (2)_TENASKA REGULATORY ASSET 3" xfId="302"/>
    <cellStyle name="_4.13E Montana Energy Tax_16.37E Wild Horse Expansion DeferralRevwrkingfile SF" xfId="303"/>
    <cellStyle name="_4.13E Montana Energy Tax_16.37E Wild Horse Expansion DeferralRevwrkingfile SF 2" xfId="304"/>
    <cellStyle name="_4.13E Montana Energy Tax_16.37E Wild Horse Expansion DeferralRevwrkingfile SF 2 2" xfId="305"/>
    <cellStyle name="_4.13E Montana Energy Tax_16.37E Wild Horse Expansion DeferralRevwrkingfile SF 3" xfId="306"/>
    <cellStyle name="_4.13E Montana Energy Tax_2009 Compliance Filing PCA Exhibits for GRC" xfId="307"/>
    <cellStyle name="_4.13E Montana Energy Tax_2009 GRC Compl Filing - Exhibit D" xfId="308"/>
    <cellStyle name="_4.13E Montana Energy Tax_2009 GRC Compl Filing - Exhibit D 2" xfId="309"/>
    <cellStyle name="_4.13E Montana Energy Tax_3.01 Income Statement" xfId="310"/>
    <cellStyle name="_4.13E Montana Energy Tax_4 31 Regulatory Assets and Liabilities  7 06- Exhibit D" xfId="311"/>
    <cellStyle name="_4.13E Montana Energy Tax_4 31 Regulatory Assets and Liabilities  7 06- Exhibit D 2" xfId="312"/>
    <cellStyle name="_4.13E Montana Energy Tax_4 31 Regulatory Assets and Liabilities  7 06- Exhibit D 2 2" xfId="313"/>
    <cellStyle name="_4.13E Montana Energy Tax_4 31 Regulatory Assets and Liabilities  7 06- Exhibit D 3" xfId="314"/>
    <cellStyle name="_4.13E Montana Energy Tax_4 31 Regulatory Assets and Liabilities  7 06- Exhibit D_NIM Summary" xfId="315"/>
    <cellStyle name="_4.13E Montana Energy Tax_4 31 Regulatory Assets and Liabilities  7 06- Exhibit D_NIM Summary 2" xfId="316"/>
    <cellStyle name="_4.13E Montana Energy Tax_4 32 Regulatory Assets and Liabilities  7 06- Exhibit D" xfId="317"/>
    <cellStyle name="_4.13E Montana Energy Tax_4 32 Regulatory Assets and Liabilities  7 06- Exhibit D 2" xfId="318"/>
    <cellStyle name="_4.13E Montana Energy Tax_4 32 Regulatory Assets and Liabilities  7 06- Exhibit D 2 2" xfId="319"/>
    <cellStyle name="_4.13E Montana Energy Tax_4 32 Regulatory Assets and Liabilities  7 06- Exhibit D 3" xfId="320"/>
    <cellStyle name="_4.13E Montana Energy Tax_4 32 Regulatory Assets and Liabilities  7 06- Exhibit D_NIM Summary" xfId="321"/>
    <cellStyle name="_4.13E Montana Energy Tax_4 32 Regulatory Assets and Liabilities  7 06- Exhibit D_NIM Summary 2" xfId="322"/>
    <cellStyle name="_4.13E Montana Energy Tax_AURORA Total New" xfId="323"/>
    <cellStyle name="_4.13E Montana Energy Tax_AURORA Total New 2" xfId="324"/>
    <cellStyle name="_4.13E Montana Energy Tax_Book2" xfId="325"/>
    <cellStyle name="_4.13E Montana Energy Tax_Book2 2" xfId="326"/>
    <cellStyle name="_4.13E Montana Energy Tax_Book2 2 2" xfId="327"/>
    <cellStyle name="_4.13E Montana Energy Tax_Book2 3" xfId="328"/>
    <cellStyle name="_4.13E Montana Energy Tax_Book2_Adj Bench DR 3 for Initial Briefs (Electric)" xfId="329"/>
    <cellStyle name="_4.13E Montana Energy Tax_Book2_Adj Bench DR 3 for Initial Briefs (Electric) 2" xfId="330"/>
    <cellStyle name="_4.13E Montana Energy Tax_Book2_Adj Bench DR 3 for Initial Briefs (Electric) 2 2" xfId="331"/>
    <cellStyle name="_4.13E Montana Energy Tax_Book2_Adj Bench DR 3 for Initial Briefs (Electric) 3" xfId="332"/>
    <cellStyle name="_4.13E Montana Energy Tax_Book2_Electric Rev Req Model (2009 GRC) Rebuttal" xfId="333"/>
    <cellStyle name="_4.13E Montana Energy Tax_Book2_Electric Rev Req Model (2009 GRC) Rebuttal 2" xfId="334"/>
    <cellStyle name="_4.13E Montana Energy Tax_Book2_Electric Rev Req Model (2009 GRC) Rebuttal 2 2" xfId="335"/>
    <cellStyle name="_4.13E Montana Energy Tax_Book2_Electric Rev Req Model (2009 GRC) Rebuttal 3" xfId="336"/>
    <cellStyle name="_4.13E Montana Energy Tax_Book2_Electric Rev Req Model (2009 GRC) Rebuttal REmoval of New  WH Solar AdjustMI" xfId="337"/>
    <cellStyle name="_4.13E Montana Energy Tax_Book2_Electric Rev Req Model (2009 GRC) Rebuttal REmoval of New  WH Solar AdjustMI 2" xfId="338"/>
    <cellStyle name="_4.13E Montana Energy Tax_Book2_Electric Rev Req Model (2009 GRC) Rebuttal REmoval of New  WH Solar AdjustMI 2 2" xfId="339"/>
    <cellStyle name="_4.13E Montana Energy Tax_Book2_Electric Rev Req Model (2009 GRC) Rebuttal REmoval of New  WH Solar AdjustMI 3" xfId="340"/>
    <cellStyle name="_4.13E Montana Energy Tax_Book2_Electric Rev Req Model (2009 GRC) Revised 01-18-2010" xfId="341"/>
    <cellStyle name="_4.13E Montana Energy Tax_Book2_Electric Rev Req Model (2009 GRC) Revised 01-18-2010 2" xfId="342"/>
    <cellStyle name="_4.13E Montana Energy Tax_Book2_Electric Rev Req Model (2009 GRC) Revised 01-18-2010 2 2" xfId="343"/>
    <cellStyle name="_4.13E Montana Energy Tax_Book2_Electric Rev Req Model (2009 GRC) Revised 01-18-2010 3" xfId="344"/>
    <cellStyle name="_4.13E Montana Energy Tax_Book2_Final Order Electric EXHIBIT A-1" xfId="345"/>
    <cellStyle name="_4.13E Montana Energy Tax_Book2_Final Order Electric EXHIBIT A-1 2" xfId="346"/>
    <cellStyle name="_4.13E Montana Energy Tax_Book2_Final Order Electric EXHIBIT A-1 2 2" xfId="347"/>
    <cellStyle name="_4.13E Montana Energy Tax_Book2_Final Order Electric EXHIBIT A-1 3" xfId="348"/>
    <cellStyle name="_4.13E Montana Energy Tax_Book4" xfId="349"/>
    <cellStyle name="_4.13E Montana Energy Tax_Book4 2" xfId="350"/>
    <cellStyle name="_4.13E Montana Energy Tax_Book4 2 2" xfId="351"/>
    <cellStyle name="_4.13E Montana Energy Tax_Book4 3" xfId="352"/>
    <cellStyle name="_4.13E Montana Energy Tax_Book9" xfId="353"/>
    <cellStyle name="_4.13E Montana Energy Tax_Book9 2" xfId="354"/>
    <cellStyle name="_4.13E Montana Energy Tax_Book9 2 2" xfId="355"/>
    <cellStyle name="_4.13E Montana Energy Tax_Book9 3" xfId="356"/>
    <cellStyle name="_4.13E Montana Energy Tax_Chelan PUD Power Costs (8-10)" xfId="357"/>
    <cellStyle name="_4.13E Montana Energy Tax_INPUTS" xfId="358"/>
    <cellStyle name="_4.13E Montana Energy Tax_INPUTS 2" xfId="359"/>
    <cellStyle name="_4.13E Montana Energy Tax_INPUTS 2 2" xfId="360"/>
    <cellStyle name="_4.13E Montana Energy Tax_INPUTS 3" xfId="361"/>
    <cellStyle name="_4.13E Montana Energy Tax_NIM Summary" xfId="362"/>
    <cellStyle name="_4.13E Montana Energy Tax_NIM Summary 09GRC" xfId="363"/>
    <cellStyle name="_4.13E Montana Energy Tax_NIM Summary 09GRC 2" xfId="364"/>
    <cellStyle name="_4.13E Montana Energy Tax_NIM Summary 2" xfId="365"/>
    <cellStyle name="_4.13E Montana Energy Tax_NIM Summary 3" xfId="366"/>
    <cellStyle name="_4.13E Montana Energy Tax_NIM Summary 4" xfId="367"/>
    <cellStyle name="_4.13E Montana Energy Tax_NIM Summary 5" xfId="368"/>
    <cellStyle name="_4.13E Montana Energy Tax_NIM Summary 6" xfId="369"/>
    <cellStyle name="_4.13E Montana Energy Tax_NIM Summary 7" xfId="370"/>
    <cellStyle name="_4.13E Montana Energy Tax_NIM Summary 8" xfId="371"/>
    <cellStyle name="_4.13E Montana Energy Tax_NIM Summary 9" xfId="372"/>
    <cellStyle name="_4.13E Montana Energy Tax_PCA 10 -  Exhibit D from A Kellogg Jan 2011" xfId="373"/>
    <cellStyle name="_4.13E Montana Energy Tax_PCA 10 -  Exhibit D from A Kellogg July 2011" xfId="374"/>
    <cellStyle name="_4.13E Montana Energy Tax_PCA 10 -  Exhibit D from S Free Rcv'd 12-11" xfId="375"/>
    <cellStyle name="_4.13E Montana Energy Tax_PCA 9 -  Exhibit D April 2010" xfId="376"/>
    <cellStyle name="_4.13E Montana Energy Tax_PCA 9 -  Exhibit D April 2010 (3)" xfId="377"/>
    <cellStyle name="_4.13E Montana Energy Tax_PCA 9 -  Exhibit D April 2010 (3) 2" xfId="378"/>
    <cellStyle name="_4.13E Montana Energy Tax_PCA 9 -  Exhibit D Nov 2010" xfId="379"/>
    <cellStyle name="_4.13E Montana Energy Tax_PCA 9 - Exhibit D at August 2010" xfId="380"/>
    <cellStyle name="_4.13E Montana Energy Tax_PCA 9 - Exhibit D June 2010 GRC" xfId="381"/>
    <cellStyle name="_4.13E Montana Energy Tax_Power Costs - Comparison bx Rbtl-Staff-Jt-PC" xfId="382"/>
    <cellStyle name="_4.13E Montana Energy Tax_Power Costs - Comparison bx Rbtl-Staff-Jt-PC 2" xfId="383"/>
    <cellStyle name="_4.13E Montana Energy Tax_Power Costs - Comparison bx Rbtl-Staff-Jt-PC 2 2" xfId="384"/>
    <cellStyle name="_4.13E Montana Energy Tax_Power Costs - Comparison bx Rbtl-Staff-Jt-PC 3" xfId="385"/>
    <cellStyle name="_4.13E Montana Energy Tax_Power Costs - Comparison bx Rbtl-Staff-Jt-PC_Adj Bench DR 3 for Initial Briefs (Electric)" xfId="386"/>
    <cellStyle name="_4.13E Montana Energy Tax_Power Costs - Comparison bx Rbtl-Staff-Jt-PC_Adj Bench DR 3 for Initial Briefs (Electric) 2" xfId="387"/>
    <cellStyle name="_4.13E Montana Energy Tax_Power Costs - Comparison bx Rbtl-Staff-Jt-PC_Adj Bench DR 3 for Initial Briefs (Electric) 2 2" xfId="388"/>
    <cellStyle name="_4.13E Montana Energy Tax_Power Costs - Comparison bx Rbtl-Staff-Jt-PC_Adj Bench DR 3 for Initial Briefs (Electric) 3" xfId="389"/>
    <cellStyle name="_4.13E Montana Energy Tax_Power Costs - Comparison bx Rbtl-Staff-Jt-PC_Electric Rev Req Model (2009 GRC) Rebuttal" xfId="390"/>
    <cellStyle name="_4.13E Montana Energy Tax_Power Costs - Comparison bx Rbtl-Staff-Jt-PC_Electric Rev Req Model (2009 GRC) Rebuttal 2" xfId="391"/>
    <cellStyle name="_4.13E Montana Energy Tax_Power Costs - Comparison bx Rbtl-Staff-Jt-PC_Electric Rev Req Model (2009 GRC) Rebuttal 2 2" xfId="392"/>
    <cellStyle name="_4.13E Montana Energy Tax_Power Costs - Comparison bx Rbtl-Staff-Jt-PC_Electric Rev Req Model (2009 GRC) Rebuttal 3" xfId="393"/>
    <cellStyle name="_4.13E Montana Energy Tax_Power Costs - Comparison bx Rbtl-Staff-Jt-PC_Electric Rev Req Model (2009 GRC) Rebuttal REmoval of New  WH Solar AdjustMI" xfId="394"/>
    <cellStyle name="_4.13E Montana Energy Tax_Power Costs - Comparison bx Rbtl-Staff-Jt-PC_Electric Rev Req Model (2009 GRC) Rebuttal REmoval of New  WH Solar AdjustMI 2" xfId="395"/>
    <cellStyle name="_4.13E Montana Energy Tax_Power Costs - Comparison bx Rbtl-Staff-Jt-PC_Electric Rev Req Model (2009 GRC) Rebuttal REmoval of New  WH Solar AdjustMI 2 2" xfId="396"/>
    <cellStyle name="_4.13E Montana Energy Tax_Power Costs - Comparison bx Rbtl-Staff-Jt-PC_Electric Rev Req Model (2009 GRC) Rebuttal REmoval of New  WH Solar AdjustMI 3" xfId="397"/>
    <cellStyle name="_4.13E Montana Energy Tax_Power Costs - Comparison bx Rbtl-Staff-Jt-PC_Electric Rev Req Model (2009 GRC) Revised 01-18-2010" xfId="398"/>
    <cellStyle name="_4.13E Montana Energy Tax_Power Costs - Comparison bx Rbtl-Staff-Jt-PC_Electric Rev Req Model (2009 GRC) Revised 01-18-2010 2" xfId="399"/>
    <cellStyle name="_4.13E Montana Energy Tax_Power Costs - Comparison bx Rbtl-Staff-Jt-PC_Electric Rev Req Model (2009 GRC) Revised 01-18-2010 2 2" xfId="400"/>
    <cellStyle name="_4.13E Montana Energy Tax_Power Costs - Comparison bx Rbtl-Staff-Jt-PC_Electric Rev Req Model (2009 GRC) Revised 01-18-2010 3" xfId="401"/>
    <cellStyle name="_4.13E Montana Energy Tax_Power Costs - Comparison bx Rbtl-Staff-Jt-PC_Final Order Electric EXHIBIT A-1" xfId="402"/>
    <cellStyle name="_4.13E Montana Energy Tax_Power Costs - Comparison bx Rbtl-Staff-Jt-PC_Final Order Electric EXHIBIT A-1 2" xfId="403"/>
    <cellStyle name="_4.13E Montana Energy Tax_Power Costs - Comparison bx Rbtl-Staff-Jt-PC_Final Order Electric EXHIBIT A-1 2 2" xfId="404"/>
    <cellStyle name="_4.13E Montana Energy Tax_Power Costs - Comparison bx Rbtl-Staff-Jt-PC_Final Order Electric EXHIBIT A-1 3" xfId="405"/>
    <cellStyle name="_4.13E Montana Energy Tax_Production Adj 4.37" xfId="406"/>
    <cellStyle name="_4.13E Montana Energy Tax_Production Adj 4.37 2" xfId="407"/>
    <cellStyle name="_4.13E Montana Energy Tax_Production Adj 4.37 2 2" xfId="408"/>
    <cellStyle name="_4.13E Montana Energy Tax_Production Adj 4.37 3" xfId="409"/>
    <cellStyle name="_4.13E Montana Energy Tax_Purchased Power Adj 4.03" xfId="410"/>
    <cellStyle name="_4.13E Montana Energy Tax_Purchased Power Adj 4.03 2" xfId="411"/>
    <cellStyle name="_4.13E Montana Energy Tax_Purchased Power Adj 4.03 2 2" xfId="412"/>
    <cellStyle name="_4.13E Montana Energy Tax_Purchased Power Adj 4.03 3" xfId="413"/>
    <cellStyle name="_4.13E Montana Energy Tax_Rebuttal Power Costs" xfId="414"/>
    <cellStyle name="_4.13E Montana Energy Tax_Rebuttal Power Costs 2" xfId="415"/>
    <cellStyle name="_4.13E Montana Energy Tax_Rebuttal Power Costs 2 2" xfId="416"/>
    <cellStyle name="_4.13E Montana Energy Tax_Rebuttal Power Costs 3" xfId="417"/>
    <cellStyle name="_4.13E Montana Energy Tax_Rebuttal Power Costs_Adj Bench DR 3 for Initial Briefs (Electric)" xfId="418"/>
    <cellStyle name="_4.13E Montana Energy Tax_Rebuttal Power Costs_Adj Bench DR 3 for Initial Briefs (Electric) 2" xfId="419"/>
    <cellStyle name="_4.13E Montana Energy Tax_Rebuttal Power Costs_Adj Bench DR 3 for Initial Briefs (Electric) 2 2" xfId="420"/>
    <cellStyle name="_4.13E Montana Energy Tax_Rebuttal Power Costs_Adj Bench DR 3 for Initial Briefs (Electric) 3" xfId="421"/>
    <cellStyle name="_4.13E Montana Energy Tax_Rebuttal Power Costs_Electric Rev Req Model (2009 GRC) Rebuttal" xfId="422"/>
    <cellStyle name="_4.13E Montana Energy Tax_Rebuttal Power Costs_Electric Rev Req Model (2009 GRC) Rebuttal 2" xfId="423"/>
    <cellStyle name="_4.13E Montana Energy Tax_Rebuttal Power Costs_Electric Rev Req Model (2009 GRC) Rebuttal 2 2" xfId="424"/>
    <cellStyle name="_4.13E Montana Energy Tax_Rebuttal Power Costs_Electric Rev Req Model (2009 GRC) Rebuttal 3" xfId="425"/>
    <cellStyle name="_4.13E Montana Energy Tax_Rebuttal Power Costs_Electric Rev Req Model (2009 GRC) Rebuttal REmoval of New  WH Solar AdjustMI" xfId="426"/>
    <cellStyle name="_4.13E Montana Energy Tax_Rebuttal Power Costs_Electric Rev Req Model (2009 GRC) Rebuttal REmoval of New  WH Solar AdjustMI 2" xfId="427"/>
    <cellStyle name="_4.13E Montana Energy Tax_Rebuttal Power Costs_Electric Rev Req Model (2009 GRC) Rebuttal REmoval of New  WH Solar AdjustMI 2 2" xfId="428"/>
    <cellStyle name="_4.13E Montana Energy Tax_Rebuttal Power Costs_Electric Rev Req Model (2009 GRC) Rebuttal REmoval of New  WH Solar AdjustMI 3" xfId="429"/>
    <cellStyle name="_4.13E Montana Energy Tax_Rebuttal Power Costs_Electric Rev Req Model (2009 GRC) Revised 01-18-2010" xfId="430"/>
    <cellStyle name="_4.13E Montana Energy Tax_Rebuttal Power Costs_Electric Rev Req Model (2009 GRC) Revised 01-18-2010 2" xfId="431"/>
    <cellStyle name="_4.13E Montana Energy Tax_Rebuttal Power Costs_Electric Rev Req Model (2009 GRC) Revised 01-18-2010 2 2" xfId="432"/>
    <cellStyle name="_4.13E Montana Energy Tax_Rebuttal Power Costs_Electric Rev Req Model (2009 GRC) Revised 01-18-2010 3" xfId="433"/>
    <cellStyle name="_4.13E Montana Energy Tax_Rebuttal Power Costs_Final Order Electric EXHIBIT A-1" xfId="434"/>
    <cellStyle name="_4.13E Montana Energy Tax_Rebuttal Power Costs_Final Order Electric EXHIBIT A-1 2" xfId="435"/>
    <cellStyle name="_4.13E Montana Energy Tax_Rebuttal Power Costs_Final Order Electric EXHIBIT A-1 2 2" xfId="436"/>
    <cellStyle name="_4.13E Montana Energy Tax_Rebuttal Power Costs_Final Order Electric EXHIBIT A-1 3" xfId="437"/>
    <cellStyle name="_4.13E Montana Energy Tax_ROR &amp; CONV FACTOR" xfId="438"/>
    <cellStyle name="_4.13E Montana Energy Tax_ROR &amp; CONV FACTOR 2" xfId="439"/>
    <cellStyle name="_4.13E Montana Energy Tax_ROR &amp; CONV FACTOR 2 2" xfId="440"/>
    <cellStyle name="_4.13E Montana Energy Tax_ROR &amp; CONV FACTOR 3" xfId="441"/>
    <cellStyle name="_4.13E Montana Energy Tax_ROR 5.02" xfId="442"/>
    <cellStyle name="_4.13E Montana Energy Tax_ROR 5.02 2" xfId="443"/>
    <cellStyle name="_4.13E Montana Energy Tax_ROR 5.02 2 2" xfId="444"/>
    <cellStyle name="_4.13E Montana Energy Tax_ROR 5.02 3" xfId="445"/>
    <cellStyle name="_4.13E Montana Energy Tax_Wind Integration 10GRC" xfId="446"/>
    <cellStyle name="_4.13E Montana Energy Tax_Wind Integration 10GRC 2" xfId="447"/>
    <cellStyle name="_4.17E Montana Energy Tax Working File" xfId="448"/>
    <cellStyle name="_5 year summary (9-25-09)" xfId="449"/>
    <cellStyle name="_5.03G-Conversion Factor Working FileMI" xfId="450"/>
    <cellStyle name="_x0013__Adj Bench DR 3 for Initial Briefs (Electric)" xfId="451"/>
    <cellStyle name="_x0013__Adj Bench DR 3 for Initial Briefs (Electric) 2" xfId="452"/>
    <cellStyle name="_x0013__Adj Bench DR 3 for Initial Briefs (Electric) 2 2" xfId="453"/>
    <cellStyle name="_x0013__Adj Bench DR 3 for Initial Briefs (Electric) 3" xfId="454"/>
    <cellStyle name="_AURORA WIP" xfId="455"/>
    <cellStyle name="_AURORA WIP 2" xfId="456"/>
    <cellStyle name="_AURORA WIP 2 2" xfId="457"/>
    <cellStyle name="_AURORA WIP 3" xfId="458"/>
    <cellStyle name="_AURORA WIP_Chelan PUD Power Costs (8-10)" xfId="459"/>
    <cellStyle name="_AURORA WIP_DEM-WP(C) Costs Not In AURORA 2010GRC As Filed" xfId="460"/>
    <cellStyle name="_AURORA WIP_DEM-WP(C) Costs Not In AURORA 2010GRC As Filed 2" xfId="461"/>
    <cellStyle name="_AURORA WIP_NIM Summary" xfId="462"/>
    <cellStyle name="_AURORA WIP_NIM Summary 09GRC" xfId="463"/>
    <cellStyle name="_AURORA WIP_NIM Summary 09GRC 2" xfId="464"/>
    <cellStyle name="_AURORA WIP_NIM Summary 2" xfId="465"/>
    <cellStyle name="_AURORA WIP_NIM Summary 3" xfId="466"/>
    <cellStyle name="_AURORA WIP_NIM Summary 4" xfId="467"/>
    <cellStyle name="_AURORA WIP_NIM Summary 5" xfId="468"/>
    <cellStyle name="_AURORA WIP_NIM Summary 6" xfId="469"/>
    <cellStyle name="_AURORA WIP_NIM Summary 7" xfId="470"/>
    <cellStyle name="_AURORA WIP_NIM Summary 8" xfId="471"/>
    <cellStyle name="_AURORA WIP_NIM Summary 9" xfId="472"/>
    <cellStyle name="_AURORA WIP_PCA 9 -  Exhibit D April 2010 (3)" xfId="473"/>
    <cellStyle name="_AURORA WIP_PCA 9 -  Exhibit D April 2010 (3) 2" xfId="474"/>
    <cellStyle name="_AURORA WIP_Reconciliation" xfId="475"/>
    <cellStyle name="_AURORA WIP_Reconciliation 2" xfId="476"/>
    <cellStyle name="_AURORA WIP_Wind Integration 10GRC" xfId="477"/>
    <cellStyle name="_AURORA WIP_Wind Integration 10GRC 2" xfId="478"/>
    <cellStyle name="_Book1" xfId="479"/>
    <cellStyle name="_x0013__Book1" xfId="480"/>
    <cellStyle name="_Book1 (2)" xfId="481"/>
    <cellStyle name="_Book1 (2) 2" xfId="482"/>
    <cellStyle name="_Book1 (2) 2 2" xfId="483"/>
    <cellStyle name="_Book1 (2) 2 2 2" xfId="484"/>
    <cellStyle name="_Book1 (2) 2 3" xfId="485"/>
    <cellStyle name="_Book1 (2) 3" xfId="486"/>
    <cellStyle name="_Book1 (2) 3 2" xfId="487"/>
    <cellStyle name="_Book1 (2) 3 2 2" xfId="488"/>
    <cellStyle name="_Book1 (2) 3 3" xfId="489"/>
    <cellStyle name="_Book1 (2) 3 3 2" xfId="490"/>
    <cellStyle name="_Book1 (2) 3 4" xfId="491"/>
    <cellStyle name="_Book1 (2) 3 4 2" xfId="492"/>
    <cellStyle name="_Book1 (2) 4" xfId="493"/>
    <cellStyle name="_Book1 (2) 4 2" xfId="494"/>
    <cellStyle name="_Book1 (2) 5" xfId="495"/>
    <cellStyle name="_Book1 (2) 6" xfId="496"/>
    <cellStyle name="_Book1 (2) 7" xfId="497"/>
    <cellStyle name="_Book1 (2)_04 07E Wild Horse Wind Expansion (C) (2)" xfId="498"/>
    <cellStyle name="_Book1 (2)_04 07E Wild Horse Wind Expansion (C) (2) 2" xfId="499"/>
    <cellStyle name="_Book1 (2)_04 07E Wild Horse Wind Expansion (C) (2) 2 2" xfId="500"/>
    <cellStyle name="_Book1 (2)_04 07E Wild Horse Wind Expansion (C) (2) 3" xfId="501"/>
    <cellStyle name="_Book1 (2)_04 07E Wild Horse Wind Expansion (C) (2)_Adj Bench DR 3 for Initial Briefs (Electric)" xfId="502"/>
    <cellStyle name="_Book1 (2)_04 07E Wild Horse Wind Expansion (C) (2)_Adj Bench DR 3 for Initial Briefs (Electric) 2" xfId="503"/>
    <cellStyle name="_Book1 (2)_04 07E Wild Horse Wind Expansion (C) (2)_Adj Bench DR 3 for Initial Briefs (Electric) 2 2" xfId="504"/>
    <cellStyle name="_Book1 (2)_04 07E Wild Horse Wind Expansion (C) (2)_Adj Bench DR 3 for Initial Briefs (Electric) 3" xfId="505"/>
    <cellStyle name="_Book1 (2)_04 07E Wild Horse Wind Expansion (C) (2)_Book1" xfId="506"/>
    <cellStyle name="_Book1 (2)_04 07E Wild Horse Wind Expansion (C) (2)_Electric Rev Req Model (2009 GRC) " xfId="507"/>
    <cellStyle name="_Book1 (2)_04 07E Wild Horse Wind Expansion (C) (2)_Electric Rev Req Model (2009 GRC)  2" xfId="508"/>
    <cellStyle name="_Book1 (2)_04 07E Wild Horse Wind Expansion (C) (2)_Electric Rev Req Model (2009 GRC)  2 2" xfId="509"/>
    <cellStyle name="_Book1 (2)_04 07E Wild Horse Wind Expansion (C) (2)_Electric Rev Req Model (2009 GRC)  3" xfId="510"/>
    <cellStyle name="_Book1 (2)_04 07E Wild Horse Wind Expansion (C) (2)_Electric Rev Req Model (2009 GRC) Rebuttal" xfId="511"/>
    <cellStyle name="_Book1 (2)_04 07E Wild Horse Wind Expansion (C) (2)_Electric Rev Req Model (2009 GRC) Rebuttal 2" xfId="512"/>
    <cellStyle name="_Book1 (2)_04 07E Wild Horse Wind Expansion (C) (2)_Electric Rev Req Model (2009 GRC) Rebuttal 2 2" xfId="513"/>
    <cellStyle name="_Book1 (2)_04 07E Wild Horse Wind Expansion (C) (2)_Electric Rev Req Model (2009 GRC) Rebuttal 3" xfId="514"/>
    <cellStyle name="_Book1 (2)_04 07E Wild Horse Wind Expansion (C) (2)_Electric Rev Req Model (2009 GRC) Rebuttal REmoval of New  WH Solar AdjustMI" xfId="515"/>
    <cellStyle name="_Book1 (2)_04 07E Wild Horse Wind Expansion (C) (2)_Electric Rev Req Model (2009 GRC) Rebuttal REmoval of New  WH Solar AdjustMI 2" xfId="516"/>
    <cellStyle name="_Book1 (2)_04 07E Wild Horse Wind Expansion (C) (2)_Electric Rev Req Model (2009 GRC) Rebuttal REmoval of New  WH Solar AdjustMI 2 2" xfId="517"/>
    <cellStyle name="_Book1 (2)_04 07E Wild Horse Wind Expansion (C) (2)_Electric Rev Req Model (2009 GRC) Rebuttal REmoval of New  WH Solar AdjustMI 3" xfId="518"/>
    <cellStyle name="_Book1 (2)_04 07E Wild Horse Wind Expansion (C) (2)_Electric Rev Req Model (2009 GRC) Revised 01-18-2010" xfId="519"/>
    <cellStyle name="_Book1 (2)_04 07E Wild Horse Wind Expansion (C) (2)_Electric Rev Req Model (2009 GRC) Revised 01-18-2010 2" xfId="520"/>
    <cellStyle name="_Book1 (2)_04 07E Wild Horse Wind Expansion (C) (2)_Electric Rev Req Model (2009 GRC) Revised 01-18-2010 2 2" xfId="521"/>
    <cellStyle name="_Book1 (2)_04 07E Wild Horse Wind Expansion (C) (2)_Electric Rev Req Model (2009 GRC) Revised 01-18-2010 3" xfId="522"/>
    <cellStyle name="_Book1 (2)_04 07E Wild Horse Wind Expansion (C) (2)_Electric Rev Req Model (2010 GRC)" xfId="523"/>
    <cellStyle name="_Book1 (2)_04 07E Wild Horse Wind Expansion (C) (2)_Electric Rev Req Model (2010 GRC) SF" xfId="524"/>
    <cellStyle name="_Book1 (2)_04 07E Wild Horse Wind Expansion (C) (2)_Final Order Electric EXHIBIT A-1" xfId="525"/>
    <cellStyle name="_Book1 (2)_04 07E Wild Horse Wind Expansion (C) (2)_Final Order Electric EXHIBIT A-1 2" xfId="526"/>
    <cellStyle name="_Book1 (2)_04 07E Wild Horse Wind Expansion (C) (2)_Final Order Electric EXHIBIT A-1 2 2" xfId="527"/>
    <cellStyle name="_Book1 (2)_04 07E Wild Horse Wind Expansion (C) (2)_Final Order Electric EXHIBIT A-1 3" xfId="528"/>
    <cellStyle name="_Book1 (2)_04 07E Wild Horse Wind Expansion (C) (2)_TENASKA REGULATORY ASSET" xfId="529"/>
    <cellStyle name="_Book1 (2)_04 07E Wild Horse Wind Expansion (C) (2)_TENASKA REGULATORY ASSET 2" xfId="530"/>
    <cellStyle name="_Book1 (2)_04 07E Wild Horse Wind Expansion (C) (2)_TENASKA REGULATORY ASSET 2 2" xfId="531"/>
    <cellStyle name="_Book1 (2)_04 07E Wild Horse Wind Expansion (C) (2)_TENASKA REGULATORY ASSET 3" xfId="532"/>
    <cellStyle name="_Book1 (2)_16.37E Wild Horse Expansion DeferralRevwrkingfile SF" xfId="533"/>
    <cellStyle name="_Book1 (2)_16.37E Wild Horse Expansion DeferralRevwrkingfile SF 2" xfId="534"/>
    <cellStyle name="_Book1 (2)_16.37E Wild Horse Expansion DeferralRevwrkingfile SF 2 2" xfId="535"/>
    <cellStyle name="_Book1 (2)_16.37E Wild Horse Expansion DeferralRevwrkingfile SF 3" xfId="536"/>
    <cellStyle name="_Book1 (2)_2009 Compliance Filing PCA Exhibits for GRC" xfId="537"/>
    <cellStyle name="_Book1 (2)_2009 GRC Compl Filing - Exhibit D" xfId="538"/>
    <cellStyle name="_Book1 (2)_2009 GRC Compl Filing - Exhibit D 2" xfId="539"/>
    <cellStyle name="_Book1 (2)_3.01 Income Statement" xfId="540"/>
    <cellStyle name="_Book1 (2)_4 31 Regulatory Assets and Liabilities  7 06- Exhibit D" xfId="541"/>
    <cellStyle name="_Book1 (2)_4 31 Regulatory Assets and Liabilities  7 06- Exhibit D 2" xfId="542"/>
    <cellStyle name="_Book1 (2)_4 31 Regulatory Assets and Liabilities  7 06- Exhibit D 2 2" xfId="543"/>
    <cellStyle name="_Book1 (2)_4 31 Regulatory Assets and Liabilities  7 06- Exhibit D 3" xfId="544"/>
    <cellStyle name="_Book1 (2)_4 31 Regulatory Assets and Liabilities  7 06- Exhibit D_NIM Summary" xfId="545"/>
    <cellStyle name="_Book1 (2)_4 31 Regulatory Assets and Liabilities  7 06- Exhibit D_NIM Summary 2" xfId="546"/>
    <cellStyle name="_Book1 (2)_4 32 Regulatory Assets and Liabilities  7 06- Exhibit D" xfId="547"/>
    <cellStyle name="_Book1 (2)_4 32 Regulatory Assets and Liabilities  7 06- Exhibit D 2" xfId="548"/>
    <cellStyle name="_Book1 (2)_4 32 Regulatory Assets and Liabilities  7 06- Exhibit D 2 2" xfId="549"/>
    <cellStyle name="_Book1 (2)_4 32 Regulatory Assets and Liabilities  7 06- Exhibit D 3" xfId="550"/>
    <cellStyle name="_Book1 (2)_4 32 Regulatory Assets and Liabilities  7 06- Exhibit D_NIM Summary" xfId="551"/>
    <cellStyle name="_Book1 (2)_4 32 Regulatory Assets and Liabilities  7 06- Exhibit D_NIM Summary 2" xfId="552"/>
    <cellStyle name="_Book1 (2)_ACCOUNTS" xfId="553"/>
    <cellStyle name="_Book1 (2)_AURORA Total New" xfId="554"/>
    <cellStyle name="_Book1 (2)_AURORA Total New 2" xfId="555"/>
    <cellStyle name="_Book1 (2)_Book2" xfId="556"/>
    <cellStyle name="_Book1 (2)_Book2 2" xfId="557"/>
    <cellStyle name="_Book1 (2)_Book2 2 2" xfId="558"/>
    <cellStyle name="_Book1 (2)_Book2 3" xfId="559"/>
    <cellStyle name="_Book1 (2)_Book2_Adj Bench DR 3 for Initial Briefs (Electric)" xfId="560"/>
    <cellStyle name="_Book1 (2)_Book2_Adj Bench DR 3 for Initial Briefs (Electric) 2" xfId="561"/>
    <cellStyle name="_Book1 (2)_Book2_Adj Bench DR 3 for Initial Briefs (Electric) 2 2" xfId="562"/>
    <cellStyle name="_Book1 (2)_Book2_Adj Bench DR 3 for Initial Briefs (Electric) 3" xfId="563"/>
    <cellStyle name="_Book1 (2)_Book2_Electric Rev Req Model (2009 GRC) Rebuttal" xfId="564"/>
    <cellStyle name="_Book1 (2)_Book2_Electric Rev Req Model (2009 GRC) Rebuttal 2" xfId="565"/>
    <cellStyle name="_Book1 (2)_Book2_Electric Rev Req Model (2009 GRC) Rebuttal 2 2" xfId="566"/>
    <cellStyle name="_Book1 (2)_Book2_Electric Rev Req Model (2009 GRC) Rebuttal 3" xfId="567"/>
    <cellStyle name="_Book1 (2)_Book2_Electric Rev Req Model (2009 GRC) Rebuttal REmoval of New  WH Solar AdjustMI" xfId="568"/>
    <cellStyle name="_Book1 (2)_Book2_Electric Rev Req Model (2009 GRC) Rebuttal REmoval of New  WH Solar AdjustMI 2" xfId="569"/>
    <cellStyle name="_Book1 (2)_Book2_Electric Rev Req Model (2009 GRC) Rebuttal REmoval of New  WH Solar AdjustMI 2 2" xfId="570"/>
    <cellStyle name="_Book1 (2)_Book2_Electric Rev Req Model (2009 GRC) Rebuttal REmoval of New  WH Solar AdjustMI 3" xfId="571"/>
    <cellStyle name="_Book1 (2)_Book2_Electric Rev Req Model (2009 GRC) Revised 01-18-2010" xfId="572"/>
    <cellStyle name="_Book1 (2)_Book2_Electric Rev Req Model (2009 GRC) Revised 01-18-2010 2" xfId="573"/>
    <cellStyle name="_Book1 (2)_Book2_Electric Rev Req Model (2009 GRC) Revised 01-18-2010 2 2" xfId="574"/>
    <cellStyle name="_Book1 (2)_Book2_Electric Rev Req Model (2009 GRC) Revised 01-18-2010 3" xfId="575"/>
    <cellStyle name="_Book1 (2)_Book2_Final Order Electric EXHIBIT A-1" xfId="576"/>
    <cellStyle name="_Book1 (2)_Book2_Final Order Electric EXHIBIT A-1 2" xfId="577"/>
    <cellStyle name="_Book1 (2)_Book2_Final Order Electric EXHIBIT A-1 2 2" xfId="578"/>
    <cellStyle name="_Book1 (2)_Book2_Final Order Electric EXHIBIT A-1 3" xfId="579"/>
    <cellStyle name="_Book1 (2)_Book4" xfId="580"/>
    <cellStyle name="_Book1 (2)_Book4 2" xfId="581"/>
    <cellStyle name="_Book1 (2)_Book4 2 2" xfId="582"/>
    <cellStyle name="_Book1 (2)_Book4 3" xfId="583"/>
    <cellStyle name="_Book1 (2)_Book9" xfId="584"/>
    <cellStyle name="_Book1 (2)_Book9 2" xfId="585"/>
    <cellStyle name="_Book1 (2)_Book9 2 2" xfId="586"/>
    <cellStyle name="_Book1 (2)_Book9 3" xfId="587"/>
    <cellStyle name="_Book1 (2)_Chelan PUD Power Costs (8-10)" xfId="588"/>
    <cellStyle name="_Book1 (2)_Gas Rev Req Model (2010 GRC)" xfId="589"/>
    <cellStyle name="_Book1 (2)_INPUTS" xfId="590"/>
    <cellStyle name="_Book1 (2)_INPUTS 2" xfId="591"/>
    <cellStyle name="_Book1 (2)_INPUTS 2 2" xfId="592"/>
    <cellStyle name="_Book1 (2)_INPUTS 3" xfId="593"/>
    <cellStyle name="_Book1 (2)_NIM Summary" xfId="594"/>
    <cellStyle name="_Book1 (2)_NIM Summary 09GRC" xfId="595"/>
    <cellStyle name="_Book1 (2)_NIM Summary 09GRC 2" xfId="596"/>
    <cellStyle name="_Book1 (2)_NIM Summary 2" xfId="597"/>
    <cellStyle name="_Book1 (2)_NIM Summary 3" xfId="598"/>
    <cellStyle name="_Book1 (2)_NIM Summary 4" xfId="599"/>
    <cellStyle name="_Book1 (2)_NIM Summary 5" xfId="600"/>
    <cellStyle name="_Book1 (2)_NIM Summary 6" xfId="601"/>
    <cellStyle name="_Book1 (2)_NIM Summary 7" xfId="602"/>
    <cellStyle name="_Book1 (2)_NIM Summary 8" xfId="603"/>
    <cellStyle name="_Book1 (2)_NIM Summary 9" xfId="604"/>
    <cellStyle name="_Book1 (2)_PCA 10 -  Exhibit D from A Kellogg Jan 2011" xfId="605"/>
    <cellStyle name="_Book1 (2)_PCA 10 -  Exhibit D from A Kellogg July 2011" xfId="606"/>
    <cellStyle name="_Book1 (2)_PCA 10 -  Exhibit D from S Free Rcv'd 12-11" xfId="607"/>
    <cellStyle name="_Book1 (2)_PCA 9 -  Exhibit D April 2010" xfId="608"/>
    <cellStyle name="_Book1 (2)_PCA 9 -  Exhibit D April 2010 (3)" xfId="609"/>
    <cellStyle name="_Book1 (2)_PCA 9 -  Exhibit D April 2010 (3) 2" xfId="610"/>
    <cellStyle name="_Book1 (2)_PCA 9 -  Exhibit D Nov 2010" xfId="611"/>
    <cellStyle name="_Book1 (2)_PCA 9 - Exhibit D at August 2010" xfId="612"/>
    <cellStyle name="_Book1 (2)_PCA 9 - Exhibit D June 2010 GRC" xfId="613"/>
    <cellStyle name="_Book1 (2)_Power Costs - Comparison bx Rbtl-Staff-Jt-PC" xfId="614"/>
    <cellStyle name="_Book1 (2)_Power Costs - Comparison bx Rbtl-Staff-Jt-PC 2" xfId="615"/>
    <cellStyle name="_Book1 (2)_Power Costs - Comparison bx Rbtl-Staff-Jt-PC 2 2" xfId="616"/>
    <cellStyle name="_Book1 (2)_Power Costs - Comparison bx Rbtl-Staff-Jt-PC 3" xfId="617"/>
    <cellStyle name="_Book1 (2)_Power Costs - Comparison bx Rbtl-Staff-Jt-PC_Adj Bench DR 3 for Initial Briefs (Electric)" xfId="618"/>
    <cellStyle name="_Book1 (2)_Power Costs - Comparison bx Rbtl-Staff-Jt-PC_Adj Bench DR 3 for Initial Briefs (Electric) 2" xfId="619"/>
    <cellStyle name="_Book1 (2)_Power Costs - Comparison bx Rbtl-Staff-Jt-PC_Adj Bench DR 3 for Initial Briefs (Electric) 2 2" xfId="620"/>
    <cellStyle name="_Book1 (2)_Power Costs - Comparison bx Rbtl-Staff-Jt-PC_Adj Bench DR 3 for Initial Briefs (Electric) 3" xfId="621"/>
    <cellStyle name="_Book1 (2)_Power Costs - Comparison bx Rbtl-Staff-Jt-PC_Electric Rev Req Model (2009 GRC) Rebuttal" xfId="622"/>
    <cellStyle name="_Book1 (2)_Power Costs - Comparison bx Rbtl-Staff-Jt-PC_Electric Rev Req Model (2009 GRC) Rebuttal 2" xfId="623"/>
    <cellStyle name="_Book1 (2)_Power Costs - Comparison bx Rbtl-Staff-Jt-PC_Electric Rev Req Model (2009 GRC) Rebuttal 2 2" xfId="624"/>
    <cellStyle name="_Book1 (2)_Power Costs - Comparison bx Rbtl-Staff-Jt-PC_Electric Rev Req Model (2009 GRC) Rebuttal 3" xfId="625"/>
    <cellStyle name="_Book1 (2)_Power Costs - Comparison bx Rbtl-Staff-Jt-PC_Electric Rev Req Model (2009 GRC) Rebuttal REmoval of New  WH Solar AdjustMI" xfId="626"/>
    <cellStyle name="_Book1 (2)_Power Costs - Comparison bx Rbtl-Staff-Jt-PC_Electric Rev Req Model (2009 GRC) Rebuttal REmoval of New  WH Solar AdjustMI 2" xfId="627"/>
    <cellStyle name="_Book1 (2)_Power Costs - Comparison bx Rbtl-Staff-Jt-PC_Electric Rev Req Model (2009 GRC) Rebuttal REmoval of New  WH Solar AdjustMI 2 2" xfId="628"/>
    <cellStyle name="_Book1 (2)_Power Costs - Comparison bx Rbtl-Staff-Jt-PC_Electric Rev Req Model (2009 GRC) Rebuttal REmoval of New  WH Solar AdjustMI 3" xfId="629"/>
    <cellStyle name="_Book1 (2)_Power Costs - Comparison bx Rbtl-Staff-Jt-PC_Electric Rev Req Model (2009 GRC) Revised 01-18-2010" xfId="630"/>
    <cellStyle name="_Book1 (2)_Power Costs - Comparison bx Rbtl-Staff-Jt-PC_Electric Rev Req Model (2009 GRC) Revised 01-18-2010 2" xfId="631"/>
    <cellStyle name="_Book1 (2)_Power Costs - Comparison bx Rbtl-Staff-Jt-PC_Electric Rev Req Model (2009 GRC) Revised 01-18-2010 2 2" xfId="632"/>
    <cellStyle name="_Book1 (2)_Power Costs - Comparison bx Rbtl-Staff-Jt-PC_Electric Rev Req Model (2009 GRC) Revised 01-18-2010 3" xfId="633"/>
    <cellStyle name="_Book1 (2)_Power Costs - Comparison bx Rbtl-Staff-Jt-PC_Final Order Electric EXHIBIT A-1" xfId="634"/>
    <cellStyle name="_Book1 (2)_Power Costs - Comparison bx Rbtl-Staff-Jt-PC_Final Order Electric EXHIBIT A-1 2" xfId="635"/>
    <cellStyle name="_Book1 (2)_Power Costs - Comparison bx Rbtl-Staff-Jt-PC_Final Order Electric EXHIBIT A-1 2 2" xfId="636"/>
    <cellStyle name="_Book1 (2)_Power Costs - Comparison bx Rbtl-Staff-Jt-PC_Final Order Electric EXHIBIT A-1 3" xfId="637"/>
    <cellStyle name="_Book1 (2)_Production Adj 4.37" xfId="638"/>
    <cellStyle name="_Book1 (2)_Production Adj 4.37 2" xfId="639"/>
    <cellStyle name="_Book1 (2)_Production Adj 4.37 2 2" xfId="640"/>
    <cellStyle name="_Book1 (2)_Production Adj 4.37 3" xfId="641"/>
    <cellStyle name="_Book1 (2)_Purchased Power Adj 4.03" xfId="642"/>
    <cellStyle name="_Book1 (2)_Purchased Power Adj 4.03 2" xfId="643"/>
    <cellStyle name="_Book1 (2)_Purchased Power Adj 4.03 2 2" xfId="644"/>
    <cellStyle name="_Book1 (2)_Purchased Power Adj 4.03 3" xfId="645"/>
    <cellStyle name="_Book1 (2)_Rebuttal Power Costs" xfId="646"/>
    <cellStyle name="_Book1 (2)_Rebuttal Power Costs 2" xfId="647"/>
    <cellStyle name="_Book1 (2)_Rebuttal Power Costs 2 2" xfId="648"/>
    <cellStyle name="_Book1 (2)_Rebuttal Power Costs 3" xfId="649"/>
    <cellStyle name="_Book1 (2)_Rebuttal Power Costs_Adj Bench DR 3 for Initial Briefs (Electric)" xfId="650"/>
    <cellStyle name="_Book1 (2)_Rebuttal Power Costs_Adj Bench DR 3 for Initial Briefs (Electric) 2" xfId="651"/>
    <cellStyle name="_Book1 (2)_Rebuttal Power Costs_Adj Bench DR 3 for Initial Briefs (Electric) 2 2" xfId="652"/>
    <cellStyle name="_Book1 (2)_Rebuttal Power Costs_Adj Bench DR 3 for Initial Briefs (Electric) 3" xfId="653"/>
    <cellStyle name="_Book1 (2)_Rebuttal Power Costs_Electric Rev Req Model (2009 GRC) Rebuttal" xfId="654"/>
    <cellStyle name="_Book1 (2)_Rebuttal Power Costs_Electric Rev Req Model (2009 GRC) Rebuttal 2" xfId="655"/>
    <cellStyle name="_Book1 (2)_Rebuttal Power Costs_Electric Rev Req Model (2009 GRC) Rebuttal 2 2" xfId="656"/>
    <cellStyle name="_Book1 (2)_Rebuttal Power Costs_Electric Rev Req Model (2009 GRC) Rebuttal 3" xfId="657"/>
    <cellStyle name="_Book1 (2)_Rebuttal Power Costs_Electric Rev Req Model (2009 GRC) Rebuttal REmoval of New  WH Solar AdjustMI" xfId="658"/>
    <cellStyle name="_Book1 (2)_Rebuttal Power Costs_Electric Rev Req Model (2009 GRC) Rebuttal REmoval of New  WH Solar AdjustMI 2" xfId="659"/>
    <cellStyle name="_Book1 (2)_Rebuttal Power Costs_Electric Rev Req Model (2009 GRC) Rebuttal REmoval of New  WH Solar AdjustMI 2 2" xfId="660"/>
    <cellStyle name="_Book1 (2)_Rebuttal Power Costs_Electric Rev Req Model (2009 GRC) Rebuttal REmoval of New  WH Solar AdjustMI 3" xfId="661"/>
    <cellStyle name="_Book1 (2)_Rebuttal Power Costs_Electric Rev Req Model (2009 GRC) Revised 01-18-2010" xfId="662"/>
    <cellStyle name="_Book1 (2)_Rebuttal Power Costs_Electric Rev Req Model (2009 GRC) Revised 01-18-2010 2" xfId="663"/>
    <cellStyle name="_Book1 (2)_Rebuttal Power Costs_Electric Rev Req Model (2009 GRC) Revised 01-18-2010 2 2" xfId="664"/>
    <cellStyle name="_Book1 (2)_Rebuttal Power Costs_Electric Rev Req Model (2009 GRC) Revised 01-18-2010 3" xfId="665"/>
    <cellStyle name="_Book1 (2)_Rebuttal Power Costs_Final Order Electric EXHIBIT A-1" xfId="666"/>
    <cellStyle name="_Book1 (2)_Rebuttal Power Costs_Final Order Electric EXHIBIT A-1 2" xfId="667"/>
    <cellStyle name="_Book1 (2)_Rebuttal Power Costs_Final Order Electric EXHIBIT A-1 2 2" xfId="668"/>
    <cellStyle name="_Book1 (2)_Rebuttal Power Costs_Final Order Electric EXHIBIT A-1 3" xfId="669"/>
    <cellStyle name="_Book1 (2)_ROR &amp; CONV FACTOR" xfId="670"/>
    <cellStyle name="_Book1 (2)_ROR &amp; CONV FACTOR 2" xfId="671"/>
    <cellStyle name="_Book1 (2)_ROR &amp; CONV FACTOR 2 2" xfId="672"/>
    <cellStyle name="_Book1 (2)_ROR &amp; CONV FACTOR 3" xfId="673"/>
    <cellStyle name="_Book1 (2)_ROR 5.02" xfId="674"/>
    <cellStyle name="_Book1 (2)_ROR 5.02 2" xfId="675"/>
    <cellStyle name="_Book1 (2)_ROR 5.02 2 2" xfId="676"/>
    <cellStyle name="_Book1 (2)_ROR 5.02 3" xfId="677"/>
    <cellStyle name="_Book1 (2)_Wind Integration 10GRC" xfId="678"/>
    <cellStyle name="_Book1 (2)_Wind Integration 10GRC 2" xfId="679"/>
    <cellStyle name="_Book1 10" xfId="680"/>
    <cellStyle name="_Book1 10 2" xfId="681"/>
    <cellStyle name="_Book1 11" xfId="682"/>
    <cellStyle name="_Book1 12" xfId="683"/>
    <cellStyle name="_Book1 13" xfId="684"/>
    <cellStyle name="_Book1 2" xfId="685"/>
    <cellStyle name="_Book1 2 2" xfId="686"/>
    <cellStyle name="_Book1 2 2 2" xfId="687"/>
    <cellStyle name="_Book1 2 3" xfId="688"/>
    <cellStyle name="_Book1 3" xfId="689"/>
    <cellStyle name="_Book1 3 2" xfId="690"/>
    <cellStyle name="_Book1 4" xfId="691"/>
    <cellStyle name="_Book1 4 2" xfId="692"/>
    <cellStyle name="_Book1 5" xfId="693"/>
    <cellStyle name="_Book1 5 2" xfId="694"/>
    <cellStyle name="_Book1 6" xfId="695"/>
    <cellStyle name="_Book1 6 2" xfId="696"/>
    <cellStyle name="_Book1 7" xfId="697"/>
    <cellStyle name="_Book1 7 2" xfId="698"/>
    <cellStyle name="_Book1 8" xfId="699"/>
    <cellStyle name="_Book1 8 2" xfId="700"/>
    <cellStyle name="_Book1 9" xfId="701"/>
    <cellStyle name="_Book1 9 2" xfId="702"/>
    <cellStyle name="_Book1_(C) WHE Proforma with ITC cash grant 10 Yr Amort_for deferral_102809" xfId="703"/>
    <cellStyle name="_Book1_(C) WHE Proforma with ITC cash grant 10 Yr Amort_for deferral_102809 2" xfId="704"/>
    <cellStyle name="_Book1_(C) WHE Proforma with ITC cash grant 10 Yr Amort_for deferral_102809 2 2" xfId="705"/>
    <cellStyle name="_Book1_(C) WHE Proforma with ITC cash grant 10 Yr Amort_for deferral_102809 3" xfId="706"/>
    <cellStyle name="_Book1_(C) WHE Proforma with ITC cash grant 10 Yr Amort_for deferral_102809_16.07E Wild Horse Wind Expansionwrkingfile" xfId="707"/>
    <cellStyle name="_Book1_(C) WHE Proforma with ITC cash grant 10 Yr Amort_for deferral_102809_16.07E Wild Horse Wind Expansionwrkingfile 2" xfId="708"/>
    <cellStyle name="_Book1_(C) WHE Proforma with ITC cash grant 10 Yr Amort_for deferral_102809_16.07E Wild Horse Wind Expansionwrkingfile 2 2" xfId="709"/>
    <cellStyle name="_Book1_(C) WHE Proforma with ITC cash grant 10 Yr Amort_for deferral_102809_16.07E Wild Horse Wind Expansionwrkingfile 3" xfId="710"/>
    <cellStyle name="_Book1_(C) WHE Proforma with ITC cash grant 10 Yr Amort_for deferral_102809_16.07E Wild Horse Wind Expansionwrkingfile SF" xfId="711"/>
    <cellStyle name="_Book1_(C) WHE Proforma with ITC cash grant 10 Yr Amort_for deferral_102809_16.07E Wild Horse Wind Expansionwrkingfile SF 2" xfId="712"/>
    <cellStyle name="_Book1_(C) WHE Proforma with ITC cash grant 10 Yr Amort_for deferral_102809_16.07E Wild Horse Wind Expansionwrkingfile SF 2 2" xfId="713"/>
    <cellStyle name="_Book1_(C) WHE Proforma with ITC cash grant 10 Yr Amort_for deferral_102809_16.07E Wild Horse Wind Expansionwrkingfile SF 3" xfId="714"/>
    <cellStyle name="_Book1_(C) WHE Proforma with ITC cash grant 10 Yr Amort_for deferral_102809_16.37E Wild Horse Expansion DeferralRevwrkingfile SF" xfId="715"/>
    <cellStyle name="_Book1_(C) WHE Proforma with ITC cash grant 10 Yr Amort_for deferral_102809_16.37E Wild Horse Expansion DeferralRevwrkingfile SF 2" xfId="716"/>
    <cellStyle name="_Book1_(C) WHE Proforma with ITC cash grant 10 Yr Amort_for deferral_102809_16.37E Wild Horse Expansion DeferralRevwrkingfile SF 2 2" xfId="717"/>
    <cellStyle name="_Book1_(C) WHE Proforma with ITC cash grant 10 Yr Amort_for deferral_102809_16.37E Wild Horse Expansion DeferralRevwrkingfile SF 3" xfId="718"/>
    <cellStyle name="_Book1_(C) WHE Proforma with ITC cash grant 10 Yr Amort_for rebuttal_120709" xfId="719"/>
    <cellStyle name="_Book1_(C) WHE Proforma with ITC cash grant 10 Yr Amort_for rebuttal_120709 2" xfId="720"/>
    <cellStyle name="_Book1_(C) WHE Proforma with ITC cash grant 10 Yr Amort_for rebuttal_120709 2 2" xfId="721"/>
    <cellStyle name="_Book1_(C) WHE Proforma with ITC cash grant 10 Yr Amort_for rebuttal_120709 3" xfId="722"/>
    <cellStyle name="_Book1_04.07E Wild Horse Wind Expansion" xfId="723"/>
    <cellStyle name="_Book1_04.07E Wild Horse Wind Expansion 2" xfId="724"/>
    <cellStyle name="_Book1_04.07E Wild Horse Wind Expansion 2 2" xfId="725"/>
    <cellStyle name="_Book1_04.07E Wild Horse Wind Expansion 3" xfId="726"/>
    <cellStyle name="_Book1_04.07E Wild Horse Wind Expansion_16.07E Wild Horse Wind Expansionwrkingfile" xfId="727"/>
    <cellStyle name="_Book1_04.07E Wild Horse Wind Expansion_16.07E Wild Horse Wind Expansionwrkingfile 2" xfId="728"/>
    <cellStyle name="_Book1_04.07E Wild Horse Wind Expansion_16.07E Wild Horse Wind Expansionwrkingfile 2 2" xfId="729"/>
    <cellStyle name="_Book1_04.07E Wild Horse Wind Expansion_16.07E Wild Horse Wind Expansionwrkingfile 3" xfId="730"/>
    <cellStyle name="_Book1_04.07E Wild Horse Wind Expansion_16.07E Wild Horse Wind Expansionwrkingfile SF" xfId="731"/>
    <cellStyle name="_Book1_04.07E Wild Horse Wind Expansion_16.07E Wild Horse Wind Expansionwrkingfile SF 2" xfId="732"/>
    <cellStyle name="_Book1_04.07E Wild Horse Wind Expansion_16.07E Wild Horse Wind Expansionwrkingfile SF 2 2" xfId="733"/>
    <cellStyle name="_Book1_04.07E Wild Horse Wind Expansion_16.07E Wild Horse Wind Expansionwrkingfile SF 3" xfId="734"/>
    <cellStyle name="_Book1_04.07E Wild Horse Wind Expansion_16.37E Wild Horse Expansion DeferralRevwrkingfile SF" xfId="735"/>
    <cellStyle name="_Book1_04.07E Wild Horse Wind Expansion_16.37E Wild Horse Expansion DeferralRevwrkingfile SF 2" xfId="736"/>
    <cellStyle name="_Book1_04.07E Wild Horse Wind Expansion_16.37E Wild Horse Expansion DeferralRevwrkingfile SF 2 2" xfId="737"/>
    <cellStyle name="_Book1_04.07E Wild Horse Wind Expansion_16.37E Wild Horse Expansion DeferralRevwrkingfile SF 3" xfId="738"/>
    <cellStyle name="_Book1_16.07E Wild Horse Wind Expansionwrkingfile" xfId="739"/>
    <cellStyle name="_Book1_16.07E Wild Horse Wind Expansionwrkingfile 2" xfId="740"/>
    <cellStyle name="_Book1_16.07E Wild Horse Wind Expansionwrkingfile 2 2" xfId="741"/>
    <cellStyle name="_Book1_16.07E Wild Horse Wind Expansionwrkingfile 3" xfId="742"/>
    <cellStyle name="_Book1_16.07E Wild Horse Wind Expansionwrkingfile SF" xfId="743"/>
    <cellStyle name="_Book1_16.07E Wild Horse Wind Expansionwrkingfile SF 2" xfId="744"/>
    <cellStyle name="_Book1_16.07E Wild Horse Wind Expansionwrkingfile SF 2 2" xfId="745"/>
    <cellStyle name="_Book1_16.07E Wild Horse Wind Expansionwrkingfile SF 3" xfId="746"/>
    <cellStyle name="_Book1_16.37E Wild Horse Expansion DeferralRevwrkingfile SF" xfId="747"/>
    <cellStyle name="_Book1_16.37E Wild Horse Expansion DeferralRevwrkingfile SF 2" xfId="748"/>
    <cellStyle name="_Book1_16.37E Wild Horse Expansion DeferralRevwrkingfile SF 2 2" xfId="749"/>
    <cellStyle name="_Book1_16.37E Wild Horse Expansion DeferralRevwrkingfile SF 3" xfId="750"/>
    <cellStyle name="_Book1_2009 Compliance Filing PCA Exhibits for GRC" xfId="751"/>
    <cellStyle name="_Book1_2009 GRC Compl Filing - Exhibit D" xfId="752"/>
    <cellStyle name="_Book1_2009 GRC Compl Filing - Exhibit D 2" xfId="753"/>
    <cellStyle name="_Book1_3.01 Income Statement" xfId="754"/>
    <cellStyle name="_Book1_4 31 Regulatory Assets and Liabilities  7 06- Exhibit D" xfId="755"/>
    <cellStyle name="_Book1_4 31 Regulatory Assets and Liabilities  7 06- Exhibit D 2" xfId="756"/>
    <cellStyle name="_Book1_4 31 Regulatory Assets and Liabilities  7 06- Exhibit D 2 2" xfId="757"/>
    <cellStyle name="_Book1_4 31 Regulatory Assets and Liabilities  7 06- Exhibit D 3" xfId="758"/>
    <cellStyle name="_Book1_4 31 Regulatory Assets and Liabilities  7 06- Exhibit D_NIM Summary" xfId="759"/>
    <cellStyle name="_Book1_4 31 Regulatory Assets and Liabilities  7 06- Exhibit D_NIM Summary 2" xfId="760"/>
    <cellStyle name="_Book1_4 32 Regulatory Assets and Liabilities  7 06- Exhibit D" xfId="761"/>
    <cellStyle name="_Book1_4 32 Regulatory Assets and Liabilities  7 06- Exhibit D 2" xfId="762"/>
    <cellStyle name="_Book1_4 32 Regulatory Assets and Liabilities  7 06- Exhibit D 2 2" xfId="763"/>
    <cellStyle name="_Book1_4 32 Regulatory Assets and Liabilities  7 06- Exhibit D 3" xfId="764"/>
    <cellStyle name="_Book1_4 32 Regulatory Assets and Liabilities  7 06- Exhibit D_NIM Summary" xfId="765"/>
    <cellStyle name="_Book1_4 32 Regulatory Assets and Liabilities  7 06- Exhibit D_NIM Summary 2" xfId="766"/>
    <cellStyle name="_Book1_AURORA Total New" xfId="767"/>
    <cellStyle name="_Book1_AURORA Total New 2" xfId="768"/>
    <cellStyle name="_Book1_Book2" xfId="769"/>
    <cellStyle name="_Book1_Book2 2" xfId="770"/>
    <cellStyle name="_Book1_Book2 2 2" xfId="771"/>
    <cellStyle name="_Book1_Book2 3" xfId="772"/>
    <cellStyle name="_Book1_Book2_Adj Bench DR 3 for Initial Briefs (Electric)" xfId="773"/>
    <cellStyle name="_Book1_Book2_Adj Bench DR 3 for Initial Briefs (Electric) 2" xfId="774"/>
    <cellStyle name="_Book1_Book2_Adj Bench DR 3 for Initial Briefs (Electric) 2 2" xfId="775"/>
    <cellStyle name="_Book1_Book2_Adj Bench DR 3 for Initial Briefs (Electric) 3" xfId="776"/>
    <cellStyle name="_Book1_Book2_Electric Rev Req Model (2009 GRC) Rebuttal" xfId="777"/>
    <cellStyle name="_Book1_Book2_Electric Rev Req Model (2009 GRC) Rebuttal 2" xfId="778"/>
    <cellStyle name="_Book1_Book2_Electric Rev Req Model (2009 GRC) Rebuttal 2 2" xfId="779"/>
    <cellStyle name="_Book1_Book2_Electric Rev Req Model (2009 GRC) Rebuttal 3" xfId="780"/>
    <cellStyle name="_Book1_Book2_Electric Rev Req Model (2009 GRC) Rebuttal REmoval of New  WH Solar AdjustMI" xfId="781"/>
    <cellStyle name="_Book1_Book2_Electric Rev Req Model (2009 GRC) Rebuttal REmoval of New  WH Solar AdjustMI 2" xfId="782"/>
    <cellStyle name="_Book1_Book2_Electric Rev Req Model (2009 GRC) Rebuttal REmoval of New  WH Solar AdjustMI 2 2" xfId="783"/>
    <cellStyle name="_Book1_Book2_Electric Rev Req Model (2009 GRC) Rebuttal REmoval of New  WH Solar AdjustMI 3" xfId="784"/>
    <cellStyle name="_Book1_Book2_Electric Rev Req Model (2009 GRC) Revised 01-18-2010" xfId="785"/>
    <cellStyle name="_Book1_Book2_Electric Rev Req Model (2009 GRC) Revised 01-18-2010 2" xfId="786"/>
    <cellStyle name="_Book1_Book2_Electric Rev Req Model (2009 GRC) Revised 01-18-2010 2 2" xfId="787"/>
    <cellStyle name="_Book1_Book2_Electric Rev Req Model (2009 GRC) Revised 01-18-2010 3" xfId="788"/>
    <cellStyle name="_Book1_Book2_Final Order Electric EXHIBIT A-1" xfId="789"/>
    <cellStyle name="_Book1_Book2_Final Order Electric EXHIBIT A-1 2" xfId="790"/>
    <cellStyle name="_Book1_Book2_Final Order Electric EXHIBIT A-1 2 2" xfId="791"/>
    <cellStyle name="_Book1_Book2_Final Order Electric EXHIBIT A-1 3" xfId="792"/>
    <cellStyle name="_Book1_Book4" xfId="793"/>
    <cellStyle name="_Book1_Book4 2" xfId="794"/>
    <cellStyle name="_Book1_Book4 2 2" xfId="795"/>
    <cellStyle name="_Book1_Book4 3" xfId="796"/>
    <cellStyle name="_Book1_Book9" xfId="797"/>
    <cellStyle name="_Book1_Book9 2" xfId="798"/>
    <cellStyle name="_Book1_Book9 2 2" xfId="799"/>
    <cellStyle name="_Book1_Book9 3" xfId="800"/>
    <cellStyle name="_Book1_Chelan PUD Power Costs (8-10)" xfId="801"/>
    <cellStyle name="_Book1_Electric COS Inputs" xfId="802"/>
    <cellStyle name="_Book1_Electric COS Inputs 2" xfId="803"/>
    <cellStyle name="_Book1_Electric COS Inputs 2 2" xfId="804"/>
    <cellStyle name="_Book1_Electric COS Inputs 2 2 2" xfId="805"/>
    <cellStyle name="_Book1_Electric COS Inputs 2 3" xfId="806"/>
    <cellStyle name="_Book1_Electric COS Inputs 2 3 2" xfId="807"/>
    <cellStyle name="_Book1_Electric COS Inputs 2 4" xfId="808"/>
    <cellStyle name="_Book1_Electric COS Inputs 2 4 2" xfId="809"/>
    <cellStyle name="_Book1_Electric COS Inputs 3" xfId="810"/>
    <cellStyle name="_Book1_Electric COS Inputs 3 2" xfId="811"/>
    <cellStyle name="_Book1_Electric COS Inputs 4" xfId="812"/>
    <cellStyle name="_Book1_Electric COS Inputs 4 2" xfId="813"/>
    <cellStyle name="_Book1_Electric COS Inputs 5" xfId="814"/>
    <cellStyle name="_Book1_Electric COS Inputs 6" xfId="815"/>
    <cellStyle name="_Book1_NIM Summary" xfId="816"/>
    <cellStyle name="_Book1_NIM Summary 09GRC" xfId="817"/>
    <cellStyle name="_Book1_NIM Summary 09GRC 2" xfId="818"/>
    <cellStyle name="_Book1_NIM Summary 2" xfId="819"/>
    <cellStyle name="_Book1_NIM Summary 3" xfId="820"/>
    <cellStyle name="_Book1_NIM Summary 4" xfId="821"/>
    <cellStyle name="_Book1_NIM Summary 5" xfId="822"/>
    <cellStyle name="_Book1_NIM Summary 6" xfId="823"/>
    <cellStyle name="_Book1_NIM Summary 7" xfId="824"/>
    <cellStyle name="_Book1_NIM Summary 8" xfId="825"/>
    <cellStyle name="_Book1_NIM Summary 9" xfId="826"/>
    <cellStyle name="_Book1_PCA 10 -  Exhibit D from A Kellogg Jan 2011" xfId="827"/>
    <cellStyle name="_Book1_PCA 10 -  Exhibit D from A Kellogg July 2011" xfId="828"/>
    <cellStyle name="_Book1_PCA 10 -  Exhibit D from S Free Rcv'd 12-11" xfId="829"/>
    <cellStyle name="_Book1_PCA 9 -  Exhibit D April 2010" xfId="830"/>
    <cellStyle name="_Book1_PCA 9 -  Exhibit D April 2010 (3)" xfId="831"/>
    <cellStyle name="_Book1_PCA 9 -  Exhibit D April 2010 (3) 2" xfId="832"/>
    <cellStyle name="_Book1_PCA 9 -  Exhibit D Nov 2010" xfId="833"/>
    <cellStyle name="_Book1_PCA 9 - Exhibit D at August 2010" xfId="834"/>
    <cellStyle name="_Book1_PCA 9 - Exhibit D June 2010 GRC" xfId="835"/>
    <cellStyle name="_Book1_Power Costs - Comparison bx Rbtl-Staff-Jt-PC" xfId="836"/>
    <cellStyle name="_Book1_Power Costs - Comparison bx Rbtl-Staff-Jt-PC 2" xfId="837"/>
    <cellStyle name="_Book1_Power Costs - Comparison bx Rbtl-Staff-Jt-PC 2 2" xfId="838"/>
    <cellStyle name="_Book1_Power Costs - Comparison bx Rbtl-Staff-Jt-PC 3" xfId="839"/>
    <cellStyle name="_Book1_Power Costs - Comparison bx Rbtl-Staff-Jt-PC_Adj Bench DR 3 for Initial Briefs (Electric)" xfId="840"/>
    <cellStyle name="_Book1_Power Costs - Comparison bx Rbtl-Staff-Jt-PC_Adj Bench DR 3 for Initial Briefs (Electric) 2" xfId="841"/>
    <cellStyle name="_Book1_Power Costs - Comparison bx Rbtl-Staff-Jt-PC_Adj Bench DR 3 for Initial Briefs (Electric) 2 2" xfId="842"/>
    <cellStyle name="_Book1_Power Costs - Comparison bx Rbtl-Staff-Jt-PC_Adj Bench DR 3 for Initial Briefs (Electric) 3" xfId="843"/>
    <cellStyle name="_Book1_Power Costs - Comparison bx Rbtl-Staff-Jt-PC_Electric Rev Req Model (2009 GRC) Rebuttal" xfId="844"/>
    <cellStyle name="_Book1_Power Costs - Comparison bx Rbtl-Staff-Jt-PC_Electric Rev Req Model (2009 GRC) Rebuttal 2" xfId="845"/>
    <cellStyle name="_Book1_Power Costs - Comparison bx Rbtl-Staff-Jt-PC_Electric Rev Req Model (2009 GRC) Rebuttal 2 2" xfId="846"/>
    <cellStyle name="_Book1_Power Costs - Comparison bx Rbtl-Staff-Jt-PC_Electric Rev Req Model (2009 GRC) Rebuttal 3" xfId="847"/>
    <cellStyle name="_Book1_Power Costs - Comparison bx Rbtl-Staff-Jt-PC_Electric Rev Req Model (2009 GRC) Rebuttal REmoval of New  WH Solar AdjustMI" xfId="848"/>
    <cellStyle name="_Book1_Power Costs - Comparison bx Rbtl-Staff-Jt-PC_Electric Rev Req Model (2009 GRC) Rebuttal REmoval of New  WH Solar AdjustMI 2" xfId="849"/>
    <cellStyle name="_Book1_Power Costs - Comparison bx Rbtl-Staff-Jt-PC_Electric Rev Req Model (2009 GRC) Rebuttal REmoval of New  WH Solar AdjustMI 2 2" xfId="850"/>
    <cellStyle name="_Book1_Power Costs - Comparison bx Rbtl-Staff-Jt-PC_Electric Rev Req Model (2009 GRC) Rebuttal REmoval of New  WH Solar AdjustMI 3" xfId="851"/>
    <cellStyle name="_Book1_Power Costs - Comparison bx Rbtl-Staff-Jt-PC_Electric Rev Req Model (2009 GRC) Revised 01-18-2010" xfId="852"/>
    <cellStyle name="_Book1_Power Costs - Comparison bx Rbtl-Staff-Jt-PC_Electric Rev Req Model (2009 GRC) Revised 01-18-2010 2" xfId="853"/>
    <cellStyle name="_Book1_Power Costs - Comparison bx Rbtl-Staff-Jt-PC_Electric Rev Req Model (2009 GRC) Revised 01-18-2010 2 2" xfId="854"/>
    <cellStyle name="_Book1_Power Costs - Comparison bx Rbtl-Staff-Jt-PC_Electric Rev Req Model (2009 GRC) Revised 01-18-2010 3" xfId="855"/>
    <cellStyle name="_Book1_Power Costs - Comparison bx Rbtl-Staff-Jt-PC_Final Order Electric EXHIBIT A-1" xfId="856"/>
    <cellStyle name="_Book1_Power Costs - Comparison bx Rbtl-Staff-Jt-PC_Final Order Electric EXHIBIT A-1 2" xfId="857"/>
    <cellStyle name="_Book1_Power Costs - Comparison bx Rbtl-Staff-Jt-PC_Final Order Electric EXHIBIT A-1 2 2" xfId="858"/>
    <cellStyle name="_Book1_Power Costs - Comparison bx Rbtl-Staff-Jt-PC_Final Order Electric EXHIBIT A-1 3" xfId="859"/>
    <cellStyle name="_Book1_Production Adj 4.37" xfId="860"/>
    <cellStyle name="_Book1_Production Adj 4.37 2" xfId="861"/>
    <cellStyle name="_Book1_Production Adj 4.37 2 2" xfId="862"/>
    <cellStyle name="_Book1_Production Adj 4.37 3" xfId="863"/>
    <cellStyle name="_Book1_Purchased Power Adj 4.03" xfId="864"/>
    <cellStyle name="_Book1_Purchased Power Adj 4.03 2" xfId="865"/>
    <cellStyle name="_Book1_Purchased Power Adj 4.03 2 2" xfId="866"/>
    <cellStyle name="_Book1_Purchased Power Adj 4.03 3" xfId="867"/>
    <cellStyle name="_Book1_Rebuttal Power Costs" xfId="868"/>
    <cellStyle name="_Book1_Rebuttal Power Costs 2" xfId="869"/>
    <cellStyle name="_Book1_Rebuttal Power Costs 2 2" xfId="870"/>
    <cellStyle name="_Book1_Rebuttal Power Costs 3" xfId="871"/>
    <cellStyle name="_Book1_Rebuttal Power Costs_Adj Bench DR 3 for Initial Briefs (Electric)" xfId="872"/>
    <cellStyle name="_Book1_Rebuttal Power Costs_Adj Bench DR 3 for Initial Briefs (Electric) 2" xfId="873"/>
    <cellStyle name="_Book1_Rebuttal Power Costs_Adj Bench DR 3 for Initial Briefs (Electric) 2 2" xfId="874"/>
    <cellStyle name="_Book1_Rebuttal Power Costs_Adj Bench DR 3 for Initial Briefs (Electric) 3" xfId="875"/>
    <cellStyle name="_Book1_Rebuttal Power Costs_Electric Rev Req Model (2009 GRC) Rebuttal" xfId="876"/>
    <cellStyle name="_Book1_Rebuttal Power Costs_Electric Rev Req Model (2009 GRC) Rebuttal 2" xfId="877"/>
    <cellStyle name="_Book1_Rebuttal Power Costs_Electric Rev Req Model (2009 GRC) Rebuttal 2 2" xfId="878"/>
    <cellStyle name="_Book1_Rebuttal Power Costs_Electric Rev Req Model (2009 GRC) Rebuttal 3" xfId="879"/>
    <cellStyle name="_Book1_Rebuttal Power Costs_Electric Rev Req Model (2009 GRC) Rebuttal REmoval of New  WH Solar AdjustMI" xfId="880"/>
    <cellStyle name="_Book1_Rebuttal Power Costs_Electric Rev Req Model (2009 GRC) Rebuttal REmoval of New  WH Solar AdjustMI 2" xfId="881"/>
    <cellStyle name="_Book1_Rebuttal Power Costs_Electric Rev Req Model (2009 GRC) Rebuttal REmoval of New  WH Solar AdjustMI 2 2" xfId="882"/>
    <cellStyle name="_Book1_Rebuttal Power Costs_Electric Rev Req Model (2009 GRC) Rebuttal REmoval of New  WH Solar AdjustMI 3" xfId="883"/>
    <cellStyle name="_Book1_Rebuttal Power Costs_Electric Rev Req Model (2009 GRC) Revised 01-18-2010" xfId="884"/>
    <cellStyle name="_Book1_Rebuttal Power Costs_Electric Rev Req Model (2009 GRC) Revised 01-18-2010 2" xfId="885"/>
    <cellStyle name="_Book1_Rebuttal Power Costs_Electric Rev Req Model (2009 GRC) Revised 01-18-2010 2 2" xfId="886"/>
    <cellStyle name="_Book1_Rebuttal Power Costs_Electric Rev Req Model (2009 GRC) Revised 01-18-2010 3" xfId="887"/>
    <cellStyle name="_Book1_Rebuttal Power Costs_Final Order Electric EXHIBIT A-1" xfId="888"/>
    <cellStyle name="_Book1_Rebuttal Power Costs_Final Order Electric EXHIBIT A-1 2" xfId="889"/>
    <cellStyle name="_Book1_Rebuttal Power Costs_Final Order Electric EXHIBIT A-1 2 2" xfId="890"/>
    <cellStyle name="_Book1_Rebuttal Power Costs_Final Order Electric EXHIBIT A-1 3" xfId="891"/>
    <cellStyle name="_Book1_ROR 5.02" xfId="892"/>
    <cellStyle name="_Book1_ROR 5.02 2" xfId="893"/>
    <cellStyle name="_Book1_ROR 5.02 2 2" xfId="894"/>
    <cellStyle name="_Book1_ROR 5.02 3" xfId="895"/>
    <cellStyle name="_Book1_Transmission Workbook for May BOD" xfId="896"/>
    <cellStyle name="_Book1_Transmission Workbook for May BOD 2" xfId="897"/>
    <cellStyle name="_Book1_Wind Integration 10GRC" xfId="898"/>
    <cellStyle name="_Book1_Wind Integration 10GRC 2" xfId="899"/>
    <cellStyle name="_Book2" xfId="900"/>
    <cellStyle name="_x0013__Book2" xfId="901"/>
    <cellStyle name="_Book2 10" xfId="902"/>
    <cellStyle name="_x0013__Book2 10" xfId="903"/>
    <cellStyle name="_Book2 10 2" xfId="904"/>
    <cellStyle name="_Book2 11" xfId="905"/>
    <cellStyle name="_x0013__Book2 11" xfId="906"/>
    <cellStyle name="_Book2 11 2" xfId="907"/>
    <cellStyle name="_Book2 12" xfId="908"/>
    <cellStyle name="_x0013__Book2 12" xfId="909"/>
    <cellStyle name="_Book2 12 2" xfId="910"/>
    <cellStyle name="_Book2 13" xfId="911"/>
    <cellStyle name="_Book2 13 2" xfId="912"/>
    <cellStyle name="_Book2 14" xfId="913"/>
    <cellStyle name="_Book2 14 2" xfId="914"/>
    <cellStyle name="_Book2 15" xfId="915"/>
    <cellStyle name="_Book2 15 2" xfId="916"/>
    <cellStyle name="_Book2 16" xfId="917"/>
    <cellStyle name="_Book2 16 2" xfId="918"/>
    <cellStyle name="_Book2 17" xfId="919"/>
    <cellStyle name="_Book2 17 2" xfId="920"/>
    <cellStyle name="_Book2 18" xfId="921"/>
    <cellStyle name="_Book2 18 2" xfId="922"/>
    <cellStyle name="_Book2 19" xfId="923"/>
    <cellStyle name="_Book2 2" xfId="924"/>
    <cellStyle name="_x0013__Book2 2" xfId="925"/>
    <cellStyle name="_Book2 2 10" xfId="926"/>
    <cellStyle name="_Book2 2 2" xfId="927"/>
    <cellStyle name="_x0013__Book2 2 2" xfId="928"/>
    <cellStyle name="_Book2 2 2 2" xfId="929"/>
    <cellStyle name="_Book2 2 3" xfId="930"/>
    <cellStyle name="_Book2 2 3 2" xfId="931"/>
    <cellStyle name="_Book2 2 4" xfId="932"/>
    <cellStyle name="_Book2 2 4 2" xfId="933"/>
    <cellStyle name="_Book2 2 5" xfId="934"/>
    <cellStyle name="_Book2 2 5 2" xfId="935"/>
    <cellStyle name="_Book2 2 6" xfId="936"/>
    <cellStyle name="_Book2 2 6 2" xfId="937"/>
    <cellStyle name="_Book2 2 7" xfId="938"/>
    <cellStyle name="_Book2 2 7 2" xfId="939"/>
    <cellStyle name="_Book2 2 8" xfId="940"/>
    <cellStyle name="_Book2 2 8 2" xfId="941"/>
    <cellStyle name="_Book2 2 9" xfId="942"/>
    <cellStyle name="_Book2 2 9 2" xfId="943"/>
    <cellStyle name="_Book2 20" xfId="944"/>
    <cellStyle name="_Book2 21" xfId="945"/>
    <cellStyle name="_Book2 22" xfId="946"/>
    <cellStyle name="_Book2 23" xfId="947"/>
    <cellStyle name="_Book2 24" xfId="948"/>
    <cellStyle name="_Book2 25" xfId="949"/>
    <cellStyle name="_Book2 26" xfId="950"/>
    <cellStyle name="_Book2 27" xfId="951"/>
    <cellStyle name="_Book2 28" xfId="952"/>
    <cellStyle name="_Book2 29" xfId="953"/>
    <cellStyle name="_Book2 3" xfId="954"/>
    <cellStyle name="_x0013__Book2 3" xfId="955"/>
    <cellStyle name="_Book2 3 10" xfId="956"/>
    <cellStyle name="_Book2 3 10 2" xfId="957"/>
    <cellStyle name="_Book2 3 11" xfId="958"/>
    <cellStyle name="_Book2 3 11 2" xfId="959"/>
    <cellStyle name="_Book2 3 12" xfId="960"/>
    <cellStyle name="_Book2 3 12 2" xfId="961"/>
    <cellStyle name="_Book2 3 13" xfId="962"/>
    <cellStyle name="_Book2 3 13 2" xfId="963"/>
    <cellStyle name="_Book2 3 14" xfId="964"/>
    <cellStyle name="_Book2 3 14 2" xfId="965"/>
    <cellStyle name="_Book2 3 15" xfId="966"/>
    <cellStyle name="_Book2 3 15 2" xfId="967"/>
    <cellStyle name="_Book2 3 16" xfId="968"/>
    <cellStyle name="_Book2 3 16 2" xfId="969"/>
    <cellStyle name="_Book2 3 17" xfId="970"/>
    <cellStyle name="_Book2 3 17 2" xfId="971"/>
    <cellStyle name="_Book2 3 18" xfId="972"/>
    <cellStyle name="_Book2 3 18 2" xfId="973"/>
    <cellStyle name="_Book2 3 19" xfId="974"/>
    <cellStyle name="_Book2 3 19 2" xfId="975"/>
    <cellStyle name="_Book2 3 2" xfId="976"/>
    <cellStyle name="_x0013__Book2 3 2" xfId="977"/>
    <cellStyle name="_Book2 3 2 2" xfId="978"/>
    <cellStyle name="_Book2 3 20" xfId="979"/>
    <cellStyle name="_Book2 3 20 2" xfId="980"/>
    <cellStyle name="_Book2 3 21" xfId="981"/>
    <cellStyle name="_Book2 3 21 2" xfId="982"/>
    <cellStyle name="_Book2 3 22" xfId="983"/>
    <cellStyle name="_Book2 3 23" xfId="984"/>
    <cellStyle name="_Book2 3 24" xfId="985"/>
    <cellStyle name="_Book2 3 25" xfId="986"/>
    <cellStyle name="_Book2 3 26" xfId="987"/>
    <cellStyle name="_Book2 3 27" xfId="988"/>
    <cellStyle name="_Book2 3 28" xfId="989"/>
    <cellStyle name="_Book2 3 29" xfId="990"/>
    <cellStyle name="_Book2 3 3" xfId="991"/>
    <cellStyle name="_Book2 3 3 2" xfId="992"/>
    <cellStyle name="_Book2 3 30" xfId="993"/>
    <cellStyle name="_Book2 3 31" xfId="994"/>
    <cellStyle name="_Book2 3 32" xfId="995"/>
    <cellStyle name="_Book2 3 33" xfId="996"/>
    <cellStyle name="_Book2 3 34" xfId="997"/>
    <cellStyle name="_Book2 3 35" xfId="998"/>
    <cellStyle name="_Book2 3 36" xfId="999"/>
    <cellStyle name="_Book2 3 37" xfId="1000"/>
    <cellStyle name="_Book2 3 38" xfId="1001"/>
    <cellStyle name="_Book2 3 39" xfId="1002"/>
    <cellStyle name="_Book2 3 4" xfId="1003"/>
    <cellStyle name="_Book2 3 4 2" xfId="1004"/>
    <cellStyle name="_Book2 3 40" xfId="1005"/>
    <cellStyle name="_Book2 3 41" xfId="1006"/>
    <cellStyle name="_Book2 3 42" xfId="1007"/>
    <cellStyle name="_Book2 3 43" xfId="1008"/>
    <cellStyle name="_Book2 3 44" xfId="1009"/>
    <cellStyle name="_Book2 3 45" xfId="1010"/>
    <cellStyle name="_Book2 3 5" xfId="1011"/>
    <cellStyle name="_Book2 3 5 2" xfId="1012"/>
    <cellStyle name="_Book2 3 6" xfId="1013"/>
    <cellStyle name="_Book2 3 6 2" xfId="1014"/>
    <cellStyle name="_Book2 3 7" xfId="1015"/>
    <cellStyle name="_Book2 3 7 2" xfId="1016"/>
    <cellStyle name="_Book2 3 8" xfId="1017"/>
    <cellStyle name="_Book2 3 8 2" xfId="1018"/>
    <cellStyle name="_Book2 3 9" xfId="1019"/>
    <cellStyle name="_Book2 3 9 2" xfId="1020"/>
    <cellStyle name="_Book2 30" xfId="1021"/>
    <cellStyle name="_Book2 31" xfId="1022"/>
    <cellStyle name="_Book2 32" xfId="1023"/>
    <cellStyle name="_Book2 33" xfId="1024"/>
    <cellStyle name="_Book2 34" xfId="1025"/>
    <cellStyle name="_Book2 35" xfId="1026"/>
    <cellStyle name="_Book2 36" xfId="1027"/>
    <cellStyle name="_Book2 37" xfId="1028"/>
    <cellStyle name="_Book2 38" xfId="1029"/>
    <cellStyle name="_Book2 39" xfId="1030"/>
    <cellStyle name="_Book2 4" xfId="1031"/>
    <cellStyle name="_x0013__Book2 4" xfId="1032"/>
    <cellStyle name="_Book2 4 10" xfId="1033"/>
    <cellStyle name="_Book2 4 10 2" xfId="1034"/>
    <cellStyle name="_Book2 4 11" xfId="1035"/>
    <cellStyle name="_Book2 4 11 2" xfId="1036"/>
    <cellStyle name="_Book2 4 12" xfId="1037"/>
    <cellStyle name="_Book2 4 12 2" xfId="1038"/>
    <cellStyle name="_Book2 4 13" xfId="1039"/>
    <cellStyle name="_Book2 4 13 2" xfId="1040"/>
    <cellStyle name="_Book2 4 14" xfId="1041"/>
    <cellStyle name="_Book2 4 14 2" xfId="1042"/>
    <cellStyle name="_Book2 4 15" xfId="1043"/>
    <cellStyle name="_Book2 4 15 2" xfId="1044"/>
    <cellStyle name="_Book2 4 16" xfId="1045"/>
    <cellStyle name="_Book2 4 16 2" xfId="1046"/>
    <cellStyle name="_Book2 4 17" xfId="1047"/>
    <cellStyle name="_Book2 4 17 2" xfId="1048"/>
    <cellStyle name="_Book2 4 18" xfId="1049"/>
    <cellStyle name="_Book2 4 18 2" xfId="1050"/>
    <cellStyle name="_Book2 4 19" xfId="1051"/>
    <cellStyle name="_Book2 4 19 2" xfId="1052"/>
    <cellStyle name="_Book2 4 2" xfId="1053"/>
    <cellStyle name="_x0013__Book2 4 2" xfId="1054"/>
    <cellStyle name="_Book2 4 2 2" xfId="1055"/>
    <cellStyle name="_Book2 4 20" xfId="1056"/>
    <cellStyle name="_Book2 4 20 2" xfId="1057"/>
    <cellStyle name="_Book2 4 21" xfId="1058"/>
    <cellStyle name="_Book2 4 22" xfId="1059"/>
    <cellStyle name="_Book2 4 23" xfId="1060"/>
    <cellStyle name="_Book2 4 24" xfId="1061"/>
    <cellStyle name="_Book2 4 25" xfId="1062"/>
    <cellStyle name="_Book2 4 26" xfId="1063"/>
    <cellStyle name="_Book2 4 27" xfId="1064"/>
    <cellStyle name="_Book2 4 28" xfId="1065"/>
    <cellStyle name="_Book2 4 29" xfId="1066"/>
    <cellStyle name="_Book2 4 3" xfId="1067"/>
    <cellStyle name="_Book2 4 3 2" xfId="1068"/>
    <cellStyle name="_Book2 4 30" xfId="1069"/>
    <cellStyle name="_Book2 4 31" xfId="1070"/>
    <cellStyle name="_Book2 4 32" xfId="1071"/>
    <cellStyle name="_Book2 4 33" xfId="1072"/>
    <cellStyle name="_Book2 4 34" xfId="1073"/>
    <cellStyle name="_Book2 4 35" xfId="1074"/>
    <cellStyle name="_Book2 4 36" xfId="1075"/>
    <cellStyle name="_Book2 4 37" xfId="1076"/>
    <cellStyle name="_Book2 4 38" xfId="1077"/>
    <cellStyle name="_Book2 4 39" xfId="1078"/>
    <cellStyle name="_Book2 4 4" xfId="1079"/>
    <cellStyle name="_Book2 4 4 2" xfId="1080"/>
    <cellStyle name="_Book2 4 40" xfId="1081"/>
    <cellStyle name="_Book2 4 41" xfId="1082"/>
    <cellStyle name="_Book2 4 42" xfId="1083"/>
    <cellStyle name="_Book2 4 43" xfId="1084"/>
    <cellStyle name="_Book2 4 44" xfId="1085"/>
    <cellStyle name="_Book2 4 45" xfId="1086"/>
    <cellStyle name="_Book2 4 5" xfId="1087"/>
    <cellStyle name="_Book2 4 5 2" xfId="1088"/>
    <cellStyle name="_Book2 4 6" xfId="1089"/>
    <cellStyle name="_Book2 4 6 2" xfId="1090"/>
    <cellStyle name="_Book2 4 7" xfId="1091"/>
    <cellStyle name="_Book2 4 7 2" xfId="1092"/>
    <cellStyle name="_Book2 4 8" xfId="1093"/>
    <cellStyle name="_Book2 4 8 2" xfId="1094"/>
    <cellStyle name="_Book2 4 9" xfId="1095"/>
    <cellStyle name="_Book2 4 9 2" xfId="1096"/>
    <cellStyle name="_Book2 40" xfId="1097"/>
    <cellStyle name="_Book2 41" xfId="1098"/>
    <cellStyle name="_Book2 42" xfId="1099"/>
    <cellStyle name="_Book2 43" xfId="1100"/>
    <cellStyle name="_Book2 44" xfId="1101"/>
    <cellStyle name="_Book2 45" xfId="1102"/>
    <cellStyle name="_Book2 46" xfId="1103"/>
    <cellStyle name="_Book2 47" xfId="1104"/>
    <cellStyle name="_Book2 48" xfId="1105"/>
    <cellStyle name="_Book2 49" xfId="1106"/>
    <cellStyle name="_Book2 5" xfId="1107"/>
    <cellStyle name="_x0013__Book2 5" xfId="1108"/>
    <cellStyle name="_Book2 5 2" xfId="1109"/>
    <cellStyle name="_x0013__Book2 5 2" xfId="1110"/>
    <cellStyle name="_Book2 5 2 2" xfId="1111"/>
    <cellStyle name="_Book2 5 3" xfId="1112"/>
    <cellStyle name="_Book2 5 3 2" xfId="1113"/>
    <cellStyle name="_Book2 5 4" xfId="1114"/>
    <cellStyle name="_Book2 5 4 2" xfId="1115"/>
    <cellStyle name="_Book2 5 5" xfId="1116"/>
    <cellStyle name="_Book2 5 5 2" xfId="1117"/>
    <cellStyle name="_Book2 5 6" xfId="1118"/>
    <cellStyle name="_Book2 5 6 2" xfId="1119"/>
    <cellStyle name="_Book2 5 7" xfId="1120"/>
    <cellStyle name="_Book2 50" xfId="1121"/>
    <cellStyle name="_Book2 51" xfId="1122"/>
    <cellStyle name="_Book2 52" xfId="1123"/>
    <cellStyle name="_Book2 53" xfId="1124"/>
    <cellStyle name="_Book2 54" xfId="1125"/>
    <cellStyle name="_Book2 55" xfId="1126"/>
    <cellStyle name="_Book2 6" xfId="1127"/>
    <cellStyle name="_x0013__Book2 6" xfId="1128"/>
    <cellStyle name="_Book2 6 2" xfId="1129"/>
    <cellStyle name="_x0013__Book2 6 2" xfId="1130"/>
    <cellStyle name="_Book2 7" xfId="1131"/>
    <cellStyle name="_x0013__Book2 7" xfId="1132"/>
    <cellStyle name="_Book2 7 2" xfId="1133"/>
    <cellStyle name="_x0013__Book2 7 2" xfId="1134"/>
    <cellStyle name="_Book2 8" xfId="1135"/>
    <cellStyle name="_x0013__Book2 8" xfId="1136"/>
    <cellStyle name="_Book2 8 2" xfId="1137"/>
    <cellStyle name="_x0013__Book2 8 2" xfId="1138"/>
    <cellStyle name="_Book2 9" xfId="1139"/>
    <cellStyle name="_x0013__Book2 9" xfId="1140"/>
    <cellStyle name="_Book2 9 2" xfId="1141"/>
    <cellStyle name="_x0013__Book2 9 2" xfId="1142"/>
    <cellStyle name="_Book2_04 07E Wild Horse Wind Expansion (C) (2)" xfId="1143"/>
    <cellStyle name="_Book2_04 07E Wild Horse Wind Expansion (C) (2) 2" xfId="1144"/>
    <cellStyle name="_Book2_04 07E Wild Horse Wind Expansion (C) (2) 2 2" xfId="1145"/>
    <cellStyle name="_Book2_04 07E Wild Horse Wind Expansion (C) (2) 3" xfId="1146"/>
    <cellStyle name="_Book2_04 07E Wild Horse Wind Expansion (C) (2)_Adj Bench DR 3 for Initial Briefs (Electric)" xfId="1147"/>
    <cellStyle name="_Book2_04 07E Wild Horse Wind Expansion (C) (2)_Adj Bench DR 3 for Initial Briefs (Electric) 2" xfId="1148"/>
    <cellStyle name="_Book2_04 07E Wild Horse Wind Expansion (C) (2)_Adj Bench DR 3 for Initial Briefs (Electric) 2 2" xfId="1149"/>
    <cellStyle name="_Book2_04 07E Wild Horse Wind Expansion (C) (2)_Adj Bench DR 3 for Initial Briefs (Electric) 3" xfId="1150"/>
    <cellStyle name="_Book2_04 07E Wild Horse Wind Expansion (C) (2)_Book1" xfId="1151"/>
    <cellStyle name="_Book2_04 07E Wild Horse Wind Expansion (C) (2)_Electric Rev Req Model (2009 GRC) " xfId="1152"/>
    <cellStyle name="_Book2_04 07E Wild Horse Wind Expansion (C) (2)_Electric Rev Req Model (2009 GRC)  2" xfId="1153"/>
    <cellStyle name="_Book2_04 07E Wild Horse Wind Expansion (C) (2)_Electric Rev Req Model (2009 GRC)  2 2" xfId="1154"/>
    <cellStyle name="_Book2_04 07E Wild Horse Wind Expansion (C) (2)_Electric Rev Req Model (2009 GRC)  3" xfId="1155"/>
    <cellStyle name="_Book2_04 07E Wild Horse Wind Expansion (C) (2)_Electric Rev Req Model (2009 GRC) Rebuttal" xfId="1156"/>
    <cellStyle name="_Book2_04 07E Wild Horse Wind Expansion (C) (2)_Electric Rev Req Model (2009 GRC) Rebuttal 2" xfId="1157"/>
    <cellStyle name="_Book2_04 07E Wild Horse Wind Expansion (C) (2)_Electric Rev Req Model (2009 GRC) Rebuttal 2 2" xfId="1158"/>
    <cellStyle name="_Book2_04 07E Wild Horse Wind Expansion (C) (2)_Electric Rev Req Model (2009 GRC) Rebuttal 3" xfId="1159"/>
    <cellStyle name="_Book2_04 07E Wild Horse Wind Expansion (C) (2)_Electric Rev Req Model (2009 GRC) Rebuttal REmoval of New  WH Solar AdjustMI" xfId="1160"/>
    <cellStyle name="_Book2_04 07E Wild Horse Wind Expansion (C) (2)_Electric Rev Req Model (2009 GRC) Rebuttal REmoval of New  WH Solar AdjustMI 2" xfId="1161"/>
    <cellStyle name="_Book2_04 07E Wild Horse Wind Expansion (C) (2)_Electric Rev Req Model (2009 GRC) Rebuttal REmoval of New  WH Solar AdjustMI 2 2" xfId="1162"/>
    <cellStyle name="_Book2_04 07E Wild Horse Wind Expansion (C) (2)_Electric Rev Req Model (2009 GRC) Rebuttal REmoval of New  WH Solar AdjustMI 3" xfId="1163"/>
    <cellStyle name="_Book2_04 07E Wild Horse Wind Expansion (C) (2)_Electric Rev Req Model (2009 GRC) Revised 01-18-2010" xfId="1164"/>
    <cellStyle name="_Book2_04 07E Wild Horse Wind Expansion (C) (2)_Electric Rev Req Model (2009 GRC) Revised 01-18-2010 2" xfId="1165"/>
    <cellStyle name="_Book2_04 07E Wild Horse Wind Expansion (C) (2)_Electric Rev Req Model (2009 GRC) Revised 01-18-2010 2 2" xfId="1166"/>
    <cellStyle name="_Book2_04 07E Wild Horse Wind Expansion (C) (2)_Electric Rev Req Model (2009 GRC) Revised 01-18-2010 3" xfId="1167"/>
    <cellStyle name="_Book2_04 07E Wild Horse Wind Expansion (C) (2)_Electric Rev Req Model (2010 GRC)" xfId="1168"/>
    <cellStyle name="_Book2_04 07E Wild Horse Wind Expansion (C) (2)_Electric Rev Req Model (2010 GRC) SF" xfId="1169"/>
    <cellStyle name="_Book2_04 07E Wild Horse Wind Expansion (C) (2)_Final Order Electric EXHIBIT A-1" xfId="1170"/>
    <cellStyle name="_Book2_04 07E Wild Horse Wind Expansion (C) (2)_Final Order Electric EXHIBIT A-1 2" xfId="1171"/>
    <cellStyle name="_Book2_04 07E Wild Horse Wind Expansion (C) (2)_Final Order Electric EXHIBIT A-1 2 2" xfId="1172"/>
    <cellStyle name="_Book2_04 07E Wild Horse Wind Expansion (C) (2)_Final Order Electric EXHIBIT A-1 3" xfId="1173"/>
    <cellStyle name="_Book2_04 07E Wild Horse Wind Expansion (C) (2)_TENASKA REGULATORY ASSET" xfId="1174"/>
    <cellStyle name="_Book2_04 07E Wild Horse Wind Expansion (C) (2)_TENASKA REGULATORY ASSET 2" xfId="1175"/>
    <cellStyle name="_Book2_04 07E Wild Horse Wind Expansion (C) (2)_TENASKA REGULATORY ASSET 2 2" xfId="1176"/>
    <cellStyle name="_Book2_04 07E Wild Horse Wind Expansion (C) (2)_TENASKA REGULATORY ASSET 3" xfId="1177"/>
    <cellStyle name="_Book2_16.37E Wild Horse Expansion DeferralRevwrkingfile SF" xfId="1178"/>
    <cellStyle name="_Book2_16.37E Wild Horse Expansion DeferralRevwrkingfile SF 2" xfId="1179"/>
    <cellStyle name="_Book2_16.37E Wild Horse Expansion DeferralRevwrkingfile SF 2 2" xfId="1180"/>
    <cellStyle name="_Book2_16.37E Wild Horse Expansion DeferralRevwrkingfile SF 3" xfId="1181"/>
    <cellStyle name="_Book2_2009 Compliance Filing PCA Exhibits for GRC" xfId="1182"/>
    <cellStyle name="_Book2_2009 GRC Compl Filing - Exhibit D" xfId="1183"/>
    <cellStyle name="_Book2_2009 GRC Compl Filing - Exhibit D 2" xfId="1184"/>
    <cellStyle name="_Book2_3.01 Income Statement" xfId="1185"/>
    <cellStyle name="_Book2_4 31 Regulatory Assets and Liabilities  7 06- Exhibit D" xfId="1186"/>
    <cellStyle name="_Book2_4 31 Regulatory Assets and Liabilities  7 06- Exhibit D 2" xfId="1187"/>
    <cellStyle name="_Book2_4 31 Regulatory Assets and Liabilities  7 06- Exhibit D 2 2" xfId="1188"/>
    <cellStyle name="_Book2_4 31 Regulatory Assets and Liabilities  7 06- Exhibit D 3" xfId="1189"/>
    <cellStyle name="_Book2_4 31 Regulatory Assets and Liabilities  7 06- Exhibit D_NIM Summary" xfId="1190"/>
    <cellStyle name="_Book2_4 31 Regulatory Assets and Liabilities  7 06- Exhibit D_NIM Summary 2" xfId="1191"/>
    <cellStyle name="_Book2_4 32 Regulatory Assets and Liabilities  7 06- Exhibit D" xfId="1192"/>
    <cellStyle name="_Book2_4 32 Regulatory Assets and Liabilities  7 06- Exhibit D 2" xfId="1193"/>
    <cellStyle name="_Book2_4 32 Regulatory Assets and Liabilities  7 06- Exhibit D 2 2" xfId="1194"/>
    <cellStyle name="_Book2_4 32 Regulatory Assets and Liabilities  7 06- Exhibit D 3" xfId="1195"/>
    <cellStyle name="_Book2_4 32 Regulatory Assets and Liabilities  7 06- Exhibit D_NIM Summary" xfId="1196"/>
    <cellStyle name="_Book2_4 32 Regulatory Assets and Liabilities  7 06- Exhibit D_NIM Summary 2" xfId="1197"/>
    <cellStyle name="_Book2_ACCOUNTS" xfId="1198"/>
    <cellStyle name="_x0013__Book2_Adj Bench DR 3 for Initial Briefs (Electric)" xfId="1199"/>
    <cellStyle name="_x0013__Book2_Adj Bench DR 3 for Initial Briefs (Electric) 2" xfId="1200"/>
    <cellStyle name="_x0013__Book2_Adj Bench DR 3 for Initial Briefs (Electric) 2 2" xfId="1201"/>
    <cellStyle name="_x0013__Book2_Adj Bench DR 3 for Initial Briefs (Electric) 3" xfId="1202"/>
    <cellStyle name="_Book2_AURORA Total New" xfId="1203"/>
    <cellStyle name="_Book2_AURORA Total New 2" xfId="1204"/>
    <cellStyle name="_Book2_Book2" xfId="1205"/>
    <cellStyle name="_Book2_Book2 2" xfId="1206"/>
    <cellStyle name="_Book2_Book2 2 2" xfId="1207"/>
    <cellStyle name="_Book2_Book2 3" xfId="1208"/>
    <cellStyle name="_Book2_Book2_Adj Bench DR 3 for Initial Briefs (Electric)" xfId="1209"/>
    <cellStyle name="_Book2_Book2_Adj Bench DR 3 for Initial Briefs (Electric) 2" xfId="1210"/>
    <cellStyle name="_Book2_Book2_Adj Bench DR 3 for Initial Briefs (Electric) 2 2" xfId="1211"/>
    <cellStyle name="_Book2_Book2_Adj Bench DR 3 for Initial Briefs (Electric) 3" xfId="1212"/>
    <cellStyle name="_Book2_Book2_Electric Rev Req Model (2009 GRC) Rebuttal" xfId="1213"/>
    <cellStyle name="_Book2_Book2_Electric Rev Req Model (2009 GRC) Rebuttal 2" xfId="1214"/>
    <cellStyle name="_Book2_Book2_Electric Rev Req Model (2009 GRC) Rebuttal 2 2" xfId="1215"/>
    <cellStyle name="_Book2_Book2_Electric Rev Req Model (2009 GRC) Rebuttal 3" xfId="1216"/>
    <cellStyle name="_Book2_Book2_Electric Rev Req Model (2009 GRC) Rebuttal REmoval of New  WH Solar AdjustMI" xfId="1217"/>
    <cellStyle name="_Book2_Book2_Electric Rev Req Model (2009 GRC) Rebuttal REmoval of New  WH Solar AdjustMI 2" xfId="1218"/>
    <cellStyle name="_Book2_Book2_Electric Rev Req Model (2009 GRC) Rebuttal REmoval of New  WH Solar AdjustMI 2 2" xfId="1219"/>
    <cellStyle name="_Book2_Book2_Electric Rev Req Model (2009 GRC) Rebuttal REmoval of New  WH Solar AdjustMI 3" xfId="1220"/>
    <cellStyle name="_Book2_Book2_Electric Rev Req Model (2009 GRC) Revised 01-18-2010" xfId="1221"/>
    <cellStyle name="_Book2_Book2_Electric Rev Req Model (2009 GRC) Revised 01-18-2010 2" xfId="1222"/>
    <cellStyle name="_Book2_Book2_Electric Rev Req Model (2009 GRC) Revised 01-18-2010 2 2" xfId="1223"/>
    <cellStyle name="_Book2_Book2_Electric Rev Req Model (2009 GRC) Revised 01-18-2010 3" xfId="1224"/>
    <cellStyle name="_Book2_Book2_Final Order Electric EXHIBIT A-1" xfId="1225"/>
    <cellStyle name="_Book2_Book2_Final Order Electric EXHIBIT A-1 2" xfId="1226"/>
    <cellStyle name="_Book2_Book2_Final Order Electric EXHIBIT A-1 2 2" xfId="1227"/>
    <cellStyle name="_Book2_Book2_Final Order Electric EXHIBIT A-1 3" xfId="1228"/>
    <cellStyle name="_Book2_Book4" xfId="1229"/>
    <cellStyle name="_Book2_Book4 2" xfId="1230"/>
    <cellStyle name="_Book2_Book4 2 2" xfId="1231"/>
    <cellStyle name="_Book2_Book4 3" xfId="1232"/>
    <cellStyle name="_Book2_Book9" xfId="1233"/>
    <cellStyle name="_Book2_Book9 2" xfId="1234"/>
    <cellStyle name="_Book2_Book9 2 2" xfId="1235"/>
    <cellStyle name="_Book2_Book9 3" xfId="1236"/>
    <cellStyle name="_Book2_Check the Interest Calculation" xfId="1237"/>
    <cellStyle name="_Book2_Check the Interest Calculation_Scenario 1 REC vs PTC Offset" xfId="1238"/>
    <cellStyle name="_Book2_Check the Interest Calculation_Scenario 3" xfId="1239"/>
    <cellStyle name="_Book2_Chelan PUD Power Costs (8-10)" xfId="1240"/>
    <cellStyle name="_x0013__Book2_Electric Rev Req Model (2009 GRC) Rebuttal" xfId="1241"/>
    <cellStyle name="_x0013__Book2_Electric Rev Req Model (2009 GRC) Rebuttal 2" xfId="1242"/>
    <cellStyle name="_x0013__Book2_Electric Rev Req Model (2009 GRC) Rebuttal 2 2" xfId="1243"/>
    <cellStyle name="_x0013__Book2_Electric Rev Req Model (2009 GRC) Rebuttal 3" xfId="1244"/>
    <cellStyle name="_x0013__Book2_Electric Rev Req Model (2009 GRC) Rebuttal REmoval of New  WH Solar AdjustMI" xfId="1245"/>
    <cellStyle name="_x0013__Book2_Electric Rev Req Model (2009 GRC) Rebuttal REmoval of New  WH Solar AdjustMI 2" xfId="1246"/>
    <cellStyle name="_x0013__Book2_Electric Rev Req Model (2009 GRC) Rebuttal REmoval of New  WH Solar AdjustMI 2 2" xfId="1247"/>
    <cellStyle name="_x0013__Book2_Electric Rev Req Model (2009 GRC) Rebuttal REmoval of New  WH Solar AdjustMI 3" xfId="1248"/>
    <cellStyle name="_x0013__Book2_Electric Rev Req Model (2009 GRC) Revised 01-18-2010" xfId="1249"/>
    <cellStyle name="_x0013__Book2_Electric Rev Req Model (2009 GRC) Revised 01-18-2010 2" xfId="1250"/>
    <cellStyle name="_x0013__Book2_Electric Rev Req Model (2009 GRC) Revised 01-18-2010 2 2" xfId="1251"/>
    <cellStyle name="_x0013__Book2_Electric Rev Req Model (2009 GRC) Revised 01-18-2010 3" xfId="1252"/>
    <cellStyle name="_x0013__Book2_Final Order Electric EXHIBIT A-1" xfId="1253"/>
    <cellStyle name="_x0013__Book2_Final Order Electric EXHIBIT A-1 2" xfId="1254"/>
    <cellStyle name="_x0013__Book2_Final Order Electric EXHIBIT A-1 2 2" xfId="1255"/>
    <cellStyle name="_x0013__Book2_Final Order Electric EXHIBIT A-1 3" xfId="1256"/>
    <cellStyle name="_Book2_Gas Rev Req Model (2010 GRC)" xfId="1257"/>
    <cellStyle name="_Book2_INPUTS" xfId="1258"/>
    <cellStyle name="_Book2_INPUTS 2" xfId="1259"/>
    <cellStyle name="_Book2_INPUTS 2 2" xfId="1260"/>
    <cellStyle name="_Book2_INPUTS 3" xfId="1261"/>
    <cellStyle name="_Book2_NIM Summary" xfId="1262"/>
    <cellStyle name="_Book2_NIM Summary 09GRC" xfId="1263"/>
    <cellStyle name="_Book2_NIM Summary 09GRC 2" xfId="1264"/>
    <cellStyle name="_Book2_NIM Summary 2" xfId="1265"/>
    <cellStyle name="_Book2_NIM Summary 3" xfId="1266"/>
    <cellStyle name="_Book2_NIM Summary 4" xfId="1267"/>
    <cellStyle name="_Book2_NIM Summary 5" xfId="1268"/>
    <cellStyle name="_Book2_NIM Summary 6" xfId="1269"/>
    <cellStyle name="_Book2_NIM Summary 7" xfId="1270"/>
    <cellStyle name="_Book2_NIM Summary 8" xfId="1271"/>
    <cellStyle name="_Book2_NIM Summary 9" xfId="1272"/>
    <cellStyle name="_Book2_PCA 10 -  Exhibit D from A Kellogg Jan 2011" xfId="1273"/>
    <cellStyle name="_Book2_PCA 10 -  Exhibit D from A Kellogg July 2011" xfId="1274"/>
    <cellStyle name="_Book2_PCA 10 -  Exhibit D from S Free Rcv'd 12-11" xfId="1275"/>
    <cellStyle name="_Book2_PCA 9 -  Exhibit D April 2010" xfId="1276"/>
    <cellStyle name="_Book2_PCA 9 -  Exhibit D April 2010 (3)" xfId="1277"/>
    <cellStyle name="_Book2_PCA 9 -  Exhibit D April 2010 (3) 2" xfId="1278"/>
    <cellStyle name="_Book2_PCA 9 -  Exhibit D Nov 2010" xfId="1279"/>
    <cellStyle name="_Book2_PCA 9 - Exhibit D at August 2010" xfId="1280"/>
    <cellStyle name="_Book2_PCA 9 - Exhibit D June 2010 GRC" xfId="1281"/>
    <cellStyle name="_Book2_Power Costs - Comparison bx Rbtl-Staff-Jt-PC" xfId="1282"/>
    <cellStyle name="_Book2_Power Costs - Comparison bx Rbtl-Staff-Jt-PC 2" xfId="1283"/>
    <cellStyle name="_Book2_Power Costs - Comparison bx Rbtl-Staff-Jt-PC 2 2" xfId="1284"/>
    <cellStyle name="_Book2_Power Costs - Comparison bx Rbtl-Staff-Jt-PC 3" xfId="1285"/>
    <cellStyle name="_Book2_Power Costs - Comparison bx Rbtl-Staff-Jt-PC_Adj Bench DR 3 for Initial Briefs (Electric)" xfId="1286"/>
    <cellStyle name="_Book2_Power Costs - Comparison bx Rbtl-Staff-Jt-PC_Adj Bench DR 3 for Initial Briefs (Electric) 2" xfId="1287"/>
    <cellStyle name="_Book2_Power Costs - Comparison bx Rbtl-Staff-Jt-PC_Adj Bench DR 3 for Initial Briefs (Electric) 2 2" xfId="1288"/>
    <cellStyle name="_Book2_Power Costs - Comparison bx Rbtl-Staff-Jt-PC_Adj Bench DR 3 for Initial Briefs (Electric) 3" xfId="1289"/>
    <cellStyle name="_Book2_Power Costs - Comparison bx Rbtl-Staff-Jt-PC_Electric Rev Req Model (2009 GRC) Rebuttal" xfId="1290"/>
    <cellStyle name="_Book2_Power Costs - Comparison bx Rbtl-Staff-Jt-PC_Electric Rev Req Model (2009 GRC) Rebuttal 2" xfId="1291"/>
    <cellStyle name="_Book2_Power Costs - Comparison bx Rbtl-Staff-Jt-PC_Electric Rev Req Model (2009 GRC) Rebuttal 2 2" xfId="1292"/>
    <cellStyle name="_Book2_Power Costs - Comparison bx Rbtl-Staff-Jt-PC_Electric Rev Req Model (2009 GRC) Rebuttal 3" xfId="1293"/>
    <cellStyle name="_Book2_Power Costs - Comparison bx Rbtl-Staff-Jt-PC_Electric Rev Req Model (2009 GRC) Rebuttal REmoval of New  WH Solar AdjustMI" xfId="1294"/>
    <cellStyle name="_Book2_Power Costs - Comparison bx Rbtl-Staff-Jt-PC_Electric Rev Req Model (2009 GRC) Rebuttal REmoval of New  WH Solar AdjustMI 2" xfId="1295"/>
    <cellStyle name="_Book2_Power Costs - Comparison bx Rbtl-Staff-Jt-PC_Electric Rev Req Model (2009 GRC) Rebuttal REmoval of New  WH Solar AdjustMI 2 2" xfId="1296"/>
    <cellStyle name="_Book2_Power Costs - Comparison bx Rbtl-Staff-Jt-PC_Electric Rev Req Model (2009 GRC) Rebuttal REmoval of New  WH Solar AdjustMI 3" xfId="1297"/>
    <cellStyle name="_Book2_Power Costs - Comparison bx Rbtl-Staff-Jt-PC_Electric Rev Req Model (2009 GRC) Revised 01-18-2010" xfId="1298"/>
    <cellStyle name="_Book2_Power Costs - Comparison bx Rbtl-Staff-Jt-PC_Electric Rev Req Model (2009 GRC) Revised 01-18-2010 2" xfId="1299"/>
    <cellStyle name="_Book2_Power Costs - Comparison bx Rbtl-Staff-Jt-PC_Electric Rev Req Model (2009 GRC) Revised 01-18-2010 2 2" xfId="1300"/>
    <cellStyle name="_Book2_Power Costs - Comparison bx Rbtl-Staff-Jt-PC_Electric Rev Req Model (2009 GRC) Revised 01-18-2010 3" xfId="1301"/>
    <cellStyle name="_Book2_Power Costs - Comparison bx Rbtl-Staff-Jt-PC_Final Order Electric EXHIBIT A-1" xfId="1302"/>
    <cellStyle name="_Book2_Power Costs - Comparison bx Rbtl-Staff-Jt-PC_Final Order Electric EXHIBIT A-1 2" xfId="1303"/>
    <cellStyle name="_Book2_Power Costs - Comparison bx Rbtl-Staff-Jt-PC_Final Order Electric EXHIBIT A-1 2 2" xfId="1304"/>
    <cellStyle name="_Book2_Power Costs - Comparison bx Rbtl-Staff-Jt-PC_Final Order Electric EXHIBIT A-1 3" xfId="1305"/>
    <cellStyle name="_Book2_Production Adj 4.37" xfId="1306"/>
    <cellStyle name="_Book2_Production Adj 4.37 2" xfId="1307"/>
    <cellStyle name="_Book2_Production Adj 4.37 2 2" xfId="1308"/>
    <cellStyle name="_Book2_Production Adj 4.37 3" xfId="1309"/>
    <cellStyle name="_Book2_Purchased Power Adj 4.03" xfId="1310"/>
    <cellStyle name="_Book2_Purchased Power Adj 4.03 2" xfId="1311"/>
    <cellStyle name="_Book2_Purchased Power Adj 4.03 2 2" xfId="1312"/>
    <cellStyle name="_Book2_Purchased Power Adj 4.03 3" xfId="1313"/>
    <cellStyle name="_Book2_Rebuttal Power Costs" xfId="1314"/>
    <cellStyle name="_Book2_Rebuttal Power Costs 2" xfId="1315"/>
    <cellStyle name="_Book2_Rebuttal Power Costs 2 2" xfId="1316"/>
    <cellStyle name="_Book2_Rebuttal Power Costs 3" xfId="1317"/>
    <cellStyle name="_Book2_Rebuttal Power Costs_Adj Bench DR 3 for Initial Briefs (Electric)" xfId="1318"/>
    <cellStyle name="_Book2_Rebuttal Power Costs_Adj Bench DR 3 for Initial Briefs (Electric) 2" xfId="1319"/>
    <cellStyle name="_Book2_Rebuttal Power Costs_Adj Bench DR 3 for Initial Briefs (Electric) 2 2" xfId="1320"/>
    <cellStyle name="_Book2_Rebuttal Power Costs_Adj Bench DR 3 for Initial Briefs (Electric) 3" xfId="1321"/>
    <cellStyle name="_Book2_Rebuttal Power Costs_Electric Rev Req Model (2009 GRC) Rebuttal" xfId="1322"/>
    <cellStyle name="_Book2_Rebuttal Power Costs_Electric Rev Req Model (2009 GRC) Rebuttal 2" xfId="1323"/>
    <cellStyle name="_Book2_Rebuttal Power Costs_Electric Rev Req Model (2009 GRC) Rebuttal 2 2" xfId="1324"/>
    <cellStyle name="_Book2_Rebuttal Power Costs_Electric Rev Req Model (2009 GRC) Rebuttal 3" xfId="1325"/>
    <cellStyle name="_Book2_Rebuttal Power Costs_Electric Rev Req Model (2009 GRC) Rebuttal REmoval of New  WH Solar AdjustMI" xfId="1326"/>
    <cellStyle name="_Book2_Rebuttal Power Costs_Electric Rev Req Model (2009 GRC) Rebuttal REmoval of New  WH Solar AdjustMI 2" xfId="1327"/>
    <cellStyle name="_Book2_Rebuttal Power Costs_Electric Rev Req Model (2009 GRC) Rebuttal REmoval of New  WH Solar AdjustMI 2 2" xfId="1328"/>
    <cellStyle name="_Book2_Rebuttal Power Costs_Electric Rev Req Model (2009 GRC) Rebuttal REmoval of New  WH Solar AdjustMI 3" xfId="1329"/>
    <cellStyle name="_Book2_Rebuttal Power Costs_Electric Rev Req Model (2009 GRC) Revised 01-18-2010" xfId="1330"/>
    <cellStyle name="_Book2_Rebuttal Power Costs_Electric Rev Req Model (2009 GRC) Revised 01-18-2010 2" xfId="1331"/>
    <cellStyle name="_Book2_Rebuttal Power Costs_Electric Rev Req Model (2009 GRC) Revised 01-18-2010 2 2" xfId="1332"/>
    <cellStyle name="_Book2_Rebuttal Power Costs_Electric Rev Req Model (2009 GRC) Revised 01-18-2010 3" xfId="1333"/>
    <cellStyle name="_Book2_Rebuttal Power Costs_Final Order Electric EXHIBIT A-1" xfId="1334"/>
    <cellStyle name="_Book2_Rebuttal Power Costs_Final Order Electric EXHIBIT A-1 2" xfId="1335"/>
    <cellStyle name="_Book2_Rebuttal Power Costs_Final Order Electric EXHIBIT A-1 2 2" xfId="1336"/>
    <cellStyle name="_Book2_Rebuttal Power Costs_Final Order Electric EXHIBIT A-1 3" xfId="1337"/>
    <cellStyle name="_Book2_ROR &amp; CONV FACTOR" xfId="1338"/>
    <cellStyle name="_Book2_ROR &amp; CONV FACTOR 2" xfId="1339"/>
    <cellStyle name="_Book2_ROR &amp; CONV FACTOR 2 2" xfId="1340"/>
    <cellStyle name="_Book2_ROR &amp; CONV FACTOR 3" xfId="1341"/>
    <cellStyle name="_Book2_ROR 5.02" xfId="1342"/>
    <cellStyle name="_Book2_ROR 5.02 2" xfId="1343"/>
    <cellStyle name="_Book2_ROR 5.02 2 2" xfId="1344"/>
    <cellStyle name="_Book2_ROR 5.02 3" xfId="1345"/>
    <cellStyle name="_Book2_Wind Integration 10GRC" xfId="1346"/>
    <cellStyle name="_Book2_Wind Integration 10GRC 2" xfId="1347"/>
    <cellStyle name="_Book3" xfId="1348"/>
    <cellStyle name="_Book5" xfId="1349"/>
    <cellStyle name="_Book5_Chelan PUD Power Costs (8-10)" xfId="1350"/>
    <cellStyle name="_Book5_DEM-WP(C) Costs Not In AURORA 2010GRC As Filed" xfId="1351"/>
    <cellStyle name="_Book5_DEM-WP(C) Costs Not In AURORA 2010GRC As Filed 2" xfId="1352"/>
    <cellStyle name="_Book5_NIM Summary" xfId="1353"/>
    <cellStyle name="_Book5_NIM Summary 09GRC" xfId="1354"/>
    <cellStyle name="_Book5_NIM Summary 2" xfId="1355"/>
    <cellStyle name="_Book5_NIM Summary 3" xfId="1356"/>
    <cellStyle name="_Book5_NIM Summary 4" xfId="1357"/>
    <cellStyle name="_Book5_NIM Summary 5" xfId="1358"/>
    <cellStyle name="_Book5_NIM Summary 6" xfId="1359"/>
    <cellStyle name="_Book5_NIM Summary 7" xfId="1360"/>
    <cellStyle name="_Book5_NIM Summary 8" xfId="1361"/>
    <cellStyle name="_Book5_NIM Summary 9" xfId="1362"/>
    <cellStyle name="_Book5_PCA 9 -  Exhibit D April 2010 (3)" xfId="1363"/>
    <cellStyle name="_Book5_Reconciliation" xfId="1364"/>
    <cellStyle name="_Book5_Reconciliation 2" xfId="1365"/>
    <cellStyle name="_Book5_Wind Integration 10GRC" xfId="1366"/>
    <cellStyle name="_Book5_Wind Integration 10GRC 2" xfId="1367"/>
    <cellStyle name="_BPA NOS" xfId="1368"/>
    <cellStyle name="_BPA NOS 2" xfId="1369"/>
    <cellStyle name="_BPA NOS_DEM-WP(C) Wind Integration Summary 2010GRC" xfId="1370"/>
    <cellStyle name="_BPA NOS_DEM-WP(C) Wind Integration Summary 2010GRC 2" xfId="1371"/>
    <cellStyle name="_BPA NOS_NIM Summary" xfId="1372"/>
    <cellStyle name="_BPA NOS_NIM Summary 2" xfId="1373"/>
    <cellStyle name="_Chelan Debt Forecast 12.19.05" xfId="1374"/>
    <cellStyle name="_Chelan Debt Forecast 12.19.05 2" xfId="1375"/>
    <cellStyle name="_Chelan Debt Forecast 12.19.05 2 2" xfId="1376"/>
    <cellStyle name="_Chelan Debt Forecast 12.19.05 2 2 2" xfId="1377"/>
    <cellStyle name="_Chelan Debt Forecast 12.19.05 2 3" xfId="1378"/>
    <cellStyle name="_Chelan Debt Forecast 12.19.05 3" xfId="1379"/>
    <cellStyle name="_Chelan Debt Forecast 12.19.05 3 2" xfId="1380"/>
    <cellStyle name="_Chelan Debt Forecast 12.19.05 3 2 2" xfId="1381"/>
    <cellStyle name="_Chelan Debt Forecast 12.19.05 3 3" xfId="1382"/>
    <cellStyle name="_Chelan Debt Forecast 12.19.05 3 3 2" xfId="1383"/>
    <cellStyle name="_Chelan Debt Forecast 12.19.05 3 4" xfId="1384"/>
    <cellStyle name="_Chelan Debt Forecast 12.19.05 3 4 2" xfId="1385"/>
    <cellStyle name="_Chelan Debt Forecast 12.19.05 4" xfId="1386"/>
    <cellStyle name="_Chelan Debt Forecast 12.19.05 4 2" xfId="1387"/>
    <cellStyle name="_Chelan Debt Forecast 12.19.05 5" xfId="1388"/>
    <cellStyle name="_Chelan Debt Forecast 12.19.05 6" xfId="1389"/>
    <cellStyle name="_Chelan Debt Forecast 12.19.05 7" xfId="1390"/>
    <cellStyle name="_Chelan Debt Forecast 12.19.05_(C) WHE Proforma with ITC cash grant 10 Yr Amort_for deferral_102809" xfId="1391"/>
    <cellStyle name="_Chelan Debt Forecast 12.19.05_(C) WHE Proforma with ITC cash grant 10 Yr Amort_for deferral_102809 2" xfId="1392"/>
    <cellStyle name="_Chelan Debt Forecast 12.19.05_(C) WHE Proforma with ITC cash grant 10 Yr Amort_for deferral_102809 2 2" xfId="1393"/>
    <cellStyle name="_Chelan Debt Forecast 12.19.05_(C) WHE Proforma with ITC cash grant 10 Yr Amort_for deferral_102809 3" xfId="1394"/>
    <cellStyle name="_Chelan Debt Forecast 12.19.05_(C) WHE Proforma with ITC cash grant 10 Yr Amort_for deferral_102809_16.07E Wild Horse Wind Expansionwrkingfile" xfId="1395"/>
    <cellStyle name="_Chelan Debt Forecast 12.19.05_(C) WHE Proforma with ITC cash grant 10 Yr Amort_for deferral_102809_16.07E Wild Horse Wind Expansionwrkingfile 2" xfId="1396"/>
    <cellStyle name="_Chelan Debt Forecast 12.19.05_(C) WHE Proforma with ITC cash grant 10 Yr Amort_for deferral_102809_16.07E Wild Horse Wind Expansionwrkingfile 2 2" xfId="1397"/>
    <cellStyle name="_Chelan Debt Forecast 12.19.05_(C) WHE Proforma with ITC cash grant 10 Yr Amort_for deferral_102809_16.07E Wild Horse Wind Expansionwrkingfile 3" xfId="1398"/>
    <cellStyle name="_Chelan Debt Forecast 12.19.05_(C) WHE Proforma with ITC cash grant 10 Yr Amort_for deferral_102809_16.07E Wild Horse Wind Expansionwrkingfile SF" xfId="1399"/>
    <cellStyle name="_Chelan Debt Forecast 12.19.05_(C) WHE Proforma with ITC cash grant 10 Yr Amort_for deferral_102809_16.07E Wild Horse Wind Expansionwrkingfile SF 2" xfId="1400"/>
    <cellStyle name="_Chelan Debt Forecast 12.19.05_(C) WHE Proforma with ITC cash grant 10 Yr Amort_for deferral_102809_16.07E Wild Horse Wind Expansionwrkingfile SF 2 2" xfId="1401"/>
    <cellStyle name="_Chelan Debt Forecast 12.19.05_(C) WHE Proforma with ITC cash grant 10 Yr Amort_for deferral_102809_16.07E Wild Horse Wind Expansionwrkingfile SF 3" xfId="1402"/>
    <cellStyle name="_Chelan Debt Forecast 12.19.05_(C) WHE Proforma with ITC cash grant 10 Yr Amort_for deferral_102809_16.37E Wild Horse Expansion DeferralRevwrkingfile SF" xfId="1403"/>
    <cellStyle name="_Chelan Debt Forecast 12.19.05_(C) WHE Proforma with ITC cash grant 10 Yr Amort_for deferral_102809_16.37E Wild Horse Expansion DeferralRevwrkingfile SF 2" xfId="1404"/>
    <cellStyle name="_Chelan Debt Forecast 12.19.05_(C) WHE Proforma with ITC cash grant 10 Yr Amort_for deferral_102809_16.37E Wild Horse Expansion DeferralRevwrkingfile SF 2 2" xfId="1405"/>
    <cellStyle name="_Chelan Debt Forecast 12.19.05_(C) WHE Proforma with ITC cash grant 10 Yr Amort_for deferral_102809_16.37E Wild Horse Expansion DeferralRevwrkingfile SF 3" xfId="1406"/>
    <cellStyle name="_Chelan Debt Forecast 12.19.05_(C) WHE Proforma with ITC cash grant 10 Yr Amort_for rebuttal_120709" xfId="1407"/>
    <cellStyle name="_Chelan Debt Forecast 12.19.05_(C) WHE Proforma with ITC cash grant 10 Yr Amort_for rebuttal_120709 2" xfId="1408"/>
    <cellStyle name="_Chelan Debt Forecast 12.19.05_(C) WHE Proforma with ITC cash grant 10 Yr Amort_for rebuttal_120709 2 2" xfId="1409"/>
    <cellStyle name="_Chelan Debt Forecast 12.19.05_(C) WHE Proforma with ITC cash grant 10 Yr Amort_for rebuttal_120709 3" xfId="1410"/>
    <cellStyle name="_Chelan Debt Forecast 12.19.05_04.07E Wild Horse Wind Expansion" xfId="1411"/>
    <cellStyle name="_Chelan Debt Forecast 12.19.05_04.07E Wild Horse Wind Expansion 2" xfId="1412"/>
    <cellStyle name="_Chelan Debt Forecast 12.19.05_04.07E Wild Horse Wind Expansion 2 2" xfId="1413"/>
    <cellStyle name="_Chelan Debt Forecast 12.19.05_04.07E Wild Horse Wind Expansion 3" xfId="1414"/>
    <cellStyle name="_Chelan Debt Forecast 12.19.05_04.07E Wild Horse Wind Expansion_16.07E Wild Horse Wind Expansionwrkingfile" xfId="1415"/>
    <cellStyle name="_Chelan Debt Forecast 12.19.05_04.07E Wild Horse Wind Expansion_16.07E Wild Horse Wind Expansionwrkingfile 2" xfId="1416"/>
    <cellStyle name="_Chelan Debt Forecast 12.19.05_04.07E Wild Horse Wind Expansion_16.07E Wild Horse Wind Expansionwrkingfile 2 2" xfId="1417"/>
    <cellStyle name="_Chelan Debt Forecast 12.19.05_04.07E Wild Horse Wind Expansion_16.07E Wild Horse Wind Expansionwrkingfile 3" xfId="1418"/>
    <cellStyle name="_Chelan Debt Forecast 12.19.05_04.07E Wild Horse Wind Expansion_16.07E Wild Horse Wind Expansionwrkingfile SF" xfId="1419"/>
    <cellStyle name="_Chelan Debt Forecast 12.19.05_04.07E Wild Horse Wind Expansion_16.07E Wild Horse Wind Expansionwrkingfile SF 2" xfId="1420"/>
    <cellStyle name="_Chelan Debt Forecast 12.19.05_04.07E Wild Horse Wind Expansion_16.07E Wild Horse Wind Expansionwrkingfile SF 2 2" xfId="1421"/>
    <cellStyle name="_Chelan Debt Forecast 12.19.05_04.07E Wild Horse Wind Expansion_16.07E Wild Horse Wind Expansionwrkingfile SF 3" xfId="1422"/>
    <cellStyle name="_Chelan Debt Forecast 12.19.05_04.07E Wild Horse Wind Expansion_16.37E Wild Horse Expansion DeferralRevwrkingfile SF" xfId="1423"/>
    <cellStyle name="_Chelan Debt Forecast 12.19.05_04.07E Wild Horse Wind Expansion_16.37E Wild Horse Expansion DeferralRevwrkingfile SF 2" xfId="1424"/>
    <cellStyle name="_Chelan Debt Forecast 12.19.05_04.07E Wild Horse Wind Expansion_16.37E Wild Horse Expansion DeferralRevwrkingfile SF 2 2" xfId="1425"/>
    <cellStyle name="_Chelan Debt Forecast 12.19.05_04.07E Wild Horse Wind Expansion_16.37E Wild Horse Expansion DeferralRevwrkingfile SF 3" xfId="1426"/>
    <cellStyle name="_Chelan Debt Forecast 12.19.05_16.07E Wild Horse Wind Expansionwrkingfile" xfId="1427"/>
    <cellStyle name="_Chelan Debt Forecast 12.19.05_16.07E Wild Horse Wind Expansionwrkingfile 2" xfId="1428"/>
    <cellStyle name="_Chelan Debt Forecast 12.19.05_16.07E Wild Horse Wind Expansionwrkingfile 2 2" xfId="1429"/>
    <cellStyle name="_Chelan Debt Forecast 12.19.05_16.07E Wild Horse Wind Expansionwrkingfile 3" xfId="1430"/>
    <cellStyle name="_Chelan Debt Forecast 12.19.05_16.07E Wild Horse Wind Expansionwrkingfile SF" xfId="1431"/>
    <cellStyle name="_Chelan Debt Forecast 12.19.05_16.07E Wild Horse Wind Expansionwrkingfile SF 2" xfId="1432"/>
    <cellStyle name="_Chelan Debt Forecast 12.19.05_16.07E Wild Horse Wind Expansionwrkingfile SF 2 2" xfId="1433"/>
    <cellStyle name="_Chelan Debt Forecast 12.19.05_16.07E Wild Horse Wind Expansionwrkingfile SF 3" xfId="1434"/>
    <cellStyle name="_Chelan Debt Forecast 12.19.05_16.37E Wild Horse Expansion DeferralRevwrkingfile SF" xfId="1435"/>
    <cellStyle name="_Chelan Debt Forecast 12.19.05_16.37E Wild Horse Expansion DeferralRevwrkingfile SF 2" xfId="1436"/>
    <cellStyle name="_Chelan Debt Forecast 12.19.05_16.37E Wild Horse Expansion DeferralRevwrkingfile SF 2 2" xfId="1437"/>
    <cellStyle name="_Chelan Debt Forecast 12.19.05_16.37E Wild Horse Expansion DeferralRevwrkingfile SF 3" xfId="1438"/>
    <cellStyle name="_Chelan Debt Forecast 12.19.05_2009 Compliance Filing PCA Exhibits for GRC" xfId="1439"/>
    <cellStyle name="_Chelan Debt Forecast 12.19.05_2009 GRC Compl Filing - Exhibit D" xfId="1440"/>
    <cellStyle name="_Chelan Debt Forecast 12.19.05_2009 GRC Compl Filing - Exhibit D 2" xfId="1441"/>
    <cellStyle name="_Chelan Debt Forecast 12.19.05_3.01 Income Statement" xfId="1442"/>
    <cellStyle name="_Chelan Debt Forecast 12.19.05_4 31 Regulatory Assets and Liabilities  7 06- Exhibit D" xfId="1443"/>
    <cellStyle name="_Chelan Debt Forecast 12.19.05_4 31 Regulatory Assets and Liabilities  7 06- Exhibit D 2" xfId="1444"/>
    <cellStyle name="_Chelan Debt Forecast 12.19.05_4 31 Regulatory Assets and Liabilities  7 06- Exhibit D 2 2" xfId="1445"/>
    <cellStyle name="_Chelan Debt Forecast 12.19.05_4 31 Regulatory Assets and Liabilities  7 06- Exhibit D 3" xfId="1446"/>
    <cellStyle name="_Chelan Debt Forecast 12.19.05_4 31 Regulatory Assets and Liabilities  7 06- Exhibit D_NIM Summary" xfId="1447"/>
    <cellStyle name="_Chelan Debt Forecast 12.19.05_4 31 Regulatory Assets and Liabilities  7 06- Exhibit D_NIM Summary 2" xfId="1448"/>
    <cellStyle name="_Chelan Debt Forecast 12.19.05_4 32 Regulatory Assets and Liabilities  7 06- Exhibit D" xfId="1449"/>
    <cellStyle name="_Chelan Debt Forecast 12.19.05_4 32 Regulatory Assets and Liabilities  7 06- Exhibit D 2" xfId="1450"/>
    <cellStyle name="_Chelan Debt Forecast 12.19.05_4 32 Regulatory Assets and Liabilities  7 06- Exhibit D 2 2" xfId="1451"/>
    <cellStyle name="_Chelan Debt Forecast 12.19.05_4 32 Regulatory Assets and Liabilities  7 06- Exhibit D 3" xfId="1452"/>
    <cellStyle name="_Chelan Debt Forecast 12.19.05_4 32 Regulatory Assets and Liabilities  7 06- Exhibit D_NIM Summary" xfId="1453"/>
    <cellStyle name="_Chelan Debt Forecast 12.19.05_4 32 Regulatory Assets and Liabilities  7 06- Exhibit D_NIM Summary 2" xfId="1454"/>
    <cellStyle name="_Chelan Debt Forecast 12.19.05_ACCOUNTS" xfId="1455"/>
    <cellStyle name="_Chelan Debt Forecast 12.19.05_AURORA Total New" xfId="1456"/>
    <cellStyle name="_Chelan Debt Forecast 12.19.05_AURORA Total New 2" xfId="1457"/>
    <cellStyle name="_Chelan Debt Forecast 12.19.05_Book2" xfId="1458"/>
    <cellStyle name="_Chelan Debt Forecast 12.19.05_Book2 2" xfId="1459"/>
    <cellStyle name="_Chelan Debt Forecast 12.19.05_Book2 2 2" xfId="1460"/>
    <cellStyle name="_Chelan Debt Forecast 12.19.05_Book2 3" xfId="1461"/>
    <cellStyle name="_Chelan Debt Forecast 12.19.05_Book2_Adj Bench DR 3 for Initial Briefs (Electric)" xfId="1462"/>
    <cellStyle name="_Chelan Debt Forecast 12.19.05_Book2_Adj Bench DR 3 for Initial Briefs (Electric) 2" xfId="1463"/>
    <cellStyle name="_Chelan Debt Forecast 12.19.05_Book2_Adj Bench DR 3 for Initial Briefs (Electric) 2 2" xfId="1464"/>
    <cellStyle name="_Chelan Debt Forecast 12.19.05_Book2_Adj Bench DR 3 for Initial Briefs (Electric) 3" xfId="1465"/>
    <cellStyle name="_Chelan Debt Forecast 12.19.05_Book2_Electric Rev Req Model (2009 GRC) Rebuttal" xfId="1466"/>
    <cellStyle name="_Chelan Debt Forecast 12.19.05_Book2_Electric Rev Req Model (2009 GRC) Rebuttal 2" xfId="1467"/>
    <cellStyle name="_Chelan Debt Forecast 12.19.05_Book2_Electric Rev Req Model (2009 GRC) Rebuttal 2 2" xfId="1468"/>
    <cellStyle name="_Chelan Debt Forecast 12.19.05_Book2_Electric Rev Req Model (2009 GRC) Rebuttal 3" xfId="1469"/>
    <cellStyle name="_Chelan Debt Forecast 12.19.05_Book2_Electric Rev Req Model (2009 GRC) Rebuttal REmoval of New  WH Solar AdjustMI" xfId="1470"/>
    <cellStyle name="_Chelan Debt Forecast 12.19.05_Book2_Electric Rev Req Model (2009 GRC) Rebuttal REmoval of New  WH Solar AdjustMI 2" xfId="1471"/>
    <cellStyle name="_Chelan Debt Forecast 12.19.05_Book2_Electric Rev Req Model (2009 GRC) Rebuttal REmoval of New  WH Solar AdjustMI 2 2" xfId="1472"/>
    <cellStyle name="_Chelan Debt Forecast 12.19.05_Book2_Electric Rev Req Model (2009 GRC) Rebuttal REmoval of New  WH Solar AdjustMI 3" xfId="1473"/>
    <cellStyle name="_Chelan Debt Forecast 12.19.05_Book2_Electric Rev Req Model (2009 GRC) Revised 01-18-2010" xfId="1474"/>
    <cellStyle name="_Chelan Debt Forecast 12.19.05_Book2_Electric Rev Req Model (2009 GRC) Revised 01-18-2010 2" xfId="1475"/>
    <cellStyle name="_Chelan Debt Forecast 12.19.05_Book2_Electric Rev Req Model (2009 GRC) Revised 01-18-2010 2 2" xfId="1476"/>
    <cellStyle name="_Chelan Debt Forecast 12.19.05_Book2_Electric Rev Req Model (2009 GRC) Revised 01-18-2010 3" xfId="1477"/>
    <cellStyle name="_Chelan Debt Forecast 12.19.05_Book2_Final Order Electric EXHIBIT A-1" xfId="1478"/>
    <cellStyle name="_Chelan Debt Forecast 12.19.05_Book2_Final Order Electric EXHIBIT A-1 2" xfId="1479"/>
    <cellStyle name="_Chelan Debt Forecast 12.19.05_Book2_Final Order Electric EXHIBIT A-1 2 2" xfId="1480"/>
    <cellStyle name="_Chelan Debt Forecast 12.19.05_Book2_Final Order Electric EXHIBIT A-1 3" xfId="1481"/>
    <cellStyle name="_Chelan Debt Forecast 12.19.05_Book4" xfId="1482"/>
    <cellStyle name="_Chelan Debt Forecast 12.19.05_Book4 2" xfId="1483"/>
    <cellStyle name="_Chelan Debt Forecast 12.19.05_Book4 2 2" xfId="1484"/>
    <cellStyle name="_Chelan Debt Forecast 12.19.05_Book4 3" xfId="1485"/>
    <cellStyle name="_Chelan Debt Forecast 12.19.05_Book9" xfId="1486"/>
    <cellStyle name="_Chelan Debt Forecast 12.19.05_Book9 2" xfId="1487"/>
    <cellStyle name="_Chelan Debt Forecast 12.19.05_Book9 2 2" xfId="1488"/>
    <cellStyle name="_Chelan Debt Forecast 12.19.05_Book9 3" xfId="1489"/>
    <cellStyle name="_Chelan Debt Forecast 12.19.05_Check the Interest Calculation" xfId="1490"/>
    <cellStyle name="_Chelan Debt Forecast 12.19.05_Check the Interest Calculation_Scenario 1 REC vs PTC Offset" xfId="1491"/>
    <cellStyle name="_Chelan Debt Forecast 12.19.05_Check the Interest Calculation_Scenario 3" xfId="1492"/>
    <cellStyle name="_Chelan Debt Forecast 12.19.05_Chelan PUD Power Costs (8-10)" xfId="1493"/>
    <cellStyle name="_Chelan Debt Forecast 12.19.05_Exhibit D fr R Gho 12-31-08" xfId="1494"/>
    <cellStyle name="_Chelan Debt Forecast 12.19.05_Exhibit D fr R Gho 12-31-08 2" xfId="1495"/>
    <cellStyle name="_Chelan Debt Forecast 12.19.05_Exhibit D fr R Gho 12-31-08 v2" xfId="1496"/>
    <cellStyle name="_Chelan Debt Forecast 12.19.05_Exhibit D fr R Gho 12-31-08 v2 2" xfId="1497"/>
    <cellStyle name="_Chelan Debt Forecast 12.19.05_Exhibit D fr R Gho 12-31-08 v2_NIM Summary" xfId="1498"/>
    <cellStyle name="_Chelan Debt Forecast 12.19.05_Exhibit D fr R Gho 12-31-08 v2_NIM Summary 2" xfId="1499"/>
    <cellStyle name="_Chelan Debt Forecast 12.19.05_Exhibit D fr R Gho 12-31-08_NIM Summary" xfId="1500"/>
    <cellStyle name="_Chelan Debt Forecast 12.19.05_Exhibit D fr R Gho 12-31-08_NIM Summary 2" xfId="1501"/>
    <cellStyle name="_Chelan Debt Forecast 12.19.05_Gas Rev Req Model (2010 GRC)" xfId="1502"/>
    <cellStyle name="_Chelan Debt Forecast 12.19.05_Hopkins Ridge Prepaid Tran - Interest Earned RY 12ME Feb  '11" xfId="1503"/>
    <cellStyle name="_Chelan Debt Forecast 12.19.05_Hopkins Ridge Prepaid Tran - Interest Earned RY 12ME Feb  '11 2" xfId="1504"/>
    <cellStyle name="_Chelan Debt Forecast 12.19.05_Hopkins Ridge Prepaid Tran - Interest Earned RY 12ME Feb  '11_NIM Summary" xfId="1505"/>
    <cellStyle name="_Chelan Debt Forecast 12.19.05_Hopkins Ridge Prepaid Tran - Interest Earned RY 12ME Feb  '11_NIM Summary 2" xfId="1506"/>
    <cellStyle name="_Chelan Debt Forecast 12.19.05_Hopkins Ridge Prepaid Tran - Interest Earned RY 12ME Feb  '11_Transmission Workbook for May BOD" xfId="1507"/>
    <cellStyle name="_Chelan Debt Forecast 12.19.05_Hopkins Ridge Prepaid Tran - Interest Earned RY 12ME Feb  '11_Transmission Workbook for May BOD 2" xfId="1508"/>
    <cellStyle name="_Chelan Debt Forecast 12.19.05_INPUTS" xfId="1509"/>
    <cellStyle name="_Chelan Debt Forecast 12.19.05_INPUTS 2" xfId="1510"/>
    <cellStyle name="_Chelan Debt Forecast 12.19.05_INPUTS 2 2" xfId="1511"/>
    <cellStyle name="_Chelan Debt Forecast 12.19.05_INPUTS 3" xfId="1512"/>
    <cellStyle name="_Chelan Debt Forecast 12.19.05_NIM Summary" xfId="1513"/>
    <cellStyle name="_Chelan Debt Forecast 12.19.05_NIM Summary 09GRC" xfId="1514"/>
    <cellStyle name="_Chelan Debt Forecast 12.19.05_NIM Summary 09GRC 2" xfId="1515"/>
    <cellStyle name="_Chelan Debt Forecast 12.19.05_NIM Summary 2" xfId="1516"/>
    <cellStyle name="_Chelan Debt Forecast 12.19.05_NIM Summary 3" xfId="1517"/>
    <cellStyle name="_Chelan Debt Forecast 12.19.05_NIM Summary 4" xfId="1518"/>
    <cellStyle name="_Chelan Debt Forecast 12.19.05_NIM Summary 5" xfId="1519"/>
    <cellStyle name="_Chelan Debt Forecast 12.19.05_NIM Summary 6" xfId="1520"/>
    <cellStyle name="_Chelan Debt Forecast 12.19.05_NIM Summary 7" xfId="1521"/>
    <cellStyle name="_Chelan Debt Forecast 12.19.05_NIM Summary 8" xfId="1522"/>
    <cellStyle name="_Chelan Debt Forecast 12.19.05_NIM Summary 9" xfId="1523"/>
    <cellStyle name="_Chelan Debt Forecast 12.19.05_PCA 10 -  Exhibit D from A Kellogg Jan 2011" xfId="1524"/>
    <cellStyle name="_Chelan Debt Forecast 12.19.05_PCA 10 -  Exhibit D from A Kellogg July 2011" xfId="1525"/>
    <cellStyle name="_Chelan Debt Forecast 12.19.05_PCA 10 -  Exhibit D from S Free Rcv'd 12-11" xfId="1526"/>
    <cellStyle name="_Chelan Debt Forecast 12.19.05_PCA 7 - Exhibit D update 11_30_08 (2)" xfId="1527"/>
    <cellStyle name="_Chelan Debt Forecast 12.19.05_PCA 7 - Exhibit D update 11_30_08 (2) 2" xfId="1528"/>
    <cellStyle name="_Chelan Debt Forecast 12.19.05_PCA 7 - Exhibit D update 11_30_08 (2) 2 2" xfId="1529"/>
    <cellStyle name="_Chelan Debt Forecast 12.19.05_PCA 7 - Exhibit D update 11_30_08 (2) 3" xfId="1530"/>
    <cellStyle name="_Chelan Debt Forecast 12.19.05_PCA 7 - Exhibit D update 11_30_08 (2)_NIM Summary" xfId="1531"/>
    <cellStyle name="_Chelan Debt Forecast 12.19.05_PCA 7 - Exhibit D update 11_30_08 (2)_NIM Summary 2" xfId="1532"/>
    <cellStyle name="_Chelan Debt Forecast 12.19.05_PCA 8 - Exhibit D update 12_31_09" xfId="1533"/>
    <cellStyle name="_Chelan Debt Forecast 12.19.05_PCA 9 -  Exhibit D April 2010" xfId="1534"/>
    <cellStyle name="_Chelan Debt Forecast 12.19.05_PCA 9 -  Exhibit D April 2010 (3)" xfId="1535"/>
    <cellStyle name="_Chelan Debt Forecast 12.19.05_PCA 9 -  Exhibit D April 2010 (3) 2" xfId="1536"/>
    <cellStyle name="_Chelan Debt Forecast 12.19.05_PCA 9 -  Exhibit D Feb 2010" xfId="1537"/>
    <cellStyle name="_Chelan Debt Forecast 12.19.05_PCA 9 -  Exhibit D Feb 2010 v2" xfId="1538"/>
    <cellStyle name="_Chelan Debt Forecast 12.19.05_PCA 9 -  Exhibit D Feb 2010 WF" xfId="1539"/>
    <cellStyle name="_Chelan Debt Forecast 12.19.05_PCA 9 -  Exhibit D Jan 2010" xfId="1540"/>
    <cellStyle name="_Chelan Debt Forecast 12.19.05_PCA 9 -  Exhibit D March 2010 (2)" xfId="1541"/>
    <cellStyle name="_Chelan Debt Forecast 12.19.05_PCA 9 -  Exhibit D Nov 2010" xfId="1542"/>
    <cellStyle name="_Chelan Debt Forecast 12.19.05_PCA 9 - Exhibit D at August 2010" xfId="1543"/>
    <cellStyle name="_Chelan Debt Forecast 12.19.05_PCA 9 - Exhibit D June 2010 GRC" xfId="1544"/>
    <cellStyle name="_Chelan Debt Forecast 12.19.05_Power Costs - Comparison bx Rbtl-Staff-Jt-PC" xfId="1545"/>
    <cellStyle name="_Chelan Debt Forecast 12.19.05_Power Costs - Comparison bx Rbtl-Staff-Jt-PC 2" xfId="1546"/>
    <cellStyle name="_Chelan Debt Forecast 12.19.05_Power Costs - Comparison bx Rbtl-Staff-Jt-PC 2 2" xfId="1547"/>
    <cellStyle name="_Chelan Debt Forecast 12.19.05_Power Costs - Comparison bx Rbtl-Staff-Jt-PC 3" xfId="1548"/>
    <cellStyle name="_Chelan Debt Forecast 12.19.05_Power Costs - Comparison bx Rbtl-Staff-Jt-PC_Adj Bench DR 3 for Initial Briefs (Electric)" xfId="1549"/>
    <cellStyle name="_Chelan Debt Forecast 12.19.05_Power Costs - Comparison bx Rbtl-Staff-Jt-PC_Adj Bench DR 3 for Initial Briefs (Electric) 2" xfId="1550"/>
    <cellStyle name="_Chelan Debt Forecast 12.19.05_Power Costs - Comparison bx Rbtl-Staff-Jt-PC_Adj Bench DR 3 for Initial Briefs (Electric) 2 2" xfId="1551"/>
    <cellStyle name="_Chelan Debt Forecast 12.19.05_Power Costs - Comparison bx Rbtl-Staff-Jt-PC_Adj Bench DR 3 for Initial Briefs (Electric) 3" xfId="1552"/>
    <cellStyle name="_Chelan Debt Forecast 12.19.05_Power Costs - Comparison bx Rbtl-Staff-Jt-PC_Electric Rev Req Model (2009 GRC) Rebuttal" xfId="1553"/>
    <cellStyle name="_Chelan Debt Forecast 12.19.05_Power Costs - Comparison bx Rbtl-Staff-Jt-PC_Electric Rev Req Model (2009 GRC) Rebuttal 2" xfId="1554"/>
    <cellStyle name="_Chelan Debt Forecast 12.19.05_Power Costs - Comparison bx Rbtl-Staff-Jt-PC_Electric Rev Req Model (2009 GRC) Rebuttal 2 2" xfId="1555"/>
    <cellStyle name="_Chelan Debt Forecast 12.19.05_Power Costs - Comparison bx Rbtl-Staff-Jt-PC_Electric Rev Req Model (2009 GRC) Rebuttal 3" xfId="1556"/>
    <cellStyle name="_Chelan Debt Forecast 12.19.05_Power Costs - Comparison bx Rbtl-Staff-Jt-PC_Electric Rev Req Model (2009 GRC) Rebuttal REmoval of New  WH Solar AdjustMI" xfId="1557"/>
    <cellStyle name="_Chelan Debt Forecast 12.19.05_Power Costs - Comparison bx Rbtl-Staff-Jt-PC_Electric Rev Req Model (2009 GRC) Rebuttal REmoval of New  WH Solar AdjustMI 2" xfId="1558"/>
    <cellStyle name="_Chelan Debt Forecast 12.19.05_Power Costs - Comparison bx Rbtl-Staff-Jt-PC_Electric Rev Req Model (2009 GRC) Rebuttal REmoval of New  WH Solar AdjustMI 2 2" xfId="1559"/>
    <cellStyle name="_Chelan Debt Forecast 12.19.05_Power Costs - Comparison bx Rbtl-Staff-Jt-PC_Electric Rev Req Model (2009 GRC) Rebuttal REmoval of New  WH Solar AdjustMI 3" xfId="1560"/>
    <cellStyle name="_Chelan Debt Forecast 12.19.05_Power Costs - Comparison bx Rbtl-Staff-Jt-PC_Electric Rev Req Model (2009 GRC) Revised 01-18-2010" xfId="1561"/>
    <cellStyle name="_Chelan Debt Forecast 12.19.05_Power Costs - Comparison bx Rbtl-Staff-Jt-PC_Electric Rev Req Model (2009 GRC) Revised 01-18-2010 2" xfId="1562"/>
    <cellStyle name="_Chelan Debt Forecast 12.19.05_Power Costs - Comparison bx Rbtl-Staff-Jt-PC_Electric Rev Req Model (2009 GRC) Revised 01-18-2010 2 2" xfId="1563"/>
    <cellStyle name="_Chelan Debt Forecast 12.19.05_Power Costs - Comparison bx Rbtl-Staff-Jt-PC_Electric Rev Req Model (2009 GRC) Revised 01-18-2010 3" xfId="1564"/>
    <cellStyle name="_Chelan Debt Forecast 12.19.05_Power Costs - Comparison bx Rbtl-Staff-Jt-PC_Final Order Electric EXHIBIT A-1" xfId="1565"/>
    <cellStyle name="_Chelan Debt Forecast 12.19.05_Power Costs - Comparison bx Rbtl-Staff-Jt-PC_Final Order Electric EXHIBIT A-1 2" xfId="1566"/>
    <cellStyle name="_Chelan Debt Forecast 12.19.05_Power Costs - Comparison bx Rbtl-Staff-Jt-PC_Final Order Electric EXHIBIT A-1 2 2" xfId="1567"/>
    <cellStyle name="_Chelan Debt Forecast 12.19.05_Power Costs - Comparison bx Rbtl-Staff-Jt-PC_Final Order Electric EXHIBIT A-1 3" xfId="1568"/>
    <cellStyle name="_Chelan Debt Forecast 12.19.05_Production Adj 4.37" xfId="1569"/>
    <cellStyle name="_Chelan Debt Forecast 12.19.05_Production Adj 4.37 2" xfId="1570"/>
    <cellStyle name="_Chelan Debt Forecast 12.19.05_Production Adj 4.37 2 2" xfId="1571"/>
    <cellStyle name="_Chelan Debt Forecast 12.19.05_Production Adj 4.37 3" xfId="1572"/>
    <cellStyle name="_Chelan Debt Forecast 12.19.05_Purchased Power Adj 4.03" xfId="1573"/>
    <cellStyle name="_Chelan Debt Forecast 12.19.05_Purchased Power Adj 4.03 2" xfId="1574"/>
    <cellStyle name="_Chelan Debt Forecast 12.19.05_Purchased Power Adj 4.03 2 2" xfId="1575"/>
    <cellStyle name="_Chelan Debt Forecast 12.19.05_Purchased Power Adj 4.03 3" xfId="1576"/>
    <cellStyle name="_Chelan Debt Forecast 12.19.05_Rebuttal Power Costs" xfId="1577"/>
    <cellStyle name="_Chelan Debt Forecast 12.19.05_Rebuttal Power Costs 2" xfId="1578"/>
    <cellStyle name="_Chelan Debt Forecast 12.19.05_Rebuttal Power Costs 2 2" xfId="1579"/>
    <cellStyle name="_Chelan Debt Forecast 12.19.05_Rebuttal Power Costs 3" xfId="1580"/>
    <cellStyle name="_Chelan Debt Forecast 12.19.05_Rebuttal Power Costs_Adj Bench DR 3 for Initial Briefs (Electric)" xfId="1581"/>
    <cellStyle name="_Chelan Debt Forecast 12.19.05_Rebuttal Power Costs_Adj Bench DR 3 for Initial Briefs (Electric) 2" xfId="1582"/>
    <cellStyle name="_Chelan Debt Forecast 12.19.05_Rebuttal Power Costs_Adj Bench DR 3 for Initial Briefs (Electric) 2 2" xfId="1583"/>
    <cellStyle name="_Chelan Debt Forecast 12.19.05_Rebuttal Power Costs_Adj Bench DR 3 for Initial Briefs (Electric) 3" xfId="1584"/>
    <cellStyle name="_Chelan Debt Forecast 12.19.05_Rebuttal Power Costs_Electric Rev Req Model (2009 GRC) Rebuttal" xfId="1585"/>
    <cellStyle name="_Chelan Debt Forecast 12.19.05_Rebuttal Power Costs_Electric Rev Req Model (2009 GRC) Rebuttal 2" xfId="1586"/>
    <cellStyle name="_Chelan Debt Forecast 12.19.05_Rebuttal Power Costs_Electric Rev Req Model (2009 GRC) Rebuttal 2 2" xfId="1587"/>
    <cellStyle name="_Chelan Debt Forecast 12.19.05_Rebuttal Power Costs_Electric Rev Req Model (2009 GRC) Rebuttal 3" xfId="1588"/>
    <cellStyle name="_Chelan Debt Forecast 12.19.05_Rebuttal Power Costs_Electric Rev Req Model (2009 GRC) Rebuttal REmoval of New  WH Solar AdjustMI" xfId="1589"/>
    <cellStyle name="_Chelan Debt Forecast 12.19.05_Rebuttal Power Costs_Electric Rev Req Model (2009 GRC) Rebuttal REmoval of New  WH Solar AdjustMI 2" xfId="1590"/>
    <cellStyle name="_Chelan Debt Forecast 12.19.05_Rebuttal Power Costs_Electric Rev Req Model (2009 GRC) Rebuttal REmoval of New  WH Solar AdjustMI 2 2" xfId="1591"/>
    <cellStyle name="_Chelan Debt Forecast 12.19.05_Rebuttal Power Costs_Electric Rev Req Model (2009 GRC) Rebuttal REmoval of New  WH Solar AdjustMI 3" xfId="1592"/>
    <cellStyle name="_Chelan Debt Forecast 12.19.05_Rebuttal Power Costs_Electric Rev Req Model (2009 GRC) Revised 01-18-2010" xfId="1593"/>
    <cellStyle name="_Chelan Debt Forecast 12.19.05_Rebuttal Power Costs_Electric Rev Req Model (2009 GRC) Revised 01-18-2010 2" xfId="1594"/>
    <cellStyle name="_Chelan Debt Forecast 12.19.05_Rebuttal Power Costs_Electric Rev Req Model (2009 GRC) Revised 01-18-2010 2 2" xfId="1595"/>
    <cellStyle name="_Chelan Debt Forecast 12.19.05_Rebuttal Power Costs_Electric Rev Req Model (2009 GRC) Revised 01-18-2010 3" xfId="1596"/>
    <cellStyle name="_Chelan Debt Forecast 12.19.05_Rebuttal Power Costs_Final Order Electric EXHIBIT A-1" xfId="1597"/>
    <cellStyle name="_Chelan Debt Forecast 12.19.05_Rebuttal Power Costs_Final Order Electric EXHIBIT A-1 2" xfId="1598"/>
    <cellStyle name="_Chelan Debt Forecast 12.19.05_Rebuttal Power Costs_Final Order Electric EXHIBIT A-1 2 2" xfId="1599"/>
    <cellStyle name="_Chelan Debt Forecast 12.19.05_Rebuttal Power Costs_Final Order Electric EXHIBIT A-1 3" xfId="1600"/>
    <cellStyle name="_Chelan Debt Forecast 12.19.05_ROR &amp; CONV FACTOR" xfId="1601"/>
    <cellStyle name="_Chelan Debt Forecast 12.19.05_ROR &amp; CONV FACTOR 2" xfId="1602"/>
    <cellStyle name="_Chelan Debt Forecast 12.19.05_ROR &amp; CONV FACTOR 2 2" xfId="1603"/>
    <cellStyle name="_Chelan Debt Forecast 12.19.05_ROR &amp; CONV FACTOR 3" xfId="1604"/>
    <cellStyle name="_Chelan Debt Forecast 12.19.05_ROR 5.02" xfId="1605"/>
    <cellStyle name="_Chelan Debt Forecast 12.19.05_ROR 5.02 2" xfId="1606"/>
    <cellStyle name="_Chelan Debt Forecast 12.19.05_ROR 5.02 2 2" xfId="1607"/>
    <cellStyle name="_Chelan Debt Forecast 12.19.05_ROR 5.02 3" xfId="1608"/>
    <cellStyle name="_Chelan Debt Forecast 12.19.05_Transmission Workbook for May BOD" xfId="1609"/>
    <cellStyle name="_Chelan Debt Forecast 12.19.05_Transmission Workbook for May BOD 2" xfId="1610"/>
    <cellStyle name="_Chelan Debt Forecast 12.19.05_Wind Integration 10GRC" xfId="1611"/>
    <cellStyle name="_Chelan Debt Forecast 12.19.05_Wind Integration 10GRC 2" xfId="1612"/>
    <cellStyle name="_Colstrip FOR - GADS 1990-2009" xfId="1613"/>
    <cellStyle name="_Colstrip FOR - GADS 1990-2009 2" xfId="1614"/>
    <cellStyle name="_x0013__Confidential Material" xfId="1615"/>
    <cellStyle name="_Copy 11-9 Sumas Proforma - Current" xfId="1616"/>
    <cellStyle name="_Costs not in AURORA 06GRC" xfId="1617"/>
    <cellStyle name="_Costs not in AURORA 06GRC 2" xfId="1618"/>
    <cellStyle name="_Costs not in AURORA 06GRC 2 2" xfId="1619"/>
    <cellStyle name="_Costs not in AURORA 06GRC 2 2 2" xfId="1620"/>
    <cellStyle name="_Costs not in AURORA 06GRC 2 3" xfId="1621"/>
    <cellStyle name="_Costs not in AURORA 06GRC 3" xfId="1622"/>
    <cellStyle name="_Costs not in AURORA 06GRC 3 2" xfId="1623"/>
    <cellStyle name="_Costs not in AURORA 06GRC 3 2 2" xfId="1624"/>
    <cellStyle name="_Costs not in AURORA 06GRC 3 3" xfId="1625"/>
    <cellStyle name="_Costs not in AURORA 06GRC 3 3 2" xfId="1626"/>
    <cellStyle name="_Costs not in AURORA 06GRC 3 4" xfId="1627"/>
    <cellStyle name="_Costs not in AURORA 06GRC 3 4 2" xfId="1628"/>
    <cellStyle name="_Costs not in AURORA 06GRC 4" xfId="1629"/>
    <cellStyle name="_Costs not in AURORA 06GRC 4 2" xfId="1630"/>
    <cellStyle name="_Costs not in AURORA 06GRC 5" xfId="1631"/>
    <cellStyle name="_Costs not in AURORA 06GRC 6" xfId="1632"/>
    <cellStyle name="_Costs not in AURORA 06GRC 7" xfId="1633"/>
    <cellStyle name="_Costs not in AURORA 06GRC_04 07E Wild Horse Wind Expansion (C) (2)" xfId="1634"/>
    <cellStyle name="_Costs not in AURORA 06GRC_04 07E Wild Horse Wind Expansion (C) (2) 2" xfId="1635"/>
    <cellStyle name="_Costs not in AURORA 06GRC_04 07E Wild Horse Wind Expansion (C) (2) 2 2" xfId="1636"/>
    <cellStyle name="_Costs not in AURORA 06GRC_04 07E Wild Horse Wind Expansion (C) (2) 3" xfId="1637"/>
    <cellStyle name="_Costs not in AURORA 06GRC_04 07E Wild Horse Wind Expansion (C) (2)_Adj Bench DR 3 for Initial Briefs (Electric)" xfId="1638"/>
    <cellStyle name="_Costs not in AURORA 06GRC_04 07E Wild Horse Wind Expansion (C) (2)_Adj Bench DR 3 for Initial Briefs (Electric) 2" xfId="1639"/>
    <cellStyle name="_Costs not in AURORA 06GRC_04 07E Wild Horse Wind Expansion (C) (2)_Adj Bench DR 3 for Initial Briefs (Electric) 2 2" xfId="1640"/>
    <cellStyle name="_Costs not in AURORA 06GRC_04 07E Wild Horse Wind Expansion (C) (2)_Adj Bench DR 3 for Initial Briefs (Electric) 3" xfId="1641"/>
    <cellStyle name="_Costs not in AURORA 06GRC_04 07E Wild Horse Wind Expansion (C) (2)_Book1" xfId="1642"/>
    <cellStyle name="_Costs not in AURORA 06GRC_04 07E Wild Horse Wind Expansion (C) (2)_Electric Rev Req Model (2009 GRC) " xfId="1643"/>
    <cellStyle name="_Costs not in AURORA 06GRC_04 07E Wild Horse Wind Expansion (C) (2)_Electric Rev Req Model (2009 GRC)  2" xfId="1644"/>
    <cellStyle name="_Costs not in AURORA 06GRC_04 07E Wild Horse Wind Expansion (C) (2)_Electric Rev Req Model (2009 GRC)  2 2" xfId="1645"/>
    <cellStyle name="_Costs not in AURORA 06GRC_04 07E Wild Horse Wind Expansion (C) (2)_Electric Rev Req Model (2009 GRC)  3" xfId="1646"/>
    <cellStyle name="_Costs not in AURORA 06GRC_04 07E Wild Horse Wind Expansion (C) (2)_Electric Rev Req Model (2009 GRC) Rebuttal" xfId="1647"/>
    <cellStyle name="_Costs not in AURORA 06GRC_04 07E Wild Horse Wind Expansion (C) (2)_Electric Rev Req Model (2009 GRC) Rebuttal 2" xfId="1648"/>
    <cellStyle name="_Costs not in AURORA 06GRC_04 07E Wild Horse Wind Expansion (C) (2)_Electric Rev Req Model (2009 GRC) Rebuttal 2 2" xfId="1649"/>
    <cellStyle name="_Costs not in AURORA 06GRC_04 07E Wild Horse Wind Expansion (C) (2)_Electric Rev Req Model (2009 GRC) Rebuttal 3" xfId="1650"/>
    <cellStyle name="_Costs not in AURORA 06GRC_04 07E Wild Horse Wind Expansion (C) (2)_Electric Rev Req Model (2009 GRC) Rebuttal REmoval of New  WH Solar AdjustMI" xfId="1651"/>
    <cellStyle name="_Costs not in AURORA 06GRC_04 07E Wild Horse Wind Expansion (C) (2)_Electric Rev Req Model (2009 GRC) Rebuttal REmoval of New  WH Solar AdjustMI 2" xfId="1652"/>
    <cellStyle name="_Costs not in AURORA 06GRC_04 07E Wild Horse Wind Expansion (C) (2)_Electric Rev Req Model (2009 GRC) Rebuttal REmoval of New  WH Solar AdjustMI 2 2" xfId="1653"/>
    <cellStyle name="_Costs not in AURORA 06GRC_04 07E Wild Horse Wind Expansion (C) (2)_Electric Rev Req Model (2009 GRC) Rebuttal REmoval of New  WH Solar AdjustMI 3" xfId="1654"/>
    <cellStyle name="_Costs not in AURORA 06GRC_04 07E Wild Horse Wind Expansion (C) (2)_Electric Rev Req Model (2009 GRC) Revised 01-18-2010" xfId="1655"/>
    <cellStyle name="_Costs not in AURORA 06GRC_04 07E Wild Horse Wind Expansion (C) (2)_Electric Rev Req Model (2009 GRC) Revised 01-18-2010 2" xfId="1656"/>
    <cellStyle name="_Costs not in AURORA 06GRC_04 07E Wild Horse Wind Expansion (C) (2)_Electric Rev Req Model (2009 GRC) Revised 01-18-2010 2 2" xfId="1657"/>
    <cellStyle name="_Costs not in AURORA 06GRC_04 07E Wild Horse Wind Expansion (C) (2)_Electric Rev Req Model (2009 GRC) Revised 01-18-2010 3" xfId="1658"/>
    <cellStyle name="_Costs not in AURORA 06GRC_04 07E Wild Horse Wind Expansion (C) (2)_Electric Rev Req Model (2010 GRC)" xfId="1659"/>
    <cellStyle name="_Costs not in AURORA 06GRC_04 07E Wild Horse Wind Expansion (C) (2)_Electric Rev Req Model (2010 GRC) SF" xfId="1660"/>
    <cellStyle name="_Costs not in AURORA 06GRC_04 07E Wild Horse Wind Expansion (C) (2)_Final Order Electric EXHIBIT A-1" xfId="1661"/>
    <cellStyle name="_Costs not in AURORA 06GRC_04 07E Wild Horse Wind Expansion (C) (2)_Final Order Electric EXHIBIT A-1 2" xfId="1662"/>
    <cellStyle name="_Costs not in AURORA 06GRC_04 07E Wild Horse Wind Expansion (C) (2)_Final Order Electric EXHIBIT A-1 2 2" xfId="1663"/>
    <cellStyle name="_Costs not in AURORA 06GRC_04 07E Wild Horse Wind Expansion (C) (2)_Final Order Electric EXHIBIT A-1 3" xfId="1664"/>
    <cellStyle name="_Costs not in AURORA 06GRC_04 07E Wild Horse Wind Expansion (C) (2)_TENASKA REGULATORY ASSET" xfId="1665"/>
    <cellStyle name="_Costs not in AURORA 06GRC_04 07E Wild Horse Wind Expansion (C) (2)_TENASKA REGULATORY ASSET 2" xfId="1666"/>
    <cellStyle name="_Costs not in AURORA 06GRC_04 07E Wild Horse Wind Expansion (C) (2)_TENASKA REGULATORY ASSET 2 2" xfId="1667"/>
    <cellStyle name="_Costs not in AURORA 06GRC_04 07E Wild Horse Wind Expansion (C) (2)_TENASKA REGULATORY ASSET 3" xfId="1668"/>
    <cellStyle name="_Costs not in AURORA 06GRC_16.37E Wild Horse Expansion DeferralRevwrkingfile SF" xfId="1669"/>
    <cellStyle name="_Costs not in AURORA 06GRC_16.37E Wild Horse Expansion DeferralRevwrkingfile SF 2" xfId="1670"/>
    <cellStyle name="_Costs not in AURORA 06GRC_16.37E Wild Horse Expansion DeferralRevwrkingfile SF 2 2" xfId="1671"/>
    <cellStyle name="_Costs not in AURORA 06GRC_16.37E Wild Horse Expansion DeferralRevwrkingfile SF 3" xfId="1672"/>
    <cellStyle name="_Costs not in AURORA 06GRC_2009 Compliance Filing PCA Exhibits for GRC" xfId="1673"/>
    <cellStyle name="_Costs not in AURORA 06GRC_2009 GRC Compl Filing - Exhibit D" xfId="1674"/>
    <cellStyle name="_Costs not in AURORA 06GRC_2009 GRC Compl Filing - Exhibit D 2" xfId="1675"/>
    <cellStyle name="_Costs not in AURORA 06GRC_3.01 Income Statement" xfId="1676"/>
    <cellStyle name="_Costs not in AURORA 06GRC_4 31 Regulatory Assets and Liabilities  7 06- Exhibit D" xfId="1677"/>
    <cellStyle name="_Costs not in AURORA 06GRC_4 31 Regulatory Assets and Liabilities  7 06- Exhibit D 2" xfId="1678"/>
    <cellStyle name="_Costs not in AURORA 06GRC_4 31 Regulatory Assets and Liabilities  7 06- Exhibit D 2 2" xfId="1679"/>
    <cellStyle name="_Costs not in AURORA 06GRC_4 31 Regulatory Assets and Liabilities  7 06- Exhibit D 3" xfId="1680"/>
    <cellStyle name="_Costs not in AURORA 06GRC_4 31 Regulatory Assets and Liabilities  7 06- Exhibit D_NIM Summary" xfId="1681"/>
    <cellStyle name="_Costs not in AURORA 06GRC_4 31 Regulatory Assets and Liabilities  7 06- Exhibit D_NIM Summary 2" xfId="1682"/>
    <cellStyle name="_Costs not in AURORA 06GRC_4 32 Regulatory Assets and Liabilities  7 06- Exhibit D" xfId="1683"/>
    <cellStyle name="_Costs not in AURORA 06GRC_4 32 Regulatory Assets and Liabilities  7 06- Exhibit D 2" xfId="1684"/>
    <cellStyle name="_Costs not in AURORA 06GRC_4 32 Regulatory Assets and Liabilities  7 06- Exhibit D 2 2" xfId="1685"/>
    <cellStyle name="_Costs not in AURORA 06GRC_4 32 Regulatory Assets and Liabilities  7 06- Exhibit D 3" xfId="1686"/>
    <cellStyle name="_Costs not in AURORA 06GRC_4 32 Regulatory Assets and Liabilities  7 06- Exhibit D_NIM Summary" xfId="1687"/>
    <cellStyle name="_Costs not in AURORA 06GRC_4 32 Regulatory Assets and Liabilities  7 06- Exhibit D_NIM Summary 2" xfId="1688"/>
    <cellStyle name="_Costs not in AURORA 06GRC_ACCOUNTS" xfId="1689"/>
    <cellStyle name="_Costs not in AURORA 06GRC_AURORA Total New" xfId="1690"/>
    <cellStyle name="_Costs not in AURORA 06GRC_AURORA Total New 2" xfId="1691"/>
    <cellStyle name="_Costs not in AURORA 06GRC_Book2" xfId="1692"/>
    <cellStyle name="_Costs not in AURORA 06GRC_Book2 2" xfId="1693"/>
    <cellStyle name="_Costs not in AURORA 06GRC_Book2 2 2" xfId="1694"/>
    <cellStyle name="_Costs not in AURORA 06GRC_Book2 3" xfId="1695"/>
    <cellStyle name="_Costs not in AURORA 06GRC_Book2_Adj Bench DR 3 for Initial Briefs (Electric)" xfId="1696"/>
    <cellStyle name="_Costs not in AURORA 06GRC_Book2_Adj Bench DR 3 for Initial Briefs (Electric) 2" xfId="1697"/>
    <cellStyle name="_Costs not in AURORA 06GRC_Book2_Adj Bench DR 3 for Initial Briefs (Electric) 2 2" xfId="1698"/>
    <cellStyle name="_Costs not in AURORA 06GRC_Book2_Adj Bench DR 3 for Initial Briefs (Electric) 3" xfId="1699"/>
    <cellStyle name="_Costs not in AURORA 06GRC_Book2_Electric Rev Req Model (2009 GRC) Rebuttal" xfId="1700"/>
    <cellStyle name="_Costs not in AURORA 06GRC_Book2_Electric Rev Req Model (2009 GRC) Rebuttal 2" xfId="1701"/>
    <cellStyle name="_Costs not in AURORA 06GRC_Book2_Electric Rev Req Model (2009 GRC) Rebuttal 2 2" xfId="1702"/>
    <cellStyle name="_Costs not in AURORA 06GRC_Book2_Electric Rev Req Model (2009 GRC) Rebuttal 3" xfId="1703"/>
    <cellStyle name="_Costs not in AURORA 06GRC_Book2_Electric Rev Req Model (2009 GRC) Rebuttal REmoval of New  WH Solar AdjustMI" xfId="1704"/>
    <cellStyle name="_Costs not in AURORA 06GRC_Book2_Electric Rev Req Model (2009 GRC) Rebuttal REmoval of New  WH Solar AdjustMI 2" xfId="1705"/>
    <cellStyle name="_Costs not in AURORA 06GRC_Book2_Electric Rev Req Model (2009 GRC) Rebuttal REmoval of New  WH Solar AdjustMI 2 2" xfId="1706"/>
    <cellStyle name="_Costs not in AURORA 06GRC_Book2_Electric Rev Req Model (2009 GRC) Rebuttal REmoval of New  WH Solar AdjustMI 3" xfId="1707"/>
    <cellStyle name="_Costs not in AURORA 06GRC_Book2_Electric Rev Req Model (2009 GRC) Revised 01-18-2010" xfId="1708"/>
    <cellStyle name="_Costs not in AURORA 06GRC_Book2_Electric Rev Req Model (2009 GRC) Revised 01-18-2010 2" xfId="1709"/>
    <cellStyle name="_Costs not in AURORA 06GRC_Book2_Electric Rev Req Model (2009 GRC) Revised 01-18-2010 2 2" xfId="1710"/>
    <cellStyle name="_Costs not in AURORA 06GRC_Book2_Electric Rev Req Model (2009 GRC) Revised 01-18-2010 3" xfId="1711"/>
    <cellStyle name="_Costs not in AURORA 06GRC_Book2_Final Order Electric EXHIBIT A-1" xfId="1712"/>
    <cellStyle name="_Costs not in AURORA 06GRC_Book2_Final Order Electric EXHIBIT A-1 2" xfId="1713"/>
    <cellStyle name="_Costs not in AURORA 06GRC_Book2_Final Order Electric EXHIBIT A-1 2 2" xfId="1714"/>
    <cellStyle name="_Costs not in AURORA 06GRC_Book2_Final Order Electric EXHIBIT A-1 3" xfId="1715"/>
    <cellStyle name="_Costs not in AURORA 06GRC_Book4" xfId="1716"/>
    <cellStyle name="_Costs not in AURORA 06GRC_Book4 2" xfId="1717"/>
    <cellStyle name="_Costs not in AURORA 06GRC_Book4 2 2" xfId="1718"/>
    <cellStyle name="_Costs not in AURORA 06GRC_Book4 3" xfId="1719"/>
    <cellStyle name="_Costs not in AURORA 06GRC_Book9" xfId="1720"/>
    <cellStyle name="_Costs not in AURORA 06GRC_Book9 2" xfId="1721"/>
    <cellStyle name="_Costs not in AURORA 06GRC_Book9 2 2" xfId="1722"/>
    <cellStyle name="_Costs not in AURORA 06GRC_Book9 3" xfId="1723"/>
    <cellStyle name="_Costs not in AURORA 06GRC_Check the Interest Calculation" xfId="1724"/>
    <cellStyle name="_Costs not in AURORA 06GRC_Check the Interest Calculation_Scenario 1 REC vs PTC Offset" xfId="1725"/>
    <cellStyle name="_Costs not in AURORA 06GRC_Check the Interest Calculation_Scenario 3" xfId="1726"/>
    <cellStyle name="_Costs not in AURORA 06GRC_Chelan PUD Power Costs (8-10)" xfId="1727"/>
    <cellStyle name="_Costs not in AURORA 06GRC_Exhibit D fr R Gho 12-31-08" xfId="1728"/>
    <cellStyle name="_Costs not in AURORA 06GRC_Exhibit D fr R Gho 12-31-08 2" xfId="1729"/>
    <cellStyle name="_Costs not in AURORA 06GRC_Exhibit D fr R Gho 12-31-08 v2" xfId="1730"/>
    <cellStyle name="_Costs not in AURORA 06GRC_Exhibit D fr R Gho 12-31-08 v2 2" xfId="1731"/>
    <cellStyle name="_Costs not in AURORA 06GRC_Exhibit D fr R Gho 12-31-08 v2_NIM Summary" xfId="1732"/>
    <cellStyle name="_Costs not in AURORA 06GRC_Exhibit D fr R Gho 12-31-08 v2_NIM Summary 2" xfId="1733"/>
    <cellStyle name="_Costs not in AURORA 06GRC_Exhibit D fr R Gho 12-31-08_NIM Summary" xfId="1734"/>
    <cellStyle name="_Costs not in AURORA 06GRC_Exhibit D fr R Gho 12-31-08_NIM Summary 2" xfId="1735"/>
    <cellStyle name="_Costs not in AURORA 06GRC_Gas Rev Req Model (2010 GRC)" xfId="1736"/>
    <cellStyle name="_Costs not in AURORA 06GRC_Hopkins Ridge Prepaid Tran - Interest Earned RY 12ME Feb  '11" xfId="1737"/>
    <cellStyle name="_Costs not in AURORA 06GRC_Hopkins Ridge Prepaid Tran - Interest Earned RY 12ME Feb  '11 2" xfId="1738"/>
    <cellStyle name="_Costs not in AURORA 06GRC_Hopkins Ridge Prepaid Tran - Interest Earned RY 12ME Feb  '11_NIM Summary" xfId="1739"/>
    <cellStyle name="_Costs not in AURORA 06GRC_Hopkins Ridge Prepaid Tran - Interest Earned RY 12ME Feb  '11_NIM Summary 2" xfId="1740"/>
    <cellStyle name="_Costs not in AURORA 06GRC_Hopkins Ridge Prepaid Tran - Interest Earned RY 12ME Feb  '11_Transmission Workbook for May BOD" xfId="1741"/>
    <cellStyle name="_Costs not in AURORA 06GRC_Hopkins Ridge Prepaid Tran - Interest Earned RY 12ME Feb  '11_Transmission Workbook for May BOD 2" xfId="1742"/>
    <cellStyle name="_Costs not in AURORA 06GRC_INPUTS" xfId="1743"/>
    <cellStyle name="_Costs not in AURORA 06GRC_INPUTS 2" xfId="1744"/>
    <cellStyle name="_Costs not in AURORA 06GRC_INPUTS 2 2" xfId="1745"/>
    <cellStyle name="_Costs not in AURORA 06GRC_INPUTS 3" xfId="1746"/>
    <cellStyle name="_Costs not in AURORA 06GRC_NIM Summary" xfId="1747"/>
    <cellStyle name="_Costs not in AURORA 06GRC_NIM Summary 09GRC" xfId="1748"/>
    <cellStyle name="_Costs not in AURORA 06GRC_NIM Summary 09GRC 2" xfId="1749"/>
    <cellStyle name="_Costs not in AURORA 06GRC_NIM Summary 2" xfId="1750"/>
    <cellStyle name="_Costs not in AURORA 06GRC_NIM Summary 3" xfId="1751"/>
    <cellStyle name="_Costs not in AURORA 06GRC_NIM Summary 4" xfId="1752"/>
    <cellStyle name="_Costs not in AURORA 06GRC_NIM Summary 5" xfId="1753"/>
    <cellStyle name="_Costs not in AURORA 06GRC_NIM Summary 6" xfId="1754"/>
    <cellStyle name="_Costs not in AURORA 06GRC_NIM Summary 7" xfId="1755"/>
    <cellStyle name="_Costs not in AURORA 06GRC_NIM Summary 8" xfId="1756"/>
    <cellStyle name="_Costs not in AURORA 06GRC_NIM Summary 9" xfId="1757"/>
    <cellStyle name="_Costs not in AURORA 06GRC_PCA 10 -  Exhibit D from A Kellogg Jan 2011" xfId="1758"/>
    <cellStyle name="_Costs not in AURORA 06GRC_PCA 10 -  Exhibit D from A Kellogg July 2011" xfId="1759"/>
    <cellStyle name="_Costs not in AURORA 06GRC_PCA 10 -  Exhibit D from S Free Rcv'd 12-11" xfId="1760"/>
    <cellStyle name="_Costs not in AURORA 06GRC_PCA 7 - Exhibit D update 11_30_08 (2)" xfId="1761"/>
    <cellStyle name="_Costs not in AURORA 06GRC_PCA 7 - Exhibit D update 11_30_08 (2) 2" xfId="1762"/>
    <cellStyle name="_Costs not in AURORA 06GRC_PCA 7 - Exhibit D update 11_30_08 (2) 2 2" xfId="1763"/>
    <cellStyle name="_Costs not in AURORA 06GRC_PCA 7 - Exhibit D update 11_30_08 (2) 3" xfId="1764"/>
    <cellStyle name="_Costs not in AURORA 06GRC_PCA 7 - Exhibit D update 11_30_08 (2)_NIM Summary" xfId="1765"/>
    <cellStyle name="_Costs not in AURORA 06GRC_PCA 7 - Exhibit D update 11_30_08 (2)_NIM Summary 2" xfId="1766"/>
    <cellStyle name="_Costs not in AURORA 06GRC_PCA 8 - Exhibit D update 12_31_09" xfId="1767"/>
    <cellStyle name="_Costs not in AURORA 06GRC_PCA 9 -  Exhibit D April 2010" xfId="1768"/>
    <cellStyle name="_Costs not in AURORA 06GRC_PCA 9 -  Exhibit D April 2010 (3)" xfId="1769"/>
    <cellStyle name="_Costs not in AURORA 06GRC_PCA 9 -  Exhibit D April 2010 (3) 2" xfId="1770"/>
    <cellStyle name="_Costs not in AURORA 06GRC_PCA 9 -  Exhibit D Feb 2010" xfId="1771"/>
    <cellStyle name="_Costs not in AURORA 06GRC_PCA 9 -  Exhibit D Feb 2010 v2" xfId="1772"/>
    <cellStyle name="_Costs not in AURORA 06GRC_PCA 9 -  Exhibit D Feb 2010 WF" xfId="1773"/>
    <cellStyle name="_Costs not in AURORA 06GRC_PCA 9 -  Exhibit D Jan 2010" xfId="1774"/>
    <cellStyle name="_Costs not in AURORA 06GRC_PCA 9 -  Exhibit D March 2010 (2)" xfId="1775"/>
    <cellStyle name="_Costs not in AURORA 06GRC_PCA 9 -  Exhibit D Nov 2010" xfId="1776"/>
    <cellStyle name="_Costs not in AURORA 06GRC_PCA 9 - Exhibit D at August 2010" xfId="1777"/>
    <cellStyle name="_Costs not in AURORA 06GRC_PCA 9 - Exhibit D June 2010 GRC" xfId="1778"/>
    <cellStyle name="_Costs not in AURORA 06GRC_Power Costs - Comparison bx Rbtl-Staff-Jt-PC" xfId="1779"/>
    <cellStyle name="_Costs not in AURORA 06GRC_Power Costs - Comparison bx Rbtl-Staff-Jt-PC 2" xfId="1780"/>
    <cellStyle name="_Costs not in AURORA 06GRC_Power Costs - Comparison bx Rbtl-Staff-Jt-PC 2 2" xfId="1781"/>
    <cellStyle name="_Costs not in AURORA 06GRC_Power Costs - Comparison bx Rbtl-Staff-Jt-PC 3" xfId="1782"/>
    <cellStyle name="_Costs not in AURORA 06GRC_Power Costs - Comparison bx Rbtl-Staff-Jt-PC_Adj Bench DR 3 for Initial Briefs (Electric)" xfId="1783"/>
    <cellStyle name="_Costs not in AURORA 06GRC_Power Costs - Comparison bx Rbtl-Staff-Jt-PC_Adj Bench DR 3 for Initial Briefs (Electric) 2" xfId="1784"/>
    <cellStyle name="_Costs not in AURORA 06GRC_Power Costs - Comparison bx Rbtl-Staff-Jt-PC_Adj Bench DR 3 for Initial Briefs (Electric) 2 2" xfId="1785"/>
    <cellStyle name="_Costs not in AURORA 06GRC_Power Costs - Comparison bx Rbtl-Staff-Jt-PC_Adj Bench DR 3 for Initial Briefs (Electric) 3" xfId="1786"/>
    <cellStyle name="_Costs not in AURORA 06GRC_Power Costs - Comparison bx Rbtl-Staff-Jt-PC_Electric Rev Req Model (2009 GRC) Rebuttal" xfId="1787"/>
    <cellStyle name="_Costs not in AURORA 06GRC_Power Costs - Comparison bx Rbtl-Staff-Jt-PC_Electric Rev Req Model (2009 GRC) Rebuttal 2" xfId="1788"/>
    <cellStyle name="_Costs not in AURORA 06GRC_Power Costs - Comparison bx Rbtl-Staff-Jt-PC_Electric Rev Req Model (2009 GRC) Rebuttal 2 2" xfId="1789"/>
    <cellStyle name="_Costs not in AURORA 06GRC_Power Costs - Comparison bx Rbtl-Staff-Jt-PC_Electric Rev Req Model (2009 GRC) Rebuttal 3" xfId="1790"/>
    <cellStyle name="_Costs not in AURORA 06GRC_Power Costs - Comparison bx Rbtl-Staff-Jt-PC_Electric Rev Req Model (2009 GRC) Rebuttal REmoval of New  WH Solar AdjustMI" xfId="1791"/>
    <cellStyle name="_Costs not in AURORA 06GRC_Power Costs - Comparison bx Rbtl-Staff-Jt-PC_Electric Rev Req Model (2009 GRC) Rebuttal REmoval of New  WH Solar AdjustMI 2" xfId="1792"/>
    <cellStyle name="_Costs not in AURORA 06GRC_Power Costs - Comparison bx Rbtl-Staff-Jt-PC_Electric Rev Req Model (2009 GRC) Rebuttal REmoval of New  WH Solar AdjustMI 2 2" xfId="1793"/>
    <cellStyle name="_Costs not in AURORA 06GRC_Power Costs - Comparison bx Rbtl-Staff-Jt-PC_Electric Rev Req Model (2009 GRC) Rebuttal REmoval of New  WH Solar AdjustMI 3" xfId="1794"/>
    <cellStyle name="_Costs not in AURORA 06GRC_Power Costs - Comparison bx Rbtl-Staff-Jt-PC_Electric Rev Req Model (2009 GRC) Revised 01-18-2010" xfId="1795"/>
    <cellStyle name="_Costs not in AURORA 06GRC_Power Costs - Comparison bx Rbtl-Staff-Jt-PC_Electric Rev Req Model (2009 GRC) Revised 01-18-2010 2" xfId="1796"/>
    <cellStyle name="_Costs not in AURORA 06GRC_Power Costs - Comparison bx Rbtl-Staff-Jt-PC_Electric Rev Req Model (2009 GRC) Revised 01-18-2010 2 2" xfId="1797"/>
    <cellStyle name="_Costs not in AURORA 06GRC_Power Costs - Comparison bx Rbtl-Staff-Jt-PC_Electric Rev Req Model (2009 GRC) Revised 01-18-2010 3" xfId="1798"/>
    <cellStyle name="_Costs not in AURORA 06GRC_Power Costs - Comparison bx Rbtl-Staff-Jt-PC_Final Order Electric EXHIBIT A-1" xfId="1799"/>
    <cellStyle name="_Costs not in AURORA 06GRC_Power Costs - Comparison bx Rbtl-Staff-Jt-PC_Final Order Electric EXHIBIT A-1 2" xfId="1800"/>
    <cellStyle name="_Costs not in AURORA 06GRC_Power Costs - Comparison bx Rbtl-Staff-Jt-PC_Final Order Electric EXHIBIT A-1 2 2" xfId="1801"/>
    <cellStyle name="_Costs not in AURORA 06GRC_Power Costs - Comparison bx Rbtl-Staff-Jt-PC_Final Order Electric EXHIBIT A-1 3" xfId="1802"/>
    <cellStyle name="_Costs not in AURORA 06GRC_Production Adj 4.37" xfId="1803"/>
    <cellStyle name="_Costs not in AURORA 06GRC_Production Adj 4.37 2" xfId="1804"/>
    <cellStyle name="_Costs not in AURORA 06GRC_Production Adj 4.37 2 2" xfId="1805"/>
    <cellStyle name="_Costs not in AURORA 06GRC_Production Adj 4.37 3" xfId="1806"/>
    <cellStyle name="_Costs not in AURORA 06GRC_Purchased Power Adj 4.03" xfId="1807"/>
    <cellStyle name="_Costs not in AURORA 06GRC_Purchased Power Adj 4.03 2" xfId="1808"/>
    <cellStyle name="_Costs not in AURORA 06GRC_Purchased Power Adj 4.03 2 2" xfId="1809"/>
    <cellStyle name="_Costs not in AURORA 06GRC_Purchased Power Adj 4.03 3" xfId="1810"/>
    <cellStyle name="_Costs not in AURORA 06GRC_Rebuttal Power Costs" xfId="1811"/>
    <cellStyle name="_Costs not in AURORA 06GRC_Rebuttal Power Costs 2" xfId="1812"/>
    <cellStyle name="_Costs not in AURORA 06GRC_Rebuttal Power Costs 2 2" xfId="1813"/>
    <cellStyle name="_Costs not in AURORA 06GRC_Rebuttal Power Costs 3" xfId="1814"/>
    <cellStyle name="_Costs not in AURORA 06GRC_Rebuttal Power Costs_Adj Bench DR 3 for Initial Briefs (Electric)" xfId="1815"/>
    <cellStyle name="_Costs not in AURORA 06GRC_Rebuttal Power Costs_Adj Bench DR 3 for Initial Briefs (Electric) 2" xfId="1816"/>
    <cellStyle name="_Costs not in AURORA 06GRC_Rebuttal Power Costs_Adj Bench DR 3 for Initial Briefs (Electric) 2 2" xfId="1817"/>
    <cellStyle name="_Costs not in AURORA 06GRC_Rebuttal Power Costs_Adj Bench DR 3 for Initial Briefs (Electric) 3" xfId="1818"/>
    <cellStyle name="_Costs not in AURORA 06GRC_Rebuttal Power Costs_Electric Rev Req Model (2009 GRC) Rebuttal" xfId="1819"/>
    <cellStyle name="_Costs not in AURORA 06GRC_Rebuttal Power Costs_Electric Rev Req Model (2009 GRC) Rebuttal 2" xfId="1820"/>
    <cellStyle name="_Costs not in AURORA 06GRC_Rebuttal Power Costs_Electric Rev Req Model (2009 GRC) Rebuttal 2 2" xfId="1821"/>
    <cellStyle name="_Costs not in AURORA 06GRC_Rebuttal Power Costs_Electric Rev Req Model (2009 GRC) Rebuttal 3" xfId="1822"/>
    <cellStyle name="_Costs not in AURORA 06GRC_Rebuttal Power Costs_Electric Rev Req Model (2009 GRC) Rebuttal REmoval of New  WH Solar AdjustMI" xfId="1823"/>
    <cellStyle name="_Costs not in AURORA 06GRC_Rebuttal Power Costs_Electric Rev Req Model (2009 GRC) Rebuttal REmoval of New  WH Solar AdjustMI 2" xfId="1824"/>
    <cellStyle name="_Costs not in AURORA 06GRC_Rebuttal Power Costs_Electric Rev Req Model (2009 GRC) Rebuttal REmoval of New  WH Solar AdjustMI 2 2" xfId="1825"/>
    <cellStyle name="_Costs not in AURORA 06GRC_Rebuttal Power Costs_Electric Rev Req Model (2009 GRC) Rebuttal REmoval of New  WH Solar AdjustMI 3" xfId="1826"/>
    <cellStyle name="_Costs not in AURORA 06GRC_Rebuttal Power Costs_Electric Rev Req Model (2009 GRC) Revised 01-18-2010" xfId="1827"/>
    <cellStyle name="_Costs not in AURORA 06GRC_Rebuttal Power Costs_Electric Rev Req Model (2009 GRC) Revised 01-18-2010 2" xfId="1828"/>
    <cellStyle name="_Costs not in AURORA 06GRC_Rebuttal Power Costs_Electric Rev Req Model (2009 GRC) Revised 01-18-2010 2 2" xfId="1829"/>
    <cellStyle name="_Costs not in AURORA 06GRC_Rebuttal Power Costs_Electric Rev Req Model (2009 GRC) Revised 01-18-2010 3" xfId="1830"/>
    <cellStyle name="_Costs not in AURORA 06GRC_Rebuttal Power Costs_Final Order Electric EXHIBIT A-1" xfId="1831"/>
    <cellStyle name="_Costs not in AURORA 06GRC_Rebuttal Power Costs_Final Order Electric EXHIBIT A-1 2" xfId="1832"/>
    <cellStyle name="_Costs not in AURORA 06GRC_Rebuttal Power Costs_Final Order Electric EXHIBIT A-1 2 2" xfId="1833"/>
    <cellStyle name="_Costs not in AURORA 06GRC_Rebuttal Power Costs_Final Order Electric EXHIBIT A-1 3" xfId="1834"/>
    <cellStyle name="_Costs not in AURORA 06GRC_ROR &amp; CONV FACTOR" xfId="1835"/>
    <cellStyle name="_Costs not in AURORA 06GRC_ROR &amp; CONV FACTOR 2" xfId="1836"/>
    <cellStyle name="_Costs not in AURORA 06GRC_ROR &amp; CONV FACTOR 2 2" xfId="1837"/>
    <cellStyle name="_Costs not in AURORA 06GRC_ROR &amp; CONV FACTOR 3" xfId="1838"/>
    <cellStyle name="_Costs not in AURORA 06GRC_ROR 5.02" xfId="1839"/>
    <cellStyle name="_Costs not in AURORA 06GRC_ROR 5.02 2" xfId="1840"/>
    <cellStyle name="_Costs not in AURORA 06GRC_ROR 5.02 2 2" xfId="1841"/>
    <cellStyle name="_Costs not in AURORA 06GRC_ROR 5.02 3" xfId="1842"/>
    <cellStyle name="_Costs not in AURORA 06GRC_Transmission Workbook for May BOD" xfId="1843"/>
    <cellStyle name="_Costs not in AURORA 06GRC_Transmission Workbook for May BOD 2" xfId="1844"/>
    <cellStyle name="_Costs not in AURORA 06GRC_Wind Integration 10GRC" xfId="1845"/>
    <cellStyle name="_Costs not in AURORA 06GRC_Wind Integration 10GRC 2" xfId="1846"/>
    <cellStyle name="_Costs not in AURORA 2006GRC 6.15.06" xfId="1847"/>
    <cellStyle name="_Costs not in AURORA 2006GRC 6.15.06 2" xfId="1848"/>
    <cellStyle name="_Costs not in AURORA 2006GRC 6.15.06 2 2" xfId="1849"/>
    <cellStyle name="_Costs not in AURORA 2006GRC 6.15.06 2 2 2" xfId="1850"/>
    <cellStyle name="_Costs not in AURORA 2006GRC 6.15.06 2 3" xfId="1851"/>
    <cellStyle name="_Costs not in AURORA 2006GRC 6.15.06 3" xfId="1852"/>
    <cellStyle name="_Costs not in AURORA 2006GRC 6.15.06 3 2" xfId="1853"/>
    <cellStyle name="_Costs not in AURORA 2006GRC 6.15.06 3 2 2" xfId="1854"/>
    <cellStyle name="_Costs not in AURORA 2006GRC 6.15.06 3 3" xfId="1855"/>
    <cellStyle name="_Costs not in AURORA 2006GRC 6.15.06 3 3 2" xfId="1856"/>
    <cellStyle name="_Costs not in AURORA 2006GRC 6.15.06 3 4" xfId="1857"/>
    <cellStyle name="_Costs not in AURORA 2006GRC 6.15.06 3 4 2" xfId="1858"/>
    <cellStyle name="_Costs not in AURORA 2006GRC 6.15.06 4" xfId="1859"/>
    <cellStyle name="_Costs not in AURORA 2006GRC 6.15.06 4 2" xfId="1860"/>
    <cellStyle name="_Costs not in AURORA 2006GRC 6.15.06 5" xfId="1861"/>
    <cellStyle name="_Costs not in AURORA 2006GRC 6.15.06 6" xfId="1862"/>
    <cellStyle name="_Costs not in AURORA 2006GRC 6.15.06 7" xfId="1863"/>
    <cellStyle name="_Costs not in AURORA 2006GRC 6.15.06_04 07E Wild Horse Wind Expansion (C) (2)" xfId="1864"/>
    <cellStyle name="_Costs not in AURORA 2006GRC 6.15.06_04 07E Wild Horse Wind Expansion (C) (2) 2" xfId="1865"/>
    <cellStyle name="_Costs not in AURORA 2006GRC 6.15.06_04 07E Wild Horse Wind Expansion (C) (2) 2 2" xfId="1866"/>
    <cellStyle name="_Costs not in AURORA 2006GRC 6.15.06_04 07E Wild Horse Wind Expansion (C) (2) 3" xfId="1867"/>
    <cellStyle name="_Costs not in AURORA 2006GRC 6.15.06_04 07E Wild Horse Wind Expansion (C) (2)_Adj Bench DR 3 for Initial Briefs (Electric)" xfId="1868"/>
    <cellStyle name="_Costs not in AURORA 2006GRC 6.15.06_04 07E Wild Horse Wind Expansion (C) (2)_Adj Bench DR 3 for Initial Briefs (Electric) 2" xfId="1869"/>
    <cellStyle name="_Costs not in AURORA 2006GRC 6.15.06_04 07E Wild Horse Wind Expansion (C) (2)_Adj Bench DR 3 for Initial Briefs (Electric) 2 2" xfId="1870"/>
    <cellStyle name="_Costs not in AURORA 2006GRC 6.15.06_04 07E Wild Horse Wind Expansion (C) (2)_Adj Bench DR 3 for Initial Briefs (Electric) 3" xfId="1871"/>
    <cellStyle name="_Costs not in AURORA 2006GRC 6.15.06_04 07E Wild Horse Wind Expansion (C) (2)_Book1" xfId="1872"/>
    <cellStyle name="_Costs not in AURORA 2006GRC 6.15.06_04 07E Wild Horse Wind Expansion (C) (2)_Electric Rev Req Model (2009 GRC) " xfId="1873"/>
    <cellStyle name="_Costs not in AURORA 2006GRC 6.15.06_04 07E Wild Horse Wind Expansion (C) (2)_Electric Rev Req Model (2009 GRC)  2" xfId="1874"/>
    <cellStyle name="_Costs not in AURORA 2006GRC 6.15.06_04 07E Wild Horse Wind Expansion (C) (2)_Electric Rev Req Model (2009 GRC)  2 2" xfId="1875"/>
    <cellStyle name="_Costs not in AURORA 2006GRC 6.15.06_04 07E Wild Horse Wind Expansion (C) (2)_Electric Rev Req Model (2009 GRC)  3" xfId="1876"/>
    <cellStyle name="_Costs not in AURORA 2006GRC 6.15.06_04 07E Wild Horse Wind Expansion (C) (2)_Electric Rev Req Model (2009 GRC) Rebuttal" xfId="1877"/>
    <cellStyle name="_Costs not in AURORA 2006GRC 6.15.06_04 07E Wild Horse Wind Expansion (C) (2)_Electric Rev Req Model (2009 GRC) Rebuttal 2" xfId="1878"/>
    <cellStyle name="_Costs not in AURORA 2006GRC 6.15.06_04 07E Wild Horse Wind Expansion (C) (2)_Electric Rev Req Model (2009 GRC) Rebuttal 2 2" xfId="1879"/>
    <cellStyle name="_Costs not in AURORA 2006GRC 6.15.06_04 07E Wild Horse Wind Expansion (C) (2)_Electric Rev Req Model (2009 GRC) Rebuttal 3" xfId="1880"/>
    <cellStyle name="_Costs not in AURORA 2006GRC 6.15.06_04 07E Wild Horse Wind Expansion (C) (2)_Electric Rev Req Model (2009 GRC) Rebuttal REmoval of New  WH Solar AdjustMI" xfId="1881"/>
    <cellStyle name="_Costs not in AURORA 2006GRC 6.15.06_04 07E Wild Horse Wind Expansion (C) (2)_Electric Rev Req Model (2009 GRC) Rebuttal REmoval of New  WH Solar AdjustMI 2" xfId="1882"/>
    <cellStyle name="_Costs not in AURORA 2006GRC 6.15.06_04 07E Wild Horse Wind Expansion (C) (2)_Electric Rev Req Model (2009 GRC) Rebuttal REmoval of New  WH Solar AdjustMI 2 2" xfId="1883"/>
    <cellStyle name="_Costs not in AURORA 2006GRC 6.15.06_04 07E Wild Horse Wind Expansion (C) (2)_Electric Rev Req Model (2009 GRC) Rebuttal REmoval of New  WH Solar AdjustMI 3" xfId="1884"/>
    <cellStyle name="_Costs not in AURORA 2006GRC 6.15.06_04 07E Wild Horse Wind Expansion (C) (2)_Electric Rev Req Model (2009 GRC) Revised 01-18-2010" xfId="1885"/>
    <cellStyle name="_Costs not in AURORA 2006GRC 6.15.06_04 07E Wild Horse Wind Expansion (C) (2)_Electric Rev Req Model (2009 GRC) Revised 01-18-2010 2" xfId="1886"/>
    <cellStyle name="_Costs not in AURORA 2006GRC 6.15.06_04 07E Wild Horse Wind Expansion (C) (2)_Electric Rev Req Model (2009 GRC) Revised 01-18-2010 2 2" xfId="1887"/>
    <cellStyle name="_Costs not in AURORA 2006GRC 6.15.06_04 07E Wild Horse Wind Expansion (C) (2)_Electric Rev Req Model (2009 GRC) Revised 01-18-2010 3" xfId="1888"/>
    <cellStyle name="_Costs not in AURORA 2006GRC 6.15.06_04 07E Wild Horse Wind Expansion (C) (2)_Electric Rev Req Model (2010 GRC)" xfId="1889"/>
    <cellStyle name="_Costs not in AURORA 2006GRC 6.15.06_04 07E Wild Horse Wind Expansion (C) (2)_Electric Rev Req Model (2010 GRC) SF" xfId="1890"/>
    <cellStyle name="_Costs not in AURORA 2006GRC 6.15.06_04 07E Wild Horse Wind Expansion (C) (2)_Final Order Electric EXHIBIT A-1" xfId="1891"/>
    <cellStyle name="_Costs not in AURORA 2006GRC 6.15.06_04 07E Wild Horse Wind Expansion (C) (2)_Final Order Electric EXHIBIT A-1 2" xfId="1892"/>
    <cellStyle name="_Costs not in AURORA 2006GRC 6.15.06_04 07E Wild Horse Wind Expansion (C) (2)_Final Order Electric EXHIBIT A-1 2 2" xfId="1893"/>
    <cellStyle name="_Costs not in AURORA 2006GRC 6.15.06_04 07E Wild Horse Wind Expansion (C) (2)_Final Order Electric EXHIBIT A-1 3" xfId="1894"/>
    <cellStyle name="_Costs not in AURORA 2006GRC 6.15.06_04 07E Wild Horse Wind Expansion (C) (2)_TENASKA REGULATORY ASSET" xfId="1895"/>
    <cellStyle name="_Costs not in AURORA 2006GRC 6.15.06_04 07E Wild Horse Wind Expansion (C) (2)_TENASKA REGULATORY ASSET 2" xfId="1896"/>
    <cellStyle name="_Costs not in AURORA 2006GRC 6.15.06_04 07E Wild Horse Wind Expansion (C) (2)_TENASKA REGULATORY ASSET 2 2" xfId="1897"/>
    <cellStyle name="_Costs not in AURORA 2006GRC 6.15.06_04 07E Wild Horse Wind Expansion (C) (2)_TENASKA REGULATORY ASSET 3" xfId="1898"/>
    <cellStyle name="_Costs not in AURORA 2006GRC 6.15.06_16.37E Wild Horse Expansion DeferralRevwrkingfile SF" xfId="1899"/>
    <cellStyle name="_Costs not in AURORA 2006GRC 6.15.06_16.37E Wild Horse Expansion DeferralRevwrkingfile SF 2" xfId="1900"/>
    <cellStyle name="_Costs not in AURORA 2006GRC 6.15.06_16.37E Wild Horse Expansion DeferralRevwrkingfile SF 2 2" xfId="1901"/>
    <cellStyle name="_Costs not in AURORA 2006GRC 6.15.06_16.37E Wild Horse Expansion DeferralRevwrkingfile SF 3" xfId="1902"/>
    <cellStyle name="_Costs not in AURORA 2006GRC 6.15.06_2009 Compliance Filing PCA Exhibits for GRC" xfId="1903"/>
    <cellStyle name="_Costs not in AURORA 2006GRC 6.15.06_2009 GRC Compl Filing - Exhibit D" xfId="1904"/>
    <cellStyle name="_Costs not in AURORA 2006GRC 6.15.06_2009 GRC Compl Filing - Exhibit D 2" xfId="1905"/>
    <cellStyle name="_Costs not in AURORA 2006GRC 6.15.06_3.01 Income Statement" xfId="1906"/>
    <cellStyle name="_Costs not in AURORA 2006GRC 6.15.06_4 31 Regulatory Assets and Liabilities  7 06- Exhibit D" xfId="1907"/>
    <cellStyle name="_Costs not in AURORA 2006GRC 6.15.06_4 31 Regulatory Assets and Liabilities  7 06- Exhibit D 2" xfId="1908"/>
    <cellStyle name="_Costs not in AURORA 2006GRC 6.15.06_4 31 Regulatory Assets and Liabilities  7 06- Exhibit D 2 2" xfId="1909"/>
    <cellStyle name="_Costs not in AURORA 2006GRC 6.15.06_4 31 Regulatory Assets and Liabilities  7 06- Exhibit D 3" xfId="1910"/>
    <cellStyle name="_Costs not in AURORA 2006GRC 6.15.06_4 31 Regulatory Assets and Liabilities  7 06- Exhibit D_NIM Summary" xfId="1911"/>
    <cellStyle name="_Costs not in AURORA 2006GRC 6.15.06_4 31 Regulatory Assets and Liabilities  7 06- Exhibit D_NIM Summary 2" xfId="1912"/>
    <cellStyle name="_Costs not in AURORA 2006GRC 6.15.06_4 32 Regulatory Assets and Liabilities  7 06- Exhibit D" xfId="1913"/>
    <cellStyle name="_Costs not in AURORA 2006GRC 6.15.06_4 32 Regulatory Assets and Liabilities  7 06- Exhibit D 2" xfId="1914"/>
    <cellStyle name="_Costs not in AURORA 2006GRC 6.15.06_4 32 Regulatory Assets and Liabilities  7 06- Exhibit D 2 2" xfId="1915"/>
    <cellStyle name="_Costs not in AURORA 2006GRC 6.15.06_4 32 Regulatory Assets and Liabilities  7 06- Exhibit D 3" xfId="1916"/>
    <cellStyle name="_Costs not in AURORA 2006GRC 6.15.06_4 32 Regulatory Assets and Liabilities  7 06- Exhibit D_NIM Summary" xfId="1917"/>
    <cellStyle name="_Costs not in AURORA 2006GRC 6.15.06_4 32 Regulatory Assets and Liabilities  7 06- Exhibit D_NIM Summary 2" xfId="1918"/>
    <cellStyle name="_Costs not in AURORA 2006GRC 6.15.06_ACCOUNTS" xfId="1919"/>
    <cellStyle name="_Costs not in AURORA 2006GRC 6.15.06_AURORA Total New" xfId="1920"/>
    <cellStyle name="_Costs not in AURORA 2006GRC 6.15.06_AURORA Total New 2" xfId="1921"/>
    <cellStyle name="_Costs not in AURORA 2006GRC 6.15.06_Book2" xfId="1922"/>
    <cellStyle name="_Costs not in AURORA 2006GRC 6.15.06_Book2 2" xfId="1923"/>
    <cellStyle name="_Costs not in AURORA 2006GRC 6.15.06_Book2 2 2" xfId="1924"/>
    <cellStyle name="_Costs not in AURORA 2006GRC 6.15.06_Book2 3" xfId="1925"/>
    <cellStyle name="_Costs not in AURORA 2006GRC 6.15.06_Book2_Adj Bench DR 3 for Initial Briefs (Electric)" xfId="1926"/>
    <cellStyle name="_Costs not in AURORA 2006GRC 6.15.06_Book2_Adj Bench DR 3 for Initial Briefs (Electric) 2" xfId="1927"/>
    <cellStyle name="_Costs not in AURORA 2006GRC 6.15.06_Book2_Adj Bench DR 3 for Initial Briefs (Electric) 2 2" xfId="1928"/>
    <cellStyle name="_Costs not in AURORA 2006GRC 6.15.06_Book2_Adj Bench DR 3 for Initial Briefs (Electric) 3" xfId="1929"/>
    <cellStyle name="_Costs not in AURORA 2006GRC 6.15.06_Book2_Electric Rev Req Model (2009 GRC) Rebuttal" xfId="1930"/>
    <cellStyle name="_Costs not in AURORA 2006GRC 6.15.06_Book2_Electric Rev Req Model (2009 GRC) Rebuttal 2" xfId="1931"/>
    <cellStyle name="_Costs not in AURORA 2006GRC 6.15.06_Book2_Electric Rev Req Model (2009 GRC) Rebuttal 2 2" xfId="1932"/>
    <cellStyle name="_Costs not in AURORA 2006GRC 6.15.06_Book2_Electric Rev Req Model (2009 GRC) Rebuttal 3" xfId="1933"/>
    <cellStyle name="_Costs not in AURORA 2006GRC 6.15.06_Book2_Electric Rev Req Model (2009 GRC) Rebuttal REmoval of New  WH Solar AdjustMI" xfId="1934"/>
    <cellStyle name="_Costs not in AURORA 2006GRC 6.15.06_Book2_Electric Rev Req Model (2009 GRC) Rebuttal REmoval of New  WH Solar AdjustMI 2" xfId="1935"/>
    <cellStyle name="_Costs not in AURORA 2006GRC 6.15.06_Book2_Electric Rev Req Model (2009 GRC) Rebuttal REmoval of New  WH Solar AdjustMI 2 2" xfId="1936"/>
    <cellStyle name="_Costs not in AURORA 2006GRC 6.15.06_Book2_Electric Rev Req Model (2009 GRC) Rebuttal REmoval of New  WH Solar AdjustMI 3" xfId="1937"/>
    <cellStyle name="_Costs not in AURORA 2006GRC 6.15.06_Book2_Electric Rev Req Model (2009 GRC) Revised 01-18-2010" xfId="1938"/>
    <cellStyle name="_Costs not in AURORA 2006GRC 6.15.06_Book2_Electric Rev Req Model (2009 GRC) Revised 01-18-2010 2" xfId="1939"/>
    <cellStyle name="_Costs not in AURORA 2006GRC 6.15.06_Book2_Electric Rev Req Model (2009 GRC) Revised 01-18-2010 2 2" xfId="1940"/>
    <cellStyle name="_Costs not in AURORA 2006GRC 6.15.06_Book2_Electric Rev Req Model (2009 GRC) Revised 01-18-2010 3" xfId="1941"/>
    <cellStyle name="_Costs not in AURORA 2006GRC 6.15.06_Book2_Final Order Electric EXHIBIT A-1" xfId="1942"/>
    <cellStyle name="_Costs not in AURORA 2006GRC 6.15.06_Book2_Final Order Electric EXHIBIT A-1 2" xfId="1943"/>
    <cellStyle name="_Costs not in AURORA 2006GRC 6.15.06_Book2_Final Order Electric EXHIBIT A-1 2 2" xfId="1944"/>
    <cellStyle name="_Costs not in AURORA 2006GRC 6.15.06_Book2_Final Order Electric EXHIBIT A-1 3" xfId="1945"/>
    <cellStyle name="_Costs not in AURORA 2006GRC 6.15.06_Book4" xfId="1946"/>
    <cellStyle name="_Costs not in AURORA 2006GRC 6.15.06_Book4 2" xfId="1947"/>
    <cellStyle name="_Costs not in AURORA 2006GRC 6.15.06_Book4 2 2" xfId="1948"/>
    <cellStyle name="_Costs not in AURORA 2006GRC 6.15.06_Book4 3" xfId="1949"/>
    <cellStyle name="_Costs not in AURORA 2006GRC 6.15.06_Book9" xfId="1950"/>
    <cellStyle name="_Costs not in AURORA 2006GRC 6.15.06_Book9 2" xfId="1951"/>
    <cellStyle name="_Costs not in AURORA 2006GRC 6.15.06_Book9 2 2" xfId="1952"/>
    <cellStyle name="_Costs not in AURORA 2006GRC 6.15.06_Book9 3" xfId="1953"/>
    <cellStyle name="_Costs not in AURORA 2006GRC 6.15.06_Chelan PUD Power Costs (8-10)" xfId="1954"/>
    <cellStyle name="_Costs not in AURORA 2006GRC 6.15.06_Gas Rev Req Model (2010 GRC)" xfId="1955"/>
    <cellStyle name="_Costs not in AURORA 2006GRC 6.15.06_INPUTS" xfId="1956"/>
    <cellStyle name="_Costs not in AURORA 2006GRC 6.15.06_INPUTS 2" xfId="1957"/>
    <cellStyle name="_Costs not in AURORA 2006GRC 6.15.06_INPUTS 2 2" xfId="1958"/>
    <cellStyle name="_Costs not in AURORA 2006GRC 6.15.06_INPUTS 3" xfId="1959"/>
    <cellStyle name="_Costs not in AURORA 2006GRC 6.15.06_NIM Summary" xfId="1960"/>
    <cellStyle name="_Costs not in AURORA 2006GRC 6.15.06_NIM Summary 09GRC" xfId="1961"/>
    <cellStyle name="_Costs not in AURORA 2006GRC 6.15.06_NIM Summary 09GRC 2" xfId="1962"/>
    <cellStyle name="_Costs not in AURORA 2006GRC 6.15.06_NIM Summary 2" xfId="1963"/>
    <cellStyle name="_Costs not in AURORA 2006GRC 6.15.06_NIM Summary 3" xfId="1964"/>
    <cellStyle name="_Costs not in AURORA 2006GRC 6.15.06_NIM Summary 4" xfId="1965"/>
    <cellStyle name="_Costs not in AURORA 2006GRC 6.15.06_NIM Summary 5" xfId="1966"/>
    <cellStyle name="_Costs not in AURORA 2006GRC 6.15.06_NIM Summary 6" xfId="1967"/>
    <cellStyle name="_Costs not in AURORA 2006GRC 6.15.06_NIM Summary 7" xfId="1968"/>
    <cellStyle name="_Costs not in AURORA 2006GRC 6.15.06_NIM Summary 8" xfId="1969"/>
    <cellStyle name="_Costs not in AURORA 2006GRC 6.15.06_NIM Summary 9" xfId="1970"/>
    <cellStyle name="_Costs not in AURORA 2006GRC 6.15.06_PCA 10 -  Exhibit D from A Kellogg Jan 2011" xfId="1971"/>
    <cellStyle name="_Costs not in AURORA 2006GRC 6.15.06_PCA 10 -  Exhibit D from A Kellogg July 2011" xfId="1972"/>
    <cellStyle name="_Costs not in AURORA 2006GRC 6.15.06_PCA 10 -  Exhibit D from S Free Rcv'd 12-11" xfId="1973"/>
    <cellStyle name="_Costs not in AURORA 2006GRC 6.15.06_PCA 9 -  Exhibit D April 2010" xfId="1974"/>
    <cellStyle name="_Costs not in AURORA 2006GRC 6.15.06_PCA 9 -  Exhibit D April 2010 (3)" xfId="1975"/>
    <cellStyle name="_Costs not in AURORA 2006GRC 6.15.06_PCA 9 -  Exhibit D April 2010 (3) 2" xfId="1976"/>
    <cellStyle name="_Costs not in AURORA 2006GRC 6.15.06_PCA 9 -  Exhibit D Nov 2010" xfId="1977"/>
    <cellStyle name="_Costs not in AURORA 2006GRC 6.15.06_PCA 9 - Exhibit D at August 2010" xfId="1978"/>
    <cellStyle name="_Costs not in AURORA 2006GRC 6.15.06_PCA 9 - Exhibit D June 2010 GRC" xfId="1979"/>
    <cellStyle name="_Costs not in AURORA 2006GRC 6.15.06_Power Costs - Comparison bx Rbtl-Staff-Jt-PC" xfId="1980"/>
    <cellStyle name="_Costs not in AURORA 2006GRC 6.15.06_Power Costs - Comparison bx Rbtl-Staff-Jt-PC 2" xfId="1981"/>
    <cellStyle name="_Costs not in AURORA 2006GRC 6.15.06_Power Costs - Comparison bx Rbtl-Staff-Jt-PC 2 2" xfId="1982"/>
    <cellStyle name="_Costs not in AURORA 2006GRC 6.15.06_Power Costs - Comparison bx Rbtl-Staff-Jt-PC 3" xfId="1983"/>
    <cellStyle name="_Costs not in AURORA 2006GRC 6.15.06_Power Costs - Comparison bx Rbtl-Staff-Jt-PC_Adj Bench DR 3 for Initial Briefs (Electric)" xfId="1984"/>
    <cellStyle name="_Costs not in AURORA 2006GRC 6.15.06_Power Costs - Comparison bx Rbtl-Staff-Jt-PC_Adj Bench DR 3 for Initial Briefs (Electric) 2" xfId="1985"/>
    <cellStyle name="_Costs not in AURORA 2006GRC 6.15.06_Power Costs - Comparison bx Rbtl-Staff-Jt-PC_Adj Bench DR 3 for Initial Briefs (Electric) 2 2" xfId="1986"/>
    <cellStyle name="_Costs not in AURORA 2006GRC 6.15.06_Power Costs - Comparison bx Rbtl-Staff-Jt-PC_Adj Bench DR 3 for Initial Briefs (Electric) 3" xfId="1987"/>
    <cellStyle name="_Costs not in AURORA 2006GRC 6.15.06_Power Costs - Comparison bx Rbtl-Staff-Jt-PC_Electric Rev Req Model (2009 GRC) Rebuttal" xfId="1988"/>
    <cellStyle name="_Costs not in AURORA 2006GRC 6.15.06_Power Costs - Comparison bx Rbtl-Staff-Jt-PC_Electric Rev Req Model (2009 GRC) Rebuttal 2" xfId="1989"/>
    <cellStyle name="_Costs not in AURORA 2006GRC 6.15.06_Power Costs - Comparison bx Rbtl-Staff-Jt-PC_Electric Rev Req Model (2009 GRC) Rebuttal 2 2" xfId="1990"/>
    <cellStyle name="_Costs not in AURORA 2006GRC 6.15.06_Power Costs - Comparison bx Rbtl-Staff-Jt-PC_Electric Rev Req Model (2009 GRC) Rebuttal 3" xfId="1991"/>
    <cellStyle name="_Costs not in AURORA 2006GRC 6.15.06_Power Costs - Comparison bx Rbtl-Staff-Jt-PC_Electric Rev Req Model (2009 GRC) Rebuttal REmoval of New  WH Solar AdjustMI" xfId="1992"/>
    <cellStyle name="_Costs not in AURORA 2006GRC 6.15.06_Power Costs - Comparison bx Rbtl-Staff-Jt-PC_Electric Rev Req Model (2009 GRC) Rebuttal REmoval of New  WH Solar AdjustMI 2" xfId="1993"/>
    <cellStyle name="_Costs not in AURORA 2006GRC 6.15.06_Power Costs - Comparison bx Rbtl-Staff-Jt-PC_Electric Rev Req Model (2009 GRC) Rebuttal REmoval of New  WH Solar AdjustMI 2 2" xfId="1994"/>
    <cellStyle name="_Costs not in AURORA 2006GRC 6.15.06_Power Costs - Comparison bx Rbtl-Staff-Jt-PC_Electric Rev Req Model (2009 GRC) Rebuttal REmoval of New  WH Solar AdjustMI 3" xfId="1995"/>
    <cellStyle name="_Costs not in AURORA 2006GRC 6.15.06_Power Costs - Comparison bx Rbtl-Staff-Jt-PC_Electric Rev Req Model (2009 GRC) Revised 01-18-2010" xfId="1996"/>
    <cellStyle name="_Costs not in AURORA 2006GRC 6.15.06_Power Costs - Comparison bx Rbtl-Staff-Jt-PC_Electric Rev Req Model (2009 GRC) Revised 01-18-2010 2" xfId="1997"/>
    <cellStyle name="_Costs not in AURORA 2006GRC 6.15.06_Power Costs - Comparison bx Rbtl-Staff-Jt-PC_Electric Rev Req Model (2009 GRC) Revised 01-18-2010 2 2" xfId="1998"/>
    <cellStyle name="_Costs not in AURORA 2006GRC 6.15.06_Power Costs - Comparison bx Rbtl-Staff-Jt-PC_Electric Rev Req Model (2009 GRC) Revised 01-18-2010 3" xfId="1999"/>
    <cellStyle name="_Costs not in AURORA 2006GRC 6.15.06_Power Costs - Comparison bx Rbtl-Staff-Jt-PC_Final Order Electric EXHIBIT A-1" xfId="2000"/>
    <cellStyle name="_Costs not in AURORA 2006GRC 6.15.06_Power Costs - Comparison bx Rbtl-Staff-Jt-PC_Final Order Electric EXHIBIT A-1 2" xfId="2001"/>
    <cellStyle name="_Costs not in AURORA 2006GRC 6.15.06_Power Costs - Comparison bx Rbtl-Staff-Jt-PC_Final Order Electric EXHIBIT A-1 2 2" xfId="2002"/>
    <cellStyle name="_Costs not in AURORA 2006GRC 6.15.06_Power Costs - Comparison bx Rbtl-Staff-Jt-PC_Final Order Electric EXHIBIT A-1 3" xfId="2003"/>
    <cellStyle name="_Costs not in AURORA 2006GRC 6.15.06_Production Adj 4.37" xfId="2004"/>
    <cellStyle name="_Costs not in AURORA 2006GRC 6.15.06_Production Adj 4.37 2" xfId="2005"/>
    <cellStyle name="_Costs not in AURORA 2006GRC 6.15.06_Production Adj 4.37 2 2" xfId="2006"/>
    <cellStyle name="_Costs not in AURORA 2006GRC 6.15.06_Production Adj 4.37 3" xfId="2007"/>
    <cellStyle name="_Costs not in AURORA 2006GRC 6.15.06_Purchased Power Adj 4.03" xfId="2008"/>
    <cellStyle name="_Costs not in AURORA 2006GRC 6.15.06_Purchased Power Adj 4.03 2" xfId="2009"/>
    <cellStyle name="_Costs not in AURORA 2006GRC 6.15.06_Purchased Power Adj 4.03 2 2" xfId="2010"/>
    <cellStyle name="_Costs not in AURORA 2006GRC 6.15.06_Purchased Power Adj 4.03 3" xfId="2011"/>
    <cellStyle name="_Costs not in AURORA 2006GRC 6.15.06_Rebuttal Power Costs" xfId="2012"/>
    <cellStyle name="_Costs not in AURORA 2006GRC 6.15.06_Rebuttal Power Costs 2" xfId="2013"/>
    <cellStyle name="_Costs not in AURORA 2006GRC 6.15.06_Rebuttal Power Costs 2 2" xfId="2014"/>
    <cellStyle name="_Costs not in AURORA 2006GRC 6.15.06_Rebuttal Power Costs 3" xfId="2015"/>
    <cellStyle name="_Costs not in AURORA 2006GRC 6.15.06_Rebuttal Power Costs_Adj Bench DR 3 for Initial Briefs (Electric)" xfId="2016"/>
    <cellStyle name="_Costs not in AURORA 2006GRC 6.15.06_Rebuttal Power Costs_Adj Bench DR 3 for Initial Briefs (Electric) 2" xfId="2017"/>
    <cellStyle name="_Costs not in AURORA 2006GRC 6.15.06_Rebuttal Power Costs_Adj Bench DR 3 for Initial Briefs (Electric) 2 2" xfId="2018"/>
    <cellStyle name="_Costs not in AURORA 2006GRC 6.15.06_Rebuttal Power Costs_Adj Bench DR 3 for Initial Briefs (Electric) 3" xfId="2019"/>
    <cellStyle name="_Costs not in AURORA 2006GRC 6.15.06_Rebuttal Power Costs_Electric Rev Req Model (2009 GRC) Rebuttal" xfId="2020"/>
    <cellStyle name="_Costs not in AURORA 2006GRC 6.15.06_Rebuttal Power Costs_Electric Rev Req Model (2009 GRC) Rebuttal 2" xfId="2021"/>
    <cellStyle name="_Costs not in AURORA 2006GRC 6.15.06_Rebuttal Power Costs_Electric Rev Req Model (2009 GRC) Rebuttal 2 2" xfId="2022"/>
    <cellStyle name="_Costs not in AURORA 2006GRC 6.15.06_Rebuttal Power Costs_Electric Rev Req Model (2009 GRC) Rebuttal 3" xfId="2023"/>
    <cellStyle name="_Costs not in AURORA 2006GRC 6.15.06_Rebuttal Power Costs_Electric Rev Req Model (2009 GRC) Rebuttal REmoval of New  WH Solar AdjustMI" xfId="2024"/>
    <cellStyle name="_Costs not in AURORA 2006GRC 6.15.06_Rebuttal Power Costs_Electric Rev Req Model (2009 GRC) Rebuttal REmoval of New  WH Solar AdjustMI 2" xfId="2025"/>
    <cellStyle name="_Costs not in AURORA 2006GRC 6.15.06_Rebuttal Power Costs_Electric Rev Req Model (2009 GRC) Rebuttal REmoval of New  WH Solar AdjustMI 2 2" xfId="2026"/>
    <cellStyle name="_Costs not in AURORA 2006GRC 6.15.06_Rebuttal Power Costs_Electric Rev Req Model (2009 GRC) Rebuttal REmoval of New  WH Solar AdjustMI 3" xfId="2027"/>
    <cellStyle name="_Costs not in AURORA 2006GRC 6.15.06_Rebuttal Power Costs_Electric Rev Req Model (2009 GRC) Revised 01-18-2010" xfId="2028"/>
    <cellStyle name="_Costs not in AURORA 2006GRC 6.15.06_Rebuttal Power Costs_Electric Rev Req Model (2009 GRC) Revised 01-18-2010 2" xfId="2029"/>
    <cellStyle name="_Costs not in AURORA 2006GRC 6.15.06_Rebuttal Power Costs_Electric Rev Req Model (2009 GRC) Revised 01-18-2010 2 2" xfId="2030"/>
    <cellStyle name="_Costs not in AURORA 2006GRC 6.15.06_Rebuttal Power Costs_Electric Rev Req Model (2009 GRC) Revised 01-18-2010 3" xfId="2031"/>
    <cellStyle name="_Costs not in AURORA 2006GRC 6.15.06_Rebuttal Power Costs_Final Order Electric EXHIBIT A-1" xfId="2032"/>
    <cellStyle name="_Costs not in AURORA 2006GRC 6.15.06_Rebuttal Power Costs_Final Order Electric EXHIBIT A-1 2" xfId="2033"/>
    <cellStyle name="_Costs not in AURORA 2006GRC 6.15.06_Rebuttal Power Costs_Final Order Electric EXHIBIT A-1 2 2" xfId="2034"/>
    <cellStyle name="_Costs not in AURORA 2006GRC 6.15.06_Rebuttal Power Costs_Final Order Electric EXHIBIT A-1 3" xfId="2035"/>
    <cellStyle name="_Costs not in AURORA 2006GRC 6.15.06_ROR &amp; CONV FACTOR" xfId="2036"/>
    <cellStyle name="_Costs not in AURORA 2006GRC 6.15.06_ROR &amp; CONV FACTOR 2" xfId="2037"/>
    <cellStyle name="_Costs not in AURORA 2006GRC 6.15.06_ROR &amp; CONV FACTOR 2 2" xfId="2038"/>
    <cellStyle name="_Costs not in AURORA 2006GRC 6.15.06_ROR &amp; CONV FACTOR 3" xfId="2039"/>
    <cellStyle name="_Costs not in AURORA 2006GRC 6.15.06_ROR 5.02" xfId="2040"/>
    <cellStyle name="_Costs not in AURORA 2006GRC 6.15.06_ROR 5.02 2" xfId="2041"/>
    <cellStyle name="_Costs not in AURORA 2006GRC 6.15.06_ROR 5.02 2 2" xfId="2042"/>
    <cellStyle name="_Costs not in AURORA 2006GRC 6.15.06_ROR 5.02 3" xfId="2043"/>
    <cellStyle name="_Costs not in AURORA 2006GRC 6.15.06_Wind Integration 10GRC" xfId="2044"/>
    <cellStyle name="_Costs not in AURORA 2006GRC 6.15.06_Wind Integration 10GRC 2" xfId="2045"/>
    <cellStyle name="_Costs not in AURORA 2006GRC w gas price updated" xfId="2046"/>
    <cellStyle name="_Costs not in AURORA 2006GRC w gas price updated 2" xfId="2047"/>
    <cellStyle name="_Costs not in AURORA 2006GRC w gas price updated 2 2" xfId="2048"/>
    <cellStyle name="_Costs not in AURORA 2006GRC w gas price updated 3" xfId="2049"/>
    <cellStyle name="_Costs not in AURORA 2006GRC w gas price updated_Adj Bench DR 3 for Initial Briefs (Electric)" xfId="2050"/>
    <cellStyle name="_Costs not in AURORA 2006GRC w gas price updated_Adj Bench DR 3 for Initial Briefs (Electric) 2" xfId="2051"/>
    <cellStyle name="_Costs not in AURORA 2006GRC w gas price updated_Adj Bench DR 3 for Initial Briefs (Electric) 2 2" xfId="2052"/>
    <cellStyle name="_Costs not in AURORA 2006GRC w gas price updated_Adj Bench DR 3 for Initial Briefs (Electric) 3" xfId="2053"/>
    <cellStyle name="_Costs not in AURORA 2006GRC w gas price updated_Book1" xfId="2054"/>
    <cellStyle name="_Costs not in AURORA 2006GRC w gas price updated_Book2" xfId="2055"/>
    <cellStyle name="_Costs not in AURORA 2006GRC w gas price updated_Book2 2" xfId="2056"/>
    <cellStyle name="_Costs not in AURORA 2006GRC w gas price updated_Book2 2 2" xfId="2057"/>
    <cellStyle name="_Costs not in AURORA 2006GRC w gas price updated_Book2 3" xfId="2058"/>
    <cellStyle name="_Costs not in AURORA 2006GRC w gas price updated_Book2_Adj Bench DR 3 for Initial Briefs (Electric)" xfId="2059"/>
    <cellStyle name="_Costs not in AURORA 2006GRC w gas price updated_Book2_Adj Bench DR 3 for Initial Briefs (Electric) 2" xfId="2060"/>
    <cellStyle name="_Costs not in AURORA 2006GRC w gas price updated_Book2_Adj Bench DR 3 for Initial Briefs (Electric) 2 2" xfId="2061"/>
    <cellStyle name="_Costs not in AURORA 2006GRC w gas price updated_Book2_Adj Bench DR 3 for Initial Briefs (Electric) 3" xfId="2062"/>
    <cellStyle name="_Costs not in AURORA 2006GRC w gas price updated_Book2_Electric Rev Req Model (2009 GRC) Rebuttal" xfId="2063"/>
    <cellStyle name="_Costs not in AURORA 2006GRC w gas price updated_Book2_Electric Rev Req Model (2009 GRC) Rebuttal 2" xfId="2064"/>
    <cellStyle name="_Costs not in AURORA 2006GRC w gas price updated_Book2_Electric Rev Req Model (2009 GRC) Rebuttal 2 2" xfId="2065"/>
    <cellStyle name="_Costs not in AURORA 2006GRC w gas price updated_Book2_Electric Rev Req Model (2009 GRC) Rebuttal 3" xfId="2066"/>
    <cellStyle name="_Costs not in AURORA 2006GRC w gas price updated_Book2_Electric Rev Req Model (2009 GRC) Rebuttal REmoval of New  WH Solar AdjustMI" xfId="2067"/>
    <cellStyle name="_Costs not in AURORA 2006GRC w gas price updated_Book2_Electric Rev Req Model (2009 GRC) Rebuttal REmoval of New  WH Solar AdjustMI 2" xfId="2068"/>
    <cellStyle name="_Costs not in AURORA 2006GRC w gas price updated_Book2_Electric Rev Req Model (2009 GRC) Rebuttal REmoval of New  WH Solar AdjustMI 2 2" xfId="2069"/>
    <cellStyle name="_Costs not in AURORA 2006GRC w gas price updated_Book2_Electric Rev Req Model (2009 GRC) Rebuttal REmoval of New  WH Solar AdjustMI 3" xfId="2070"/>
    <cellStyle name="_Costs not in AURORA 2006GRC w gas price updated_Book2_Electric Rev Req Model (2009 GRC) Revised 01-18-2010" xfId="2071"/>
    <cellStyle name="_Costs not in AURORA 2006GRC w gas price updated_Book2_Electric Rev Req Model (2009 GRC) Revised 01-18-2010 2" xfId="2072"/>
    <cellStyle name="_Costs not in AURORA 2006GRC w gas price updated_Book2_Electric Rev Req Model (2009 GRC) Revised 01-18-2010 2 2" xfId="2073"/>
    <cellStyle name="_Costs not in AURORA 2006GRC w gas price updated_Book2_Electric Rev Req Model (2009 GRC) Revised 01-18-2010 3" xfId="2074"/>
    <cellStyle name="_Costs not in AURORA 2006GRC w gas price updated_Book2_Final Order Electric EXHIBIT A-1" xfId="2075"/>
    <cellStyle name="_Costs not in AURORA 2006GRC w gas price updated_Book2_Final Order Electric EXHIBIT A-1 2" xfId="2076"/>
    <cellStyle name="_Costs not in AURORA 2006GRC w gas price updated_Book2_Final Order Electric EXHIBIT A-1 2 2" xfId="2077"/>
    <cellStyle name="_Costs not in AURORA 2006GRC w gas price updated_Book2_Final Order Electric EXHIBIT A-1 3" xfId="2078"/>
    <cellStyle name="_Costs not in AURORA 2006GRC w gas price updated_Chelan PUD Power Costs (8-10)" xfId="2079"/>
    <cellStyle name="_Costs not in AURORA 2006GRC w gas price updated_Confidential Material" xfId="2080"/>
    <cellStyle name="_Costs not in AURORA 2006GRC w gas price updated_DEM-WP(C) Colstrip 12 Coal Cost Forecast 2010GRC" xfId="2081"/>
    <cellStyle name="_Costs not in AURORA 2006GRC w gas price updated_DEM-WP(C) Production O&amp;M 2010GRC As-Filed" xfId="2082"/>
    <cellStyle name="_Costs not in AURORA 2006GRC w gas price updated_DEM-WP(C) Production O&amp;M 2010GRC As-Filed 2" xfId="2083"/>
    <cellStyle name="_Costs not in AURORA 2006GRC w gas price updated_Electric Rev Req Model (2009 GRC) " xfId="2084"/>
    <cellStyle name="_Costs not in AURORA 2006GRC w gas price updated_Electric Rev Req Model (2009 GRC)  2" xfId="2085"/>
    <cellStyle name="_Costs not in AURORA 2006GRC w gas price updated_Electric Rev Req Model (2009 GRC)  2 2" xfId="2086"/>
    <cellStyle name="_Costs not in AURORA 2006GRC w gas price updated_Electric Rev Req Model (2009 GRC)  3" xfId="2087"/>
    <cellStyle name="_Costs not in AURORA 2006GRC w gas price updated_Electric Rev Req Model (2009 GRC) Rebuttal" xfId="2088"/>
    <cellStyle name="_Costs not in AURORA 2006GRC w gas price updated_Electric Rev Req Model (2009 GRC) Rebuttal 2" xfId="2089"/>
    <cellStyle name="_Costs not in AURORA 2006GRC w gas price updated_Electric Rev Req Model (2009 GRC) Rebuttal 2 2" xfId="2090"/>
    <cellStyle name="_Costs not in AURORA 2006GRC w gas price updated_Electric Rev Req Model (2009 GRC) Rebuttal 3" xfId="2091"/>
    <cellStyle name="_Costs not in AURORA 2006GRC w gas price updated_Electric Rev Req Model (2009 GRC) Rebuttal REmoval of New  WH Solar AdjustMI" xfId="2092"/>
    <cellStyle name="_Costs not in AURORA 2006GRC w gas price updated_Electric Rev Req Model (2009 GRC) Rebuttal REmoval of New  WH Solar AdjustMI 2" xfId="2093"/>
    <cellStyle name="_Costs not in AURORA 2006GRC w gas price updated_Electric Rev Req Model (2009 GRC) Rebuttal REmoval of New  WH Solar AdjustMI 2 2" xfId="2094"/>
    <cellStyle name="_Costs not in AURORA 2006GRC w gas price updated_Electric Rev Req Model (2009 GRC) Rebuttal REmoval of New  WH Solar AdjustMI 3" xfId="2095"/>
    <cellStyle name="_Costs not in AURORA 2006GRC w gas price updated_Electric Rev Req Model (2009 GRC) Revised 01-18-2010" xfId="2096"/>
    <cellStyle name="_Costs not in AURORA 2006GRC w gas price updated_Electric Rev Req Model (2009 GRC) Revised 01-18-2010 2" xfId="2097"/>
    <cellStyle name="_Costs not in AURORA 2006GRC w gas price updated_Electric Rev Req Model (2009 GRC) Revised 01-18-2010 2 2" xfId="2098"/>
    <cellStyle name="_Costs not in AURORA 2006GRC w gas price updated_Electric Rev Req Model (2009 GRC) Revised 01-18-2010 3" xfId="2099"/>
    <cellStyle name="_Costs not in AURORA 2006GRC w gas price updated_Electric Rev Req Model (2010 GRC)" xfId="2100"/>
    <cellStyle name="_Costs not in AURORA 2006GRC w gas price updated_Electric Rev Req Model (2010 GRC) SF" xfId="2101"/>
    <cellStyle name="_Costs not in AURORA 2006GRC w gas price updated_Final Order Electric EXHIBIT A-1" xfId="2102"/>
    <cellStyle name="_Costs not in AURORA 2006GRC w gas price updated_Final Order Electric EXHIBIT A-1 2" xfId="2103"/>
    <cellStyle name="_Costs not in AURORA 2006GRC w gas price updated_Final Order Electric EXHIBIT A-1 2 2" xfId="2104"/>
    <cellStyle name="_Costs not in AURORA 2006GRC w gas price updated_Final Order Electric EXHIBIT A-1 3" xfId="2105"/>
    <cellStyle name="_Costs not in AURORA 2006GRC w gas price updated_NIM Summary" xfId="2106"/>
    <cellStyle name="_Costs not in AURORA 2006GRC w gas price updated_NIM Summary 2" xfId="2107"/>
    <cellStyle name="_Costs not in AURORA 2006GRC w gas price updated_Rebuttal Power Costs" xfId="2108"/>
    <cellStyle name="_Costs not in AURORA 2006GRC w gas price updated_Rebuttal Power Costs 2" xfId="2109"/>
    <cellStyle name="_Costs not in AURORA 2006GRC w gas price updated_Rebuttal Power Costs 2 2" xfId="2110"/>
    <cellStyle name="_Costs not in AURORA 2006GRC w gas price updated_Rebuttal Power Costs 3" xfId="2111"/>
    <cellStyle name="_Costs not in AURORA 2006GRC w gas price updated_Rebuttal Power Costs_Adj Bench DR 3 for Initial Briefs (Electric)" xfId="2112"/>
    <cellStyle name="_Costs not in AURORA 2006GRC w gas price updated_Rebuttal Power Costs_Adj Bench DR 3 for Initial Briefs (Electric) 2" xfId="2113"/>
    <cellStyle name="_Costs not in AURORA 2006GRC w gas price updated_Rebuttal Power Costs_Adj Bench DR 3 for Initial Briefs (Electric) 2 2" xfId="2114"/>
    <cellStyle name="_Costs not in AURORA 2006GRC w gas price updated_Rebuttal Power Costs_Adj Bench DR 3 for Initial Briefs (Electric) 3" xfId="2115"/>
    <cellStyle name="_Costs not in AURORA 2006GRC w gas price updated_Rebuttal Power Costs_Electric Rev Req Model (2009 GRC) Rebuttal" xfId="2116"/>
    <cellStyle name="_Costs not in AURORA 2006GRC w gas price updated_Rebuttal Power Costs_Electric Rev Req Model (2009 GRC) Rebuttal 2" xfId="2117"/>
    <cellStyle name="_Costs not in AURORA 2006GRC w gas price updated_Rebuttal Power Costs_Electric Rev Req Model (2009 GRC) Rebuttal 2 2" xfId="2118"/>
    <cellStyle name="_Costs not in AURORA 2006GRC w gas price updated_Rebuttal Power Costs_Electric Rev Req Model (2009 GRC) Rebuttal 3" xfId="2119"/>
    <cellStyle name="_Costs not in AURORA 2006GRC w gas price updated_Rebuttal Power Costs_Electric Rev Req Model (2009 GRC) Rebuttal REmoval of New  WH Solar AdjustMI" xfId="2120"/>
    <cellStyle name="_Costs not in AURORA 2006GRC w gas price updated_Rebuttal Power Costs_Electric Rev Req Model (2009 GRC) Rebuttal REmoval of New  WH Solar AdjustMI 2" xfId="2121"/>
    <cellStyle name="_Costs not in AURORA 2006GRC w gas price updated_Rebuttal Power Costs_Electric Rev Req Model (2009 GRC) Rebuttal REmoval of New  WH Solar AdjustMI 2 2" xfId="2122"/>
    <cellStyle name="_Costs not in AURORA 2006GRC w gas price updated_Rebuttal Power Costs_Electric Rev Req Model (2009 GRC) Rebuttal REmoval of New  WH Solar AdjustMI 3" xfId="2123"/>
    <cellStyle name="_Costs not in AURORA 2006GRC w gas price updated_Rebuttal Power Costs_Electric Rev Req Model (2009 GRC) Revised 01-18-2010" xfId="2124"/>
    <cellStyle name="_Costs not in AURORA 2006GRC w gas price updated_Rebuttal Power Costs_Electric Rev Req Model (2009 GRC) Revised 01-18-2010 2" xfId="2125"/>
    <cellStyle name="_Costs not in AURORA 2006GRC w gas price updated_Rebuttal Power Costs_Electric Rev Req Model (2009 GRC) Revised 01-18-2010 2 2" xfId="2126"/>
    <cellStyle name="_Costs not in AURORA 2006GRC w gas price updated_Rebuttal Power Costs_Electric Rev Req Model (2009 GRC) Revised 01-18-2010 3" xfId="2127"/>
    <cellStyle name="_Costs not in AURORA 2006GRC w gas price updated_Rebuttal Power Costs_Final Order Electric EXHIBIT A-1" xfId="2128"/>
    <cellStyle name="_Costs not in AURORA 2006GRC w gas price updated_Rebuttal Power Costs_Final Order Electric EXHIBIT A-1 2" xfId="2129"/>
    <cellStyle name="_Costs not in AURORA 2006GRC w gas price updated_Rebuttal Power Costs_Final Order Electric EXHIBIT A-1 2 2" xfId="2130"/>
    <cellStyle name="_Costs not in AURORA 2006GRC w gas price updated_Rebuttal Power Costs_Final Order Electric EXHIBIT A-1 3" xfId="2131"/>
    <cellStyle name="_Costs not in AURORA 2006GRC w gas price updated_TENASKA REGULATORY ASSET" xfId="2132"/>
    <cellStyle name="_Costs not in AURORA 2006GRC w gas price updated_TENASKA REGULATORY ASSET 2" xfId="2133"/>
    <cellStyle name="_Costs not in AURORA 2006GRC w gas price updated_TENASKA REGULATORY ASSET 2 2" xfId="2134"/>
    <cellStyle name="_Costs not in AURORA 2006GRC w gas price updated_TENASKA REGULATORY ASSET 3" xfId="2135"/>
    <cellStyle name="_Costs not in AURORA 2007 Rate Case" xfId="2136"/>
    <cellStyle name="_Costs not in AURORA 2007 Rate Case 2" xfId="2137"/>
    <cellStyle name="_Costs not in AURORA 2007 Rate Case 2 2" xfId="2138"/>
    <cellStyle name="_Costs not in AURORA 2007 Rate Case 2 2 2" xfId="2139"/>
    <cellStyle name="_Costs not in AURORA 2007 Rate Case 2 3" xfId="2140"/>
    <cellStyle name="_Costs not in AURORA 2007 Rate Case 3" xfId="2141"/>
    <cellStyle name="_Costs not in AURORA 2007 Rate Case 3 2" xfId="2142"/>
    <cellStyle name="_Costs not in AURORA 2007 Rate Case 4" xfId="2143"/>
    <cellStyle name="_Costs not in AURORA 2007 Rate Case 4 2" xfId="2144"/>
    <cellStyle name="_Costs not in AURORA 2007 Rate Case 5" xfId="2145"/>
    <cellStyle name="_Costs not in AURORA 2007 Rate Case_(C) WHE Proforma with ITC cash grant 10 Yr Amort_for deferral_102809" xfId="2146"/>
    <cellStyle name="_Costs not in AURORA 2007 Rate Case_(C) WHE Proforma with ITC cash grant 10 Yr Amort_for deferral_102809 2" xfId="2147"/>
    <cellStyle name="_Costs not in AURORA 2007 Rate Case_(C) WHE Proforma with ITC cash grant 10 Yr Amort_for deferral_102809 2 2" xfId="2148"/>
    <cellStyle name="_Costs not in AURORA 2007 Rate Case_(C) WHE Proforma with ITC cash grant 10 Yr Amort_for deferral_102809 3" xfId="2149"/>
    <cellStyle name="_Costs not in AURORA 2007 Rate Case_(C) WHE Proforma with ITC cash grant 10 Yr Amort_for deferral_102809_16.07E Wild Horse Wind Expansionwrkingfile" xfId="2150"/>
    <cellStyle name="_Costs not in AURORA 2007 Rate Case_(C) WHE Proforma with ITC cash grant 10 Yr Amort_for deferral_102809_16.07E Wild Horse Wind Expansionwrkingfile 2" xfId="2151"/>
    <cellStyle name="_Costs not in AURORA 2007 Rate Case_(C) WHE Proforma with ITC cash grant 10 Yr Amort_for deferral_102809_16.07E Wild Horse Wind Expansionwrkingfile 2 2" xfId="2152"/>
    <cellStyle name="_Costs not in AURORA 2007 Rate Case_(C) WHE Proforma with ITC cash grant 10 Yr Amort_for deferral_102809_16.07E Wild Horse Wind Expansionwrkingfile 3" xfId="2153"/>
    <cellStyle name="_Costs not in AURORA 2007 Rate Case_(C) WHE Proforma with ITC cash grant 10 Yr Amort_for deferral_102809_16.07E Wild Horse Wind Expansionwrkingfile SF" xfId="2154"/>
    <cellStyle name="_Costs not in AURORA 2007 Rate Case_(C) WHE Proforma with ITC cash grant 10 Yr Amort_for deferral_102809_16.07E Wild Horse Wind Expansionwrkingfile SF 2" xfId="2155"/>
    <cellStyle name="_Costs not in AURORA 2007 Rate Case_(C) WHE Proforma with ITC cash grant 10 Yr Amort_for deferral_102809_16.07E Wild Horse Wind Expansionwrkingfile SF 2 2" xfId="2156"/>
    <cellStyle name="_Costs not in AURORA 2007 Rate Case_(C) WHE Proforma with ITC cash grant 10 Yr Amort_for deferral_102809_16.07E Wild Horse Wind Expansionwrkingfile SF 3" xfId="2157"/>
    <cellStyle name="_Costs not in AURORA 2007 Rate Case_(C) WHE Proforma with ITC cash grant 10 Yr Amort_for deferral_102809_16.37E Wild Horse Expansion DeferralRevwrkingfile SF" xfId="2158"/>
    <cellStyle name="_Costs not in AURORA 2007 Rate Case_(C) WHE Proforma with ITC cash grant 10 Yr Amort_for deferral_102809_16.37E Wild Horse Expansion DeferralRevwrkingfile SF 2" xfId="2159"/>
    <cellStyle name="_Costs not in AURORA 2007 Rate Case_(C) WHE Proforma with ITC cash grant 10 Yr Amort_for deferral_102809_16.37E Wild Horse Expansion DeferralRevwrkingfile SF 2 2" xfId="2160"/>
    <cellStyle name="_Costs not in AURORA 2007 Rate Case_(C) WHE Proforma with ITC cash grant 10 Yr Amort_for deferral_102809_16.37E Wild Horse Expansion DeferralRevwrkingfile SF 3" xfId="2161"/>
    <cellStyle name="_Costs not in AURORA 2007 Rate Case_(C) WHE Proforma with ITC cash grant 10 Yr Amort_for rebuttal_120709" xfId="2162"/>
    <cellStyle name="_Costs not in AURORA 2007 Rate Case_(C) WHE Proforma with ITC cash grant 10 Yr Amort_for rebuttal_120709 2" xfId="2163"/>
    <cellStyle name="_Costs not in AURORA 2007 Rate Case_(C) WHE Proforma with ITC cash grant 10 Yr Amort_for rebuttal_120709 2 2" xfId="2164"/>
    <cellStyle name="_Costs not in AURORA 2007 Rate Case_(C) WHE Proforma with ITC cash grant 10 Yr Amort_for rebuttal_120709 3" xfId="2165"/>
    <cellStyle name="_Costs not in AURORA 2007 Rate Case_04.07E Wild Horse Wind Expansion" xfId="2166"/>
    <cellStyle name="_Costs not in AURORA 2007 Rate Case_04.07E Wild Horse Wind Expansion 2" xfId="2167"/>
    <cellStyle name="_Costs not in AURORA 2007 Rate Case_04.07E Wild Horse Wind Expansion 2 2" xfId="2168"/>
    <cellStyle name="_Costs not in AURORA 2007 Rate Case_04.07E Wild Horse Wind Expansion 3" xfId="2169"/>
    <cellStyle name="_Costs not in AURORA 2007 Rate Case_04.07E Wild Horse Wind Expansion_16.07E Wild Horse Wind Expansionwrkingfile" xfId="2170"/>
    <cellStyle name="_Costs not in AURORA 2007 Rate Case_04.07E Wild Horse Wind Expansion_16.07E Wild Horse Wind Expansionwrkingfile 2" xfId="2171"/>
    <cellStyle name="_Costs not in AURORA 2007 Rate Case_04.07E Wild Horse Wind Expansion_16.07E Wild Horse Wind Expansionwrkingfile 2 2" xfId="2172"/>
    <cellStyle name="_Costs not in AURORA 2007 Rate Case_04.07E Wild Horse Wind Expansion_16.07E Wild Horse Wind Expansionwrkingfile 3" xfId="2173"/>
    <cellStyle name="_Costs not in AURORA 2007 Rate Case_04.07E Wild Horse Wind Expansion_16.07E Wild Horse Wind Expansionwrkingfile SF" xfId="2174"/>
    <cellStyle name="_Costs not in AURORA 2007 Rate Case_04.07E Wild Horse Wind Expansion_16.07E Wild Horse Wind Expansionwrkingfile SF 2" xfId="2175"/>
    <cellStyle name="_Costs not in AURORA 2007 Rate Case_04.07E Wild Horse Wind Expansion_16.07E Wild Horse Wind Expansionwrkingfile SF 2 2" xfId="2176"/>
    <cellStyle name="_Costs not in AURORA 2007 Rate Case_04.07E Wild Horse Wind Expansion_16.07E Wild Horse Wind Expansionwrkingfile SF 3" xfId="2177"/>
    <cellStyle name="_Costs not in AURORA 2007 Rate Case_04.07E Wild Horse Wind Expansion_16.37E Wild Horse Expansion DeferralRevwrkingfile SF" xfId="2178"/>
    <cellStyle name="_Costs not in AURORA 2007 Rate Case_04.07E Wild Horse Wind Expansion_16.37E Wild Horse Expansion DeferralRevwrkingfile SF 2" xfId="2179"/>
    <cellStyle name="_Costs not in AURORA 2007 Rate Case_04.07E Wild Horse Wind Expansion_16.37E Wild Horse Expansion DeferralRevwrkingfile SF 2 2" xfId="2180"/>
    <cellStyle name="_Costs not in AURORA 2007 Rate Case_04.07E Wild Horse Wind Expansion_16.37E Wild Horse Expansion DeferralRevwrkingfile SF 3" xfId="2181"/>
    <cellStyle name="_Costs not in AURORA 2007 Rate Case_16.07E Wild Horse Wind Expansionwrkingfile" xfId="2182"/>
    <cellStyle name="_Costs not in AURORA 2007 Rate Case_16.07E Wild Horse Wind Expansionwrkingfile 2" xfId="2183"/>
    <cellStyle name="_Costs not in AURORA 2007 Rate Case_16.07E Wild Horse Wind Expansionwrkingfile 2 2" xfId="2184"/>
    <cellStyle name="_Costs not in AURORA 2007 Rate Case_16.07E Wild Horse Wind Expansionwrkingfile 3" xfId="2185"/>
    <cellStyle name="_Costs not in AURORA 2007 Rate Case_16.07E Wild Horse Wind Expansionwrkingfile SF" xfId="2186"/>
    <cellStyle name="_Costs not in AURORA 2007 Rate Case_16.07E Wild Horse Wind Expansionwrkingfile SF 2" xfId="2187"/>
    <cellStyle name="_Costs not in AURORA 2007 Rate Case_16.07E Wild Horse Wind Expansionwrkingfile SF 2 2" xfId="2188"/>
    <cellStyle name="_Costs not in AURORA 2007 Rate Case_16.07E Wild Horse Wind Expansionwrkingfile SF 3" xfId="2189"/>
    <cellStyle name="_Costs not in AURORA 2007 Rate Case_16.37E Wild Horse Expansion DeferralRevwrkingfile SF" xfId="2190"/>
    <cellStyle name="_Costs not in AURORA 2007 Rate Case_16.37E Wild Horse Expansion DeferralRevwrkingfile SF 2" xfId="2191"/>
    <cellStyle name="_Costs not in AURORA 2007 Rate Case_16.37E Wild Horse Expansion DeferralRevwrkingfile SF 2 2" xfId="2192"/>
    <cellStyle name="_Costs not in AURORA 2007 Rate Case_16.37E Wild Horse Expansion DeferralRevwrkingfile SF 3" xfId="2193"/>
    <cellStyle name="_Costs not in AURORA 2007 Rate Case_2009 Compliance Filing PCA Exhibits for GRC" xfId="2194"/>
    <cellStyle name="_Costs not in AURORA 2007 Rate Case_2009 GRC Compl Filing - Exhibit D" xfId="2195"/>
    <cellStyle name="_Costs not in AURORA 2007 Rate Case_2009 GRC Compl Filing - Exhibit D 2" xfId="2196"/>
    <cellStyle name="_Costs not in AURORA 2007 Rate Case_3.01 Income Statement" xfId="2197"/>
    <cellStyle name="_Costs not in AURORA 2007 Rate Case_4 31 Regulatory Assets and Liabilities  7 06- Exhibit D" xfId="2198"/>
    <cellStyle name="_Costs not in AURORA 2007 Rate Case_4 31 Regulatory Assets and Liabilities  7 06- Exhibit D 2" xfId="2199"/>
    <cellStyle name="_Costs not in AURORA 2007 Rate Case_4 31 Regulatory Assets and Liabilities  7 06- Exhibit D 2 2" xfId="2200"/>
    <cellStyle name="_Costs not in AURORA 2007 Rate Case_4 31 Regulatory Assets and Liabilities  7 06- Exhibit D 3" xfId="2201"/>
    <cellStyle name="_Costs not in AURORA 2007 Rate Case_4 31 Regulatory Assets and Liabilities  7 06- Exhibit D_NIM Summary" xfId="2202"/>
    <cellStyle name="_Costs not in AURORA 2007 Rate Case_4 31 Regulatory Assets and Liabilities  7 06- Exhibit D_NIM Summary 2" xfId="2203"/>
    <cellStyle name="_Costs not in AURORA 2007 Rate Case_4 32 Regulatory Assets and Liabilities  7 06- Exhibit D" xfId="2204"/>
    <cellStyle name="_Costs not in AURORA 2007 Rate Case_4 32 Regulatory Assets and Liabilities  7 06- Exhibit D 2" xfId="2205"/>
    <cellStyle name="_Costs not in AURORA 2007 Rate Case_4 32 Regulatory Assets and Liabilities  7 06- Exhibit D 2 2" xfId="2206"/>
    <cellStyle name="_Costs not in AURORA 2007 Rate Case_4 32 Regulatory Assets and Liabilities  7 06- Exhibit D 3" xfId="2207"/>
    <cellStyle name="_Costs not in AURORA 2007 Rate Case_4 32 Regulatory Assets and Liabilities  7 06- Exhibit D_NIM Summary" xfId="2208"/>
    <cellStyle name="_Costs not in AURORA 2007 Rate Case_4 32 Regulatory Assets and Liabilities  7 06- Exhibit D_NIM Summary 2" xfId="2209"/>
    <cellStyle name="_Costs not in AURORA 2007 Rate Case_AURORA Total New" xfId="2210"/>
    <cellStyle name="_Costs not in AURORA 2007 Rate Case_AURORA Total New 2" xfId="2211"/>
    <cellStyle name="_Costs not in AURORA 2007 Rate Case_Book2" xfId="2212"/>
    <cellStyle name="_Costs not in AURORA 2007 Rate Case_Book2 2" xfId="2213"/>
    <cellStyle name="_Costs not in AURORA 2007 Rate Case_Book2 2 2" xfId="2214"/>
    <cellStyle name="_Costs not in AURORA 2007 Rate Case_Book2 3" xfId="2215"/>
    <cellStyle name="_Costs not in AURORA 2007 Rate Case_Book2_Adj Bench DR 3 for Initial Briefs (Electric)" xfId="2216"/>
    <cellStyle name="_Costs not in AURORA 2007 Rate Case_Book2_Adj Bench DR 3 for Initial Briefs (Electric) 2" xfId="2217"/>
    <cellStyle name="_Costs not in AURORA 2007 Rate Case_Book2_Adj Bench DR 3 for Initial Briefs (Electric) 2 2" xfId="2218"/>
    <cellStyle name="_Costs not in AURORA 2007 Rate Case_Book2_Adj Bench DR 3 for Initial Briefs (Electric) 3" xfId="2219"/>
    <cellStyle name="_Costs not in AURORA 2007 Rate Case_Book2_Electric Rev Req Model (2009 GRC) Rebuttal" xfId="2220"/>
    <cellStyle name="_Costs not in AURORA 2007 Rate Case_Book2_Electric Rev Req Model (2009 GRC) Rebuttal 2" xfId="2221"/>
    <cellStyle name="_Costs not in AURORA 2007 Rate Case_Book2_Electric Rev Req Model (2009 GRC) Rebuttal 2 2" xfId="2222"/>
    <cellStyle name="_Costs not in AURORA 2007 Rate Case_Book2_Electric Rev Req Model (2009 GRC) Rebuttal 3" xfId="2223"/>
    <cellStyle name="_Costs not in AURORA 2007 Rate Case_Book2_Electric Rev Req Model (2009 GRC) Rebuttal REmoval of New  WH Solar AdjustMI" xfId="2224"/>
    <cellStyle name="_Costs not in AURORA 2007 Rate Case_Book2_Electric Rev Req Model (2009 GRC) Rebuttal REmoval of New  WH Solar AdjustMI 2" xfId="2225"/>
    <cellStyle name="_Costs not in AURORA 2007 Rate Case_Book2_Electric Rev Req Model (2009 GRC) Rebuttal REmoval of New  WH Solar AdjustMI 2 2" xfId="2226"/>
    <cellStyle name="_Costs not in AURORA 2007 Rate Case_Book2_Electric Rev Req Model (2009 GRC) Rebuttal REmoval of New  WH Solar AdjustMI 3" xfId="2227"/>
    <cellStyle name="_Costs not in AURORA 2007 Rate Case_Book2_Electric Rev Req Model (2009 GRC) Revised 01-18-2010" xfId="2228"/>
    <cellStyle name="_Costs not in AURORA 2007 Rate Case_Book2_Electric Rev Req Model (2009 GRC) Revised 01-18-2010 2" xfId="2229"/>
    <cellStyle name="_Costs not in AURORA 2007 Rate Case_Book2_Electric Rev Req Model (2009 GRC) Revised 01-18-2010 2 2" xfId="2230"/>
    <cellStyle name="_Costs not in AURORA 2007 Rate Case_Book2_Electric Rev Req Model (2009 GRC) Revised 01-18-2010 3" xfId="2231"/>
    <cellStyle name="_Costs not in AURORA 2007 Rate Case_Book2_Final Order Electric EXHIBIT A-1" xfId="2232"/>
    <cellStyle name="_Costs not in AURORA 2007 Rate Case_Book2_Final Order Electric EXHIBIT A-1 2" xfId="2233"/>
    <cellStyle name="_Costs not in AURORA 2007 Rate Case_Book2_Final Order Electric EXHIBIT A-1 2 2" xfId="2234"/>
    <cellStyle name="_Costs not in AURORA 2007 Rate Case_Book2_Final Order Electric EXHIBIT A-1 3" xfId="2235"/>
    <cellStyle name="_Costs not in AURORA 2007 Rate Case_Book4" xfId="2236"/>
    <cellStyle name="_Costs not in AURORA 2007 Rate Case_Book4 2" xfId="2237"/>
    <cellStyle name="_Costs not in AURORA 2007 Rate Case_Book4 2 2" xfId="2238"/>
    <cellStyle name="_Costs not in AURORA 2007 Rate Case_Book4 3" xfId="2239"/>
    <cellStyle name="_Costs not in AURORA 2007 Rate Case_Book9" xfId="2240"/>
    <cellStyle name="_Costs not in AURORA 2007 Rate Case_Book9 2" xfId="2241"/>
    <cellStyle name="_Costs not in AURORA 2007 Rate Case_Book9 2 2" xfId="2242"/>
    <cellStyle name="_Costs not in AURORA 2007 Rate Case_Book9 3" xfId="2243"/>
    <cellStyle name="_Costs not in AURORA 2007 Rate Case_Chelan PUD Power Costs (8-10)" xfId="2244"/>
    <cellStyle name="_Costs not in AURORA 2007 Rate Case_Electric COS Inputs" xfId="2245"/>
    <cellStyle name="_Costs not in AURORA 2007 Rate Case_Electric COS Inputs 2" xfId="2246"/>
    <cellStyle name="_Costs not in AURORA 2007 Rate Case_Electric COS Inputs 2 2" xfId="2247"/>
    <cellStyle name="_Costs not in AURORA 2007 Rate Case_Electric COS Inputs 2 2 2" xfId="2248"/>
    <cellStyle name="_Costs not in AURORA 2007 Rate Case_Electric COS Inputs 2 3" xfId="2249"/>
    <cellStyle name="_Costs not in AURORA 2007 Rate Case_Electric COS Inputs 2 3 2" xfId="2250"/>
    <cellStyle name="_Costs not in AURORA 2007 Rate Case_Electric COS Inputs 2 4" xfId="2251"/>
    <cellStyle name="_Costs not in AURORA 2007 Rate Case_Electric COS Inputs 2 4 2" xfId="2252"/>
    <cellStyle name="_Costs not in AURORA 2007 Rate Case_Electric COS Inputs 3" xfId="2253"/>
    <cellStyle name="_Costs not in AURORA 2007 Rate Case_Electric COS Inputs 3 2" xfId="2254"/>
    <cellStyle name="_Costs not in AURORA 2007 Rate Case_Electric COS Inputs 4" xfId="2255"/>
    <cellStyle name="_Costs not in AURORA 2007 Rate Case_Electric COS Inputs 4 2" xfId="2256"/>
    <cellStyle name="_Costs not in AURORA 2007 Rate Case_Electric COS Inputs 5" xfId="2257"/>
    <cellStyle name="_Costs not in AURORA 2007 Rate Case_Electric COS Inputs 6" xfId="2258"/>
    <cellStyle name="_Costs not in AURORA 2007 Rate Case_NIM Summary" xfId="2259"/>
    <cellStyle name="_Costs not in AURORA 2007 Rate Case_NIM Summary 09GRC" xfId="2260"/>
    <cellStyle name="_Costs not in AURORA 2007 Rate Case_NIM Summary 09GRC 2" xfId="2261"/>
    <cellStyle name="_Costs not in AURORA 2007 Rate Case_NIM Summary 2" xfId="2262"/>
    <cellStyle name="_Costs not in AURORA 2007 Rate Case_NIM Summary 3" xfId="2263"/>
    <cellStyle name="_Costs not in AURORA 2007 Rate Case_NIM Summary 4" xfId="2264"/>
    <cellStyle name="_Costs not in AURORA 2007 Rate Case_NIM Summary 5" xfId="2265"/>
    <cellStyle name="_Costs not in AURORA 2007 Rate Case_NIM Summary 6" xfId="2266"/>
    <cellStyle name="_Costs not in AURORA 2007 Rate Case_NIM Summary 7" xfId="2267"/>
    <cellStyle name="_Costs not in AURORA 2007 Rate Case_NIM Summary 8" xfId="2268"/>
    <cellStyle name="_Costs not in AURORA 2007 Rate Case_NIM Summary 9" xfId="2269"/>
    <cellStyle name="_Costs not in AURORA 2007 Rate Case_PCA 10 -  Exhibit D from A Kellogg Jan 2011" xfId="2270"/>
    <cellStyle name="_Costs not in AURORA 2007 Rate Case_PCA 10 -  Exhibit D from A Kellogg July 2011" xfId="2271"/>
    <cellStyle name="_Costs not in AURORA 2007 Rate Case_PCA 10 -  Exhibit D from S Free Rcv'd 12-11" xfId="2272"/>
    <cellStyle name="_Costs not in AURORA 2007 Rate Case_PCA 9 -  Exhibit D April 2010" xfId="2273"/>
    <cellStyle name="_Costs not in AURORA 2007 Rate Case_PCA 9 -  Exhibit D April 2010 (3)" xfId="2274"/>
    <cellStyle name="_Costs not in AURORA 2007 Rate Case_PCA 9 -  Exhibit D April 2010 (3) 2" xfId="2275"/>
    <cellStyle name="_Costs not in AURORA 2007 Rate Case_PCA 9 -  Exhibit D Nov 2010" xfId="2276"/>
    <cellStyle name="_Costs not in AURORA 2007 Rate Case_PCA 9 - Exhibit D at August 2010" xfId="2277"/>
    <cellStyle name="_Costs not in AURORA 2007 Rate Case_PCA 9 - Exhibit D June 2010 GRC" xfId="2278"/>
    <cellStyle name="_Costs not in AURORA 2007 Rate Case_Power Costs - Comparison bx Rbtl-Staff-Jt-PC" xfId="2279"/>
    <cellStyle name="_Costs not in AURORA 2007 Rate Case_Power Costs - Comparison bx Rbtl-Staff-Jt-PC 2" xfId="2280"/>
    <cellStyle name="_Costs not in AURORA 2007 Rate Case_Power Costs - Comparison bx Rbtl-Staff-Jt-PC 2 2" xfId="2281"/>
    <cellStyle name="_Costs not in AURORA 2007 Rate Case_Power Costs - Comparison bx Rbtl-Staff-Jt-PC 3" xfId="2282"/>
    <cellStyle name="_Costs not in AURORA 2007 Rate Case_Power Costs - Comparison bx Rbtl-Staff-Jt-PC_Adj Bench DR 3 for Initial Briefs (Electric)" xfId="2283"/>
    <cellStyle name="_Costs not in AURORA 2007 Rate Case_Power Costs - Comparison bx Rbtl-Staff-Jt-PC_Adj Bench DR 3 for Initial Briefs (Electric) 2" xfId="2284"/>
    <cellStyle name="_Costs not in AURORA 2007 Rate Case_Power Costs - Comparison bx Rbtl-Staff-Jt-PC_Adj Bench DR 3 for Initial Briefs (Electric) 2 2" xfId="2285"/>
    <cellStyle name="_Costs not in AURORA 2007 Rate Case_Power Costs - Comparison bx Rbtl-Staff-Jt-PC_Adj Bench DR 3 for Initial Briefs (Electric) 3" xfId="2286"/>
    <cellStyle name="_Costs not in AURORA 2007 Rate Case_Power Costs - Comparison bx Rbtl-Staff-Jt-PC_Electric Rev Req Model (2009 GRC) Rebuttal" xfId="2287"/>
    <cellStyle name="_Costs not in AURORA 2007 Rate Case_Power Costs - Comparison bx Rbtl-Staff-Jt-PC_Electric Rev Req Model (2009 GRC) Rebuttal 2" xfId="2288"/>
    <cellStyle name="_Costs not in AURORA 2007 Rate Case_Power Costs - Comparison bx Rbtl-Staff-Jt-PC_Electric Rev Req Model (2009 GRC) Rebuttal 2 2" xfId="2289"/>
    <cellStyle name="_Costs not in AURORA 2007 Rate Case_Power Costs - Comparison bx Rbtl-Staff-Jt-PC_Electric Rev Req Model (2009 GRC) Rebuttal 3" xfId="2290"/>
    <cellStyle name="_Costs not in AURORA 2007 Rate Case_Power Costs - Comparison bx Rbtl-Staff-Jt-PC_Electric Rev Req Model (2009 GRC) Rebuttal REmoval of New  WH Solar AdjustMI" xfId="2291"/>
    <cellStyle name="_Costs not in AURORA 2007 Rate Case_Power Costs - Comparison bx Rbtl-Staff-Jt-PC_Electric Rev Req Model (2009 GRC) Rebuttal REmoval of New  WH Solar AdjustMI 2" xfId="2292"/>
    <cellStyle name="_Costs not in AURORA 2007 Rate Case_Power Costs - Comparison bx Rbtl-Staff-Jt-PC_Electric Rev Req Model (2009 GRC) Rebuttal REmoval of New  WH Solar AdjustMI 2 2" xfId="2293"/>
    <cellStyle name="_Costs not in AURORA 2007 Rate Case_Power Costs - Comparison bx Rbtl-Staff-Jt-PC_Electric Rev Req Model (2009 GRC) Rebuttal REmoval of New  WH Solar AdjustMI 3" xfId="2294"/>
    <cellStyle name="_Costs not in AURORA 2007 Rate Case_Power Costs - Comparison bx Rbtl-Staff-Jt-PC_Electric Rev Req Model (2009 GRC) Revised 01-18-2010" xfId="2295"/>
    <cellStyle name="_Costs not in AURORA 2007 Rate Case_Power Costs - Comparison bx Rbtl-Staff-Jt-PC_Electric Rev Req Model (2009 GRC) Revised 01-18-2010 2" xfId="2296"/>
    <cellStyle name="_Costs not in AURORA 2007 Rate Case_Power Costs - Comparison bx Rbtl-Staff-Jt-PC_Electric Rev Req Model (2009 GRC) Revised 01-18-2010 2 2" xfId="2297"/>
    <cellStyle name="_Costs not in AURORA 2007 Rate Case_Power Costs - Comparison bx Rbtl-Staff-Jt-PC_Electric Rev Req Model (2009 GRC) Revised 01-18-2010 3" xfId="2298"/>
    <cellStyle name="_Costs not in AURORA 2007 Rate Case_Power Costs - Comparison bx Rbtl-Staff-Jt-PC_Final Order Electric EXHIBIT A-1" xfId="2299"/>
    <cellStyle name="_Costs not in AURORA 2007 Rate Case_Power Costs - Comparison bx Rbtl-Staff-Jt-PC_Final Order Electric EXHIBIT A-1 2" xfId="2300"/>
    <cellStyle name="_Costs not in AURORA 2007 Rate Case_Power Costs - Comparison bx Rbtl-Staff-Jt-PC_Final Order Electric EXHIBIT A-1 2 2" xfId="2301"/>
    <cellStyle name="_Costs not in AURORA 2007 Rate Case_Power Costs - Comparison bx Rbtl-Staff-Jt-PC_Final Order Electric EXHIBIT A-1 3" xfId="2302"/>
    <cellStyle name="_Costs not in AURORA 2007 Rate Case_Production Adj 4.37" xfId="2303"/>
    <cellStyle name="_Costs not in AURORA 2007 Rate Case_Production Adj 4.37 2" xfId="2304"/>
    <cellStyle name="_Costs not in AURORA 2007 Rate Case_Production Adj 4.37 2 2" xfId="2305"/>
    <cellStyle name="_Costs not in AURORA 2007 Rate Case_Production Adj 4.37 3" xfId="2306"/>
    <cellStyle name="_Costs not in AURORA 2007 Rate Case_Purchased Power Adj 4.03" xfId="2307"/>
    <cellStyle name="_Costs not in AURORA 2007 Rate Case_Purchased Power Adj 4.03 2" xfId="2308"/>
    <cellStyle name="_Costs not in AURORA 2007 Rate Case_Purchased Power Adj 4.03 2 2" xfId="2309"/>
    <cellStyle name="_Costs not in AURORA 2007 Rate Case_Purchased Power Adj 4.03 3" xfId="2310"/>
    <cellStyle name="_Costs not in AURORA 2007 Rate Case_Rebuttal Power Costs" xfId="2311"/>
    <cellStyle name="_Costs not in AURORA 2007 Rate Case_Rebuttal Power Costs 2" xfId="2312"/>
    <cellStyle name="_Costs not in AURORA 2007 Rate Case_Rebuttal Power Costs 2 2" xfId="2313"/>
    <cellStyle name="_Costs not in AURORA 2007 Rate Case_Rebuttal Power Costs 3" xfId="2314"/>
    <cellStyle name="_Costs not in AURORA 2007 Rate Case_Rebuttal Power Costs_Adj Bench DR 3 for Initial Briefs (Electric)" xfId="2315"/>
    <cellStyle name="_Costs not in AURORA 2007 Rate Case_Rebuttal Power Costs_Adj Bench DR 3 for Initial Briefs (Electric) 2" xfId="2316"/>
    <cellStyle name="_Costs not in AURORA 2007 Rate Case_Rebuttal Power Costs_Adj Bench DR 3 for Initial Briefs (Electric) 2 2" xfId="2317"/>
    <cellStyle name="_Costs not in AURORA 2007 Rate Case_Rebuttal Power Costs_Adj Bench DR 3 for Initial Briefs (Electric) 3" xfId="2318"/>
    <cellStyle name="_Costs not in AURORA 2007 Rate Case_Rebuttal Power Costs_Electric Rev Req Model (2009 GRC) Rebuttal" xfId="2319"/>
    <cellStyle name="_Costs not in AURORA 2007 Rate Case_Rebuttal Power Costs_Electric Rev Req Model (2009 GRC) Rebuttal 2" xfId="2320"/>
    <cellStyle name="_Costs not in AURORA 2007 Rate Case_Rebuttal Power Costs_Electric Rev Req Model (2009 GRC) Rebuttal 2 2" xfId="2321"/>
    <cellStyle name="_Costs not in AURORA 2007 Rate Case_Rebuttal Power Costs_Electric Rev Req Model (2009 GRC) Rebuttal 3" xfId="2322"/>
    <cellStyle name="_Costs not in AURORA 2007 Rate Case_Rebuttal Power Costs_Electric Rev Req Model (2009 GRC) Rebuttal REmoval of New  WH Solar AdjustMI" xfId="2323"/>
    <cellStyle name="_Costs not in AURORA 2007 Rate Case_Rebuttal Power Costs_Electric Rev Req Model (2009 GRC) Rebuttal REmoval of New  WH Solar AdjustMI 2" xfId="2324"/>
    <cellStyle name="_Costs not in AURORA 2007 Rate Case_Rebuttal Power Costs_Electric Rev Req Model (2009 GRC) Rebuttal REmoval of New  WH Solar AdjustMI 2 2" xfId="2325"/>
    <cellStyle name="_Costs not in AURORA 2007 Rate Case_Rebuttal Power Costs_Electric Rev Req Model (2009 GRC) Rebuttal REmoval of New  WH Solar AdjustMI 3" xfId="2326"/>
    <cellStyle name="_Costs not in AURORA 2007 Rate Case_Rebuttal Power Costs_Electric Rev Req Model (2009 GRC) Revised 01-18-2010" xfId="2327"/>
    <cellStyle name="_Costs not in AURORA 2007 Rate Case_Rebuttal Power Costs_Electric Rev Req Model (2009 GRC) Revised 01-18-2010 2" xfId="2328"/>
    <cellStyle name="_Costs not in AURORA 2007 Rate Case_Rebuttal Power Costs_Electric Rev Req Model (2009 GRC) Revised 01-18-2010 2 2" xfId="2329"/>
    <cellStyle name="_Costs not in AURORA 2007 Rate Case_Rebuttal Power Costs_Electric Rev Req Model (2009 GRC) Revised 01-18-2010 3" xfId="2330"/>
    <cellStyle name="_Costs not in AURORA 2007 Rate Case_Rebuttal Power Costs_Final Order Electric EXHIBIT A-1" xfId="2331"/>
    <cellStyle name="_Costs not in AURORA 2007 Rate Case_Rebuttal Power Costs_Final Order Electric EXHIBIT A-1 2" xfId="2332"/>
    <cellStyle name="_Costs not in AURORA 2007 Rate Case_Rebuttal Power Costs_Final Order Electric EXHIBIT A-1 2 2" xfId="2333"/>
    <cellStyle name="_Costs not in AURORA 2007 Rate Case_Rebuttal Power Costs_Final Order Electric EXHIBIT A-1 3" xfId="2334"/>
    <cellStyle name="_Costs not in AURORA 2007 Rate Case_ROR 5.02" xfId="2335"/>
    <cellStyle name="_Costs not in AURORA 2007 Rate Case_ROR 5.02 2" xfId="2336"/>
    <cellStyle name="_Costs not in AURORA 2007 Rate Case_ROR 5.02 2 2" xfId="2337"/>
    <cellStyle name="_Costs not in AURORA 2007 Rate Case_ROR 5.02 3" xfId="2338"/>
    <cellStyle name="_Costs not in AURORA 2007 Rate Case_Transmission Workbook for May BOD" xfId="2339"/>
    <cellStyle name="_Costs not in AURORA 2007 Rate Case_Transmission Workbook for May BOD 2" xfId="2340"/>
    <cellStyle name="_Costs not in AURORA 2007 Rate Case_Wind Integration 10GRC" xfId="2341"/>
    <cellStyle name="_Costs not in AURORA 2007 Rate Case_Wind Integration 10GRC 2" xfId="2342"/>
    <cellStyle name="_Costs not in KWI3000 '06Budget" xfId="2343"/>
    <cellStyle name="_Costs not in KWI3000 '06Budget 2" xfId="2344"/>
    <cellStyle name="_Costs not in KWI3000 '06Budget 2 2" xfId="2345"/>
    <cellStyle name="_Costs not in KWI3000 '06Budget 2 2 2" xfId="2346"/>
    <cellStyle name="_Costs not in KWI3000 '06Budget 2 3" xfId="2347"/>
    <cellStyle name="_Costs not in KWI3000 '06Budget 3" xfId="2348"/>
    <cellStyle name="_Costs not in KWI3000 '06Budget 3 2" xfId="2349"/>
    <cellStyle name="_Costs not in KWI3000 '06Budget 3 2 2" xfId="2350"/>
    <cellStyle name="_Costs not in KWI3000 '06Budget 3 3" xfId="2351"/>
    <cellStyle name="_Costs not in KWI3000 '06Budget 3 3 2" xfId="2352"/>
    <cellStyle name="_Costs not in KWI3000 '06Budget 3 4" xfId="2353"/>
    <cellStyle name="_Costs not in KWI3000 '06Budget 3 4 2" xfId="2354"/>
    <cellStyle name="_Costs not in KWI3000 '06Budget 4" xfId="2355"/>
    <cellStyle name="_Costs not in KWI3000 '06Budget 4 2" xfId="2356"/>
    <cellStyle name="_Costs not in KWI3000 '06Budget 5" xfId="2357"/>
    <cellStyle name="_Costs not in KWI3000 '06Budget 6" xfId="2358"/>
    <cellStyle name="_Costs not in KWI3000 '06Budget 7" xfId="2359"/>
    <cellStyle name="_Costs not in KWI3000 '06Budget_(C) WHE Proforma with ITC cash grant 10 Yr Amort_for deferral_102809" xfId="2360"/>
    <cellStyle name="_Costs not in KWI3000 '06Budget_(C) WHE Proforma with ITC cash grant 10 Yr Amort_for deferral_102809 2" xfId="2361"/>
    <cellStyle name="_Costs not in KWI3000 '06Budget_(C) WHE Proforma with ITC cash grant 10 Yr Amort_for deferral_102809 2 2" xfId="2362"/>
    <cellStyle name="_Costs not in KWI3000 '06Budget_(C) WHE Proforma with ITC cash grant 10 Yr Amort_for deferral_102809 3" xfId="2363"/>
    <cellStyle name="_Costs not in KWI3000 '06Budget_(C) WHE Proforma with ITC cash grant 10 Yr Amort_for deferral_102809_16.07E Wild Horse Wind Expansionwrkingfile" xfId="2364"/>
    <cellStyle name="_Costs not in KWI3000 '06Budget_(C) WHE Proforma with ITC cash grant 10 Yr Amort_for deferral_102809_16.07E Wild Horse Wind Expansionwrkingfile 2" xfId="2365"/>
    <cellStyle name="_Costs not in KWI3000 '06Budget_(C) WHE Proforma with ITC cash grant 10 Yr Amort_for deferral_102809_16.07E Wild Horse Wind Expansionwrkingfile 2 2" xfId="2366"/>
    <cellStyle name="_Costs not in KWI3000 '06Budget_(C) WHE Proforma with ITC cash grant 10 Yr Amort_for deferral_102809_16.07E Wild Horse Wind Expansionwrkingfile 3" xfId="2367"/>
    <cellStyle name="_Costs not in KWI3000 '06Budget_(C) WHE Proforma with ITC cash grant 10 Yr Amort_for deferral_102809_16.07E Wild Horse Wind Expansionwrkingfile SF" xfId="2368"/>
    <cellStyle name="_Costs not in KWI3000 '06Budget_(C) WHE Proforma with ITC cash grant 10 Yr Amort_for deferral_102809_16.07E Wild Horse Wind Expansionwrkingfile SF 2" xfId="2369"/>
    <cellStyle name="_Costs not in KWI3000 '06Budget_(C) WHE Proforma with ITC cash grant 10 Yr Amort_for deferral_102809_16.07E Wild Horse Wind Expansionwrkingfile SF 2 2" xfId="2370"/>
    <cellStyle name="_Costs not in KWI3000 '06Budget_(C) WHE Proforma with ITC cash grant 10 Yr Amort_for deferral_102809_16.07E Wild Horse Wind Expansionwrkingfile SF 3" xfId="2371"/>
    <cellStyle name="_Costs not in KWI3000 '06Budget_(C) WHE Proforma with ITC cash grant 10 Yr Amort_for deferral_102809_16.37E Wild Horse Expansion DeferralRevwrkingfile SF" xfId="2372"/>
    <cellStyle name="_Costs not in KWI3000 '06Budget_(C) WHE Proforma with ITC cash grant 10 Yr Amort_for deferral_102809_16.37E Wild Horse Expansion DeferralRevwrkingfile SF 2" xfId="2373"/>
    <cellStyle name="_Costs not in KWI3000 '06Budget_(C) WHE Proforma with ITC cash grant 10 Yr Amort_for deferral_102809_16.37E Wild Horse Expansion DeferralRevwrkingfile SF 2 2" xfId="2374"/>
    <cellStyle name="_Costs not in KWI3000 '06Budget_(C) WHE Proforma with ITC cash grant 10 Yr Amort_for deferral_102809_16.37E Wild Horse Expansion DeferralRevwrkingfile SF 3" xfId="2375"/>
    <cellStyle name="_Costs not in KWI3000 '06Budget_(C) WHE Proforma with ITC cash grant 10 Yr Amort_for rebuttal_120709" xfId="2376"/>
    <cellStyle name="_Costs not in KWI3000 '06Budget_(C) WHE Proforma with ITC cash grant 10 Yr Amort_for rebuttal_120709 2" xfId="2377"/>
    <cellStyle name="_Costs not in KWI3000 '06Budget_(C) WHE Proforma with ITC cash grant 10 Yr Amort_for rebuttal_120709 2 2" xfId="2378"/>
    <cellStyle name="_Costs not in KWI3000 '06Budget_(C) WHE Proforma with ITC cash grant 10 Yr Amort_for rebuttal_120709 3" xfId="2379"/>
    <cellStyle name="_Costs not in KWI3000 '06Budget_04.07E Wild Horse Wind Expansion" xfId="2380"/>
    <cellStyle name="_Costs not in KWI3000 '06Budget_04.07E Wild Horse Wind Expansion 2" xfId="2381"/>
    <cellStyle name="_Costs not in KWI3000 '06Budget_04.07E Wild Horse Wind Expansion 2 2" xfId="2382"/>
    <cellStyle name="_Costs not in KWI3000 '06Budget_04.07E Wild Horse Wind Expansion 3" xfId="2383"/>
    <cellStyle name="_Costs not in KWI3000 '06Budget_04.07E Wild Horse Wind Expansion_16.07E Wild Horse Wind Expansionwrkingfile" xfId="2384"/>
    <cellStyle name="_Costs not in KWI3000 '06Budget_04.07E Wild Horse Wind Expansion_16.07E Wild Horse Wind Expansionwrkingfile 2" xfId="2385"/>
    <cellStyle name="_Costs not in KWI3000 '06Budget_04.07E Wild Horse Wind Expansion_16.07E Wild Horse Wind Expansionwrkingfile 2 2" xfId="2386"/>
    <cellStyle name="_Costs not in KWI3000 '06Budget_04.07E Wild Horse Wind Expansion_16.07E Wild Horse Wind Expansionwrkingfile 3" xfId="2387"/>
    <cellStyle name="_Costs not in KWI3000 '06Budget_04.07E Wild Horse Wind Expansion_16.07E Wild Horse Wind Expansionwrkingfile SF" xfId="2388"/>
    <cellStyle name="_Costs not in KWI3000 '06Budget_04.07E Wild Horse Wind Expansion_16.07E Wild Horse Wind Expansionwrkingfile SF 2" xfId="2389"/>
    <cellStyle name="_Costs not in KWI3000 '06Budget_04.07E Wild Horse Wind Expansion_16.07E Wild Horse Wind Expansionwrkingfile SF 2 2" xfId="2390"/>
    <cellStyle name="_Costs not in KWI3000 '06Budget_04.07E Wild Horse Wind Expansion_16.07E Wild Horse Wind Expansionwrkingfile SF 3" xfId="2391"/>
    <cellStyle name="_Costs not in KWI3000 '06Budget_04.07E Wild Horse Wind Expansion_16.37E Wild Horse Expansion DeferralRevwrkingfile SF" xfId="2392"/>
    <cellStyle name="_Costs not in KWI3000 '06Budget_04.07E Wild Horse Wind Expansion_16.37E Wild Horse Expansion DeferralRevwrkingfile SF 2" xfId="2393"/>
    <cellStyle name="_Costs not in KWI3000 '06Budget_04.07E Wild Horse Wind Expansion_16.37E Wild Horse Expansion DeferralRevwrkingfile SF 2 2" xfId="2394"/>
    <cellStyle name="_Costs not in KWI3000 '06Budget_04.07E Wild Horse Wind Expansion_16.37E Wild Horse Expansion DeferralRevwrkingfile SF 3" xfId="2395"/>
    <cellStyle name="_Costs not in KWI3000 '06Budget_16.07E Wild Horse Wind Expansionwrkingfile" xfId="2396"/>
    <cellStyle name="_Costs not in KWI3000 '06Budget_16.07E Wild Horse Wind Expansionwrkingfile 2" xfId="2397"/>
    <cellStyle name="_Costs not in KWI3000 '06Budget_16.07E Wild Horse Wind Expansionwrkingfile 2 2" xfId="2398"/>
    <cellStyle name="_Costs not in KWI3000 '06Budget_16.07E Wild Horse Wind Expansionwrkingfile 3" xfId="2399"/>
    <cellStyle name="_Costs not in KWI3000 '06Budget_16.07E Wild Horse Wind Expansionwrkingfile SF" xfId="2400"/>
    <cellStyle name="_Costs not in KWI3000 '06Budget_16.07E Wild Horse Wind Expansionwrkingfile SF 2" xfId="2401"/>
    <cellStyle name="_Costs not in KWI3000 '06Budget_16.07E Wild Horse Wind Expansionwrkingfile SF 2 2" xfId="2402"/>
    <cellStyle name="_Costs not in KWI3000 '06Budget_16.07E Wild Horse Wind Expansionwrkingfile SF 3" xfId="2403"/>
    <cellStyle name="_Costs not in KWI3000 '06Budget_16.37E Wild Horse Expansion DeferralRevwrkingfile SF" xfId="2404"/>
    <cellStyle name="_Costs not in KWI3000 '06Budget_16.37E Wild Horse Expansion DeferralRevwrkingfile SF 2" xfId="2405"/>
    <cellStyle name="_Costs not in KWI3000 '06Budget_16.37E Wild Horse Expansion DeferralRevwrkingfile SF 2 2" xfId="2406"/>
    <cellStyle name="_Costs not in KWI3000 '06Budget_16.37E Wild Horse Expansion DeferralRevwrkingfile SF 3" xfId="2407"/>
    <cellStyle name="_Costs not in KWI3000 '06Budget_2009 Compliance Filing PCA Exhibits for GRC" xfId="2408"/>
    <cellStyle name="_Costs not in KWI3000 '06Budget_2009 GRC Compl Filing - Exhibit D" xfId="2409"/>
    <cellStyle name="_Costs not in KWI3000 '06Budget_2009 GRC Compl Filing - Exhibit D 2" xfId="2410"/>
    <cellStyle name="_Costs not in KWI3000 '06Budget_3.01 Income Statement" xfId="2411"/>
    <cellStyle name="_Costs not in KWI3000 '06Budget_4 31 Regulatory Assets and Liabilities  7 06- Exhibit D" xfId="2412"/>
    <cellStyle name="_Costs not in KWI3000 '06Budget_4 31 Regulatory Assets and Liabilities  7 06- Exhibit D 2" xfId="2413"/>
    <cellStyle name="_Costs not in KWI3000 '06Budget_4 31 Regulatory Assets and Liabilities  7 06- Exhibit D 2 2" xfId="2414"/>
    <cellStyle name="_Costs not in KWI3000 '06Budget_4 31 Regulatory Assets and Liabilities  7 06- Exhibit D 3" xfId="2415"/>
    <cellStyle name="_Costs not in KWI3000 '06Budget_4 31 Regulatory Assets and Liabilities  7 06- Exhibit D_NIM Summary" xfId="2416"/>
    <cellStyle name="_Costs not in KWI3000 '06Budget_4 31 Regulatory Assets and Liabilities  7 06- Exhibit D_NIM Summary 2" xfId="2417"/>
    <cellStyle name="_Costs not in KWI3000 '06Budget_4 32 Regulatory Assets and Liabilities  7 06- Exhibit D" xfId="2418"/>
    <cellStyle name="_Costs not in KWI3000 '06Budget_4 32 Regulatory Assets and Liabilities  7 06- Exhibit D 2" xfId="2419"/>
    <cellStyle name="_Costs not in KWI3000 '06Budget_4 32 Regulatory Assets and Liabilities  7 06- Exhibit D 2 2" xfId="2420"/>
    <cellStyle name="_Costs not in KWI3000 '06Budget_4 32 Regulatory Assets and Liabilities  7 06- Exhibit D 3" xfId="2421"/>
    <cellStyle name="_Costs not in KWI3000 '06Budget_4 32 Regulatory Assets and Liabilities  7 06- Exhibit D_NIM Summary" xfId="2422"/>
    <cellStyle name="_Costs not in KWI3000 '06Budget_4 32 Regulatory Assets and Liabilities  7 06- Exhibit D_NIM Summary 2" xfId="2423"/>
    <cellStyle name="_Costs not in KWI3000 '06Budget_ACCOUNTS" xfId="2424"/>
    <cellStyle name="_Costs not in KWI3000 '06Budget_AURORA Total New" xfId="2425"/>
    <cellStyle name="_Costs not in KWI3000 '06Budget_AURORA Total New 2" xfId="2426"/>
    <cellStyle name="_Costs not in KWI3000 '06Budget_Book2" xfId="2427"/>
    <cellStyle name="_Costs not in KWI3000 '06Budget_Book2 2" xfId="2428"/>
    <cellStyle name="_Costs not in KWI3000 '06Budget_Book2 2 2" xfId="2429"/>
    <cellStyle name="_Costs not in KWI3000 '06Budget_Book2 3" xfId="2430"/>
    <cellStyle name="_Costs not in KWI3000 '06Budget_Book2_Adj Bench DR 3 for Initial Briefs (Electric)" xfId="2431"/>
    <cellStyle name="_Costs not in KWI3000 '06Budget_Book2_Adj Bench DR 3 for Initial Briefs (Electric) 2" xfId="2432"/>
    <cellStyle name="_Costs not in KWI3000 '06Budget_Book2_Adj Bench DR 3 for Initial Briefs (Electric) 2 2" xfId="2433"/>
    <cellStyle name="_Costs not in KWI3000 '06Budget_Book2_Adj Bench DR 3 for Initial Briefs (Electric) 3" xfId="2434"/>
    <cellStyle name="_Costs not in KWI3000 '06Budget_Book2_Electric Rev Req Model (2009 GRC) Rebuttal" xfId="2435"/>
    <cellStyle name="_Costs not in KWI3000 '06Budget_Book2_Electric Rev Req Model (2009 GRC) Rebuttal 2" xfId="2436"/>
    <cellStyle name="_Costs not in KWI3000 '06Budget_Book2_Electric Rev Req Model (2009 GRC) Rebuttal 2 2" xfId="2437"/>
    <cellStyle name="_Costs not in KWI3000 '06Budget_Book2_Electric Rev Req Model (2009 GRC) Rebuttal 3" xfId="2438"/>
    <cellStyle name="_Costs not in KWI3000 '06Budget_Book2_Electric Rev Req Model (2009 GRC) Rebuttal REmoval of New  WH Solar AdjustMI" xfId="2439"/>
    <cellStyle name="_Costs not in KWI3000 '06Budget_Book2_Electric Rev Req Model (2009 GRC) Rebuttal REmoval of New  WH Solar AdjustMI 2" xfId="2440"/>
    <cellStyle name="_Costs not in KWI3000 '06Budget_Book2_Electric Rev Req Model (2009 GRC) Rebuttal REmoval of New  WH Solar AdjustMI 2 2" xfId="2441"/>
    <cellStyle name="_Costs not in KWI3000 '06Budget_Book2_Electric Rev Req Model (2009 GRC) Rebuttal REmoval of New  WH Solar AdjustMI 3" xfId="2442"/>
    <cellStyle name="_Costs not in KWI3000 '06Budget_Book2_Electric Rev Req Model (2009 GRC) Revised 01-18-2010" xfId="2443"/>
    <cellStyle name="_Costs not in KWI3000 '06Budget_Book2_Electric Rev Req Model (2009 GRC) Revised 01-18-2010 2" xfId="2444"/>
    <cellStyle name="_Costs not in KWI3000 '06Budget_Book2_Electric Rev Req Model (2009 GRC) Revised 01-18-2010 2 2" xfId="2445"/>
    <cellStyle name="_Costs not in KWI3000 '06Budget_Book2_Electric Rev Req Model (2009 GRC) Revised 01-18-2010 3" xfId="2446"/>
    <cellStyle name="_Costs not in KWI3000 '06Budget_Book2_Final Order Electric EXHIBIT A-1" xfId="2447"/>
    <cellStyle name="_Costs not in KWI3000 '06Budget_Book2_Final Order Electric EXHIBIT A-1 2" xfId="2448"/>
    <cellStyle name="_Costs not in KWI3000 '06Budget_Book2_Final Order Electric EXHIBIT A-1 2 2" xfId="2449"/>
    <cellStyle name="_Costs not in KWI3000 '06Budget_Book2_Final Order Electric EXHIBIT A-1 3" xfId="2450"/>
    <cellStyle name="_Costs not in KWI3000 '06Budget_Book4" xfId="2451"/>
    <cellStyle name="_Costs not in KWI3000 '06Budget_Book4 2" xfId="2452"/>
    <cellStyle name="_Costs not in KWI3000 '06Budget_Book4 2 2" xfId="2453"/>
    <cellStyle name="_Costs not in KWI3000 '06Budget_Book4 3" xfId="2454"/>
    <cellStyle name="_Costs not in KWI3000 '06Budget_Book9" xfId="2455"/>
    <cellStyle name="_Costs not in KWI3000 '06Budget_Book9 2" xfId="2456"/>
    <cellStyle name="_Costs not in KWI3000 '06Budget_Book9 2 2" xfId="2457"/>
    <cellStyle name="_Costs not in KWI3000 '06Budget_Book9 3" xfId="2458"/>
    <cellStyle name="_Costs not in KWI3000 '06Budget_Check the Interest Calculation" xfId="2459"/>
    <cellStyle name="_Costs not in KWI3000 '06Budget_Check the Interest Calculation_Scenario 1 REC vs PTC Offset" xfId="2460"/>
    <cellStyle name="_Costs not in KWI3000 '06Budget_Check the Interest Calculation_Scenario 3" xfId="2461"/>
    <cellStyle name="_Costs not in KWI3000 '06Budget_Chelan PUD Power Costs (8-10)" xfId="2462"/>
    <cellStyle name="_Costs not in KWI3000 '06Budget_Exhibit D fr R Gho 12-31-08" xfId="2463"/>
    <cellStyle name="_Costs not in KWI3000 '06Budget_Exhibit D fr R Gho 12-31-08 2" xfId="2464"/>
    <cellStyle name="_Costs not in KWI3000 '06Budget_Exhibit D fr R Gho 12-31-08 v2" xfId="2465"/>
    <cellStyle name="_Costs not in KWI3000 '06Budget_Exhibit D fr R Gho 12-31-08 v2 2" xfId="2466"/>
    <cellStyle name="_Costs not in KWI3000 '06Budget_Exhibit D fr R Gho 12-31-08 v2_NIM Summary" xfId="2467"/>
    <cellStyle name="_Costs not in KWI3000 '06Budget_Exhibit D fr R Gho 12-31-08 v2_NIM Summary 2" xfId="2468"/>
    <cellStyle name="_Costs not in KWI3000 '06Budget_Exhibit D fr R Gho 12-31-08_NIM Summary" xfId="2469"/>
    <cellStyle name="_Costs not in KWI3000 '06Budget_Exhibit D fr R Gho 12-31-08_NIM Summary 2" xfId="2470"/>
    <cellStyle name="_Costs not in KWI3000 '06Budget_Gas Rev Req Model (2010 GRC)" xfId="2471"/>
    <cellStyle name="_Costs not in KWI3000 '06Budget_Hopkins Ridge Prepaid Tran - Interest Earned RY 12ME Feb  '11" xfId="2472"/>
    <cellStyle name="_Costs not in KWI3000 '06Budget_Hopkins Ridge Prepaid Tran - Interest Earned RY 12ME Feb  '11 2" xfId="2473"/>
    <cellStyle name="_Costs not in KWI3000 '06Budget_Hopkins Ridge Prepaid Tran - Interest Earned RY 12ME Feb  '11_NIM Summary" xfId="2474"/>
    <cellStyle name="_Costs not in KWI3000 '06Budget_Hopkins Ridge Prepaid Tran - Interest Earned RY 12ME Feb  '11_NIM Summary 2" xfId="2475"/>
    <cellStyle name="_Costs not in KWI3000 '06Budget_Hopkins Ridge Prepaid Tran - Interest Earned RY 12ME Feb  '11_Transmission Workbook for May BOD" xfId="2476"/>
    <cellStyle name="_Costs not in KWI3000 '06Budget_Hopkins Ridge Prepaid Tran - Interest Earned RY 12ME Feb  '11_Transmission Workbook for May BOD 2" xfId="2477"/>
    <cellStyle name="_Costs not in KWI3000 '06Budget_INPUTS" xfId="2478"/>
    <cellStyle name="_Costs not in KWI3000 '06Budget_INPUTS 2" xfId="2479"/>
    <cellStyle name="_Costs not in KWI3000 '06Budget_INPUTS 2 2" xfId="2480"/>
    <cellStyle name="_Costs not in KWI3000 '06Budget_INPUTS 3" xfId="2481"/>
    <cellStyle name="_Costs not in KWI3000 '06Budget_NIM Summary" xfId="2482"/>
    <cellStyle name="_Costs not in KWI3000 '06Budget_NIM Summary 09GRC" xfId="2483"/>
    <cellStyle name="_Costs not in KWI3000 '06Budget_NIM Summary 09GRC 2" xfId="2484"/>
    <cellStyle name="_Costs not in KWI3000 '06Budget_NIM Summary 2" xfId="2485"/>
    <cellStyle name="_Costs not in KWI3000 '06Budget_NIM Summary 3" xfId="2486"/>
    <cellStyle name="_Costs not in KWI3000 '06Budget_NIM Summary 4" xfId="2487"/>
    <cellStyle name="_Costs not in KWI3000 '06Budget_NIM Summary 5" xfId="2488"/>
    <cellStyle name="_Costs not in KWI3000 '06Budget_NIM Summary 6" xfId="2489"/>
    <cellStyle name="_Costs not in KWI3000 '06Budget_NIM Summary 7" xfId="2490"/>
    <cellStyle name="_Costs not in KWI3000 '06Budget_NIM Summary 8" xfId="2491"/>
    <cellStyle name="_Costs not in KWI3000 '06Budget_NIM Summary 9" xfId="2492"/>
    <cellStyle name="_Costs not in KWI3000 '06Budget_PCA 10 -  Exhibit D from A Kellogg Jan 2011" xfId="2493"/>
    <cellStyle name="_Costs not in KWI3000 '06Budget_PCA 10 -  Exhibit D from A Kellogg July 2011" xfId="2494"/>
    <cellStyle name="_Costs not in KWI3000 '06Budget_PCA 10 -  Exhibit D from S Free Rcv'd 12-11" xfId="2495"/>
    <cellStyle name="_Costs not in KWI3000 '06Budget_PCA 7 - Exhibit D update 11_30_08 (2)" xfId="2496"/>
    <cellStyle name="_Costs not in KWI3000 '06Budget_PCA 7 - Exhibit D update 11_30_08 (2) 2" xfId="2497"/>
    <cellStyle name="_Costs not in KWI3000 '06Budget_PCA 7 - Exhibit D update 11_30_08 (2) 2 2" xfId="2498"/>
    <cellStyle name="_Costs not in KWI3000 '06Budget_PCA 7 - Exhibit D update 11_30_08 (2) 3" xfId="2499"/>
    <cellStyle name="_Costs not in KWI3000 '06Budget_PCA 7 - Exhibit D update 11_30_08 (2)_NIM Summary" xfId="2500"/>
    <cellStyle name="_Costs not in KWI3000 '06Budget_PCA 7 - Exhibit D update 11_30_08 (2)_NIM Summary 2" xfId="2501"/>
    <cellStyle name="_Costs not in KWI3000 '06Budget_PCA 8 - Exhibit D update 12_31_09" xfId="2502"/>
    <cellStyle name="_Costs not in KWI3000 '06Budget_PCA 9 -  Exhibit D April 2010" xfId="2503"/>
    <cellStyle name="_Costs not in KWI3000 '06Budget_PCA 9 -  Exhibit D April 2010 (3)" xfId="2504"/>
    <cellStyle name="_Costs not in KWI3000 '06Budget_PCA 9 -  Exhibit D April 2010 (3) 2" xfId="2505"/>
    <cellStyle name="_Costs not in KWI3000 '06Budget_PCA 9 -  Exhibit D Feb 2010" xfId="2506"/>
    <cellStyle name="_Costs not in KWI3000 '06Budget_PCA 9 -  Exhibit D Feb 2010 v2" xfId="2507"/>
    <cellStyle name="_Costs not in KWI3000 '06Budget_PCA 9 -  Exhibit D Feb 2010 WF" xfId="2508"/>
    <cellStyle name="_Costs not in KWI3000 '06Budget_PCA 9 -  Exhibit D Jan 2010" xfId="2509"/>
    <cellStyle name="_Costs not in KWI3000 '06Budget_PCA 9 -  Exhibit D March 2010 (2)" xfId="2510"/>
    <cellStyle name="_Costs not in KWI3000 '06Budget_PCA 9 -  Exhibit D Nov 2010" xfId="2511"/>
    <cellStyle name="_Costs not in KWI3000 '06Budget_PCA 9 - Exhibit D at August 2010" xfId="2512"/>
    <cellStyle name="_Costs not in KWI3000 '06Budget_PCA 9 - Exhibit D June 2010 GRC" xfId="2513"/>
    <cellStyle name="_Costs not in KWI3000 '06Budget_Power Costs - Comparison bx Rbtl-Staff-Jt-PC" xfId="2514"/>
    <cellStyle name="_Costs not in KWI3000 '06Budget_Power Costs - Comparison bx Rbtl-Staff-Jt-PC 2" xfId="2515"/>
    <cellStyle name="_Costs not in KWI3000 '06Budget_Power Costs - Comparison bx Rbtl-Staff-Jt-PC 2 2" xfId="2516"/>
    <cellStyle name="_Costs not in KWI3000 '06Budget_Power Costs - Comparison bx Rbtl-Staff-Jt-PC 3" xfId="2517"/>
    <cellStyle name="_Costs not in KWI3000 '06Budget_Power Costs - Comparison bx Rbtl-Staff-Jt-PC_Adj Bench DR 3 for Initial Briefs (Electric)" xfId="2518"/>
    <cellStyle name="_Costs not in KWI3000 '06Budget_Power Costs - Comparison bx Rbtl-Staff-Jt-PC_Adj Bench DR 3 for Initial Briefs (Electric) 2" xfId="2519"/>
    <cellStyle name="_Costs not in KWI3000 '06Budget_Power Costs - Comparison bx Rbtl-Staff-Jt-PC_Adj Bench DR 3 for Initial Briefs (Electric) 2 2" xfId="2520"/>
    <cellStyle name="_Costs not in KWI3000 '06Budget_Power Costs - Comparison bx Rbtl-Staff-Jt-PC_Adj Bench DR 3 for Initial Briefs (Electric) 3" xfId="2521"/>
    <cellStyle name="_Costs not in KWI3000 '06Budget_Power Costs - Comparison bx Rbtl-Staff-Jt-PC_Electric Rev Req Model (2009 GRC) Rebuttal" xfId="2522"/>
    <cellStyle name="_Costs not in KWI3000 '06Budget_Power Costs - Comparison bx Rbtl-Staff-Jt-PC_Electric Rev Req Model (2009 GRC) Rebuttal 2" xfId="2523"/>
    <cellStyle name="_Costs not in KWI3000 '06Budget_Power Costs - Comparison bx Rbtl-Staff-Jt-PC_Electric Rev Req Model (2009 GRC) Rebuttal 2 2" xfId="2524"/>
    <cellStyle name="_Costs not in KWI3000 '06Budget_Power Costs - Comparison bx Rbtl-Staff-Jt-PC_Electric Rev Req Model (2009 GRC) Rebuttal 3" xfId="2525"/>
    <cellStyle name="_Costs not in KWI3000 '06Budget_Power Costs - Comparison bx Rbtl-Staff-Jt-PC_Electric Rev Req Model (2009 GRC) Rebuttal REmoval of New  WH Solar AdjustMI" xfId="2526"/>
    <cellStyle name="_Costs not in KWI3000 '06Budget_Power Costs - Comparison bx Rbtl-Staff-Jt-PC_Electric Rev Req Model (2009 GRC) Rebuttal REmoval of New  WH Solar AdjustMI 2" xfId="2527"/>
    <cellStyle name="_Costs not in KWI3000 '06Budget_Power Costs - Comparison bx Rbtl-Staff-Jt-PC_Electric Rev Req Model (2009 GRC) Rebuttal REmoval of New  WH Solar AdjustMI 2 2" xfId="2528"/>
    <cellStyle name="_Costs not in KWI3000 '06Budget_Power Costs - Comparison bx Rbtl-Staff-Jt-PC_Electric Rev Req Model (2009 GRC) Rebuttal REmoval of New  WH Solar AdjustMI 3" xfId="2529"/>
    <cellStyle name="_Costs not in KWI3000 '06Budget_Power Costs - Comparison bx Rbtl-Staff-Jt-PC_Electric Rev Req Model (2009 GRC) Revised 01-18-2010" xfId="2530"/>
    <cellStyle name="_Costs not in KWI3000 '06Budget_Power Costs - Comparison bx Rbtl-Staff-Jt-PC_Electric Rev Req Model (2009 GRC) Revised 01-18-2010 2" xfId="2531"/>
    <cellStyle name="_Costs not in KWI3000 '06Budget_Power Costs - Comparison bx Rbtl-Staff-Jt-PC_Electric Rev Req Model (2009 GRC) Revised 01-18-2010 2 2" xfId="2532"/>
    <cellStyle name="_Costs not in KWI3000 '06Budget_Power Costs - Comparison bx Rbtl-Staff-Jt-PC_Electric Rev Req Model (2009 GRC) Revised 01-18-2010 3" xfId="2533"/>
    <cellStyle name="_Costs not in KWI3000 '06Budget_Power Costs - Comparison bx Rbtl-Staff-Jt-PC_Final Order Electric EXHIBIT A-1" xfId="2534"/>
    <cellStyle name="_Costs not in KWI3000 '06Budget_Power Costs - Comparison bx Rbtl-Staff-Jt-PC_Final Order Electric EXHIBIT A-1 2" xfId="2535"/>
    <cellStyle name="_Costs not in KWI3000 '06Budget_Power Costs - Comparison bx Rbtl-Staff-Jt-PC_Final Order Electric EXHIBIT A-1 2 2" xfId="2536"/>
    <cellStyle name="_Costs not in KWI3000 '06Budget_Power Costs - Comparison bx Rbtl-Staff-Jt-PC_Final Order Electric EXHIBIT A-1 3" xfId="2537"/>
    <cellStyle name="_Costs not in KWI3000 '06Budget_Production Adj 4.37" xfId="2538"/>
    <cellStyle name="_Costs not in KWI3000 '06Budget_Production Adj 4.37 2" xfId="2539"/>
    <cellStyle name="_Costs not in KWI3000 '06Budget_Production Adj 4.37 2 2" xfId="2540"/>
    <cellStyle name="_Costs not in KWI3000 '06Budget_Production Adj 4.37 3" xfId="2541"/>
    <cellStyle name="_Costs not in KWI3000 '06Budget_Purchased Power Adj 4.03" xfId="2542"/>
    <cellStyle name="_Costs not in KWI3000 '06Budget_Purchased Power Adj 4.03 2" xfId="2543"/>
    <cellStyle name="_Costs not in KWI3000 '06Budget_Purchased Power Adj 4.03 2 2" xfId="2544"/>
    <cellStyle name="_Costs not in KWI3000 '06Budget_Purchased Power Adj 4.03 3" xfId="2545"/>
    <cellStyle name="_Costs not in KWI3000 '06Budget_Rebuttal Power Costs" xfId="2546"/>
    <cellStyle name="_Costs not in KWI3000 '06Budget_Rebuttal Power Costs 2" xfId="2547"/>
    <cellStyle name="_Costs not in KWI3000 '06Budget_Rebuttal Power Costs 2 2" xfId="2548"/>
    <cellStyle name="_Costs not in KWI3000 '06Budget_Rebuttal Power Costs 3" xfId="2549"/>
    <cellStyle name="_Costs not in KWI3000 '06Budget_Rebuttal Power Costs_Adj Bench DR 3 for Initial Briefs (Electric)" xfId="2550"/>
    <cellStyle name="_Costs not in KWI3000 '06Budget_Rebuttal Power Costs_Adj Bench DR 3 for Initial Briefs (Electric) 2" xfId="2551"/>
    <cellStyle name="_Costs not in KWI3000 '06Budget_Rebuttal Power Costs_Adj Bench DR 3 for Initial Briefs (Electric) 2 2" xfId="2552"/>
    <cellStyle name="_Costs not in KWI3000 '06Budget_Rebuttal Power Costs_Adj Bench DR 3 for Initial Briefs (Electric) 3" xfId="2553"/>
    <cellStyle name="_Costs not in KWI3000 '06Budget_Rebuttal Power Costs_Electric Rev Req Model (2009 GRC) Rebuttal" xfId="2554"/>
    <cellStyle name="_Costs not in KWI3000 '06Budget_Rebuttal Power Costs_Electric Rev Req Model (2009 GRC) Rebuttal 2" xfId="2555"/>
    <cellStyle name="_Costs not in KWI3000 '06Budget_Rebuttal Power Costs_Electric Rev Req Model (2009 GRC) Rebuttal 2 2" xfId="2556"/>
    <cellStyle name="_Costs not in KWI3000 '06Budget_Rebuttal Power Costs_Electric Rev Req Model (2009 GRC) Rebuttal 3" xfId="2557"/>
    <cellStyle name="_Costs not in KWI3000 '06Budget_Rebuttal Power Costs_Electric Rev Req Model (2009 GRC) Rebuttal REmoval of New  WH Solar AdjustMI" xfId="2558"/>
    <cellStyle name="_Costs not in KWI3000 '06Budget_Rebuttal Power Costs_Electric Rev Req Model (2009 GRC) Rebuttal REmoval of New  WH Solar AdjustMI 2" xfId="2559"/>
    <cellStyle name="_Costs not in KWI3000 '06Budget_Rebuttal Power Costs_Electric Rev Req Model (2009 GRC) Rebuttal REmoval of New  WH Solar AdjustMI 2 2" xfId="2560"/>
    <cellStyle name="_Costs not in KWI3000 '06Budget_Rebuttal Power Costs_Electric Rev Req Model (2009 GRC) Rebuttal REmoval of New  WH Solar AdjustMI 3" xfId="2561"/>
    <cellStyle name="_Costs not in KWI3000 '06Budget_Rebuttal Power Costs_Electric Rev Req Model (2009 GRC) Revised 01-18-2010" xfId="2562"/>
    <cellStyle name="_Costs not in KWI3000 '06Budget_Rebuttal Power Costs_Electric Rev Req Model (2009 GRC) Revised 01-18-2010 2" xfId="2563"/>
    <cellStyle name="_Costs not in KWI3000 '06Budget_Rebuttal Power Costs_Electric Rev Req Model (2009 GRC) Revised 01-18-2010 2 2" xfId="2564"/>
    <cellStyle name="_Costs not in KWI3000 '06Budget_Rebuttal Power Costs_Electric Rev Req Model (2009 GRC) Revised 01-18-2010 3" xfId="2565"/>
    <cellStyle name="_Costs not in KWI3000 '06Budget_Rebuttal Power Costs_Final Order Electric EXHIBIT A-1" xfId="2566"/>
    <cellStyle name="_Costs not in KWI3000 '06Budget_Rebuttal Power Costs_Final Order Electric EXHIBIT A-1 2" xfId="2567"/>
    <cellStyle name="_Costs not in KWI3000 '06Budget_Rebuttal Power Costs_Final Order Electric EXHIBIT A-1 2 2" xfId="2568"/>
    <cellStyle name="_Costs not in KWI3000 '06Budget_Rebuttal Power Costs_Final Order Electric EXHIBIT A-1 3" xfId="2569"/>
    <cellStyle name="_Costs not in KWI3000 '06Budget_ROR &amp; CONV FACTOR" xfId="2570"/>
    <cellStyle name="_Costs not in KWI3000 '06Budget_ROR &amp; CONV FACTOR 2" xfId="2571"/>
    <cellStyle name="_Costs not in KWI3000 '06Budget_ROR &amp; CONV FACTOR 2 2" xfId="2572"/>
    <cellStyle name="_Costs not in KWI3000 '06Budget_ROR &amp; CONV FACTOR 3" xfId="2573"/>
    <cellStyle name="_Costs not in KWI3000 '06Budget_ROR 5.02" xfId="2574"/>
    <cellStyle name="_Costs not in KWI3000 '06Budget_ROR 5.02 2" xfId="2575"/>
    <cellStyle name="_Costs not in KWI3000 '06Budget_ROR 5.02 2 2" xfId="2576"/>
    <cellStyle name="_Costs not in KWI3000 '06Budget_ROR 5.02 3" xfId="2577"/>
    <cellStyle name="_Costs not in KWI3000 '06Budget_Transmission Workbook for May BOD" xfId="2578"/>
    <cellStyle name="_Costs not in KWI3000 '06Budget_Transmission Workbook for May BOD 2" xfId="2579"/>
    <cellStyle name="_Costs not in KWI3000 '06Budget_Wind Integration 10GRC" xfId="2580"/>
    <cellStyle name="_Costs not in KWI3000 '06Budget_Wind Integration 10GRC 2" xfId="2581"/>
    <cellStyle name="_DEM-08C Power Cost Comparison" xfId="2582"/>
    <cellStyle name="_DEM-WP (C) Costs not in AURORA 2006GRC Order 11.30.06 Gas" xfId="2583"/>
    <cellStyle name="_DEM-WP (C) Costs not in AURORA 2006GRC Order 11.30.06 Gas 2" xfId="2584"/>
    <cellStyle name="_DEM-WP (C) Costs not in AURORA 2006GRC Order 11.30.06 Gas_Chelan PUD Power Costs (8-10)" xfId="2585"/>
    <cellStyle name="_DEM-WP (C) Costs not in AURORA 2006GRC Order 11.30.06 Gas_NIM Summary" xfId="2586"/>
    <cellStyle name="_DEM-WP (C) Costs not in AURORA 2006GRC Order 11.30.06 Gas_NIM Summary 2" xfId="2587"/>
    <cellStyle name="_DEM-WP (C) Power Cost 2006GRC Order" xfId="2588"/>
    <cellStyle name="_DEM-WP (C) Power Cost 2006GRC Order 2" xfId="2589"/>
    <cellStyle name="_DEM-WP (C) Power Cost 2006GRC Order 2 2" xfId="2590"/>
    <cellStyle name="_DEM-WP (C) Power Cost 2006GRC Order 2 2 2" xfId="2591"/>
    <cellStyle name="_DEM-WP (C) Power Cost 2006GRC Order 2 3" xfId="2592"/>
    <cellStyle name="_DEM-WP (C) Power Cost 2006GRC Order 3" xfId="2593"/>
    <cellStyle name="_DEM-WP (C) Power Cost 2006GRC Order 3 2" xfId="2594"/>
    <cellStyle name="_DEM-WP (C) Power Cost 2006GRC Order 4" xfId="2595"/>
    <cellStyle name="_DEM-WP (C) Power Cost 2006GRC Order 4 2" xfId="2596"/>
    <cellStyle name="_DEM-WP (C) Power Cost 2006GRC Order 5" xfId="2597"/>
    <cellStyle name="_DEM-WP (C) Power Cost 2006GRC Order_04 07E Wild Horse Wind Expansion (C) (2)" xfId="2598"/>
    <cellStyle name="_DEM-WP (C) Power Cost 2006GRC Order_04 07E Wild Horse Wind Expansion (C) (2) 2" xfId="2599"/>
    <cellStyle name="_DEM-WP (C) Power Cost 2006GRC Order_04 07E Wild Horse Wind Expansion (C) (2) 2 2" xfId="2600"/>
    <cellStyle name="_DEM-WP (C) Power Cost 2006GRC Order_04 07E Wild Horse Wind Expansion (C) (2) 3" xfId="2601"/>
    <cellStyle name="_DEM-WP (C) Power Cost 2006GRC Order_04 07E Wild Horse Wind Expansion (C) (2)_Adj Bench DR 3 for Initial Briefs (Electric)" xfId="2602"/>
    <cellStyle name="_DEM-WP (C) Power Cost 2006GRC Order_04 07E Wild Horse Wind Expansion (C) (2)_Adj Bench DR 3 for Initial Briefs (Electric) 2" xfId="2603"/>
    <cellStyle name="_DEM-WP (C) Power Cost 2006GRC Order_04 07E Wild Horse Wind Expansion (C) (2)_Adj Bench DR 3 for Initial Briefs (Electric) 2 2" xfId="2604"/>
    <cellStyle name="_DEM-WP (C) Power Cost 2006GRC Order_04 07E Wild Horse Wind Expansion (C) (2)_Adj Bench DR 3 for Initial Briefs (Electric) 3" xfId="2605"/>
    <cellStyle name="_DEM-WP (C) Power Cost 2006GRC Order_04 07E Wild Horse Wind Expansion (C) (2)_Book1" xfId="2606"/>
    <cellStyle name="_DEM-WP (C) Power Cost 2006GRC Order_04 07E Wild Horse Wind Expansion (C) (2)_Electric Rev Req Model (2009 GRC) " xfId="2607"/>
    <cellStyle name="_DEM-WP (C) Power Cost 2006GRC Order_04 07E Wild Horse Wind Expansion (C) (2)_Electric Rev Req Model (2009 GRC)  2" xfId="2608"/>
    <cellStyle name="_DEM-WP (C) Power Cost 2006GRC Order_04 07E Wild Horse Wind Expansion (C) (2)_Electric Rev Req Model (2009 GRC)  2 2" xfId="2609"/>
    <cellStyle name="_DEM-WP (C) Power Cost 2006GRC Order_04 07E Wild Horse Wind Expansion (C) (2)_Electric Rev Req Model (2009 GRC)  3" xfId="2610"/>
    <cellStyle name="_DEM-WP (C) Power Cost 2006GRC Order_04 07E Wild Horse Wind Expansion (C) (2)_Electric Rev Req Model (2009 GRC) Rebuttal" xfId="2611"/>
    <cellStyle name="_DEM-WP (C) Power Cost 2006GRC Order_04 07E Wild Horse Wind Expansion (C) (2)_Electric Rev Req Model (2009 GRC) Rebuttal 2" xfId="2612"/>
    <cellStyle name="_DEM-WP (C) Power Cost 2006GRC Order_04 07E Wild Horse Wind Expansion (C) (2)_Electric Rev Req Model (2009 GRC) Rebuttal 2 2" xfId="2613"/>
    <cellStyle name="_DEM-WP (C) Power Cost 2006GRC Order_04 07E Wild Horse Wind Expansion (C) (2)_Electric Rev Req Model (2009 GRC) Rebuttal 3" xfId="2614"/>
    <cellStyle name="_DEM-WP (C) Power Cost 2006GRC Order_04 07E Wild Horse Wind Expansion (C) (2)_Electric Rev Req Model (2009 GRC) Rebuttal REmoval of New  WH Solar AdjustMI" xfId="2615"/>
    <cellStyle name="_DEM-WP (C) Power Cost 2006GRC Order_04 07E Wild Horse Wind Expansion (C) (2)_Electric Rev Req Model (2009 GRC) Rebuttal REmoval of New  WH Solar AdjustMI 2" xfId="2616"/>
    <cellStyle name="_DEM-WP (C) Power Cost 2006GRC Order_04 07E Wild Horse Wind Expansion (C) (2)_Electric Rev Req Model (2009 GRC) Rebuttal REmoval of New  WH Solar AdjustMI 2 2" xfId="2617"/>
    <cellStyle name="_DEM-WP (C) Power Cost 2006GRC Order_04 07E Wild Horse Wind Expansion (C) (2)_Electric Rev Req Model (2009 GRC) Rebuttal REmoval of New  WH Solar AdjustMI 3" xfId="2618"/>
    <cellStyle name="_DEM-WP (C) Power Cost 2006GRC Order_04 07E Wild Horse Wind Expansion (C) (2)_Electric Rev Req Model (2009 GRC) Revised 01-18-2010" xfId="2619"/>
    <cellStyle name="_DEM-WP (C) Power Cost 2006GRC Order_04 07E Wild Horse Wind Expansion (C) (2)_Electric Rev Req Model (2009 GRC) Revised 01-18-2010 2" xfId="2620"/>
    <cellStyle name="_DEM-WP (C) Power Cost 2006GRC Order_04 07E Wild Horse Wind Expansion (C) (2)_Electric Rev Req Model (2009 GRC) Revised 01-18-2010 2 2" xfId="2621"/>
    <cellStyle name="_DEM-WP (C) Power Cost 2006GRC Order_04 07E Wild Horse Wind Expansion (C) (2)_Electric Rev Req Model (2009 GRC) Revised 01-18-2010 3" xfId="2622"/>
    <cellStyle name="_DEM-WP (C) Power Cost 2006GRC Order_04 07E Wild Horse Wind Expansion (C) (2)_Electric Rev Req Model (2010 GRC)" xfId="2623"/>
    <cellStyle name="_DEM-WP (C) Power Cost 2006GRC Order_04 07E Wild Horse Wind Expansion (C) (2)_Electric Rev Req Model (2010 GRC) SF" xfId="2624"/>
    <cellStyle name="_DEM-WP (C) Power Cost 2006GRC Order_04 07E Wild Horse Wind Expansion (C) (2)_Final Order Electric EXHIBIT A-1" xfId="2625"/>
    <cellStyle name="_DEM-WP (C) Power Cost 2006GRC Order_04 07E Wild Horse Wind Expansion (C) (2)_Final Order Electric EXHIBIT A-1 2" xfId="2626"/>
    <cellStyle name="_DEM-WP (C) Power Cost 2006GRC Order_04 07E Wild Horse Wind Expansion (C) (2)_Final Order Electric EXHIBIT A-1 2 2" xfId="2627"/>
    <cellStyle name="_DEM-WP (C) Power Cost 2006GRC Order_04 07E Wild Horse Wind Expansion (C) (2)_Final Order Electric EXHIBIT A-1 3" xfId="2628"/>
    <cellStyle name="_DEM-WP (C) Power Cost 2006GRC Order_04 07E Wild Horse Wind Expansion (C) (2)_TENASKA REGULATORY ASSET" xfId="2629"/>
    <cellStyle name="_DEM-WP (C) Power Cost 2006GRC Order_04 07E Wild Horse Wind Expansion (C) (2)_TENASKA REGULATORY ASSET 2" xfId="2630"/>
    <cellStyle name="_DEM-WP (C) Power Cost 2006GRC Order_04 07E Wild Horse Wind Expansion (C) (2)_TENASKA REGULATORY ASSET 2 2" xfId="2631"/>
    <cellStyle name="_DEM-WP (C) Power Cost 2006GRC Order_04 07E Wild Horse Wind Expansion (C) (2)_TENASKA REGULATORY ASSET 3" xfId="2632"/>
    <cellStyle name="_DEM-WP (C) Power Cost 2006GRC Order_16.37E Wild Horse Expansion DeferralRevwrkingfile SF" xfId="2633"/>
    <cellStyle name="_DEM-WP (C) Power Cost 2006GRC Order_16.37E Wild Horse Expansion DeferralRevwrkingfile SF 2" xfId="2634"/>
    <cellStyle name="_DEM-WP (C) Power Cost 2006GRC Order_16.37E Wild Horse Expansion DeferralRevwrkingfile SF 2 2" xfId="2635"/>
    <cellStyle name="_DEM-WP (C) Power Cost 2006GRC Order_16.37E Wild Horse Expansion DeferralRevwrkingfile SF 3" xfId="2636"/>
    <cellStyle name="_DEM-WP (C) Power Cost 2006GRC Order_2009 Compliance Filing PCA Exhibits for GRC" xfId="2637"/>
    <cellStyle name="_DEM-WP (C) Power Cost 2006GRC Order_2009 GRC Compl Filing - Exhibit D" xfId="2638"/>
    <cellStyle name="_DEM-WP (C) Power Cost 2006GRC Order_2009 GRC Compl Filing - Exhibit D 2" xfId="2639"/>
    <cellStyle name="_DEM-WP (C) Power Cost 2006GRC Order_3.01 Income Statement" xfId="2640"/>
    <cellStyle name="_DEM-WP (C) Power Cost 2006GRC Order_4 31 Regulatory Assets and Liabilities  7 06- Exhibit D" xfId="2641"/>
    <cellStyle name="_DEM-WP (C) Power Cost 2006GRC Order_4 31 Regulatory Assets and Liabilities  7 06- Exhibit D 2" xfId="2642"/>
    <cellStyle name="_DEM-WP (C) Power Cost 2006GRC Order_4 31 Regulatory Assets and Liabilities  7 06- Exhibit D 2 2" xfId="2643"/>
    <cellStyle name="_DEM-WP (C) Power Cost 2006GRC Order_4 31 Regulatory Assets and Liabilities  7 06- Exhibit D 3" xfId="2644"/>
    <cellStyle name="_DEM-WP (C) Power Cost 2006GRC Order_4 31 Regulatory Assets and Liabilities  7 06- Exhibit D_NIM Summary" xfId="2645"/>
    <cellStyle name="_DEM-WP (C) Power Cost 2006GRC Order_4 31 Regulatory Assets and Liabilities  7 06- Exhibit D_NIM Summary 2" xfId="2646"/>
    <cellStyle name="_DEM-WP (C) Power Cost 2006GRC Order_4 32 Regulatory Assets and Liabilities  7 06- Exhibit D" xfId="2647"/>
    <cellStyle name="_DEM-WP (C) Power Cost 2006GRC Order_4 32 Regulatory Assets and Liabilities  7 06- Exhibit D 2" xfId="2648"/>
    <cellStyle name="_DEM-WP (C) Power Cost 2006GRC Order_4 32 Regulatory Assets and Liabilities  7 06- Exhibit D 2 2" xfId="2649"/>
    <cellStyle name="_DEM-WP (C) Power Cost 2006GRC Order_4 32 Regulatory Assets and Liabilities  7 06- Exhibit D 3" xfId="2650"/>
    <cellStyle name="_DEM-WP (C) Power Cost 2006GRC Order_4 32 Regulatory Assets and Liabilities  7 06- Exhibit D_NIM Summary" xfId="2651"/>
    <cellStyle name="_DEM-WP (C) Power Cost 2006GRC Order_4 32 Regulatory Assets and Liabilities  7 06- Exhibit D_NIM Summary 2" xfId="2652"/>
    <cellStyle name="_DEM-WP (C) Power Cost 2006GRC Order_AURORA Total New" xfId="2653"/>
    <cellStyle name="_DEM-WP (C) Power Cost 2006GRC Order_AURORA Total New 2" xfId="2654"/>
    <cellStyle name="_DEM-WP (C) Power Cost 2006GRC Order_Book2" xfId="2655"/>
    <cellStyle name="_DEM-WP (C) Power Cost 2006GRC Order_Book2 2" xfId="2656"/>
    <cellStyle name="_DEM-WP (C) Power Cost 2006GRC Order_Book2 2 2" xfId="2657"/>
    <cellStyle name="_DEM-WP (C) Power Cost 2006GRC Order_Book2 3" xfId="2658"/>
    <cellStyle name="_DEM-WP (C) Power Cost 2006GRC Order_Book2_Adj Bench DR 3 for Initial Briefs (Electric)" xfId="2659"/>
    <cellStyle name="_DEM-WP (C) Power Cost 2006GRC Order_Book2_Adj Bench DR 3 for Initial Briefs (Electric) 2" xfId="2660"/>
    <cellStyle name="_DEM-WP (C) Power Cost 2006GRC Order_Book2_Adj Bench DR 3 for Initial Briefs (Electric) 2 2" xfId="2661"/>
    <cellStyle name="_DEM-WP (C) Power Cost 2006GRC Order_Book2_Adj Bench DR 3 for Initial Briefs (Electric) 3" xfId="2662"/>
    <cellStyle name="_DEM-WP (C) Power Cost 2006GRC Order_Book2_Electric Rev Req Model (2009 GRC) Rebuttal" xfId="2663"/>
    <cellStyle name="_DEM-WP (C) Power Cost 2006GRC Order_Book2_Electric Rev Req Model (2009 GRC) Rebuttal 2" xfId="2664"/>
    <cellStyle name="_DEM-WP (C) Power Cost 2006GRC Order_Book2_Electric Rev Req Model (2009 GRC) Rebuttal 2 2" xfId="2665"/>
    <cellStyle name="_DEM-WP (C) Power Cost 2006GRC Order_Book2_Electric Rev Req Model (2009 GRC) Rebuttal 3" xfId="2666"/>
    <cellStyle name="_DEM-WP (C) Power Cost 2006GRC Order_Book2_Electric Rev Req Model (2009 GRC) Rebuttal REmoval of New  WH Solar AdjustMI" xfId="2667"/>
    <cellStyle name="_DEM-WP (C) Power Cost 2006GRC Order_Book2_Electric Rev Req Model (2009 GRC) Rebuttal REmoval of New  WH Solar AdjustMI 2" xfId="2668"/>
    <cellStyle name="_DEM-WP (C) Power Cost 2006GRC Order_Book2_Electric Rev Req Model (2009 GRC) Rebuttal REmoval of New  WH Solar AdjustMI 2 2" xfId="2669"/>
    <cellStyle name="_DEM-WP (C) Power Cost 2006GRC Order_Book2_Electric Rev Req Model (2009 GRC) Rebuttal REmoval of New  WH Solar AdjustMI 3" xfId="2670"/>
    <cellStyle name="_DEM-WP (C) Power Cost 2006GRC Order_Book2_Electric Rev Req Model (2009 GRC) Revised 01-18-2010" xfId="2671"/>
    <cellStyle name="_DEM-WP (C) Power Cost 2006GRC Order_Book2_Electric Rev Req Model (2009 GRC) Revised 01-18-2010 2" xfId="2672"/>
    <cellStyle name="_DEM-WP (C) Power Cost 2006GRC Order_Book2_Electric Rev Req Model (2009 GRC) Revised 01-18-2010 2 2" xfId="2673"/>
    <cellStyle name="_DEM-WP (C) Power Cost 2006GRC Order_Book2_Electric Rev Req Model (2009 GRC) Revised 01-18-2010 3" xfId="2674"/>
    <cellStyle name="_DEM-WP (C) Power Cost 2006GRC Order_Book2_Final Order Electric EXHIBIT A-1" xfId="2675"/>
    <cellStyle name="_DEM-WP (C) Power Cost 2006GRC Order_Book2_Final Order Electric EXHIBIT A-1 2" xfId="2676"/>
    <cellStyle name="_DEM-WP (C) Power Cost 2006GRC Order_Book2_Final Order Electric EXHIBIT A-1 2 2" xfId="2677"/>
    <cellStyle name="_DEM-WP (C) Power Cost 2006GRC Order_Book2_Final Order Electric EXHIBIT A-1 3" xfId="2678"/>
    <cellStyle name="_DEM-WP (C) Power Cost 2006GRC Order_Book4" xfId="2679"/>
    <cellStyle name="_DEM-WP (C) Power Cost 2006GRC Order_Book4 2" xfId="2680"/>
    <cellStyle name="_DEM-WP (C) Power Cost 2006GRC Order_Book4 2 2" xfId="2681"/>
    <cellStyle name="_DEM-WP (C) Power Cost 2006GRC Order_Book4 3" xfId="2682"/>
    <cellStyle name="_DEM-WP (C) Power Cost 2006GRC Order_Book9" xfId="2683"/>
    <cellStyle name="_DEM-WP (C) Power Cost 2006GRC Order_Book9 2" xfId="2684"/>
    <cellStyle name="_DEM-WP (C) Power Cost 2006GRC Order_Book9 2 2" xfId="2685"/>
    <cellStyle name="_DEM-WP (C) Power Cost 2006GRC Order_Book9 3" xfId="2686"/>
    <cellStyle name="_DEM-WP (C) Power Cost 2006GRC Order_Chelan PUD Power Costs (8-10)" xfId="2687"/>
    <cellStyle name="_DEM-WP (C) Power Cost 2006GRC Order_Electric COS Inputs" xfId="2688"/>
    <cellStyle name="_DEM-WP (C) Power Cost 2006GRC Order_Electric COS Inputs 2" xfId="2689"/>
    <cellStyle name="_DEM-WP (C) Power Cost 2006GRC Order_Electric COS Inputs 2 2" xfId="2690"/>
    <cellStyle name="_DEM-WP (C) Power Cost 2006GRC Order_Electric COS Inputs 2 2 2" xfId="2691"/>
    <cellStyle name="_DEM-WP (C) Power Cost 2006GRC Order_Electric COS Inputs 2 3" xfId="2692"/>
    <cellStyle name="_DEM-WP (C) Power Cost 2006GRC Order_Electric COS Inputs 2 3 2" xfId="2693"/>
    <cellStyle name="_DEM-WP (C) Power Cost 2006GRC Order_Electric COS Inputs 2 4" xfId="2694"/>
    <cellStyle name="_DEM-WP (C) Power Cost 2006GRC Order_Electric COS Inputs 2 4 2" xfId="2695"/>
    <cellStyle name="_DEM-WP (C) Power Cost 2006GRC Order_Electric COS Inputs 3" xfId="2696"/>
    <cellStyle name="_DEM-WP (C) Power Cost 2006GRC Order_Electric COS Inputs 3 2" xfId="2697"/>
    <cellStyle name="_DEM-WP (C) Power Cost 2006GRC Order_Electric COS Inputs 4" xfId="2698"/>
    <cellStyle name="_DEM-WP (C) Power Cost 2006GRC Order_Electric COS Inputs 4 2" xfId="2699"/>
    <cellStyle name="_DEM-WP (C) Power Cost 2006GRC Order_Electric COS Inputs 5" xfId="2700"/>
    <cellStyle name="_DEM-WP (C) Power Cost 2006GRC Order_Electric COS Inputs 6" xfId="2701"/>
    <cellStyle name="_DEM-WP (C) Power Cost 2006GRC Order_NIM Summary" xfId="2702"/>
    <cellStyle name="_DEM-WP (C) Power Cost 2006GRC Order_NIM Summary 09GRC" xfId="2703"/>
    <cellStyle name="_DEM-WP (C) Power Cost 2006GRC Order_NIM Summary 09GRC 2" xfId="2704"/>
    <cellStyle name="_DEM-WP (C) Power Cost 2006GRC Order_NIM Summary 2" xfId="2705"/>
    <cellStyle name="_DEM-WP (C) Power Cost 2006GRC Order_NIM Summary 3" xfId="2706"/>
    <cellStyle name="_DEM-WP (C) Power Cost 2006GRC Order_NIM Summary 4" xfId="2707"/>
    <cellStyle name="_DEM-WP (C) Power Cost 2006GRC Order_NIM Summary 5" xfId="2708"/>
    <cellStyle name="_DEM-WP (C) Power Cost 2006GRC Order_NIM Summary 6" xfId="2709"/>
    <cellStyle name="_DEM-WP (C) Power Cost 2006GRC Order_NIM Summary 7" xfId="2710"/>
    <cellStyle name="_DEM-WP (C) Power Cost 2006GRC Order_NIM Summary 8" xfId="2711"/>
    <cellStyle name="_DEM-WP (C) Power Cost 2006GRC Order_NIM Summary 9" xfId="2712"/>
    <cellStyle name="_DEM-WP (C) Power Cost 2006GRC Order_PCA 10 -  Exhibit D from A Kellogg Jan 2011" xfId="2713"/>
    <cellStyle name="_DEM-WP (C) Power Cost 2006GRC Order_PCA 10 -  Exhibit D from A Kellogg July 2011" xfId="2714"/>
    <cellStyle name="_DEM-WP (C) Power Cost 2006GRC Order_PCA 10 -  Exhibit D from S Free Rcv'd 12-11" xfId="2715"/>
    <cellStyle name="_DEM-WP (C) Power Cost 2006GRC Order_PCA 9 -  Exhibit D April 2010" xfId="2716"/>
    <cellStyle name="_DEM-WP (C) Power Cost 2006GRC Order_PCA 9 -  Exhibit D April 2010 (3)" xfId="2717"/>
    <cellStyle name="_DEM-WP (C) Power Cost 2006GRC Order_PCA 9 -  Exhibit D April 2010 (3) 2" xfId="2718"/>
    <cellStyle name="_DEM-WP (C) Power Cost 2006GRC Order_PCA 9 -  Exhibit D Nov 2010" xfId="2719"/>
    <cellStyle name="_DEM-WP (C) Power Cost 2006GRC Order_PCA 9 - Exhibit D at August 2010" xfId="2720"/>
    <cellStyle name="_DEM-WP (C) Power Cost 2006GRC Order_PCA 9 - Exhibit D June 2010 GRC" xfId="2721"/>
    <cellStyle name="_DEM-WP (C) Power Cost 2006GRC Order_Power Costs - Comparison bx Rbtl-Staff-Jt-PC" xfId="2722"/>
    <cellStyle name="_DEM-WP (C) Power Cost 2006GRC Order_Power Costs - Comparison bx Rbtl-Staff-Jt-PC 2" xfId="2723"/>
    <cellStyle name="_DEM-WP (C) Power Cost 2006GRC Order_Power Costs - Comparison bx Rbtl-Staff-Jt-PC 2 2" xfId="2724"/>
    <cellStyle name="_DEM-WP (C) Power Cost 2006GRC Order_Power Costs - Comparison bx Rbtl-Staff-Jt-PC 3" xfId="2725"/>
    <cellStyle name="_DEM-WP (C) Power Cost 2006GRC Order_Power Costs - Comparison bx Rbtl-Staff-Jt-PC_Adj Bench DR 3 for Initial Briefs (Electric)" xfId="2726"/>
    <cellStyle name="_DEM-WP (C) Power Cost 2006GRC Order_Power Costs - Comparison bx Rbtl-Staff-Jt-PC_Adj Bench DR 3 for Initial Briefs (Electric) 2" xfId="2727"/>
    <cellStyle name="_DEM-WP (C) Power Cost 2006GRC Order_Power Costs - Comparison bx Rbtl-Staff-Jt-PC_Adj Bench DR 3 for Initial Briefs (Electric) 2 2" xfId="2728"/>
    <cellStyle name="_DEM-WP (C) Power Cost 2006GRC Order_Power Costs - Comparison bx Rbtl-Staff-Jt-PC_Adj Bench DR 3 for Initial Briefs (Electric) 3" xfId="2729"/>
    <cellStyle name="_DEM-WP (C) Power Cost 2006GRC Order_Power Costs - Comparison bx Rbtl-Staff-Jt-PC_Electric Rev Req Model (2009 GRC) Rebuttal" xfId="2730"/>
    <cellStyle name="_DEM-WP (C) Power Cost 2006GRC Order_Power Costs - Comparison bx Rbtl-Staff-Jt-PC_Electric Rev Req Model (2009 GRC) Rebuttal 2" xfId="2731"/>
    <cellStyle name="_DEM-WP (C) Power Cost 2006GRC Order_Power Costs - Comparison bx Rbtl-Staff-Jt-PC_Electric Rev Req Model (2009 GRC) Rebuttal 2 2" xfId="2732"/>
    <cellStyle name="_DEM-WP (C) Power Cost 2006GRC Order_Power Costs - Comparison bx Rbtl-Staff-Jt-PC_Electric Rev Req Model (2009 GRC) Rebuttal 3" xfId="2733"/>
    <cellStyle name="_DEM-WP (C) Power Cost 2006GRC Order_Power Costs - Comparison bx Rbtl-Staff-Jt-PC_Electric Rev Req Model (2009 GRC) Rebuttal REmoval of New  WH Solar AdjustMI" xfId="2734"/>
    <cellStyle name="_DEM-WP (C) Power Cost 2006GRC Order_Power Costs - Comparison bx Rbtl-Staff-Jt-PC_Electric Rev Req Model (2009 GRC) Rebuttal REmoval of New  WH Solar AdjustMI 2" xfId="2735"/>
    <cellStyle name="_DEM-WP (C) Power Cost 2006GRC Order_Power Costs - Comparison bx Rbtl-Staff-Jt-PC_Electric Rev Req Model (2009 GRC) Rebuttal REmoval of New  WH Solar AdjustMI 2 2" xfId="2736"/>
    <cellStyle name="_DEM-WP (C) Power Cost 2006GRC Order_Power Costs - Comparison bx Rbtl-Staff-Jt-PC_Electric Rev Req Model (2009 GRC) Rebuttal REmoval of New  WH Solar AdjustMI 3" xfId="2737"/>
    <cellStyle name="_DEM-WP (C) Power Cost 2006GRC Order_Power Costs - Comparison bx Rbtl-Staff-Jt-PC_Electric Rev Req Model (2009 GRC) Revised 01-18-2010" xfId="2738"/>
    <cellStyle name="_DEM-WP (C) Power Cost 2006GRC Order_Power Costs - Comparison bx Rbtl-Staff-Jt-PC_Electric Rev Req Model (2009 GRC) Revised 01-18-2010 2" xfId="2739"/>
    <cellStyle name="_DEM-WP (C) Power Cost 2006GRC Order_Power Costs - Comparison bx Rbtl-Staff-Jt-PC_Electric Rev Req Model (2009 GRC) Revised 01-18-2010 2 2" xfId="2740"/>
    <cellStyle name="_DEM-WP (C) Power Cost 2006GRC Order_Power Costs - Comparison bx Rbtl-Staff-Jt-PC_Electric Rev Req Model (2009 GRC) Revised 01-18-2010 3" xfId="2741"/>
    <cellStyle name="_DEM-WP (C) Power Cost 2006GRC Order_Power Costs - Comparison bx Rbtl-Staff-Jt-PC_Final Order Electric EXHIBIT A-1" xfId="2742"/>
    <cellStyle name="_DEM-WP (C) Power Cost 2006GRC Order_Power Costs - Comparison bx Rbtl-Staff-Jt-PC_Final Order Electric EXHIBIT A-1 2" xfId="2743"/>
    <cellStyle name="_DEM-WP (C) Power Cost 2006GRC Order_Power Costs - Comparison bx Rbtl-Staff-Jt-PC_Final Order Electric EXHIBIT A-1 2 2" xfId="2744"/>
    <cellStyle name="_DEM-WP (C) Power Cost 2006GRC Order_Power Costs - Comparison bx Rbtl-Staff-Jt-PC_Final Order Electric EXHIBIT A-1 3" xfId="2745"/>
    <cellStyle name="_DEM-WP (C) Power Cost 2006GRC Order_Production Adj 4.37" xfId="2746"/>
    <cellStyle name="_DEM-WP (C) Power Cost 2006GRC Order_Production Adj 4.37 2" xfId="2747"/>
    <cellStyle name="_DEM-WP (C) Power Cost 2006GRC Order_Production Adj 4.37 2 2" xfId="2748"/>
    <cellStyle name="_DEM-WP (C) Power Cost 2006GRC Order_Production Adj 4.37 3" xfId="2749"/>
    <cellStyle name="_DEM-WP (C) Power Cost 2006GRC Order_Purchased Power Adj 4.03" xfId="2750"/>
    <cellStyle name="_DEM-WP (C) Power Cost 2006GRC Order_Purchased Power Adj 4.03 2" xfId="2751"/>
    <cellStyle name="_DEM-WP (C) Power Cost 2006GRC Order_Purchased Power Adj 4.03 2 2" xfId="2752"/>
    <cellStyle name="_DEM-WP (C) Power Cost 2006GRC Order_Purchased Power Adj 4.03 3" xfId="2753"/>
    <cellStyle name="_DEM-WP (C) Power Cost 2006GRC Order_Rebuttal Power Costs" xfId="2754"/>
    <cellStyle name="_DEM-WP (C) Power Cost 2006GRC Order_Rebuttal Power Costs 2" xfId="2755"/>
    <cellStyle name="_DEM-WP (C) Power Cost 2006GRC Order_Rebuttal Power Costs 2 2" xfId="2756"/>
    <cellStyle name="_DEM-WP (C) Power Cost 2006GRC Order_Rebuttal Power Costs 3" xfId="2757"/>
    <cellStyle name="_DEM-WP (C) Power Cost 2006GRC Order_Rebuttal Power Costs_Adj Bench DR 3 for Initial Briefs (Electric)" xfId="2758"/>
    <cellStyle name="_DEM-WP (C) Power Cost 2006GRC Order_Rebuttal Power Costs_Adj Bench DR 3 for Initial Briefs (Electric) 2" xfId="2759"/>
    <cellStyle name="_DEM-WP (C) Power Cost 2006GRC Order_Rebuttal Power Costs_Adj Bench DR 3 for Initial Briefs (Electric) 2 2" xfId="2760"/>
    <cellStyle name="_DEM-WP (C) Power Cost 2006GRC Order_Rebuttal Power Costs_Adj Bench DR 3 for Initial Briefs (Electric) 3" xfId="2761"/>
    <cellStyle name="_DEM-WP (C) Power Cost 2006GRC Order_Rebuttal Power Costs_Electric Rev Req Model (2009 GRC) Rebuttal" xfId="2762"/>
    <cellStyle name="_DEM-WP (C) Power Cost 2006GRC Order_Rebuttal Power Costs_Electric Rev Req Model (2009 GRC) Rebuttal 2" xfId="2763"/>
    <cellStyle name="_DEM-WP (C) Power Cost 2006GRC Order_Rebuttal Power Costs_Electric Rev Req Model (2009 GRC) Rebuttal 2 2" xfId="2764"/>
    <cellStyle name="_DEM-WP (C) Power Cost 2006GRC Order_Rebuttal Power Costs_Electric Rev Req Model (2009 GRC) Rebuttal 3" xfId="2765"/>
    <cellStyle name="_DEM-WP (C) Power Cost 2006GRC Order_Rebuttal Power Costs_Electric Rev Req Model (2009 GRC) Rebuttal REmoval of New  WH Solar AdjustMI" xfId="2766"/>
    <cellStyle name="_DEM-WP (C) Power Cost 2006GRC Order_Rebuttal Power Costs_Electric Rev Req Model (2009 GRC) Rebuttal REmoval of New  WH Solar AdjustMI 2" xfId="2767"/>
    <cellStyle name="_DEM-WP (C) Power Cost 2006GRC Order_Rebuttal Power Costs_Electric Rev Req Model (2009 GRC) Rebuttal REmoval of New  WH Solar AdjustMI 2 2" xfId="2768"/>
    <cellStyle name="_DEM-WP (C) Power Cost 2006GRC Order_Rebuttal Power Costs_Electric Rev Req Model (2009 GRC) Rebuttal REmoval of New  WH Solar AdjustMI 3" xfId="2769"/>
    <cellStyle name="_DEM-WP (C) Power Cost 2006GRC Order_Rebuttal Power Costs_Electric Rev Req Model (2009 GRC) Revised 01-18-2010" xfId="2770"/>
    <cellStyle name="_DEM-WP (C) Power Cost 2006GRC Order_Rebuttal Power Costs_Electric Rev Req Model (2009 GRC) Revised 01-18-2010 2" xfId="2771"/>
    <cellStyle name="_DEM-WP (C) Power Cost 2006GRC Order_Rebuttal Power Costs_Electric Rev Req Model (2009 GRC) Revised 01-18-2010 2 2" xfId="2772"/>
    <cellStyle name="_DEM-WP (C) Power Cost 2006GRC Order_Rebuttal Power Costs_Electric Rev Req Model (2009 GRC) Revised 01-18-2010 3" xfId="2773"/>
    <cellStyle name="_DEM-WP (C) Power Cost 2006GRC Order_Rebuttal Power Costs_Final Order Electric EXHIBIT A-1" xfId="2774"/>
    <cellStyle name="_DEM-WP (C) Power Cost 2006GRC Order_Rebuttal Power Costs_Final Order Electric EXHIBIT A-1 2" xfId="2775"/>
    <cellStyle name="_DEM-WP (C) Power Cost 2006GRC Order_Rebuttal Power Costs_Final Order Electric EXHIBIT A-1 2 2" xfId="2776"/>
    <cellStyle name="_DEM-WP (C) Power Cost 2006GRC Order_Rebuttal Power Costs_Final Order Electric EXHIBIT A-1 3" xfId="2777"/>
    <cellStyle name="_DEM-WP (C) Power Cost 2006GRC Order_ROR 5.02" xfId="2778"/>
    <cellStyle name="_DEM-WP (C) Power Cost 2006GRC Order_ROR 5.02 2" xfId="2779"/>
    <cellStyle name="_DEM-WP (C) Power Cost 2006GRC Order_ROR 5.02 2 2" xfId="2780"/>
    <cellStyle name="_DEM-WP (C) Power Cost 2006GRC Order_ROR 5.02 3" xfId="2781"/>
    <cellStyle name="_DEM-WP (C) Power Cost 2006GRC Order_Scenario 1 REC vs PTC Offset" xfId="2782"/>
    <cellStyle name="_DEM-WP (C) Power Cost 2006GRC Order_Scenario 3" xfId="2783"/>
    <cellStyle name="_DEM-WP (C) Power Cost 2006GRC Order_Wind Integration 10GRC" xfId="2784"/>
    <cellStyle name="_DEM-WP (C) Power Cost 2006GRC Order_Wind Integration 10GRC 2" xfId="2785"/>
    <cellStyle name="_DEM-WP Revised (HC) Wild Horse 2006GRC" xfId="2786"/>
    <cellStyle name="_DEM-WP Revised (HC) Wild Horse 2006GRC 2" xfId="2787"/>
    <cellStyle name="_DEM-WP Revised (HC) Wild Horse 2006GRC 2 2" xfId="2788"/>
    <cellStyle name="_DEM-WP Revised (HC) Wild Horse 2006GRC 3" xfId="2789"/>
    <cellStyle name="_DEM-WP Revised (HC) Wild Horse 2006GRC_16.37E Wild Horse Expansion DeferralRevwrkingfile SF" xfId="2790"/>
    <cellStyle name="_DEM-WP Revised (HC) Wild Horse 2006GRC_16.37E Wild Horse Expansion DeferralRevwrkingfile SF 2" xfId="2791"/>
    <cellStyle name="_DEM-WP Revised (HC) Wild Horse 2006GRC_16.37E Wild Horse Expansion DeferralRevwrkingfile SF 2 2" xfId="2792"/>
    <cellStyle name="_DEM-WP Revised (HC) Wild Horse 2006GRC_16.37E Wild Horse Expansion DeferralRevwrkingfile SF 3" xfId="2793"/>
    <cellStyle name="_DEM-WP Revised (HC) Wild Horse 2006GRC_2009 GRC Compl Filing - Exhibit D" xfId="2794"/>
    <cellStyle name="_DEM-WP Revised (HC) Wild Horse 2006GRC_2009 GRC Compl Filing - Exhibit D 2" xfId="2795"/>
    <cellStyle name="_DEM-WP Revised (HC) Wild Horse 2006GRC_Adj Bench DR 3 for Initial Briefs (Electric)" xfId="2796"/>
    <cellStyle name="_DEM-WP Revised (HC) Wild Horse 2006GRC_Adj Bench DR 3 for Initial Briefs (Electric) 2" xfId="2797"/>
    <cellStyle name="_DEM-WP Revised (HC) Wild Horse 2006GRC_Adj Bench DR 3 for Initial Briefs (Electric) 2 2" xfId="2798"/>
    <cellStyle name="_DEM-WP Revised (HC) Wild Horse 2006GRC_Adj Bench DR 3 for Initial Briefs (Electric) 3" xfId="2799"/>
    <cellStyle name="_DEM-WP Revised (HC) Wild Horse 2006GRC_Book1" xfId="2800"/>
    <cellStyle name="_DEM-WP Revised (HC) Wild Horse 2006GRC_Book2" xfId="2801"/>
    <cellStyle name="_DEM-WP Revised (HC) Wild Horse 2006GRC_Book2 2" xfId="2802"/>
    <cellStyle name="_DEM-WP Revised (HC) Wild Horse 2006GRC_Book2 2 2" xfId="2803"/>
    <cellStyle name="_DEM-WP Revised (HC) Wild Horse 2006GRC_Book2 3" xfId="2804"/>
    <cellStyle name="_DEM-WP Revised (HC) Wild Horse 2006GRC_Book4" xfId="2805"/>
    <cellStyle name="_DEM-WP Revised (HC) Wild Horse 2006GRC_Book4 2" xfId="2806"/>
    <cellStyle name="_DEM-WP Revised (HC) Wild Horse 2006GRC_Book4 2 2" xfId="2807"/>
    <cellStyle name="_DEM-WP Revised (HC) Wild Horse 2006GRC_Book4 3" xfId="2808"/>
    <cellStyle name="_DEM-WP Revised (HC) Wild Horse 2006GRC_Electric Rev Req Model (2009 GRC) " xfId="2809"/>
    <cellStyle name="_DEM-WP Revised (HC) Wild Horse 2006GRC_Electric Rev Req Model (2009 GRC)  2" xfId="2810"/>
    <cellStyle name="_DEM-WP Revised (HC) Wild Horse 2006GRC_Electric Rev Req Model (2009 GRC)  2 2" xfId="2811"/>
    <cellStyle name="_DEM-WP Revised (HC) Wild Horse 2006GRC_Electric Rev Req Model (2009 GRC)  3" xfId="2812"/>
    <cellStyle name="_DEM-WP Revised (HC) Wild Horse 2006GRC_Electric Rev Req Model (2009 GRC) Rebuttal" xfId="2813"/>
    <cellStyle name="_DEM-WP Revised (HC) Wild Horse 2006GRC_Electric Rev Req Model (2009 GRC) Rebuttal 2" xfId="2814"/>
    <cellStyle name="_DEM-WP Revised (HC) Wild Horse 2006GRC_Electric Rev Req Model (2009 GRC) Rebuttal 2 2" xfId="2815"/>
    <cellStyle name="_DEM-WP Revised (HC) Wild Horse 2006GRC_Electric Rev Req Model (2009 GRC) Rebuttal 3" xfId="2816"/>
    <cellStyle name="_DEM-WP Revised (HC) Wild Horse 2006GRC_Electric Rev Req Model (2009 GRC) Rebuttal REmoval of New  WH Solar AdjustMI" xfId="2817"/>
    <cellStyle name="_DEM-WP Revised (HC) Wild Horse 2006GRC_Electric Rev Req Model (2009 GRC) Rebuttal REmoval of New  WH Solar AdjustMI 2" xfId="2818"/>
    <cellStyle name="_DEM-WP Revised (HC) Wild Horse 2006GRC_Electric Rev Req Model (2009 GRC) Rebuttal REmoval of New  WH Solar AdjustMI 2 2" xfId="2819"/>
    <cellStyle name="_DEM-WP Revised (HC) Wild Horse 2006GRC_Electric Rev Req Model (2009 GRC) Rebuttal REmoval of New  WH Solar AdjustMI 3" xfId="2820"/>
    <cellStyle name="_DEM-WP Revised (HC) Wild Horse 2006GRC_Electric Rev Req Model (2009 GRC) Revised 01-18-2010" xfId="2821"/>
    <cellStyle name="_DEM-WP Revised (HC) Wild Horse 2006GRC_Electric Rev Req Model (2009 GRC) Revised 01-18-2010 2" xfId="2822"/>
    <cellStyle name="_DEM-WP Revised (HC) Wild Horse 2006GRC_Electric Rev Req Model (2009 GRC) Revised 01-18-2010 2 2" xfId="2823"/>
    <cellStyle name="_DEM-WP Revised (HC) Wild Horse 2006GRC_Electric Rev Req Model (2009 GRC) Revised 01-18-2010 3" xfId="2824"/>
    <cellStyle name="_DEM-WP Revised (HC) Wild Horse 2006GRC_Electric Rev Req Model (2010 GRC)" xfId="2825"/>
    <cellStyle name="_DEM-WP Revised (HC) Wild Horse 2006GRC_Electric Rev Req Model (2010 GRC) SF" xfId="2826"/>
    <cellStyle name="_DEM-WP Revised (HC) Wild Horse 2006GRC_Final Order Electric" xfId="2827"/>
    <cellStyle name="_DEM-WP Revised (HC) Wild Horse 2006GRC_Final Order Electric EXHIBIT A-1" xfId="2828"/>
    <cellStyle name="_DEM-WP Revised (HC) Wild Horse 2006GRC_Final Order Electric EXHIBIT A-1 2" xfId="2829"/>
    <cellStyle name="_DEM-WP Revised (HC) Wild Horse 2006GRC_Final Order Electric EXHIBIT A-1 2 2" xfId="2830"/>
    <cellStyle name="_DEM-WP Revised (HC) Wild Horse 2006GRC_Final Order Electric EXHIBIT A-1 3" xfId="2831"/>
    <cellStyle name="_DEM-WP Revised (HC) Wild Horse 2006GRC_NIM Summary" xfId="2832"/>
    <cellStyle name="_DEM-WP Revised (HC) Wild Horse 2006GRC_NIM Summary 2" xfId="2833"/>
    <cellStyle name="_DEM-WP Revised (HC) Wild Horse 2006GRC_Power Costs - Comparison bx Rbtl-Staff-Jt-PC" xfId="2834"/>
    <cellStyle name="_DEM-WP Revised (HC) Wild Horse 2006GRC_Power Costs - Comparison bx Rbtl-Staff-Jt-PC 2" xfId="2835"/>
    <cellStyle name="_DEM-WP Revised (HC) Wild Horse 2006GRC_Power Costs - Comparison bx Rbtl-Staff-Jt-PC 2 2" xfId="2836"/>
    <cellStyle name="_DEM-WP Revised (HC) Wild Horse 2006GRC_Power Costs - Comparison bx Rbtl-Staff-Jt-PC 3" xfId="2837"/>
    <cellStyle name="_DEM-WP Revised (HC) Wild Horse 2006GRC_Rebuttal Power Costs" xfId="2838"/>
    <cellStyle name="_DEM-WP Revised (HC) Wild Horse 2006GRC_Rebuttal Power Costs 2" xfId="2839"/>
    <cellStyle name="_DEM-WP Revised (HC) Wild Horse 2006GRC_Rebuttal Power Costs 2 2" xfId="2840"/>
    <cellStyle name="_DEM-WP Revised (HC) Wild Horse 2006GRC_Rebuttal Power Costs 3" xfId="2841"/>
    <cellStyle name="_DEM-WP Revised (HC) Wild Horse 2006GRC_TENASKA REGULATORY ASSET" xfId="2842"/>
    <cellStyle name="_DEM-WP Revised (HC) Wild Horse 2006GRC_TENASKA REGULATORY ASSET 2" xfId="2843"/>
    <cellStyle name="_DEM-WP Revised (HC) Wild Horse 2006GRC_TENASKA REGULATORY ASSET 2 2" xfId="2844"/>
    <cellStyle name="_DEM-WP Revised (HC) Wild Horse 2006GRC_TENASKA REGULATORY ASSET 3" xfId="2845"/>
    <cellStyle name="_x0013__DEM-WP(C) Colstrip 12 Coal Cost Forecast 2010GRC" xfId="2846"/>
    <cellStyle name="_DEM-WP(C) Colstrip FOR" xfId="2847"/>
    <cellStyle name="_DEM-WP(C) Colstrip FOR 2" xfId="2848"/>
    <cellStyle name="_DEM-WP(C) Colstrip FOR 2 2" xfId="2849"/>
    <cellStyle name="_DEM-WP(C) Colstrip FOR 3" xfId="2850"/>
    <cellStyle name="_DEM-WP(C) Colstrip FOR Apr08 update" xfId="2851"/>
    <cellStyle name="_DEM-WP(C) Colstrip FOR_(C) WHE Proforma with ITC cash grant 10 Yr Amort_for rebuttal_120709" xfId="2852"/>
    <cellStyle name="_DEM-WP(C) Colstrip FOR_(C) WHE Proforma with ITC cash grant 10 Yr Amort_for rebuttal_120709 2" xfId="2853"/>
    <cellStyle name="_DEM-WP(C) Colstrip FOR_(C) WHE Proforma with ITC cash grant 10 Yr Amort_for rebuttal_120709 2 2" xfId="2854"/>
    <cellStyle name="_DEM-WP(C) Colstrip FOR_(C) WHE Proforma with ITC cash grant 10 Yr Amort_for rebuttal_120709 3" xfId="2855"/>
    <cellStyle name="_DEM-WP(C) Colstrip FOR_16.07E Wild Horse Wind Expansionwrkingfile" xfId="2856"/>
    <cellStyle name="_DEM-WP(C) Colstrip FOR_16.07E Wild Horse Wind Expansionwrkingfile 2" xfId="2857"/>
    <cellStyle name="_DEM-WP(C) Colstrip FOR_16.07E Wild Horse Wind Expansionwrkingfile 2 2" xfId="2858"/>
    <cellStyle name="_DEM-WP(C) Colstrip FOR_16.07E Wild Horse Wind Expansionwrkingfile 3" xfId="2859"/>
    <cellStyle name="_DEM-WP(C) Colstrip FOR_16.07E Wild Horse Wind Expansionwrkingfile SF" xfId="2860"/>
    <cellStyle name="_DEM-WP(C) Colstrip FOR_16.07E Wild Horse Wind Expansionwrkingfile SF 2" xfId="2861"/>
    <cellStyle name="_DEM-WP(C) Colstrip FOR_16.07E Wild Horse Wind Expansionwrkingfile SF 2 2" xfId="2862"/>
    <cellStyle name="_DEM-WP(C) Colstrip FOR_16.07E Wild Horse Wind Expansionwrkingfile SF 3" xfId="2863"/>
    <cellStyle name="_DEM-WP(C) Colstrip FOR_16.37E Wild Horse Expansion DeferralRevwrkingfile SF" xfId="2864"/>
    <cellStyle name="_DEM-WP(C) Colstrip FOR_16.37E Wild Horse Expansion DeferralRevwrkingfile SF 2" xfId="2865"/>
    <cellStyle name="_DEM-WP(C) Colstrip FOR_16.37E Wild Horse Expansion DeferralRevwrkingfile SF 2 2" xfId="2866"/>
    <cellStyle name="_DEM-WP(C) Colstrip FOR_16.37E Wild Horse Expansion DeferralRevwrkingfile SF 3" xfId="2867"/>
    <cellStyle name="_DEM-WP(C) Colstrip FOR_Adj Bench DR 3 for Initial Briefs (Electric)" xfId="2868"/>
    <cellStyle name="_DEM-WP(C) Colstrip FOR_Adj Bench DR 3 for Initial Briefs (Electric) 2" xfId="2869"/>
    <cellStyle name="_DEM-WP(C) Colstrip FOR_Adj Bench DR 3 for Initial Briefs (Electric) 2 2" xfId="2870"/>
    <cellStyle name="_DEM-WP(C) Colstrip FOR_Adj Bench DR 3 for Initial Briefs (Electric) 3" xfId="2871"/>
    <cellStyle name="_DEM-WP(C) Colstrip FOR_Book2" xfId="2872"/>
    <cellStyle name="_DEM-WP(C) Colstrip FOR_Book2 2" xfId="2873"/>
    <cellStyle name="_DEM-WP(C) Colstrip FOR_Book2 2 2" xfId="2874"/>
    <cellStyle name="_DEM-WP(C) Colstrip FOR_Book2 3" xfId="2875"/>
    <cellStyle name="_DEM-WP(C) Colstrip FOR_Book2_Adj Bench DR 3 for Initial Briefs (Electric)" xfId="2876"/>
    <cellStyle name="_DEM-WP(C) Colstrip FOR_Book2_Adj Bench DR 3 for Initial Briefs (Electric) 2" xfId="2877"/>
    <cellStyle name="_DEM-WP(C) Colstrip FOR_Book2_Adj Bench DR 3 for Initial Briefs (Electric) 2 2" xfId="2878"/>
    <cellStyle name="_DEM-WP(C) Colstrip FOR_Book2_Adj Bench DR 3 for Initial Briefs (Electric) 3" xfId="2879"/>
    <cellStyle name="_DEM-WP(C) Colstrip FOR_Book2_Electric Rev Req Model (2009 GRC) Rebuttal" xfId="2880"/>
    <cellStyle name="_DEM-WP(C) Colstrip FOR_Book2_Electric Rev Req Model (2009 GRC) Rebuttal 2" xfId="2881"/>
    <cellStyle name="_DEM-WP(C) Colstrip FOR_Book2_Electric Rev Req Model (2009 GRC) Rebuttal 2 2" xfId="2882"/>
    <cellStyle name="_DEM-WP(C) Colstrip FOR_Book2_Electric Rev Req Model (2009 GRC) Rebuttal 3" xfId="2883"/>
    <cellStyle name="_DEM-WP(C) Colstrip FOR_Book2_Electric Rev Req Model (2009 GRC) Rebuttal REmoval of New  WH Solar AdjustMI" xfId="2884"/>
    <cellStyle name="_DEM-WP(C) Colstrip FOR_Book2_Electric Rev Req Model (2009 GRC) Rebuttal REmoval of New  WH Solar AdjustMI 2" xfId="2885"/>
    <cellStyle name="_DEM-WP(C) Colstrip FOR_Book2_Electric Rev Req Model (2009 GRC) Rebuttal REmoval of New  WH Solar AdjustMI 2 2" xfId="2886"/>
    <cellStyle name="_DEM-WP(C) Colstrip FOR_Book2_Electric Rev Req Model (2009 GRC) Rebuttal REmoval of New  WH Solar AdjustMI 3" xfId="2887"/>
    <cellStyle name="_DEM-WP(C) Colstrip FOR_Book2_Electric Rev Req Model (2009 GRC) Revised 01-18-2010" xfId="2888"/>
    <cellStyle name="_DEM-WP(C) Colstrip FOR_Book2_Electric Rev Req Model (2009 GRC) Revised 01-18-2010 2" xfId="2889"/>
    <cellStyle name="_DEM-WP(C) Colstrip FOR_Book2_Electric Rev Req Model (2009 GRC) Revised 01-18-2010 2 2" xfId="2890"/>
    <cellStyle name="_DEM-WP(C) Colstrip FOR_Book2_Electric Rev Req Model (2009 GRC) Revised 01-18-2010 3" xfId="2891"/>
    <cellStyle name="_DEM-WP(C) Colstrip FOR_Book2_Final Order Electric EXHIBIT A-1" xfId="2892"/>
    <cellStyle name="_DEM-WP(C) Colstrip FOR_Book2_Final Order Electric EXHIBIT A-1 2" xfId="2893"/>
    <cellStyle name="_DEM-WP(C) Colstrip FOR_Book2_Final Order Electric EXHIBIT A-1 2 2" xfId="2894"/>
    <cellStyle name="_DEM-WP(C) Colstrip FOR_Book2_Final Order Electric EXHIBIT A-1 3" xfId="2895"/>
    <cellStyle name="_DEM-WP(C) Colstrip FOR_Confidential Material" xfId="2896"/>
    <cellStyle name="_DEM-WP(C) Colstrip FOR_DEM-WP(C) Colstrip 12 Coal Cost Forecast 2010GRC" xfId="2897"/>
    <cellStyle name="_DEM-WP(C) Colstrip FOR_DEM-WP(C) Production O&amp;M 2010GRC As-Filed" xfId="2898"/>
    <cellStyle name="_DEM-WP(C) Colstrip FOR_DEM-WP(C) Production O&amp;M 2010GRC As-Filed 2" xfId="2899"/>
    <cellStyle name="_DEM-WP(C) Colstrip FOR_Electric Rev Req Model (2009 GRC) Rebuttal" xfId="2900"/>
    <cellStyle name="_DEM-WP(C) Colstrip FOR_Electric Rev Req Model (2009 GRC) Rebuttal 2" xfId="2901"/>
    <cellStyle name="_DEM-WP(C) Colstrip FOR_Electric Rev Req Model (2009 GRC) Rebuttal 2 2" xfId="2902"/>
    <cellStyle name="_DEM-WP(C) Colstrip FOR_Electric Rev Req Model (2009 GRC) Rebuttal 3" xfId="2903"/>
    <cellStyle name="_DEM-WP(C) Colstrip FOR_Electric Rev Req Model (2009 GRC) Rebuttal REmoval of New  WH Solar AdjustMI" xfId="2904"/>
    <cellStyle name="_DEM-WP(C) Colstrip FOR_Electric Rev Req Model (2009 GRC) Rebuttal REmoval of New  WH Solar AdjustMI 2" xfId="2905"/>
    <cellStyle name="_DEM-WP(C) Colstrip FOR_Electric Rev Req Model (2009 GRC) Rebuttal REmoval of New  WH Solar AdjustMI 2 2" xfId="2906"/>
    <cellStyle name="_DEM-WP(C) Colstrip FOR_Electric Rev Req Model (2009 GRC) Rebuttal REmoval of New  WH Solar AdjustMI 3" xfId="2907"/>
    <cellStyle name="_DEM-WP(C) Colstrip FOR_Electric Rev Req Model (2009 GRC) Revised 01-18-2010" xfId="2908"/>
    <cellStyle name="_DEM-WP(C) Colstrip FOR_Electric Rev Req Model (2009 GRC) Revised 01-18-2010 2" xfId="2909"/>
    <cellStyle name="_DEM-WP(C) Colstrip FOR_Electric Rev Req Model (2009 GRC) Revised 01-18-2010 2 2" xfId="2910"/>
    <cellStyle name="_DEM-WP(C) Colstrip FOR_Electric Rev Req Model (2009 GRC) Revised 01-18-2010 3" xfId="2911"/>
    <cellStyle name="_DEM-WP(C) Colstrip FOR_Final Order Electric EXHIBIT A-1" xfId="2912"/>
    <cellStyle name="_DEM-WP(C) Colstrip FOR_Final Order Electric EXHIBIT A-1 2" xfId="2913"/>
    <cellStyle name="_DEM-WP(C) Colstrip FOR_Final Order Electric EXHIBIT A-1 2 2" xfId="2914"/>
    <cellStyle name="_DEM-WP(C) Colstrip FOR_Final Order Electric EXHIBIT A-1 3" xfId="2915"/>
    <cellStyle name="_DEM-WP(C) Colstrip FOR_Rebuttal Power Costs" xfId="2916"/>
    <cellStyle name="_DEM-WP(C) Colstrip FOR_Rebuttal Power Costs 2" xfId="2917"/>
    <cellStyle name="_DEM-WP(C) Colstrip FOR_Rebuttal Power Costs 2 2" xfId="2918"/>
    <cellStyle name="_DEM-WP(C) Colstrip FOR_Rebuttal Power Costs 3" xfId="2919"/>
    <cellStyle name="_DEM-WP(C) Colstrip FOR_Rebuttal Power Costs_Adj Bench DR 3 for Initial Briefs (Electric)" xfId="2920"/>
    <cellStyle name="_DEM-WP(C) Colstrip FOR_Rebuttal Power Costs_Adj Bench DR 3 for Initial Briefs (Electric) 2" xfId="2921"/>
    <cellStyle name="_DEM-WP(C) Colstrip FOR_Rebuttal Power Costs_Adj Bench DR 3 for Initial Briefs (Electric) 2 2" xfId="2922"/>
    <cellStyle name="_DEM-WP(C) Colstrip FOR_Rebuttal Power Costs_Adj Bench DR 3 for Initial Briefs (Electric) 3" xfId="2923"/>
    <cellStyle name="_DEM-WP(C) Colstrip FOR_Rebuttal Power Costs_Electric Rev Req Model (2009 GRC) Rebuttal" xfId="2924"/>
    <cellStyle name="_DEM-WP(C) Colstrip FOR_Rebuttal Power Costs_Electric Rev Req Model (2009 GRC) Rebuttal 2" xfId="2925"/>
    <cellStyle name="_DEM-WP(C) Colstrip FOR_Rebuttal Power Costs_Electric Rev Req Model (2009 GRC) Rebuttal 2 2" xfId="2926"/>
    <cellStyle name="_DEM-WP(C) Colstrip FOR_Rebuttal Power Costs_Electric Rev Req Model (2009 GRC) Rebuttal 3" xfId="2927"/>
    <cellStyle name="_DEM-WP(C) Colstrip FOR_Rebuttal Power Costs_Electric Rev Req Model (2009 GRC) Rebuttal REmoval of New  WH Solar AdjustMI" xfId="2928"/>
    <cellStyle name="_DEM-WP(C) Colstrip FOR_Rebuttal Power Costs_Electric Rev Req Model (2009 GRC) Rebuttal REmoval of New  WH Solar AdjustMI 2" xfId="2929"/>
    <cellStyle name="_DEM-WP(C) Colstrip FOR_Rebuttal Power Costs_Electric Rev Req Model (2009 GRC) Rebuttal REmoval of New  WH Solar AdjustMI 2 2" xfId="2930"/>
    <cellStyle name="_DEM-WP(C) Colstrip FOR_Rebuttal Power Costs_Electric Rev Req Model (2009 GRC) Rebuttal REmoval of New  WH Solar AdjustMI 3" xfId="2931"/>
    <cellStyle name="_DEM-WP(C) Colstrip FOR_Rebuttal Power Costs_Electric Rev Req Model (2009 GRC) Revised 01-18-2010" xfId="2932"/>
    <cellStyle name="_DEM-WP(C) Colstrip FOR_Rebuttal Power Costs_Electric Rev Req Model (2009 GRC) Revised 01-18-2010 2" xfId="2933"/>
    <cellStyle name="_DEM-WP(C) Colstrip FOR_Rebuttal Power Costs_Electric Rev Req Model (2009 GRC) Revised 01-18-2010 2 2" xfId="2934"/>
    <cellStyle name="_DEM-WP(C) Colstrip FOR_Rebuttal Power Costs_Electric Rev Req Model (2009 GRC) Revised 01-18-2010 3" xfId="2935"/>
    <cellStyle name="_DEM-WP(C) Colstrip FOR_Rebuttal Power Costs_Final Order Electric EXHIBIT A-1" xfId="2936"/>
    <cellStyle name="_DEM-WP(C) Colstrip FOR_Rebuttal Power Costs_Final Order Electric EXHIBIT A-1 2" xfId="2937"/>
    <cellStyle name="_DEM-WP(C) Colstrip FOR_Rebuttal Power Costs_Final Order Electric EXHIBIT A-1 2 2" xfId="2938"/>
    <cellStyle name="_DEM-WP(C) Colstrip FOR_Rebuttal Power Costs_Final Order Electric EXHIBIT A-1 3" xfId="2939"/>
    <cellStyle name="_DEM-WP(C) Colstrip FOR_TENASKA REGULATORY ASSET" xfId="2940"/>
    <cellStyle name="_DEM-WP(C) Colstrip FOR_TENASKA REGULATORY ASSET 2" xfId="2941"/>
    <cellStyle name="_DEM-WP(C) Colstrip FOR_TENASKA REGULATORY ASSET 2 2" xfId="2942"/>
    <cellStyle name="_DEM-WP(C) Colstrip FOR_TENASKA REGULATORY ASSET 3" xfId="2943"/>
    <cellStyle name="_DEM-WP(C) Costs not in AURORA 2006GRC" xfId="2944"/>
    <cellStyle name="_DEM-WP(C) Costs not in AURORA 2006GRC 2" xfId="2945"/>
    <cellStyle name="_DEM-WP(C) Costs not in AURORA 2006GRC 2 2" xfId="2946"/>
    <cellStyle name="_DEM-WP(C) Costs not in AURORA 2006GRC 2 2 2" xfId="2947"/>
    <cellStyle name="_DEM-WP(C) Costs not in AURORA 2006GRC 2 3" xfId="2948"/>
    <cellStyle name="_DEM-WP(C) Costs not in AURORA 2006GRC 3" xfId="2949"/>
    <cellStyle name="_DEM-WP(C) Costs not in AURORA 2006GRC 3 2" xfId="2950"/>
    <cellStyle name="_DEM-WP(C) Costs not in AURORA 2006GRC 4" xfId="2951"/>
    <cellStyle name="_DEM-WP(C) Costs not in AURORA 2006GRC 4 2" xfId="2952"/>
    <cellStyle name="_DEM-WP(C) Costs not in AURORA 2006GRC 5" xfId="2953"/>
    <cellStyle name="_DEM-WP(C) Costs not in AURORA 2006GRC_(C) WHE Proforma with ITC cash grant 10 Yr Amort_for deferral_102809" xfId="2954"/>
    <cellStyle name="_DEM-WP(C) Costs not in AURORA 2006GRC_(C) WHE Proforma with ITC cash grant 10 Yr Amort_for deferral_102809 2" xfId="2955"/>
    <cellStyle name="_DEM-WP(C) Costs not in AURORA 2006GRC_(C) WHE Proforma with ITC cash grant 10 Yr Amort_for deferral_102809 2 2" xfId="2956"/>
    <cellStyle name="_DEM-WP(C) Costs not in AURORA 2006GRC_(C) WHE Proforma with ITC cash grant 10 Yr Amort_for deferral_102809 3" xfId="2957"/>
    <cellStyle name="_DEM-WP(C) Costs not in AURORA 2006GRC_(C) WHE Proforma with ITC cash grant 10 Yr Amort_for deferral_102809_16.07E Wild Horse Wind Expansionwrkingfile" xfId="2958"/>
    <cellStyle name="_DEM-WP(C) Costs not in AURORA 2006GRC_(C) WHE Proforma with ITC cash grant 10 Yr Amort_for deferral_102809_16.07E Wild Horse Wind Expansionwrkingfile 2" xfId="2959"/>
    <cellStyle name="_DEM-WP(C) Costs not in AURORA 2006GRC_(C) WHE Proforma with ITC cash grant 10 Yr Amort_for deferral_102809_16.07E Wild Horse Wind Expansionwrkingfile 2 2" xfId="2960"/>
    <cellStyle name="_DEM-WP(C) Costs not in AURORA 2006GRC_(C) WHE Proforma with ITC cash grant 10 Yr Amort_for deferral_102809_16.07E Wild Horse Wind Expansionwrkingfile 3" xfId="2961"/>
    <cellStyle name="_DEM-WP(C) Costs not in AURORA 2006GRC_(C) WHE Proforma with ITC cash grant 10 Yr Amort_for deferral_102809_16.07E Wild Horse Wind Expansionwrkingfile SF" xfId="2962"/>
    <cellStyle name="_DEM-WP(C) Costs not in AURORA 2006GRC_(C) WHE Proforma with ITC cash grant 10 Yr Amort_for deferral_102809_16.07E Wild Horse Wind Expansionwrkingfile SF 2" xfId="2963"/>
    <cellStyle name="_DEM-WP(C) Costs not in AURORA 2006GRC_(C) WHE Proforma with ITC cash grant 10 Yr Amort_for deferral_102809_16.07E Wild Horse Wind Expansionwrkingfile SF 2 2" xfId="2964"/>
    <cellStyle name="_DEM-WP(C) Costs not in AURORA 2006GRC_(C) WHE Proforma with ITC cash grant 10 Yr Amort_for deferral_102809_16.07E Wild Horse Wind Expansionwrkingfile SF 3" xfId="2965"/>
    <cellStyle name="_DEM-WP(C) Costs not in AURORA 2006GRC_(C) WHE Proforma with ITC cash grant 10 Yr Amort_for deferral_102809_16.37E Wild Horse Expansion DeferralRevwrkingfile SF" xfId="2966"/>
    <cellStyle name="_DEM-WP(C) Costs not in AURORA 2006GRC_(C) WHE Proforma with ITC cash grant 10 Yr Amort_for deferral_102809_16.37E Wild Horse Expansion DeferralRevwrkingfile SF 2" xfId="2967"/>
    <cellStyle name="_DEM-WP(C) Costs not in AURORA 2006GRC_(C) WHE Proforma with ITC cash grant 10 Yr Amort_for deferral_102809_16.37E Wild Horse Expansion DeferralRevwrkingfile SF 2 2" xfId="2968"/>
    <cellStyle name="_DEM-WP(C) Costs not in AURORA 2006GRC_(C) WHE Proforma with ITC cash grant 10 Yr Amort_for deferral_102809_16.37E Wild Horse Expansion DeferralRevwrkingfile SF 3" xfId="2969"/>
    <cellStyle name="_DEM-WP(C) Costs not in AURORA 2006GRC_(C) WHE Proforma with ITC cash grant 10 Yr Amort_for rebuttal_120709" xfId="2970"/>
    <cellStyle name="_DEM-WP(C) Costs not in AURORA 2006GRC_(C) WHE Proforma with ITC cash grant 10 Yr Amort_for rebuttal_120709 2" xfId="2971"/>
    <cellStyle name="_DEM-WP(C) Costs not in AURORA 2006GRC_(C) WHE Proforma with ITC cash grant 10 Yr Amort_for rebuttal_120709 2 2" xfId="2972"/>
    <cellStyle name="_DEM-WP(C) Costs not in AURORA 2006GRC_(C) WHE Proforma with ITC cash grant 10 Yr Amort_for rebuttal_120709 3" xfId="2973"/>
    <cellStyle name="_DEM-WP(C) Costs not in AURORA 2006GRC_04.07E Wild Horse Wind Expansion" xfId="2974"/>
    <cellStyle name="_DEM-WP(C) Costs not in AURORA 2006GRC_04.07E Wild Horse Wind Expansion 2" xfId="2975"/>
    <cellStyle name="_DEM-WP(C) Costs not in AURORA 2006GRC_04.07E Wild Horse Wind Expansion 2 2" xfId="2976"/>
    <cellStyle name="_DEM-WP(C) Costs not in AURORA 2006GRC_04.07E Wild Horse Wind Expansion 3" xfId="2977"/>
    <cellStyle name="_DEM-WP(C) Costs not in AURORA 2006GRC_04.07E Wild Horse Wind Expansion_16.07E Wild Horse Wind Expansionwrkingfile" xfId="2978"/>
    <cellStyle name="_DEM-WP(C) Costs not in AURORA 2006GRC_04.07E Wild Horse Wind Expansion_16.07E Wild Horse Wind Expansionwrkingfile 2" xfId="2979"/>
    <cellStyle name="_DEM-WP(C) Costs not in AURORA 2006GRC_04.07E Wild Horse Wind Expansion_16.07E Wild Horse Wind Expansionwrkingfile 2 2" xfId="2980"/>
    <cellStyle name="_DEM-WP(C) Costs not in AURORA 2006GRC_04.07E Wild Horse Wind Expansion_16.07E Wild Horse Wind Expansionwrkingfile 3" xfId="2981"/>
    <cellStyle name="_DEM-WP(C) Costs not in AURORA 2006GRC_04.07E Wild Horse Wind Expansion_16.07E Wild Horse Wind Expansionwrkingfile SF" xfId="2982"/>
    <cellStyle name="_DEM-WP(C) Costs not in AURORA 2006GRC_04.07E Wild Horse Wind Expansion_16.07E Wild Horse Wind Expansionwrkingfile SF 2" xfId="2983"/>
    <cellStyle name="_DEM-WP(C) Costs not in AURORA 2006GRC_04.07E Wild Horse Wind Expansion_16.07E Wild Horse Wind Expansionwrkingfile SF 2 2" xfId="2984"/>
    <cellStyle name="_DEM-WP(C) Costs not in AURORA 2006GRC_04.07E Wild Horse Wind Expansion_16.07E Wild Horse Wind Expansionwrkingfile SF 3" xfId="2985"/>
    <cellStyle name="_DEM-WP(C) Costs not in AURORA 2006GRC_04.07E Wild Horse Wind Expansion_16.37E Wild Horse Expansion DeferralRevwrkingfile SF" xfId="2986"/>
    <cellStyle name="_DEM-WP(C) Costs not in AURORA 2006GRC_04.07E Wild Horse Wind Expansion_16.37E Wild Horse Expansion DeferralRevwrkingfile SF 2" xfId="2987"/>
    <cellStyle name="_DEM-WP(C) Costs not in AURORA 2006GRC_04.07E Wild Horse Wind Expansion_16.37E Wild Horse Expansion DeferralRevwrkingfile SF 2 2" xfId="2988"/>
    <cellStyle name="_DEM-WP(C) Costs not in AURORA 2006GRC_04.07E Wild Horse Wind Expansion_16.37E Wild Horse Expansion DeferralRevwrkingfile SF 3" xfId="2989"/>
    <cellStyle name="_DEM-WP(C) Costs not in AURORA 2006GRC_16.07E Wild Horse Wind Expansionwrkingfile" xfId="2990"/>
    <cellStyle name="_DEM-WP(C) Costs not in AURORA 2006GRC_16.07E Wild Horse Wind Expansionwrkingfile 2" xfId="2991"/>
    <cellStyle name="_DEM-WP(C) Costs not in AURORA 2006GRC_16.07E Wild Horse Wind Expansionwrkingfile 2 2" xfId="2992"/>
    <cellStyle name="_DEM-WP(C) Costs not in AURORA 2006GRC_16.07E Wild Horse Wind Expansionwrkingfile 3" xfId="2993"/>
    <cellStyle name="_DEM-WP(C) Costs not in AURORA 2006GRC_16.07E Wild Horse Wind Expansionwrkingfile SF" xfId="2994"/>
    <cellStyle name="_DEM-WP(C) Costs not in AURORA 2006GRC_16.07E Wild Horse Wind Expansionwrkingfile SF 2" xfId="2995"/>
    <cellStyle name="_DEM-WP(C) Costs not in AURORA 2006GRC_16.07E Wild Horse Wind Expansionwrkingfile SF 2 2" xfId="2996"/>
    <cellStyle name="_DEM-WP(C) Costs not in AURORA 2006GRC_16.07E Wild Horse Wind Expansionwrkingfile SF 3" xfId="2997"/>
    <cellStyle name="_DEM-WP(C) Costs not in AURORA 2006GRC_16.37E Wild Horse Expansion DeferralRevwrkingfile SF" xfId="2998"/>
    <cellStyle name="_DEM-WP(C) Costs not in AURORA 2006GRC_16.37E Wild Horse Expansion DeferralRevwrkingfile SF 2" xfId="2999"/>
    <cellStyle name="_DEM-WP(C) Costs not in AURORA 2006GRC_16.37E Wild Horse Expansion DeferralRevwrkingfile SF 2 2" xfId="3000"/>
    <cellStyle name="_DEM-WP(C) Costs not in AURORA 2006GRC_16.37E Wild Horse Expansion DeferralRevwrkingfile SF 3" xfId="3001"/>
    <cellStyle name="_DEM-WP(C) Costs not in AURORA 2006GRC_2009 Compliance Filing PCA Exhibits for GRC" xfId="3002"/>
    <cellStyle name="_DEM-WP(C) Costs not in AURORA 2006GRC_2009 GRC Compl Filing - Exhibit D" xfId="3003"/>
    <cellStyle name="_DEM-WP(C) Costs not in AURORA 2006GRC_2009 GRC Compl Filing - Exhibit D 2" xfId="3004"/>
    <cellStyle name="_DEM-WP(C) Costs not in AURORA 2006GRC_3.01 Income Statement" xfId="3005"/>
    <cellStyle name="_DEM-WP(C) Costs not in AURORA 2006GRC_4 31 Regulatory Assets and Liabilities  7 06- Exhibit D" xfId="3006"/>
    <cellStyle name="_DEM-WP(C) Costs not in AURORA 2006GRC_4 31 Regulatory Assets and Liabilities  7 06- Exhibit D 2" xfId="3007"/>
    <cellStyle name="_DEM-WP(C) Costs not in AURORA 2006GRC_4 31 Regulatory Assets and Liabilities  7 06- Exhibit D 2 2" xfId="3008"/>
    <cellStyle name="_DEM-WP(C) Costs not in AURORA 2006GRC_4 31 Regulatory Assets and Liabilities  7 06- Exhibit D 3" xfId="3009"/>
    <cellStyle name="_DEM-WP(C) Costs not in AURORA 2006GRC_4 31 Regulatory Assets and Liabilities  7 06- Exhibit D_NIM Summary" xfId="3010"/>
    <cellStyle name="_DEM-WP(C) Costs not in AURORA 2006GRC_4 31 Regulatory Assets and Liabilities  7 06- Exhibit D_NIM Summary 2" xfId="3011"/>
    <cellStyle name="_DEM-WP(C) Costs not in AURORA 2006GRC_4 32 Regulatory Assets and Liabilities  7 06- Exhibit D" xfId="3012"/>
    <cellStyle name="_DEM-WP(C) Costs not in AURORA 2006GRC_4 32 Regulatory Assets and Liabilities  7 06- Exhibit D 2" xfId="3013"/>
    <cellStyle name="_DEM-WP(C) Costs not in AURORA 2006GRC_4 32 Regulatory Assets and Liabilities  7 06- Exhibit D 2 2" xfId="3014"/>
    <cellStyle name="_DEM-WP(C) Costs not in AURORA 2006GRC_4 32 Regulatory Assets and Liabilities  7 06- Exhibit D 3" xfId="3015"/>
    <cellStyle name="_DEM-WP(C) Costs not in AURORA 2006GRC_4 32 Regulatory Assets and Liabilities  7 06- Exhibit D_NIM Summary" xfId="3016"/>
    <cellStyle name="_DEM-WP(C) Costs not in AURORA 2006GRC_4 32 Regulatory Assets and Liabilities  7 06- Exhibit D_NIM Summary 2" xfId="3017"/>
    <cellStyle name="_DEM-WP(C) Costs not in AURORA 2006GRC_AURORA Total New" xfId="3018"/>
    <cellStyle name="_DEM-WP(C) Costs not in AURORA 2006GRC_AURORA Total New 2" xfId="3019"/>
    <cellStyle name="_DEM-WP(C) Costs not in AURORA 2006GRC_Book2" xfId="3020"/>
    <cellStyle name="_DEM-WP(C) Costs not in AURORA 2006GRC_Book2 2" xfId="3021"/>
    <cellStyle name="_DEM-WP(C) Costs not in AURORA 2006GRC_Book2 2 2" xfId="3022"/>
    <cellStyle name="_DEM-WP(C) Costs not in AURORA 2006GRC_Book2 3" xfId="3023"/>
    <cellStyle name="_DEM-WP(C) Costs not in AURORA 2006GRC_Book2_Adj Bench DR 3 for Initial Briefs (Electric)" xfId="3024"/>
    <cellStyle name="_DEM-WP(C) Costs not in AURORA 2006GRC_Book2_Adj Bench DR 3 for Initial Briefs (Electric) 2" xfId="3025"/>
    <cellStyle name="_DEM-WP(C) Costs not in AURORA 2006GRC_Book2_Adj Bench DR 3 for Initial Briefs (Electric) 2 2" xfId="3026"/>
    <cellStyle name="_DEM-WP(C) Costs not in AURORA 2006GRC_Book2_Adj Bench DR 3 for Initial Briefs (Electric) 3" xfId="3027"/>
    <cellStyle name="_DEM-WP(C) Costs not in AURORA 2006GRC_Book2_Electric Rev Req Model (2009 GRC) Rebuttal" xfId="3028"/>
    <cellStyle name="_DEM-WP(C) Costs not in AURORA 2006GRC_Book2_Electric Rev Req Model (2009 GRC) Rebuttal 2" xfId="3029"/>
    <cellStyle name="_DEM-WP(C) Costs not in AURORA 2006GRC_Book2_Electric Rev Req Model (2009 GRC) Rebuttal 2 2" xfId="3030"/>
    <cellStyle name="_DEM-WP(C) Costs not in AURORA 2006GRC_Book2_Electric Rev Req Model (2009 GRC) Rebuttal 3" xfId="3031"/>
    <cellStyle name="_DEM-WP(C) Costs not in AURORA 2006GRC_Book2_Electric Rev Req Model (2009 GRC) Rebuttal REmoval of New  WH Solar AdjustMI" xfId="3032"/>
    <cellStyle name="_DEM-WP(C) Costs not in AURORA 2006GRC_Book2_Electric Rev Req Model (2009 GRC) Rebuttal REmoval of New  WH Solar AdjustMI 2" xfId="3033"/>
    <cellStyle name="_DEM-WP(C) Costs not in AURORA 2006GRC_Book2_Electric Rev Req Model (2009 GRC) Rebuttal REmoval of New  WH Solar AdjustMI 2 2" xfId="3034"/>
    <cellStyle name="_DEM-WP(C) Costs not in AURORA 2006GRC_Book2_Electric Rev Req Model (2009 GRC) Rebuttal REmoval of New  WH Solar AdjustMI 3" xfId="3035"/>
    <cellStyle name="_DEM-WP(C) Costs not in AURORA 2006GRC_Book2_Electric Rev Req Model (2009 GRC) Revised 01-18-2010" xfId="3036"/>
    <cellStyle name="_DEM-WP(C) Costs not in AURORA 2006GRC_Book2_Electric Rev Req Model (2009 GRC) Revised 01-18-2010 2" xfId="3037"/>
    <cellStyle name="_DEM-WP(C) Costs not in AURORA 2006GRC_Book2_Electric Rev Req Model (2009 GRC) Revised 01-18-2010 2 2" xfId="3038"/>
    <cellStyle name="_DEM-WP(C) Costs not in AURORA 2006GRC_Book2_Electric Rev Req Model (2009 GRC) Revised 01-18-2010 3" xfId="3039"/>
    <cellStyle name="_DEM-WP(C) Costs not in AURORA 2006GRC_Book2_Final Order Electric EXHIBIT A-1" xfId="3040"/>
    <cellStyle name="_DEM-WP(C) Costs not in AURORA 2006GRC_Book2_Final Order Electric EXHIBIT A-1 2" xfId="3041"/>
    <cellStyle name="_DEM-WP(C) Costs not in AURORA 2006GRC_Book2_Final Order Electric EXHIBIT A-1 2 2" xfId="3042"/>
    <cellStyle name="_DEM-WP(C) Costs not in AURORA 2006GRC_Book2_Final Order Electric EXHIBIT A-1 3" xfId="3043"/>
    <cellStyle name="_DEM-WP(C) Costs not in AURORA 2006GRC_Book4" xfId="3044"/>
    <cellStyle name="_DEM-WP(C) Costs not in AURORA 2006GRC_Book4 2" xfId="3045"/>
    <cellStyle name="_DEM-WP(C) Costs not in AURORA 2006GRC_Book4 2 2" xfId="3046"/>
    <cellStyle name="_DEM-WP(C) Costs not in AURORA 2006GRC_Book4 3" xfId="3047"/>
    <cellStyle name="_DEM-WP(C) Costs not in AURORA 2006GRC_Book9" xfId="3048"/>
    <cellStyle name="_DEM-WP(C) Costs not in AURORA 2006GRC_Book9 2" xfId="3049"/>
    <cellStyle name="_DEM-WP(C) Costs not in AURORA 2006GRC_Book9 2 2" xfId="3050"/>
    <cellStyle name="_DEM-WP(C) Costs not in AURORA 2006GRC_Book9 3" xfId="3051"/>
    <cellStyle name="_DEM-WP(C) Costs not in AURORA 2006GRC_Chelan PUD Power Costs (8-10)" xfId="3052"/>
    <cellStyle name="_DEM-WP(C) Costs not in AURORA 2006GRC_Electric COS Inputs" xfId="3053"/>
    <cellStyle name="_DEM-WP(C) Costs not in AURORA 2006GRC_Electric COS Inputs 2" xfId="3054"/>
    <cellStyle name="_DEM-WP(C) Costs not in AURORA 2006GRC_Electric COS Inputs 2 2" xfId="3055"/>
    <cellStyle name="_DEM-WP(C) Costs not in AURORA 2006GRC_Electric COS Inputs 2 2 2" xfId="3056"/>
    <cellStyle name="_DEM-WP(C) Costs not in AURORA 2006GRC_Electric COS Inputs 2 3" xfId="3057"/>
    <cellStyle name="_DEM-WP(C) Costs not in AURORA 2006GRC_Electric COS Inputs 2 3 2" xfId="3058"/>
    <cellStyle name="_DEM-WP(C) Costs not in AURORA 2006GRC_Electric COS Inputs 2 4" xfId="3059"/>
    <cellStyle name="_DEM-WP(C) Costs not in AURORA 2006GRC_Electric COS Inputs 2 4 2" xfId="3060"/>
    <cellStyle name="_DEM-WP(C) Costs not in AURORA 2006GRC_Electric COS Inputs 3" xfId="3061"/>
    <cellStyle name="_DEM-WP(C) Costs not in AURORA 2006GRC_Electric COS Inputs 3 2" xfId="3062"/>
    <cellStyle name="_DEM-WP(C) Costs not in AURORA 2006GRC_Electric COS Inputs 4" xfId="3063"/>
    <cellStyle name="_DEM-WP(C) Costs not in AURORA 2006GRC_Electric COS Inputs 4 2" xfId="3064"/>
    <cellStyle name="_DEM-WP(C) Costs not in AURORA 2006GRC_Electric COS Inputs 5" xfId="3065"/>
    <cellStyle name="_DEM-WP(C) Costs not in AURORA 2006GRC_Electric COS Inputs 6" xfId="3066"/>
    <cellStyle name="_DEM-WP(C) Costs not in AURORA 2006GRC_NIM Summary" xfId="3067"/>
    <cellStyle name="_DEM-WP(C) Costs not in AURORA 2006GRC_NIM Summary 09GRC" xfId="3068"/>
    <cellStyle name="_DEM-WP(C) Costs not in AURORA 2006GRC_NIM Summary 09GRC 2" xfId="3069"/>
    <cellStyle name="_DEM-WP(C) Costs not in AURORA 2006GRC_NIM Summary 2" xfId="3070"/>
    <cellStyle name="_DEM-WP(C) Costs not in AURORA 2006GRC_NIM Summary 3" xfId="3071"/>
    <cellStyle name="_DEM-WP(C) Costs not in AURORA 2006GRC_NIM Summary 4" xfId="3072"/>
    <cellStyle name="_DEM-WP(C) Costs not in AURORA 2006GRC_NIM Summary 5" xfId="3073"/>
    <cellStyle name="_DEM-WP(C) Costs not in AURORA 2006GRC_NIM Summary 6" xfId="3074"/>
    <cellStyle name="_DEM-WP(C) Costs not in AURORA 2006GRC_NIM Summary 7" xfId="3075"/>
    <cellStyle name="_DEM-WP(C) Costs not in AURORA 2006GRC_NIM Summary 8" xfId="3076"/>
    <cellStyle name="_DEM-WP(C) Costs not in AURORA 2006GRC_NIM Summary 9" xfId="3077"/>
    <cellStyle name="_DEM-WP(C) Costs not in AURORA 2006GRC_PCA 10 -  Exhibit D from A Kellogg Jan 2011" xfId="3078"/>
    <cellStyle name="_DEM-WP(C) Costs not in AURORA 2006GRC_PCA 10 -  Exhibit D from A Kellogg July 2011" xfId="3079"/>
    <cellStyle name="_DEM-WP(C) Costs not in AURORA 2006GRC_PCA 10 -  Exhibit D from S Free Rcv'd 12-11" xfId="3080"/>
    <cellStyle name="_DEM-WP(C) Costs not in AURORA 2006GRC_PCA 9 -  Exhibit D April 2010" xfId="3081"/>
    <cellStyle name="_DEM-WP(C) Costs not in AURORA 2006GRC_PCA 9 -  Exhibit D April 2010 (3)" xfId="3082"/>
    <cellStyle name="_DEM-WP(C) Costs not in AURORA 2006GRC_PCA 9 -  Exhibit D April 2010 (3) 2" xfId="3083"/>
    <cellStyle name="_DEM-WP(C) Costs not in AURORA 2006GRC_PCA 9 -  Exhibit D Nov 2010" xfId="3084"/>
    <cellStyle name="_DEM-WP(C) Costs not in AURORA 2006GRC_PCA 9 - Exhibit D at August 2010" xfId="3085"/>
    <cellStyle name="_DEM-WP(C) Costs not in AURORA 2006GRC_PCA 9 - Exhibit D June 2010 GRC" xfId="3086"/>
    <cellStyle name="_DEM-WP(C) Costs not in AURORA 2006GRC_Power Costs - Comparison bx Rbtl-Staff-Jt-PC" xfId="3087"/>
    <cellStyle name="_DEM-WP(C) Costs not in AURORA 2006GRC_Power Costs - Comparison bx Rbtl-Staff-Jt-PC 2" xfId="3088"/>
    <cellStyle name="_DEM-WP(C) Costs not in AURORA 2006GRC_Power Costs - Comparison bx Rbtl-Staff-Jt-PC 2 2" xfId="3089"/>
    <cellStyle name="_DEM-WP(C) Costs not in AURORA 2006GRC_Power Costs - Comparison bx Rbtl-Staff-Jt-PC 3" xfId="3090"/>
    <cellStyle name="_DEM-WP(C) Costs not in AURORA 2006GRC_Power Costs - Comparison bx Rbtl-Staff-Jt-PC_Adj Bench DR 3 for Initial Briefs (Electric)" xfId="3091"/>
    <cellStyle name="_DEM-WP(C) Costs not in AURORA 2006GRC_Power Costs - Comparison bx Rbtl-Staff-Jt-PC_Adj Bench DR 3 for Initial Briefs (Electric) 2" xfId="3092"/>
    <cellStyle name="_DEM-WP(C) Costs not in AURORA 2006GRC_Power Costs - Comparison bx Rbtl-Staff-Jt-PC_Adj Bench DR 3 for Initial Briefs (Electric) 2 2" xfId="3093"/>
    <cellStyle name="_DEM-WP(C) Costs not in AURORA 2006GRC_Power Costs - Comparison bx Rbtl-Staff-Jt-PC_Adj Bench DR 3 for Initial Briefs (Electric) 3" xfId="3094"/>
    <cellStyle name="_DEM-WP(C) Costs not in AURORA 2006GRC_Power Costs - Comparison bx Rbtl-Staff-Jt-PC_Electric Rev Req Model (2009 GRC) Rebuttal" xfId="3095"/>
    <cellStyle name="_DEM-WP(C) Costs not in AURORA 2006GRC_Power Costs - Comparison bx Rbtl-Staff-Jt-PC_Electric Rev Req Model (2009 GRC) Rebuttal 2" xfId="3096"/>
    <cellStyle name="_DEM-WP(C) Costs not in AURORA 2006GRC_Power Costs - Comparison bx Rbtl-Staff-Jt-PC_Electric Rev Req Model (2009 GRC) Rebuttal 2 2" xfId="3097"/>
    <cellStyle name="_DEM-WP(C) Costs not in AURORA 2006GRC_Power Costs - Comparison bx Rbtl-Staff-Jt-PC_Electric Rev Req Model (2009 GRC) Rebuttal 3" xfId="3098"/>
    <cellStyle name="_DEM-WP(C) Costs not in AURORA 2006GRC_Power Costs - Comparison bx Rbtl-Staff-Jt-PC_Electric Rev Req Model (2009 GRC) Rebuttal REmoval of New  WH Solar AdjustMI" xfId="3099"/>
    <cellStyle name="_DEM-WP(C) Costs not in AURORA 2006GRC_Power Costs - Comparison bx Rbtl-Staff-Jt-PC_Electric Rev Req Model (2009 GRC) Rebuttal REmoval of New  WH Solar AdjustMI 2" xfId="3100"/>
    <cellStyle name="_DEM-WP(C) Costs not in AURORA 2006GRC_Power Costs - Comparison bx Rbtl-Staff-Jt-PC_Electric Rev Req Model (2009 GRC) Rebuttal REmoval of New  WH Solar AdjustMI 2 2" xfId="3101"/>
    <cellStyle name="_DEM-WP(C) Costs not in AURORA 2006GRC_Power Costs - Comparison bx Rbtl-Staff-Jt-PC_Electric Rev Req Model (2009 GRC) Rebuttal REmoval of New  WH Solar AdjustMI 3" xfId="3102"/>
    <cellStyle name="_DEM-WP(C) Costs not in AURORA 2006GRC_Power Costs - Comparison bx Rbtl-Staff-Jt-PC_Electric Rev Req Model (2009 GRC) Revised 01-18-2010" xfId="3103"/>
    <cellStyle name="_DEM-WP(C) Costs not in AURORA 2006GRC_Power Costs - Comparison bx Rbtl-Staff-Jt-PC_Electric Rev Req Model (2009 GRC) Revised 01-18-2010 2" xfId="3104"/>
    <cellStyle name="_DEM-WP(C) Costs not in AURORA 2006GRC_Power Costs - Comparison bx Rbtl-Staff-Jt-PC_Electric Rev Req Model (2009 GRC) Revised 01-18-2010 2 2" xfId="3105"/>
    <cellStyle name="_DEM-WP(C) Costs not in AURORA 2006GRC_Power Costs - Comparison bx Rbtl-Staff-Jt-PC_Electric Rev Req Model (2009 GRC) Revised 01-18-2010 3" xfId="3106"/>
    <cellStyle name="_DEM-WP(C) Costs not in AURORA 2006GRC_Power Costs - Comparison bx Rbtl-Staff-Jt-PC_Final Order Electric EXHIBIT A-1" xfId="3107"/>
    <cellStyle name="_DEM-WP(C) Costs not in AURORA 2006GRC_Power Costs - Comparison bx Rbtl-Staff-Jt-PC_Final Order Electric EXHIBIT A-1 2" xfId="3108"/>
    <cellStyle name="_DEM-WP(C) Costs not in AURORA 2006GRC_Power Costs - Comparison bx Rbtl-Staff-Jt-PC_Final Order Electric EXHIBIT A-1 2 2" xfId="3109"/>
    <cellStyle name="_DEM-WP(C) Costs not in AURORA 2006GRC_Power Costs - Comparison bx Rbtl-Staff-Jt-PC_Final Order Electric EXHIBIT A-1 3" xfId="3110"/>
    <cellStyle name="_DEM-WP(C) Costs not in AURORA 2006GRC_Production Adj 4.37" xfId="3111"/>
    <cellStyle name="_DEM-WP(C) Costs not in AURORA 2006GRC_Production Adj 4.37 2" xfId="3112"/>
    <cellStyle name="_DEM-WP(C) Costs not in AURORA 2006GRC_Production Adj 4.37 2 2" xfId="3113"/>
    <cellStyle name="_DEM-WP(C) Costs not in AURORA 2006GRC_Production Adj 4.37 3" xfId="3114"/>
    <cellStyle name="_DEM-WP(C) Costs not in AURORA 2006GRC_Purchased Power Adj 4.03" xfId="3115"/>
    <cellStyle name="_DEM-WP(C) Costs not in AURORA 2006GRC_Purchased Power Adj 4.03 2" xfId="3116"/>
    <cellStyle name="_DEM-WP(C) Costs not in AURORA 2006GRC_Purchased Power Adj 4.03 2 2" xfId="3117"/>
    <cellStyle name="_DEM-WP(C) Costs not in AURORA 2006GRC_Purchased Power Adj 4.03 3" xfId="3118"/>
    <cellStyle name="_DEM-WP(C) Costs not in AURORA 2006GRC_Rebuttal Power Costs" xfId="3119"/>
    <cellStyle name="_DEM-WP(C) Costs not in AURORA 2006GRC_Rebuttal Power Costs 2" xfId="3120"/>
    <cellStyle name="_DEM-WP(C) Costs not in AURORA 2006GRC_Rebuttal Power Costs 2 2" xfId="3121"/>
    <cellStyle name="_DEM-WP(C) Costs not in AURORA 2006GRC_Rebuttal Power Costs 3" xfId="3122"/>
    <cellStyle name="_DEM-WP(C) Costs not in AURORA 2006GRC_Rebuttal Power Costs_Adj Bench DR 3 for Initial Briefs (Electric)" xfId="3123"/>
    <cellStyle name="_DEM-WP(C) Costs not in AURORA 2006GRC_Rebuttal Power Costs_Adj Bench DR 3 for Initial Briefs (Electric) 2" xfId="3124"/>
    <cellStyle name="_DEM-WP(C) Costs not in AURORA 2006GRC_Rebuttal Power Costs_Adj Bench DR 3 for Initial Briefs (Electric) 2 2" xfId="3125"/>
    <cellStyle name="_DEM-WP(C) Costs not in AURORA 2006GRC_Rebuttal Power Costs_Adj Bench DR 3 for Initial Briefs (Electric) 3" xfId="3126"/>
    <cellStyle name="_DEM-WP(C) Costs not in AURORA 2006GRC_Rebuttal Power Costs_Electric Rev Req Model (2009 GRC) Rebuttal" xfId="3127"/>
    <cellStyle name="_DEM-WP(C) Costs not in AURORA 2006GRC_Rebuttal Power Costs_Electric Rev Req Model (2009 GRC) Rebuttal 2" xfId="3128"/>
    <cellStyle name="_DEM-WP(C) Costs not in AURORA 2006GRC_Rebuttal Power Costs_Electric Rev Req Model (2009 GRC) Rebuttal 2 2" xfId="3129"/>
    <cellStyle name="_DEM-WP(C) Costs not in AURORA 2006GRC_Rebuttal Power Costs_Electric Rev Req Model (2009 GRC) Rebuttal 3" xfId="3130"/>
    <cellStyle name="_DEM-WP(C) Costs not in AURORA 2006GRC_Rebuttal Power Costs_Electric Rev Req Model (2009 GRC) Rebuttal REmoval of New  WH Solar AdjustMI" xfId="3131"/>
    <cellStyle name="_DEM-WP(C) Costs not in AURORA 2006GRC_Rebuttal Power Costs_Electric Rev Req Model (2009 GRC) Rebuttal REmoval of New  WH Solar AdjustMI 2" xfId="3132"/>
    <cellStyle name="_DEM-WP(C) Costs not in AURORA 2006GRC_Rebuttal Power Costs_Electric Rev Req Model (2009 GRC) Rebuttal REmoval of New  WH Solar AdjustMI 2 2" xfId="3133"/>
    <cellStyle name="_DEM-WP(C) Costs not in AURORA 2006GRC_Rebuttal Power Costs_Electric Rev Req Model (2009 GRC) Rebuttal REmoval of New  WH Solar AdjustMI 3" xfId="3134"/>
    <cellStyle name="_DEM-WP(C) Costs not in AURORA 2006GRC_Rebuttal Power Costs_Electric Rev Req Model (2009 GRC) Revised 01-18-2010" xfId="3135"/>
    <cellStyle name="_DEM-WP(C) Costs not in AURORA 2006GRC_Rebuttal Power Costs_Electric Rev Req Model (2009 GRC) Revised 01-18-2010 2" xfId="3136"/>
    <cellStyle name="_DEM-WP(C) Costs not in AURORA 2006GRC_Rebuttal Power Costs_Electric Rev Req Model (2009 GRC) Revised 01-18-2010 2 2" xfId="3137"/>
    <cellStyle name="_DEM-WP(C) Costs not in AURORA 2006GRC_Rebuttal Power Costs_Electric Rev Req Model (2009 GRC) Revised 01-18-2010 3" xfId="3138"/>
    <cellStyle name="_DEM-WP(C) Costs not in AURORA 2006GRC_Rebuttal Power Costs_Final Order Electric EXHIBIT A-1" xfId="3139"/>
    <cellStyle name="_DEM-WP(C) Costs not in AURORA 2006GRC_Rebuttal Power Costs_Final Order Electric EXHIBIT A-1 2" xfId="3140"/>
    <cellStyle name="_DEM-WP(C) Costs not in AURORA 2006GRC_Rebuttal Power Costs_Final Order Electric EXHIBIT A-1 2 2" xfId="3141"/>
    <cellStyle name="_DEM-WP(C) Costs not in AURORA 2006GRC_Rebuttal Power Costs_Final Order Electric EXHIBIT A-1 3" xfId="3142"/>
    <cellStyle name="_DEM-WP(C) Costs not in AURORA 2006GRC_ROR 5.02" xfId="3143"/>
    <cellStyle name="_DEM-WP(C) Costs not in AURORA 2006GRC_ROR 5.02 2" xfId="3144"/>
    <cellStyle name="_DEM-WP(C) Costs not in AURORA 2006GRC_ROR 5.02 2 2" xfId="3145"/>
    <cellStyle name="_DEM-WP(C) Costs not in AURORA 2006GRC_ROR 5.02 3" xfId="3146"/>
    <cellStyle name="_DEM-WP(C) Costs not in AURORA 2006GRC_Transmission Workbook for May BOD" xfId="3147"/>
    <cellStyle name="_DEM-WP(C) Costs not in AURORA 2006GRC_Transmission Workbook for May BOD 2" xfId="3148"/>
    <cellStyle name="_DEM-WP(C) Costs not in AURORA 2006GRC_Wind Integration 10GRC" xfId="3149"/>
    <cellStyle name="_DEM-WP(C) Costs not in AURORA 2006GRC_Wind Integration 10GRC 2" xfId="3150"/>
    <cellStyle name="_DEM-WP(C) Costs not in AURORA 2007GRC" xfId="3151"/>
    <cellStyle name="_DEM-WP(C) Costs not in AURORA 2007GRC 2" xfId="3152"/>
    <cellStyle name="_DEM-WP(C) Costs not in AURORA 2007GRC 2 2" xfId="3153"/>
    <cellStyle name="_DEM-WP(C) Costs not in AURORA 2007GRC 3" xfId="3154"/>
    <cellStyle name="_DEM-WP(C) Costs not in AURORA 2007GRC Update" xfId="3155"/>
    <cellStyle name="_DEM-WP(C) Costs not in AURORA 2007GRC Update 2" xfId="3156"/>
    <cellStyle name="_DEM-WP(C) Costs not in AURORA 2007GRC Update_NIM Summary" xfId="3157"/>
    <cellStyle name="_DEM-WP(C) Costs not in AURORA 2007GRC Update_NIM Summary 2" xfId="3158"/>
    <cellStyle name="_DEM-WP(C) Costs not in AURORA 2007GRC_16.37E Wild Horse Expansion DeferralRevwrkingfile SF" xfId="3159"/>
    <cellStyle name="_DEM-WP(C) Costs not in AURORA 2007GRC_16.37E Wild Horse Expansion DeferralRevwrkingfile SF 2" xfId="3160"/>
    <cellStyle name="_DEM-WP(C) Costs not in AURORA 2007GRC_16.37E Wild Horse Expansion DeferralRevwrkingfile SF 2 2" xfId="3161"/>
    <cellStyle name="_DEM-WP(C) Costs not in AURORA 2007GRC_16.37E Wild Horse Expansion DeferralRevwrkingfile SF 3" xfId="3162"/>
    <cellStyle name="_DEM-WP(C) Costs not in AURORA 2007GRC_2009 GRC Compl Filing - Exhibit D" xfId="3163"/>
    <cellStyle name="_DEM-WP(C) Costs not in AURORA 2007GRC_2009 GRC Compl Filing - Exhibit D 2" xfId="3164"/>
    <cellStyle name="_DEM-WP(C) Costs not in AURORA 2007GRC_Adj Bench DR 3 for Initial Briefs (Electric)" xfId="3165"/>
    <cellStyle name="_DEM-WP(C) Costs not in AURORA 2007GRC_Adj Bench DR 3 for Initial Briefs (Electric) 2" xfId="3166"/>
    <cellStyle name="_DEM-WP(C) Costs not in AURORA 2007GRC_Adj Bench DR 3 for Initial Briefs (Electric) 2 2" xfId="3167"/>
    <cellStyle name="_DEM-WP(C) Costs not in AURORA 2007GRC_Adj Bench DR 3 for Initial Briefs (Electric) 3" xfId="3168"/>
    <cellStyle name="_DEM-WP(C) Costs not in AURORA 2007GRC_Book1" xfId="3169"/>
    <cellStyle name="_DEM-WP(C) Costs not in AURORA 2007GRC_Book2" xfId="3170"/>
    <cellStyle name="_DEM-WP(C) Costs not in AURORA 2007GRC_Book2 2" xfId="3171"/>
    <cellStyle name="_DEM-WP(C) Costs not in AURORA 2007GRC_Book2 2 2" xfId="3172"/>
    <cellStyle name="_DEM-WP(C) Costs not in AURORA 2007GRC_Book2 3" xfId="3173"/>
    <cellStyle name="_DEM-WP(C) Costs not in AURORA 2007GRC_Book4" xfId="3174"/>
    <cellStyle name="_DEM-WP(C) Costs not in AURORA 2007GRC_Book4 2" xfId="3175"/>
    <cellStyle name="_DEM-WP(C) Costs not in AURORA 2007GRC_Book4 2 2" xfId="3176"/>
    <cellStyle name="_DEM-WP(C) Costs not in AURORA 2007GRC_Book4 3" xfId="3177"/>
    <cellStyle name="_DEM-WP(C) Costs not in AURORA 2007GRC_Electric Rev Req Model (2009 GRC) " xfId="3178"/>
    <cellStyle name="_DEM-WP(C) Costs not in AURORA 2007GRC_Electric Rev Req Model (2009 GRC)  2" xfId="3179"/>
    <cellStyle name="_DEM-WP(C) Costs not in AURORA 2007GRC_Electric Rev Req Model (2009 GRC)  2 2" xfId="3180"/>
    <cellStyle name="_DEM-WP(C) Costs not in AURORA 2007GRC_Electric Rev Req Model (2009 GRC)  3" xfId="3181"/>
    <cellStyle name="_DEM-WP(C) Costs not in AURORA 2007GRC_Electric Rev Req Model (2009 GRC) Rebuttal" xfId="3182"/>
    <cellStyle name="_DEM-WP(C) Costs not in AURORA 2007GRC_Electric Rev Req Model (2009 GRC) Rebuttal 2" xfId="3183"/>
    <cellStyle name="_DEM-WP(C) Costs not in AURORA 2007GRC_Electric Rev Req Model (2009 GRC) Rebuttal 2 2" xfId="3184"/>
    <cellStyle name="_DEM-WP(C) Costs not in AURORA 2007GRC_Electric Rev Req Model (2009 GRC) Rebuttal 3" xfId="3185"/>
    <cellStyle name="_DEM-WP(C) Costs not in AURORA 2007GRC_Electric Rev Req Model (2009 GRC) Rebuttal REmoval of New  WH Solar AdjustMI" xfId="3186"/>
    <cellStyle name="_DEM-WP(C) Costs not in AURORA 2007GRC_Electric Rev Req Model (2009 GRC) Rebuttal REmoval of New  WH Solar AdjustMI 2" xfId="3187"/>
    <cellStyle name="_DEM-WP(C) Costs not in AURORA 2007GRC_Electric Rev Req Model (2009 GRC) Rebuttal REmoval of New  WH Solar AdjustMI 2 2" xfId="3188"/>
    <cellStyle name="_DEM-WP(C) Costs not in AURORA 2007GRC_Electric Rev Req Model (2009 GRC) Rebuttal REmoval of New  WH Solar AdjustMI 3" xfId="3189"/>
    <cellStyle name="_DEM-WP(C) Costs not in AURORA 2007GRC_Electric Rev Req Model (2009 GRC) Revised 01-18-2010" xfId="3190"/>
    <cellStyle name="_DEM-WP(C) Costs not in AURORA 2007GRC_Electric Rev Req Model (2009 GRC) Revised 01-18-2010 2" xfId="3191"/>
    <cellStyle name="_DEM-WP(C) Costs not in AURORA 2007GRC_Electric Rev Req Model (2009 GRC) Revised 01-18-2010 2 2" xfId="3192"/>
    <cellStyle name="_DEM-WP(C) Costs not in AURORA 2007GRC_Electric Rev Req Model (2009 GRC) Revised 01-18-2010 3" xfId="3193"/>
    <cellStyle name="_DEM-WP(C) Costs not in AURORA 2007GRC_Electric Rev Req Model (2010 GRC)" xfId="3194"/>
    <cellStyle name="_DEM-WP(C) Costs not in AURORA 2007GRC_Electric Rev Req Model (2010 GRC) SF" xfId="3195"/>
    <cellStyle name="_DEM-WP(C) Costs not in AURORA 2007GRC_Final Order Electric" xfId="3196"/>
    <cellStyle name="_DEM-WP(C) Costs not in AURORA 2007GRC_Final Order Electric EXHIBIT A-1" xfId="3197"/>
    <cellStyle name="_DEM-WP(C) Costs not in AURORA 2007GRC_Final Order Electric EXHIBIT A-1 2" xfId="3198"/>
    <cellStyle name="_DEM-WP(C) Costs not in AURORA 2007GRC_Final Order Electric EXHIBIT A-1 2 2" xfId="3199"/>
    <cellStyle name="_DEM-WP(C) Costs not in AURORA 2007GRC_Final Order Electric EXHIBIT A-1 3" xfId="3200"/>
    <cellStyle name="_DEM-WP(C) Costs not in AURORA 2007GRC_NIM Summary" xfId="3201"/>
    <cellStyle name="_DEM-WP(C) Costs not in AURORA 2007GRC_NIM Summary 2" xfId="3202"/>
    <cellStyle name="_DEM-WP(C) Costs not in AURORA 2007GRC_Power Costs - Comparison bx Rbtl-Staff-Jt-PC" xfId="3203"/>
    <cellStyle name="_DEM-WP(C) Costs not in AURORA 2007GRC_Power Costs - Comparison bx Rbtl-Staff-Jt-PC 2" xfId="3204"/>
    <cellStyle name="_DEM-WP(C) Costs not in AURORA 2007GRC_Power Costs - Comparison bx Rbtl-Staff-Jt-PC 2 2" xfId="3205"/>
    <cellStyle name="_DEM-WP(C) Costs not in AURORA 2007GRC_Power Costs - Comparison bx Rbtl-Staff-Jt-PC 3" xfId="3206"/>
    <cellStyle name="_DEM-WP(C) Costs not in AURORA 2007GRC_Rebuttal Power Costs" xfId="3207"/>
    <cellStyle name="_DEM-WP(C) Costs not in AURORA 2007GRC_Rebuttal Power Costs 2" xfId="3208"/>
    <cellStyle name="_DEM-WP(C) Costs not in AURORA 2007GRC_Rebuttal Power Costs 2 2" xfId="3209"/>
    <cellStyle name="_DEM-WP(C) Costs not in AURORA 2007GRC_Rebuttal Power Costs 3" xfId="3210"/>
    <cellStyle name="_DEM-WP(C) Costs not in AURORA 2007GRC_TENASKA REGULATORY ASSET" xfId="3211"/>
    <cellStyle name="_DEM-WP(C) Costs not in AURORA 2007GRC_TENASKA REGULATORY ASSET 2" xfId="3212"/>
    <cellStyle name="_DEM-WP(C) Costs not in AURORA 2007GRC_TENASKA REGULATORY ASSET 2 2" xfId="3213"/>
    <cellStyle name="_DEM-WP(C) Costs not in AURORA 2007GRC_TENASKA REGULATORY ASSET 3" xfId="3214"/>
    <cellStyle name="_DEM-WP(C) Costs not in AURORA 2007PCORC" xfId="3215"/>
    <cellStyle name="_DEM-WP(C) Costs not in AURORA 2007PCORC 2" xfId="3216"/>
    <cellStyle name="_DEM-WP(C) Costs not in AURORA 2007PCORC_Chelan PUD Power Costs (8-10)" xfId="3217"/>
    <cellStyle name="_DEM-WP(C) Costs not in AURORA 2007PCORC_NIM Summary" xfId="3218"/>
    <cellStyle name="_DEM-WP(C) Costs not in AURORA 2007PCORC_NIM Summary 2" xfId="3219"/>
    <cellStyle name="_DEM-WP(C) Costs not in AURORA 2007PCORC-5.07Update" xfId="3220"/>
    <cellStyle name="_DEM-WP(C) Costs not in AURORA 2007PCORC-5.07Update 2" xfId="3221"/>
    <cellStyle name="_DEM-WP(C) Costs not in AURORA 2007PCORC-5.07Update 2 2" xfId="3222"/>
    <cellStyle name="_DEM-WP(C) Costs not in AURORA 2007PCORC-5.07Update 3" xfId="3223"/>
    <cellStyle name="_DEM-WP(C) Costs not in AURORA 2007PCORC-5.07Update_16.37E Wild Horse Expansion DeferralRevwrkingfile SF" xfId="3224"/>
    <cellStyle name="_DEM-WP(C) Costs not in AURORA 2007PCORC-5.07Update_16.37E Wild Horse Expansion DeferralRevwrkingfile SF 2" xfId="3225"/>
    <cellStyle name="_DEM-WP(C) Costs not in AURORA 2007PCORC-5.07Update_16.37E Wild Horse Expansion DeferralRevwrkingfile SF 2 2" xfId="3226"/>
    <cellStyle name="_DEM-WP(C) Costs not in AURORA 2007PCORC-5.07Update_16.37E Wild Horse Expansion DeferralRevwrkingfile SF 3" xfId="3227"/>
    <cellStyle name="_DEM-WP(C) Costs not in AURORA 2007PCORC-5.07Update_2009 GRC Compl Filing - Exhibit D" xfId="3228"/>
    <cellStyle name="_DEM-WP(C) Costs not in AURORA 2007PCORC-5.07Update_2009 GRC Compl Filing - Exhibit D 2" xfId="3229"/>
    <cellStyle name="_DEM-WP(C) Costs not in AURORA 2007PCORC-5.07Update_Adj Bench DR 3 for Initial Briefs (Electric)" xfId="3230"/>
    <cellStyle name="_DEM-WP(C) Costs not in AURORA 2007PCORC-5.07Update_Adj Bench DR 3 for Initial Briefs (Electric) 2" xfId="3231"/>
    <cellStyle name="_DEM-WP(C) Costs not in AURORA 2007PCORC-5.07Update_Adj Bench DR 3 for Initial Briefs (Electric) 2 2" xfId="3232"/>
    <cellStyle name="_DEM-WP(C) Costs not in AURORA 2007PCORC-5.07Update_Adj Bench DR 3 for Initial Briefs (Electric) 3" xfId="3233"/>
    <cellStyle name="_DEM-WP(C) Costs not in AURORA 2007PCORC-5.07Update_Book1" xfId="3234"/>
    <cellStyle name="_DEM-WP(C) Costs not in AURORA 2007PCORC-5.07Update_Book2" xfId="3235"/>
    <cellStyle name="_DEM-WP(C) Costs not in AURORA 2007PCORC-5.07Update_Book2 2" xfId="3236"/>
    <cellStyle name="_DEM-WP(C) Costs not in AURORA 2007PCORC-5.07Update_Book2 2 2" xfId="3237"/>
    <cellStyle name="_DEM-WP(C) Costs not in AURORA 2007PCORC-5.07Update_Book2 3" xfId="3238"/>
    <cellStyle name="_DEM-WP(C) Costs not in AURORA 2007PCORC-5.07Update_Book4" xfId="3239"/>
    <cellStyle name="_DEM-WP(C) Costs not in AURORA 2007PCORC-5.07Update_Book4 2" xfId="3240"/>
    <cellStyle name="_DEM-WP(C) Costs not in AURORA 2007PCORC-5.07Update_Book4 2 2" xfId="3241"/>
    <cellStyle name="_DEM-WP(C) Costs not in AURORA 2007PCORC-5.07Update_Book4 3" xfId="3242"/>
    <cellStyle name="_DEM-WP(C) Costs not in AURORA 2007PCORC-5.07Update_Chelan PUD Power Costs (8-10)" xfId="3243"/>
    <cellStyle name="_DEM-WP(C) Costs not in AURORA 2007PCORC-5.07Update_Confidential Material" xfId="3244"/>
    <cellStyle name="_DEM-WP(C) Costs not in AURORA 2007PCORC-5.07Update_DEM-WP(C) Colstrip 12 Coal Cost Forecast 2010GRC" xfId="3245"/>
    <cellStyle name="_DEM-WP(C) Costs not in AURORA 2007PCORC-5.07Update_DEM-WP(C) Production O&amp;M 2009GRC Rebuttal" xfId="3246"/>
    <cellStyle name="_DEM-WP(C) Costs not in AURORA 2007PCORC-5.07Update_DEM-WP(C) Production O&amp;M 2009GRC Rebuttal 2" xfId="3247"/>
    <cellStyle name="_DEM-WP(C) Costs not in AURORA 2007PCORC-5.07Update_DEM-WP(C) Production O&amp;M 2009GRC Rebuttal 2 2" xfId="3248"/>
    <cellStyle name="_DEM-WP(C) Costs not in AURORA 2007PCORC-5.07Update_DEM-WP(C) Production O&amp;M 2009GRC Rebuttal 3" xfId="3249"/>
    <cellStyle name="_DEM-WP(C) Costs not in AURORA 2007PCORC-5.07Update_DEM-WP(C) Production O&amp;M 2009GRC Rebuttal_Adj Bench DR 3 for Initial Briefs (Electric)" xfId="3250"/>
    <cellStyle name="_DEM-WP(C) Costs not in AURORA 2007PCORC-5.07Update_DEM-WP(C) Production O&amp;M 2009GRC Rebuttal_Adj Bench DR 3 for Initial Briefs (Electric) 2" xfId="3251"/>
    <cellStyle name="_DEM-WP(C) Costs not in AURORA 2007PCORC-5.07Update_DEM-WP(C) Production O&amp;M 2009GRC Rebuttal_Adj Bench DR 3 for Initial Briefs (Electric) 2 2" xfId="3252"/>
    <cellStyle name="_DEM-WP(C) Costs not in AURORA 2007PCORC-5.07Update_DEM-WP(C) Production O&amp;M 2009GRC Rebuttal_Adj Bench DR 3 for Initial Briefs (Electric) 3" xfId="3253"/>
    <cellStyle name="_DEM-WP(C) Costs not in AURORA 2007PCORC-5.07Update_DEM-WP(C) Production O&amp;M 2009GRC Rebuttal_Book2" xfId="3254"/>
    <cellStyle name="_DEM-WP(C) Costs not in AURORA 2007PCORC-5.07Update_DEM-WP(C) Production O&amp;M 2009GRC Rebuttal_Book2 2" xfId="3255"/>
    <cellStyle name="_DEM-WP(C) Costs not in AURORA 2007PCORC-5.07Update_DEM-WP(C) Production O&amp;M 2009GRC Rebuttal_Book2 2 2" xfId="3256"/>
    <cellStyle name="_DEM-WP(C) Costs not in AURORA 2007PCORC-5.07Update_DEM-WP(C) Production O&amp;M 2009GRC Rebuttal_Book2 3" xfId="3257"/>
    <cellStyle name="_DEM-WP(C) Costs not in AURORA 2007PCORC-5.07Update_DEM-WP(C) Production O&amp;M 2009GRC Rebuttal_Book2_Adj Bench DR 3 for Initial Briefs (Electric)" xfId="3258"/>
    <cellStyle name="_DEM-WP(C) Costs not in AURORA 2007PCORC-5.07Update_DEM-WP(C) Production O&amp;M 2009GRC Rebuttal_Book2_Adj Bench DR 3 for Initial Briefs (Electric) 2" xfId="3259"/>
    <cellStyle name="_DEM-WP(C) Costs not in AURORA 2007PCORC-5.07Update_DEM-WP(C) Production O&amp;M 2009GRC Rebuttal_Book2_Adj Bench DR 3 for Initial Briefs (Electric) 2 2" xfId="3260"/>
    <cellStyle name="_DEM-WP(C) Costs not in AURORA 2007PCORC-5.07Update_DEM-WP(C) Production O&amp;M 2009GRC Rebuttal_Book2_Adj Bench DR 3 for Initial Briefs (Electric) 3" xfId="3261"/>
    <cellStyle name="_DEM-WP(C) Costs not in AURORA 2007PCORC-5.07Update_DEM-WP(C) Production O&amp;M 2009GRC Rebuttal_Book2_Electric Rev Req Model (2009 GRC) Rebuttal" xfId="3262"/>
    <cellStyle name="_DEM-WP(C) Costs not in AURORA 2007PCORC-5.07Update_DEM-WP(C) Production O&amp;M 2009GRC Rebuttal_Book2_Electric Rev Req Model (2009 GRC) Rebuttal 2" xfId="3263"/>
    <cellStyle name="_DEM-WP(C) Costs not in AURORA 2007PCORC-5.07Update_DEM-WP(C) Production O&amp;M 2009GRC Rebuttal_Book2_Electric Rev Req Model (2009 GRC) Rebuttal 2 2" xfId="3264"/>
    <cellStyle name="_DEM-WP(C) Costs not in AURORA 2007PCORC-5.07Update_DEM-WP(C) Production O&amp;M 2009GRC Rebuttal_Book2_Electric Rev Req Model (2009 GRC) Rebuttal 3" xfId="3265"/>
    <cellStyle name="_DEM-WP(C) Costs not in AURORA 2007PCORC-5.07Update_DEM-WP(C) Production O&amp;M 2009GRC Rebuttal_Book2_Electric Rev Req Model (2009 GRC) Rebuttal REmoval of New  WH Solar AdjustMI" xfId="3266"/>
    <cellStyle name="_DEM-WP(C) Costs not in AURORA 2007PCORC-5.07Update_DEM-WP(C) Production O&amp;M 2009GRC Rebuttal_Book2_Electric Rev Req Model (2009 GRC) Rebuttal REmoval of New  WH Solar AdjustMI 2" xfId="3267"/>
    <cellStyle name="_DEM-WP(C) Costs not in AURORA 2007PCORC-5.07Update_DEM-WP(C) Production O&amp;M 2009GRC Rebuttal_Book2_Electric Rev Req Model (2009 GRC) Rebuttal REmoval of New  WH Solar AdjustMI 2 2" xfId="3268"/>
    <cellStyle name="_DEM-WP(C) Costs not in AURORA 2007PCORC-5.07Update_DEM-WP(C) Production O&amp;M 2009GRC Rebuttal_Book2_Electric Rev Req Model (2009 GRC) Rebuttal REmoval of New  WH Solar AdjustMI 3" xfId="3269"/>
    <cellStyle name="_DEM-WP(C) Costs not in AURORA 2007PCORC-5.07Update_DEM-WP(C) Production O&amp;M 2009GRC Rebuttal_Book2_Electric Rev Req Model (2009 GRC) Revised 01-18-2010" xfId="3270"/>
    <cellStyle name="_DEM-WP(C) Costs not in AURORA 2007PCORC-5.07Update_DEM-WP(C) Production O&amp;M 2009GRC Rebuttal_Book2_Electric Rev Req Model (2009 GRC) Revised 01-18-2010 2" xfId="3271"/>
    <cellStyle name="_DEM-WP(C) Costs not in AURORA 2007PCORC-5.07Update_DEM-WP(C) Production O&amp;M 2009GRC Rebuttal_Book2_Electric Rev Req Model (2009 GRC) Revised 01-18-2010 2 2" xfId="3272"/>
    <cellStyle name="_DEM-WP(C) Costs not in AURORA 2007PCORC-5.07Update_DEM-WP(C) Production O&amp;M 2009GRC Rebuttal_Book2_Electric Rev Req Model (2009 GRC) Revised 01-18-2010 3" xfId="3273"/>
    <cellStyle name="_DEM-WP(C) Costs not in AURORA 2007PCORC-5.07Update_DEM-WP(C) Production O&amp;M 2009GRC Rebuttal_Book2_Final Order Electric EXHIBIT A-1" xfId="3274"/>
    <cellStyle name="_DEM-WP(C) Costs not in AURORA 2007PCORC-5.07Update_DEM-WP(C) Production O&amp;M 2009GRC Rebuttal_Book2_Final Order Electric EXHIBIT A-1 2" xfId="3275"/>
    <cellStyle name="_DEM-WP(C) Costs not in AURORA 2007PCORC-5.07Update_DEM-WP(C) Production O&amp;M 2009GRC Rebuttal_Book2_Final Order Electric EXHIBIT A-1 2 2" xfId="3276"/>
    <cellStyle name="_DEM-WP(C) Costs not in AURORA 2007PCORC-5.07Update_DEM-WP(C) Production O&amp;M 2009GRC Rebuttal_Book2_Final Order Electric EXHIBIT A-1 3" xfId="3277"/>
    <cellStyle name="_DEM-WP(C) Costs not in AURORA 2007PCORC-5.07Update_DEM-WP(C) Production O&amp;M 2009GRC Rebuttal_Electric Rev Req Model (2009 GRC) Rebuttal" xfId="3278"/>
    <cellStyle name="_DEM-WP(C) Costs not in AURORA 2007PCORC-5.07Update_DEM-WP(C) Production O&amp;M 2009GRC Rebuttal_Electric Rev Req Model (2009 GRC) Rebuttal 2" xfId="3279"/>
    <cellStyle name="_DEM-WP(C) Costs not in AURORA 2007PCORC-5.07Update_DEM-WP(C) Production O&amp;M 2009GRC Rebuttal_Electric Rev Req Model (2009 GRC) Rebuttal 2 2" xfId="3280"/>
    <cellStyle name="_DEM-WP(C) Costs not in AURORA 2007PCORC-5.07Update_DEM-WP(C) Production O&amp;M 2009GRC Rebuttal_Electric Rev Req Model (2009 GRC) Rebuttal 3" xfId="3281"/>
    <cellStyle name="_DEM-WP(C) Costs not in AURORA 2007PCORC-5.07Update_DEM-WP(C) Production O&amp;M 2009GRC Rebuttal_Electric Rev Req Model (2009 GRC) Rebuttal REmoval of New  WH Solar AdjustMI" xfId="3282"/>
    <cellStyle name="_DEM-WP(C) Costs not in AURORA 2007PCORC-5.07Update_DEM-WP(C) Production O&amp;M 2009GRC Rebuttal_Electric Rev Req Model (2009 GRC) Rebuttal REmoval of New  WH Solar AdjustMI 2" xfId="3283"/>
    <cellStyle name="_DEM-WP(C) Costs not in AURORA 2007PCORC-5.07Update_DEM-WP(C) Production O&amp;M 2009GRC Rebuttal_Electric Rev Req Model (2009 GRC) Rebuttal REmoval of New  WH Solar AdjustMI 2 2" xfId="3284"/>
    <cellStyle name="_DEM-WP(C) Costs not in AURORA 2007PCORC-5.07Update_DEM-WP(C) Production O&amp;M 2009GRC Rebuttal_Electric Rev Req Model (2009 GRC) Rebuttal REmoval of New  WH Solar AdjustMI 3" xfId="3285"/>
    <cellStyle name="_DEM-WP(C) Costs not in AURORA 2007PCORC-5.07Update_DEM-WP(C) Production O&amp;M 2009GRC Rebuttal_Electric Rev Req Model (2009 GRC) Revised 01-18-2010" xfId="3286"/>
    <cellStyle name="_DEM-WP(C) Costs not in AURORA 2007PCORC-5.07Update_DEM-WP(C) Production O&amp;M 2009GRC Rebuttal_Electric Rev Req Model (2009 GRC) Revised 01-18-2010 2" xfId="3287"/>
    <cellStyle name="_DEM-WP(C) Costs not in AURORA 2007PCORC-5.07Update_DEM-WP(C) Production O&amp;M 2009GRC Rebuttal_Electric Rev Req Model (2009 GRC) Revised 01-18-2010 2 2" xfId="3288"/>
    <cellStyle name="_DEM-WP(C) Costs not in AURORA 2007PCORC-5.07Update_DEM-WP(C) Production O&amp;M 2009GRC Rebuttal_Electric Rev Req Model (2009 GRC) Revised 01-18-2010 3" xfId="3289"/>
    <cellStyle name="_DEM-WP(C) Costs not in AURORA 2007PCORC-5.07Update_DEM-WP(C) Production O&amp;M 2009GRC Rebuttal_Final Order Electric EXHIBIT A-1" xfId="3290"/>
    <cellStyle name="_DEM-WP(C) Costs not in AURORA 2007PCORC-5.07Update_DEM-WP(C) Production O&amp;M 2009GRC Rebuttal_Final Order Electric EXHIBIT A-1 2" xfId="3291"/>
    <cellStyle name="_DEM-WP(C) Costs not in AURORA 2007PCORC-5.07Update_DEM-WP(C) Production O&amp;M 2009GRC Rebuttal_Final Order Electric EXHIBIT A-1 2 2" xfId="3292"/>
    <cellStyle name="_DEM-WP(C) Costs not in AURORA 2007PCORC-5.07Update_DEM-WP(C) Production O&amp;M 2009GRC Rebuttal_Final Order Electric EXHIBIT A-1 3" xfId="3293"/>
    <cellStyle name="_DEM-WP(C) Costs not in AURORA 2007PCORC-5.07Update_DEM-WP(C) Production O&amp;M 2009GRC Rebuttal_Rebuttal Power Costs" xfId="3294"/>
    <cellStyle name="_DEM-WP(C) Costs not in AURORA 2007PCORC-5.07Update_DEM-WP(C) Production O&amp;M 2009GRC Rebuttal_Rebuttal Power Costs 2" xfId="3295"/>
    <cellStyle name="_DEM-WP(C) Costs not in AURORA 2007PCORC-5.07Update_DEM-WP(C) Production O&amp;M 2009GRC Rebuttal_Rebuttal Power Costs 2 2" xfId="3296"/>
    <cellStyle name="_DEM-WP(C) Costs not in AURORA 2007PCORC-5.07Update_DEM-WP(C) Production O&amp;M 2009GRC Rebuttal_Rebuttal Power Costs 3" xfId="3297"/>
    <cellStyle name="_DEM-WP(C) Costs not in AURORA 2007PCORC-5.07Update_DEM-WP(C) Production O&amp;M 2009GRC Rebuttal_Rebuttal Power Costs_Adj Bench DR 3 for Initial Briefs (Electric)" xfId="3298"/>
    <cellStyle name="_DEM-WP(C) Costs not in AURORA 2007PCORC-5.07Update_DEM-WP(C) Production O&amp;M 2009GRC Rebuttal_Rebuttal Power Costs_Adj Bench DR 3 for Initial Briefs (Electric) 2" xfId="3299"/>
    <cellStyle name="_DEM-WP(C) Costs not in AURORA 2007PCORC-5.07Update_DEM-WP(C) Production O&amp;M 2009GRC Rebuttal_Rebuttal Power Costs_Adj Bench DR 3 for Initial Briefs (Electric) 2 2" xfId="3300"/>
    <cellStyle name="_DEM-WP(C) Costs not in AURORA 2007PCORC-5.07Update_DEM-WP(C) Production O&amp;M 2009GRC Rebuttal_Rebuttal Power Costs_Adj Bench DR 3 for Initial Briefs (Electric) 3" xfId="3301"/>
    <cellStyle name="_DEM-WP(C) Costs not in AURORA 2007PCORC-5.07Update_DEM-WP(C) Production O&amp;M 2009GRC Rebuttal_Rebuttal Power Costs_Electric Rev Req Model (2009 GRC) Rebuttal" xfId="3302"/>
    <cellStyle name="_DEM-WP(C) Costs not in AURORA 2007PCORC-5.07Update_DEM-WP(C) Production O&amp;M 2009GRC Rebuttal_Rebuttal Power Costs_Electric Rev Req Model (2009 GRC) Rebuttal 2" xfId="3303"/>
    <cellStyle name="_DEM-WP(C) Costs not in AURORA 2007PCORC-5.07Update_DEM-WP(C) Production O&amp;M 2009GRC Rebuttal_Rebuttal Power Costs_Electric Rev Req Model (2009 GRC) Rebuttal 2 2" xfId="3304"/>
    <cellStyle name="_DEM-WP(C) Costs not in AURORA 2007PCORC-5.07Update_DEM-WP(C) Production O&amp;M 2009GRC Rebuttal_Rebuttal Power Costs_Electric Rev Req Model (2009 GRC) Rebuttal 3" xfId="3305"/>
    <cellStyle name="_DEM-WP(C) Costs not in AURORA 2007PCORC-5.07Update_DEM-WP(C) Production O&amp;M 2009GRC Rebuttal_Rebuttal Power Costs_Electric Rev Req Model (2009 GRC) Rebuttal REmoval of New  WH Solar AdjustMI" xfId="3306"/>
    <cellStyle name="_DEM-WP(C) Costs not in AURORA 2007PCORC-5.07Update_DEM-WP(C) Production O&amp;M 2009GRC Rebuttal_Rebuttal Power Costs_Electric Rev Req Model (2009 GRC) Rebuttal REmoval of New  WH Solar AdjustMI 2" xfId="3307"/>
    <cellStyle name="_DEM-WP(C) Costs not in AURORA 2007PCORC-5.07Update_DEM-WP(C) Production O&amp;M 2009GRC Rebuttal_Rebuttal Power Costs_Electric Rev Req Model (2009 GRC) Rebuttal REmoval of New  WH Solar AdjustMI 2 2" xfId="3308"/>
    <cellStyle name="_DEM-WP(C) Costs not in AURORA 2007PCORC-5.07Update_DEM-WP(C) Production O&amp;M 2009GRC Rebuttal_Rebuttal Power Costs_Electric Rev Req Model (2009 GRC) Rebuttal REmoval of New  WH Solar AdjustMI 3" xfId="3309"/>
    <cellStyle name="_DEM-WP(C) Costs not in AURORA 2007PCORC-5.07Update_DEM-WP(C) Production O&amp;M 2009GRC Rebuttal_Rebuttal Power Costs_Electric Rev Req Model (2009 GRC) Revised 01-18-2010" xfId="3310"/>
    <cellStyle name="_DEM-WP(C) Costs not in AURORA 2007PCORC-5.07Update_DEM-WP(C) Production O&amp;M 2009GRC Rebuttal_Rebuttal Power Costs_Electric Rev Req Model (2009 GRC) Revised 01-18-2010 2" xfId="3311"/>
    <cellStyle name="_DEM-WP(C) Costs not in AURORA 2007PCORC-5.07Update_DEM-WP(C) Production O&amp;M 2009GRC Rebuttal_Rebuttal Power Costs_Electric Rev Req Model (2009 GRC) Revised 01-18-2010 2 2" xfId="3312"/>
    <cellStyle name="_DEM-WP(C) Costs not in AURORA 2007PCORC-5.07Update_DEM-WP(C) Production O&amp;M 2009GRC Rebuttal_Rebuttal Power Costs_Electric Rev Req Model (2009 GRC) Revised 01-18-2010 3" xfId="3313"/>
    <cellStyle name="_DEM-WP(C) Costs not in AURORA 2007PCORC-5.07Update_DEM-WP(C) Production O&amp;M 2009GRC Rebuttal_Rebuttal Power Costs_Final Order Electric EXHIBIT A-1" xfId="3314"/>
    <cellStyle name="_DEM-WP(C) Costs not in AURORA 2007PCORC-5.07Update_DEM-WP(C) Production O&amp;M 2009GRC Rebuttal_Rebuttal Power Costs_Final Order Electric EXHIBIT A-1 2" xfId="3315"/>
    <cellStyle name="_DEM-WP(C) Costs not in AURORA 2007PCORC-5.07Update_DEM-WP(C) Production O&amp;M 2009GRC Rebuttal_Rebuttal Power Costs_Final Order Electric EXHIBIT A-1 2 2" xfId="3316"/>
    <cellStyle name="_DEM-WP(C) Costs not in AURORA 2007PCORC-5.07Update_DEM-WP(C) Production O&amp;M 2009GRC Rebuttal_Rebuttal Power Costs_Final Order Electric EXHIBIT A-1 3" xfId="3317"/>
    <cellStyle name="_DEM-WP(C) Costs not in AURORA 2007PCORC-5.07Update_DEM-WP(C) Production O&amp;M 2010GRC As-Filed" xfId="3318"/>
    <cellStyle name="_DEM-WP(C) Costs not in AURORA 2007PCORC-5.07Update_DEM-WP(C) Production O&amp;M 2010GRC As-Filed 2" xfId="3319"/>
    <cellStyle name="_DEM-WP(C) Costs not in AURORA 2007PCORC-5.07Update_Electric Rev Req Model (2009 GRC) " xfId="3320"/>
    <cellStyle name="_DEM-WP(C) Costs not in AURORA 2007PCORC-5.07Update_Electric Rev Req Model (2009 GRC)  2" xfId="3321"/>
    <cellStyle name="_DEM-WP(C) Costs not in AURORA 2007PCORC-5.07Update_Electric Rev Req Model (2009 GRC)  2 2" xfId="3322"/>
    <cellStyle name="_DEM-WP(C) Costs not in AURORA 2007PCORC-5.07Update_Electric Rev Req Model (2009 GRC)  3" xfId="3323"/>
    <cellStyle name="_DEM-WP(C) Costs not in AURORA 2007PCORC-5.07Update_Electric Rev Req Model (2009 GRC) Rebuttal" xfId="3324"/>
    <cellStyle name="_DEM-WP(C) Costs not in AURORA 2007PCORC-5.07Update_Electric Rev Req Model (2009 GRC) Rebuttal 2" xfId="3325"/>
    <cellStyle name="_DEM-WP(C) Costs not in AURORA 2007PCORC-5.07Update_Electric Rev Req Model (2009 GRC) Rebuttal 2 2" xfId="3326"/>
    <cellStyle name="_DEM-WP(C) Costs not in AURORA 2007PCORC-5.07Update_Electric Rev Req Model (2009 GRC) Rebuttal 3" xfId="3327"/>
    <cellStyle name="_DEM-WP(C) Costs not in AURORA 2007PCORC-5.07Update_Electric Rev Req Model (2009 GRC) Rebuttal REmoval of New  WH Solar AdjustMI" xfId="3328"/>
    <cellStyle name="_DEM-WP(C) Costs not in AURORA 2007PCORC-5.07Update_Electric Rev Req Model (2009 GRC) Rebuttal REmoval of New  WH Solar AdjustMI 2" xfId="3329"/>
    <cellStyle name="_DEM-WP(C) Costs not in AURORA 2007PCORC-5.07Update_Electric Rev Req Model (2009 GRC) Rebuttal REmoval of New  WH Solar AdjustMI 2 2" xfId="3330"/>
    <cellStyle name="_DEM-WP(C) Costs not in AURORA 2007PCORC-5.07Update_Electric Rev Req Model (2009 GRC) Rebuttal REmoval of New  WH Solar AdjustMI 3" xfId="3331"/>
    <cellStyle name="_DEM-WP(C) Costs not in AURORA 2007PCORC-5.07Update_Electric Rev Req Model (2009 GRC) Revised 01-18-2010" xfId="3332"/>
    <cellStyle name="_DEM-WP(C) Costs not in AURORA 2007PCORC-5.07Update_Electric Rev Req Model (2009 GRC) Revised 01-18-2010 2" xfId="3333"/>
    <cellStyle name="_DEM-WP(C) Costs not in AURORA 2007PCORC-5.07Update_Electric Rev Req Model (2009 GRC) Revised 01-18-2010 2 2" xfId="3334"/>
    <cellStyle name="_DEM-WP(C) Costs not in AURORA 2007PCORC-5.07Update_Electric Rev Req Model (2009 GRC) Revised 01-18-2010 3" xfId="3335"/>
    <cellStyle name="_DEM-WP(C) Costs not in AURORA 2007PCORC-5.07Update_Electric Rev Req Model (2010 GRC)" xfId="3336"/>
    <cellStyle name="_DEM-WP(C) Costs not in AURORA 2007PCORC-5.07Update_Electric Rev Req Model (2010 GRC) SF" xfId="3337"/>
    <cellStyle name="_DEM-WP(C) Costs not in AURORA 2007PCORC-5.07Update_Final Order Electric" xfId="3338"/>
    <cellStyle name="_DEM-WP(C) Costs not in AURORA 2007PCORC-5.07Update_Final Order Electric EXHIBIT A-1" xfId="3339"/>
    <cellStyle name="_DEM-WP(C) Costs not in AURORA 2007PCORC-5.07Update_Final Order Electric EXHIBIT A-1 2" xfId="3340"/>
    <cellStyle name="_DEM-WP(C) Costs not in AURORA 2007PCORC-5.07Update_Final Order Electric EXHIBIT A-1 2 2" xfId="3341"/>
    <cellStyle name="_DEM-WP(C) Costs not in AURORA 2007PCORC-5.07Update_Final Order Electric EXHIBIT A-1 3" xfId="3342"/>
    <cellStyle name="_DEM-WP(C) Costs not in AURORA 2007PCORC-5.07Update_NIM Summary" xfId="3343"/>
    <cellStyle name="_DEM-WP(C) Costs not in AURORA 2007PCORC-5.07Update_NIM Summary 09GRC" xfId="3344"/>
    <cellStyle name="_DEM-WP(C) Costs not in AURORA 2007PCORC-5.07Update_NIM Summary 09GRC 2" xfId="3345"/>
    <cellStyle name="_DEM-WP(C) Costs not in AURORA 2007PCORC-5.07Update_NIM Summary 09GRC_NIM Summary" xfId="3346"/>
    <cellStyle name="_DEM-WP(C) Costs not in AURORA 2007PCORC-5.07Update_NIM Summary 09GRC_NIM Summary 2" xfId="3347"/>
    <cellStyle name="_DEM-WP(C) Costs not in AURORA 2007PCORC-5.07Update_NIM Summary 2" xfId="3348"/>
    <cellStyle name="_DEM-WP(C) Costs not in AURORA 2007PCORC-5.07Update_NIM Summary 3" xfId="3349"/>
    <cellStyle name="_DEM-WP(C) Costs not in AURORA 2007PCORC-5.07Update_NIM Summary 4" xfId="3350"/>
    <cellStyle name="_DEM-WP(C) Costs not in AURORA 2007PCORC-5.07Update_NIM Summary 5" xfId="3351"/>
    <cellStyle name="_DEM-WP(C) Costs not in AURORA 2007PCORC-5.07Update_NIM Summary 6" xfId="3352"/>
    <cellStyle name="_DEM-WP(C) Costs not in AURORA 2007PCORC-5.07Update_NIM Summary 7" xfId="3353"/>
    <cellStyle name="_DEM-WP(C) Costs not in AURORA 2007PCORC-5.07Update_NIM Summary 8" xfId="3354"/>
    <cellStyle name="_DEM-WP(C) Costs not in AURORA 2007PCORC-5.07Update_NIM Summary 9" xfId="3355"/>
    <cellStyle name="_DEM-WP(C) Costs not in AURORA 2007PCORC-5.07Update_Power Costs - Comparison bx Rbtl-Staff-Jt-PC" xfId="3356"/>
    <cellStyle name="_DEM-WP(C) Costs not in AURORA 2007PCORC-5.07Update_Power Costs - Comparison bx Rbtl-Staff-Jt-PC 2" xfId="3357"/>
    <cellStyle name="_DEM-WP(C) Costs not in AURORA 2007PCORC-5.07Update_Power Costs - Comparison bx Rbtl-Staff-Jt-PC 2 2" xfId="3358"/>
    <cellStyle name="_DEM-WP(C) Costs not in AURORA 2007PCORC-5.07Update_Power Costs - Comparison bx Rbtl-Staff-Jt-PC 3" xfId="3359"/>
    <cellStyle name="_DEM-WP(C) Costs not in AURORA 2007PCORC-5.07Update_Rebuttal Power Costs" xfId="3360"/>
    <cellStyle name="_DEM-WP(C) Costs not in AURORA 2007PCORC-5.07Update_Rebuttal Power Costs 2" xfId="3361"/>
    <cellStyle name="_DEM-WP(C) Costs not in AURORA 2007PCORC-5.07Update_Rebuttal Power Costs 2 2" xfId="3362"/>
    <cellStyle name="_DEM-WP(C) Costs not in AURORA 2007PCORC-5.07Update_Rebuttal Power Costs 3" xfId="3363"/>
    <cellStyle name="_DEM-WP(C) Costs not in AURORA 2007PCORC-5.07Update_TENASKA REGULATORY ASSET" xfId="3364"/>
    <cellStyle name="_DEM-WP(C) Costs not in AURORA 2007PCORC-5.07Update_TENASKA REGULATORY ASSET 2" xfId="3365"/>
    <cellStyle name="_DEM-WP(C) Costs not in AURORA 2007PCORC-5.07Update_TENASKA REGULATORY ASSET 2 2" xfId="3366"/>
    <cellStyle name="_DEM-WP(C) Costs not in AURORA 2007PCORC-5.07Update_TENASKA REGULATORY ASSET 3" xfId="3367"/>
    <cellStyle name="_DEM-WP(C) Costs Not In AURORA 2009GRC" xfId="3368"/>
    <cellStyle name="_DEM-WP(C) Prod O&amp;M 2007GRC" xfId="3369"/>
    <cellStyle name="_DEM-WP(C) Prod O&amp;M 2007GRC 2" xfId="3370"/>
    <cellStyle name="_DEM-WP(C) Prod O&amp;M 2007GRC 2 2" xfId="3371"/>
    <cellStyle name="_DEM-WP(C) Prod O&amp;M 2007GRC 3" xfId="3372"/>
    <cellStyle name="_DEM-WP(C) Prod O&amp;M 2007GRC_Adj Bench DR 3 for Initial Briefs (Electric)" xfId="3373"/>
    <cellStyle name="_DEM-WP(C) Prod O&amp;M 2007GRC_Adj Bench DR 3 for Initial Briefs (Electric) 2" xfId="3374"/>
    <cellStyle name="_DEM-WP(C) Prod O&amp;M 2007GRC_Adj Bench DR 3 for Initial Briefs (Electric) 2 2" xfId="3375"/>
    <cellStyle name="_DEM-WP(C) Prod O&amp;M 2007GRC_Adj Bench DR 3 for Initial Briefs (Electric) 3" xfId="3376"/>
    <cellStyle name="_DEM-WP(C) Prod O&amp;M 2007GRC_Book2" xfId="3377"/>
    <cellStyle name="_DEM-WP(C) Prod O&amp;M 2007GRC_Book2 2" xfId="3378"/>
    <cellStyle name="_DEM-WP(C) Prod O&amp;M 2007GRC_Book2 2 2" xfId="3379"/>
    <cellStyle name="_DEM-WP(C) Prod O&amp;M 2007GRC_Book2 3" xfId="3380"/>
    <cellStyle name="_DEM-WP(C) Prod O&amp;M 2007GRC_Book2_Adj Bench DR 3 for Initial Briefs (Electric)" xfId="3381"/>
    <cellStyle name="_DEM-WP(C) Prod O&amp;M 2007GRC_Book2_Adj Bench DR 3 for Initial Briefs (Electric) 2" xfId="3382"/>
    <cellStyle name="_DEM-WP(C) Prod O&amp;M 2007GRC_Book2_Adj Bench DR 3 for Initial Briefs (Electric) 2 2" xfId="3383"/>
    <cellStyle name="_DEM-WP(C) Prod O&amp;M 2007GRC_Book2_Adj Bench DR 3 for Initial Briefs (Electric) 3" xfId="3384"/>
    <cellStyle name="_DEM-WP(C) Prod O&amp;M 2007GRC_Book2_Electric Rev Req Model (2009 GRC) Rebuttal" xfId="3385"/>
    <cellStyle name="_DEM-WP(C) Prod O&amp;M 2007GRC_Book2_Electric Rev Req Model (2009 GRC) Rebuttal 2" xfId="3386"/>
    <cellStyle name="_DEM-WP(C) Prod O&amp;M 2007GRC_Book2_Electric Rev Req Model (2009 GRC) Rebuttal 2 2" xfId="3387"/>
    <cellStyle name="_DEM-WP(C) Prod O&amp;M 2007GRC_Book2_Electric Rev Req Model (2009 GRC) Rebuttal 3" xfId="3388"/>
    <cellStyle name="_DEM-WP(C) Prod O&amp;M 2007GRC_Book2_Electric Rev Req Model (2009 GRC) Rebuttal REmoval of New  WH Solar AdjustMI" xfId="3389"/>
    <cellStyle name="_DEM-WP(C) Prod O&amp;M 2007GRC_Book2_Electric Rev Req Model (2009 GRC) Rebuttal REmoval of New  WH Solar AdjustMI 2" xfId="3390"/>
    <cellStyle name="_DEM-WP(C) Prod O&amp;M 2007GRC_Book2_Electric Rev Req Model (2009 GRC) Rebuttal REmoval of New  WH Solar AdjustMI 2 2" xfId="3391"/>
    <cellStyle name="_DEM-WP(C) Prod O&amp;M 2007GRC_Book2_Electric Rev Req Model (2009 GRC) Rebuttal REmoval of New  WH Solar AdjustMI 3" xfId="3392"/>
    <cellStyle name="_DEM-WP(C) Prod O&amp;M 2007GRC_Book2_Electric Rev Req Model (2009 GRC) Revised 01-18-2010" xfId="3393"/>
    <cellStyle name="_DEM-WP(C) Prod O&amp;M 2007GRC_Book2_Electric Rev Req Model (2009 GRC) Revised 01-18-2010 2" xfId="3394"/>
    <cellStyle name="_DEM-WP(C) Prod O&amp;M 2007GRC_Book2_Electric Rev Req Model (2009 GRC) Revised 01-18-2010 2 2" xfId="3395"/>
    <cellStyle name="_DEM-WP(C) Prod O&amp;M 2007GRC_Book2_Electric Rev Req Model (2009 GRC) Revised 01-18-2010 3" xfId="3396"/>
    <cellStyle name="_DEM-WP(C) Prod O&amp;M 2007GRC_Book2_Final Order Electric EXHIBIT A-1" xfId="3397"/>
    <cellStyle name="_DEM-WP(C) Prod O&amp;M 2007GRC_Book2_Final Order Electric EXHIBIT A-1 2" xfId="3398"/>
    <cellStyle name="_DEM-WP(C) Prod O&amp;M 2007GRC_Book2_Final Order Electric EXHIBIT A-1 2 2" xfId="3399"/>
    <cellStyle name="_DEM-WP(C) Prod O&amp;M 2007GRC_Book2_Final Order Electric EXHIBIT A-1 3" xfId="3400"/>
    <cellStyle name="_DEM-WP(C) Prod O&amp;M 2007GRC_Confidential Material" xfId="3401"/>
    <cellStyle name="_DEM-WP(C) Prod O&amp;M 2007GRC_DEM-WP(C) Colstrip 12 Coal Cost Forecast 2010GRC" xfId="3402"/>
    <cellStyle name="_DEM-WP(C) Prod O&amp;M 2007GRC_DEM-WP(C) Production O&amp;M 2010GRC As-Filed" xfId="3403"/>
    <cellStyle name="_DEM-WP(C) Prod O&amp;M 2007GRC_DEM-WP(C) Production O&amp;M 2010GRC As-Filed 2" xfId="3404"/>
    <cellStyle name="_DEM-WP(C) Prod O&amp;M 2007GRC_Electric Rev Req Model (2009 GRC) Rebuttal" xfId="3405"/>
    <cellStyle name="_DEM-WP(C) Prod O&amp;M 2007GRC_Electric Rev Req Model (2009 GRC) Rebuttal 2" xfId="3406"/>
    <cellStyle name="_DEM-WP(C) Prod O&amp;M 2007GRC_Electric Rev Req Model (2009 GRC) Rebuttal 2 2" xfId="3407"/>
    <cellStyle name="_DEM-WP(C) Prod O&amp;M 2007GRC_Electric Rev Req Model (2009 GRC) Rebuttal 3" xfId="3408"/>
    <cellStyle name="_DEM-WP(C) Prod O&amp;M 2007GRC_Electric Rev Req Model (2009 GRC) Rebuttal REmoval of New  WH Solar AdjustMI" xfId="3409"/>
    <cellStyle name="_DEM-WP(C) Prod O&amp;M 2007GRC_Electric Rev Req Model (2009 GRC) Rebuttal REmoval of New  WH Solar AdjustMI 2" xfId="3410"/>
    <cellStyle name="_DEM-WP(C) Prod O&amp;M 2007GRC_Electric Rev Req Model (2009 GRC) Rebuttal REmoval of New  WH Solar AdjustMI 2 2" xfId="3411"/>
    <cellStyle name="_DEM-WP(C) Prod O&amp;M 2007GRC_Electric Rev Req Model (2009 GRC) Rebuttal REmoval of New  WH Solar AdjustMI 3" xfId="3412"/>
    <cellStyle name="_DEM-WP(C) Prod O&amp;M 2007GRC_Electric Rev Req Model (2009 GRC) Revised 01-18-2010" xfId="3413"/>
    <cellStyle name="_DEM-WP(C) Prod O&amp;M 2007GRC_Electric Rev Req Model (2009 GRC) Revised 01-18-2010 2" xfId="3414"/>
    <cellStyle name="_DEM-WP(C) Prod O&amp;M 2007GRC_Electric Rev Req Model (2009 GRC) Revised 01-18-2010 2 2" xfId="3415"/>
    <cellStyle name="_DEM-WP(C) Prod O&amp;M 2007GRC_Electric Rev Req Model (2009 GRC) Revised 01-18-2010 3" xfId="3416"/>
    <cellStyle name="_DEM-WP(C) Prod O&amp;M 2007GRC_Final Order Electric EXHIBIT A-1" xfId="3417"/>
    <cellStyle name="_DEM-WP(C) Prod O&amp;M 2007GRC_Final Order Electric EXHIBIT A-1 2" xfId="3418"/>
    <cellStyle name="_DEM-WP(C) Prod O&amp;M 2007GRC_Final Order Electric EXHIBIT A-1 2 2" xfId="3419"/>
    <cellStyle name="_DEM-WP(C) Prod O&amp;M 2007GRC_Final Order Electric EXHIBIT A-1 3" xfId="3420"/>
    <cellStyle name="_DEM-WP(C) Prod O&amp;M 2007GRC_Rebuttal Power Costs" xfId="3421"/>
    <cellStyle name="_DEM-WP(C) Prod O&amp;M 2007GRC_Rebuttal Power Costs 2" xfId="3422"/>
    <cellStyle name="_DEM-WP(C) Prod O&amp;M 2007GRC_Rebuttal Power Costs 2 2" xfId="3423"/>
    <cellStyle name="_DEM-WP(C) Prod O&amp;M 2007GRC_Rebuttal Power Costs 3" xfId="3424"/>
    <cellStyle name="_DEM-WP(C) Prod O&amp;M 2007GRC_Rebuttal Power Costs_Adj Bench DR 3 for Initial Briefs (Electric)" xfId="3425"/>
    <cellStyle name="_DEM-WP(C) Prod O&amp;M 2007GRC_Rebuttal Power Costs_Adj Bench DR 3 for Initial Briefs (Electric) 2" xfId="3426"/>
    <cellStyle name="_DEM-WP(C) Prod O&amp;M 2007GRC_Rebuttal Power Costs_Adj Bench DR 3 for Initial Briefs (Electric) 2 2" xfId="3427"/>
    <cellStyle name="_DEM-WP(C) Prod O&amp;M 2007GRC_Rebuttal Power Costs_Adj Bench DR 3 for Initial Briefs (Electric) 3" xfId="3428"/>
    <cellStyle name="_DEM-WP(C) Prod O&amp;M 2007GRC_Rebuttal Power Costs_Electric Rev Req Model (2009 GRC) Rebuttal" xfId="3429"/>
    <cellStyle name="_DEM-WP(C) Prod O&amp;M 2007GRC_Rebuttal Power Costs_Electric Rev Req Model (2009 GRC) Rebuttal 2" xfId="3430"/>
    <cellStyle name="_DEM-WP(C) Prod O&amp;M 2007GRC_Rebuttal Power Costs_Electric Rev Req Model (2009 GRC) Rebuttal 2 2" xfId="3431"/>
    <cellStyle name="_DEM-WP(C) Prod O&amp;M 2007GRC_Rebuttal Power Costs_Electric Rev Req Model (2009 GRC) Rebuttal 3" xfId="3432"/>
    <cellStyle name="_DEM-WP(C) Prod O&amp;M 2007GRC_Rebuttal Power Costs_Electric Rev Req Model (2009 GRC) Rebuttal REmoval of New  WH Solar AdjustMI" xfId="3433"/>
    <cellStyle name="_DEM-WP(C) Prod O&amp;M 2007GRC_Rebuttal Power Costs_Electric Rev Req Model (2009 GRC) Rebuttal REmoval of New  WH Solar AdjustMI 2" xfId="3434"/>
    <cellStyle name="_DEM-WP(C) Prod O&amp;M 2007GRC_Rebuttal Power Costs_Electric Rev Req Model (2009 GRC) Rebuttal REmoval of New  WH Solar AdjustMI 2 2" xfId="3435"/>
    <cellStyle name="_DEM-WP(C) Prod O&amp;M 2007GRC_Rebuttal Power Costs_Electric Rev Req Model (2009 GRC) Rebuttal REmoval of New  WH Solar AdjustMI 3" xfId="3436"/>
    <cellStyle name="_DEM-WP(C) Prod O&amp;M 2007GRC_Rebuttal Power Costs_Electric Rev Req Model (2009 GRC) Revised 01-18-2010" xfId="3437"/>
    <cellStyle name="_DEM-WP(C) Prod O&amp;M 2007GRC_Rebuttal Power Costs_Electric Rev Req Model (2009 GRC) Revised 01-18-2010 2" xfId="3438"/>
    <cellStyle name="_DEM-WP(C) Prod O&amp;M 2007GRC_Rebuttal Power Costs_Electric Rev Req Model (2009 GRC) Revised 01-18-2010 2 2" xfId="3439"/>
    <cellStyle name="_DEM-WP(C) Prod O&amp;M 2007GRC_Rebuttal Power Costs_Electric Rev Req Model (2009 GRC) Revised 01-18-2010 3" xfId="3440"/>
    <cellStyle name="_DEM-WP(C) Prod O&amp;M 2007GRC_Rebuttal Power Costs_Final Order Electric EXHIBIT A-1" xfId="3441"/>
    <cellStyle name="_DEM-WP(C) Prod O&amp;M 2007GRC_Rebuttal Power Costs_Final Order Electric EXHIBIT A-1 2" xfId="3442"/>
    <cellStyle name="_DEM-WP(C) Prod O&amp;M 2007GRC_Rebuttal Power Costs_Final Order Electric EXHIBIT A-1 2 2" xfId="3443"/>
    <cellStyle name="_DEM-WP(C) Prod O&amp;M 2007GRC_Rebuttal Power Costs_Final Order Electric EXHIBIT A-1 3" xfId="3444"/>
    <cellStyle name="_x0013__DEM-WP(C) Production O&amp;M 2010GRC As-Filed" xfId="3445"/>
    <cellStyle name="_x0013__DEM-WP(C) Production O&amp;M 2010GRC As-Filed 2" xfId="3446"/>
    <cellStyle name="_DEM-WP(C) Rate Year Sumas by Month Update Corrected" xfId="3447"/>
    <cellStyle name="_DEM-WP(C) Sumas Proforma 11.14.07" xfId="3448"/>
    <cellStyle name="_DEM-WP(C) Sumas Proforma 11.5.07" xfId="3449"/>
    <cellStyle name="_DEM-WP(C) Westside Hydro Data_051007" xfId="3450"/>
    <cellStyle name="_DEM-WP(C) Westside Hydro Data_051007 2" xfId="3451"/>
    <cellStyle name="_DEM-WP(C) Westside Hydro Data_051007 2 2" xfId="3452"/>
    <cellStyle name="_DEM-WP(C) Westside Hydro Data_051007 3" xfId="3453"/>
    <cellStyle name="_DEM-WP(C) Westside Hydro Data_051007_16.37E Wild Horse Expansion DeferralRevwrkingfile SF" xfId="3454"/>
    <cellStyle name="_DEM-WP(C) Westside Hydro Data_051007_16.37E Wild Horse Expansion DeferralRevwrkingfile SF 2" xfId="3455"/>
    <cellStyle name="_DEM-WP(C) Westside Hydro Data_051007_16.37E Wild Horse Expansion DeferralRevwrkingfile SF 2 2" xfId="3456"/>
    <cellStyle name="_DEM-WP(C) Westside Hydro Data_051007_16.37E Wild Horse Expansion DeferralRevwrkingfile SF 3" xfId="3457"/>
    <cellStyle name="_DEM-WP(C) Westside Hydro Data_051007_2009 GRC Compl Filing - Exhibit D" xfId="3458"/>
    <cellStyle name="_DEM-WP(C) Westside Hydro Data_051007_2009 GRC Compl Filing - Exhibit D 2" xfId="3459"/>
    <cellStyle name="_DEM-WP(C) Westside Hydro Data_051007_Adj Bench DR 3 for Initial Briefs (Electric)" xfId="3460"/>
    <cellStyle name="_DEM-WP(C) Westside Hydro Data_051007_Adj Bench DR 3 for Initial Briefs (Electric) 2" xfId="3461"/>
    <cellStyle name="_DEM-WP(C) Westside Hydro Data_051007_Adj Bench DR 3 for Initial Briefs (Electric) 2 2" xfId="3462"/>
    <cellStyle name="_DEM-WP(C) Westside Hydro Data_051007_Adj Bench DR 3 for Initial Briefs (Electric) 3" xfId="3463"/>
    <cellStyle name="_DEM-WP(C) Westside Hydro Data_051007_Book1" xfId="3464"/>
    <cellStyle name="_DEM-WP(C) Westside Hydro Data_051007_Book2" xfId="3465"/>
    <cellStyle name="_DEM-WP(C) Westside Hydro Data_051007_Book2 2" xfId="3466"/>
    <cellStyle name="_DEM-WP(C) Westside Hydro Data_051007_Book2 2 2" xfId="3467"/>
    <cellStyle name="_DEM-WP(C) Westside Hydro Data_051007_Book2 3" xfId="3468"/>
    <cellStyle name="_DEM-WP(C) Westside Hydro Data_051007_Book4" xfId="3469"/>
    <cellStyle name="_DEM-WP(C) Westside Hydro Data_051007_Book4 2" xfId="3470"/>
    <cellStyle name="_DEM-WP(C) Westside Hydro Data_051007_Book4 2 2" xfId="3471"/>
    <cellStyle name="_DEM-WP(C) Westside Hydro Data_051007_Book4 3" xfId="3472"/>
    <cellStyle name="_DEM-WP(C) Westside Hydro Data_051007_Electric Rev Req Model (2009 GRC) " xfId="3473"/>
    <cellStyle name="_DEM-WP(C) Westside Hydro Data_051007_Electric Rev Req Model (2009 GRC)  2" xfId="3474"/>
    <cellStyle name="_DEM-WP(C) Westside Hydro Data_051007_Electric Rev Req Model (2009 GRC)  2 2" xfId="3475"/>
    <cellStyle name="_DEM-WP(C) Westside Hydro Data_051007_Electric Rev Req Model (2009 GRC)  3" xfId="3476"/>
    <cellStyle name="_DEM-WP(C) Westside Hydro Data_051007_Electric Rev Req Model (2009 GRC) Rebuttal" xfId="3477"/>
    <cellStyle name="_DEM-WP(C) Westside Hydro Data_051007_Electric Rev Req Model (2009 GRC) Rebuttal 2" xfId="3478"/>
    <cellStyle name="_DEM-WP(C) Westside Hydro Data_051007_Electric Rev Req Model (2009 GRC) Rebuttal 2 2" xfId="3479"/>
    <cellStyle name="_DEM-WP(C) Westside Hydro Data_051007_Electric Rev Req Model (2009 GRC) Rebuttal 3" xfId="3480"/>
    <cellStyle name="_DEM-WP(C) Westside Hydro Data_051007_Electric Rev Req Model (2009 GRC) Rebuttal REmoval of New  WH Solar AdjustMI" xfId="3481"/>
    <cellStyle name="_DEM-WP(C) Westside Hydro Data_051007_Electric Rev Req Model (2009 GRC) Rebuttal REmoval of New  WH Solar AdjustMI 2" xfId="3482"/>
    <cellStyle name="_DEM-WP(C) Westside Hydro Data_051007_Electric Rev Req Model (2009 GRC) Rebuttal REmoval of New  WH Solar AdjustMI 2 2" xfId="3483"/>
    <cellStyle name="_DEM-WP(C) Westside Hydro Data_051007_Electric Rev Req Model (2009 GRC) Rebuttal REmoval of New  WH Solar AdjustMI 3" xfId="3484"/>
    <cellStyle name="_DEM-WP(C) Westside Hydro Data_051007_Electric Rev Req Model (2009 GRC) Revised 01-18-2010" xfId="3485"/>
    <cellStyle name="_DEM-WP(C) Westside Hydro Data_051007_Electric Rev Req Model (2009 GRC) Revised 01-18-2010 2" xfId="3486"/>
    <cellStyle name="_DEM-WP(C) Westside Hydro Data_051007_Electric Rev Req Model (2009 GRC) Revised 01-18-2010 2 2" xfId="3487"/>
    <cellStyle name="_DEM-WP(C) Westside Hydro Data_051007_Electric Rev Req Model (2009 GRC) Revised 01-18-2010 3" xfId="3488"/>
    <cellStyle name="_DEM-WP(C) Westside Hydro Data_051007_Electric Rev Req Model (2010 GRC)" xfId="3489"/>
    <cellStyle name="_DEM-WP(C) Westside Hydro Data_051007_Electric Rev Req Model (2010 GRC) SF" xfId="3490"/>
    <cellStyle name="_DEM-WP(C) Westside Hydro Data_051007_Final Order Electric" xfId="3491"/>
    <cellStyle name="_DEM-WP(C) Westside Hydro Data_051007_Final Order Electric EXHIBIT A-1" xfId="3492"/>
    <cellStyle name="_DEM-WP(C) Westside Hydro Data_051007_Final Order Electric EXHIBIT A-1 2" xfId="3493"/>
    <cellStyle name="_DEM-WP(C) Westside Hydro Data_051007_Final Order Electric EXHIBIT A-1 2 2" xfId="3494"/>
    <cellStyle name="_DEM-WP(C) Westside Hydro Data_051007_Final Order Electric EXHIBIT A-1 3" xfId="3495"/>
    <cellStyle name="_DEM-WP(C) Westside Hydro Data_051007_NIM Summary" xfId="3496"/>
    <cellStyle name="_DEM-WP(C) Westside Hydro Data_051007_NIM Summary 2" xfId="3497"/>
    <cellStyle name="_DEM-WP(C) Westside Hydro Data_051007_Power Costs - Comparison bx Rbtl-Staff-Jt-PC" xfId="3498"/>
    <cellStyle name="_DEM-WP(C) Westside Hydro Data_051007_Power Costs - Comparison bx Rbtl-Staff-Jt-PC 2" xfId="3499"/>
    <cellStyle name="_DEM-WP(C) Westside Hydro Data_051007_Power Costs - Comparison bx Rbtl-Staff-Jt-PC 2 2" xfId="3500"/>
    <cellStyle name="_DEM-WP(C) Westside Hydro Data_051007_Power Costs - Comparison bx Rbtl-Staff-Jt-PC 3" xfId="3501"/>
    <cellStyle name="_DEM-WP(C) Westside Hydro Data_051007_Rebuttal Power Costs" xfId="3502"/>
    <cellStyle name="_DEM-WP(C) Westside Hydro Data_051007_Rebuttal Power Costs 2" xfId="3503"/>
    <cellStyle name="_DEM-WP(C) Westside Hydro Data_051007_Rebuttal Power Costs 2 2" xfId="3504"/>
    <cellStyle name="_DEM-WP(C) Westside Hydro Data_051007_Rebuttal Power Costs 3" xfId="3505"/>
    <cellStyle name="_DEM-WP(C) Westside Hydro Data_051007_TENASKA REGULATORY ASSET" xfId="3506"/>
    <cellStyle name="_DEM-WP(C) Westside Hydro Data_051007_TENASKA REGULATORY ASSET 2" xfId="3507"/>
    <cellStyle name="_DEM-WP(C) Westside Hydro Data_051007_TENASKA REGULATORY ASSET 2 2" xfId="3508"/>
    <cellStyle name="_DEM-WP(C) Westside Hydro Data_051007_TENASKA REGULATORY ASSET 3" xfId="3509"/>
    <cellStyle name="_Elec Peak Capacity Need_2008-2029_032709_Wind 5% Cap" xfId="3510"/>
    <cellStyle name="_Elec Peak Capacity Need_2008-2029_032709_Wind 5% Cap 2" xfId="3511"/>
    <cellStyle name="_Elec Peak Capacity Need_2008-2029_032709_Wind 5% Cap_NIM Summary" xfId="3512"/>
    <cellStyle name="_Elec Peak Capacity Need_2008-2029_032709_Wind 5% Cap_NIM Summary 2" xfId="3513"/>
    <cellStyle name="_Elec Peak Capacity Need_2008-2029_032709_Wind 5% Cap-ST-Adj-PJP1" xfId="3514"/>
    <cellStyle name="_Elec Peak Capacity Need_2008-2029_032709_Wind 5% Cap-ST-Adj-PJP1 2" xfId="3515"/>
    <cellStyle name="_Elec Peak Capacity Need_2008-2029_032709_Wind 5% Cap-ST-Adj-PJP1_NIM Summary" xfId="3516"/>
    <cellStyle name="_Elec Peak Capacity Need_2008-2029_032709_Wind 5% Cap-ST-Adj-PJP1_NIM Summary 2" xfId="3517"/>
    <cellStyle name="_Elec Peak Capacity Need_2008-2029_120908_Wind 5% Cap_Low" xfId="3518"/>
    <cellStyle name="_Elec Peak Capacity Need_2008-2029_120908_Wind 5% Cap_Low 2" xfId="3519"/>
    <cellStyle name="_Elec Peak Capacity Need_2008-2029_120908_Wind 5% Cap_Low_NIM Summary" xfId="3520"/>
    <cellStyle name="_Elec Peak Capacity Need_2008-2029_120908_Wind 5% Cap_Low_NIM Summary 2" xfId="3521"/>
    <cellStyle name="_Elec Peak Capacity Need_2008-2029_Wind 5% Cap_050809" xfId="3522"/>
    <cellStyle name="_Elec Peak Capacity Need_2008-2029_Wind 5% Cap_050809 2" xfId="3523"/>
    <cellStyle name="_Elec Peak Capacity Need_2008-2029_Wind 5% Cap_050809_NIM Summary" xfId="3524"/>
    <cellStyle name="_Elec Peak Capacity Need_2008-2029_Wind 5% Cap_050809_NIM Summary 2" xfId="3525"/>
    <cellStyle name="_x0013__Electric Rev Req Model (2009 GRC) " xfId="3526"/>
    <cellStyle name="_x0013__Electric Rev Req Model (2009 GRC)  2" xfId="3527"/>
    <cellStyle name="_x0013__Electric Rev Req Model (2009 GRC)  2 2" xfId="3528"/>
    <cellStyle name="_x0013__Electric Rev Req Model (2009 GRC)  3" xfId="3529"/>
    <cellStyle name="_x0013__Electric Rev Req Model (2009 GRC) Rebuttal" xfId="3530"/>
    <cellStyle name="_x0013__Electric Rev Req Model (2009 GRC) Rebuttal 2" xfId="3531"/>
    <cellStyle name="_x0013__Electric Rev Req Model (2009 GRC) Rebuttal 2 2" xfId="3532"/>
    <cellStyle name="_x0013__Electric Rev Req Model (2009 GRC) Rebuttal 3" xfId="3533"/>
    <cellStyle name="_x0013__Electric Rev Req Model (2009 GRC) Rebuttal REmoval of New  WH Solar AdjustMI" xfId="3534"/>
    <cellStyle name="_x0013__Electric Rev Req Model (2009 GRC) Rebuttal REmoval of New  WH Solar AdjustMI 2" xfId="3535"/>
    <cellStyle name="_x0013__Electric Rev Req Model (2009 GRC) Rebuttal REmoval of New  WH Solar AdjustMI 2 2" xfId="3536"/>
    <cellStyle name="_x0013__Electric Rev Req Model (2009 GRC) Rebuttal REmoval of New  WH Solar AdjustMI 3" xfId="3537"/>
    <cellStyle name="_x0013__Electric Rev Req Model (2009 GRC) Revised 01-18-2010" xfId="3538"/>
    <cellStyle name="_x0013__Electric Rev Req Model (2009 GRC) Revised 01-18-2010 2" xfId="3539"/>
    <cellStyle name="_x0013__Electric Rev Req Model (2009 GRC) Revised 01-18-2010 2 2" xfId="3540"/>
    <cellStyle name="_x0013__Electric Rev Req Model (2009 GRC) Revised 01-18-2010 3" xfId="3541"/>
    <cellStyle name="_x0013__Electric Rev Req Model (2010 GRC)" xfId="3542"/>
    <cellStyle name="_x0013__Electric Rev Req Model (2010 GRC) SF" xfId="3543"/>
    <cellStyle name="_ENCOGEN_WBOOK" xfId="3544"/>
    <cellStyle name="_ENCOGEN_WBOOK 2" xfId="3545"/>
    <cellStyle name="_ENCOGEN_WBOOK_NIM Summary" xfId="3546"/>
    <cellStyle name="_ENCOGEN_WBOOK_NIM Summary 2" xfId="3547"/>
    <cellStyle name="_x0013__Final Order Electric EXHIBIT A-1" xfId="3548"/>
    <cellStyle name="_x0013__Final Order Electric EXHIBIT A-1 2" xfId="3549"/>
    <cellStyle name="_x0013__Final Order Electric EXHIBIT A-1 2 2" xfId="3550"/>
    <cellStyle name="_x0013__Final Order Electric EXHIBIT A-1 3" xfId="3551"/>
    <cellStyle name="_Fixed Gas Transport 1 19 09" xfId="3552"/>
    <cellStyle name="_Fixed Gas Transport 1 19 09 2" xfId="3553"/>
    <cellStyle name="_Fixed Gas Transport 1 19 09 2 2" xfId="3554"/>
    <cellStyle name="_Fixed Gas Transport 1 19 09 3" xfId="3555"/>
    <cellStyle name="_Fuel Prices 4-14" xfId="3556"/>
    <cellStyle name="_Fuel Prices 4-14 2" xfId="3557"/>
    <cellStyle name="_Fuel Prices 4-14 2 2" xfId="3558"/>
    <cellStyle name="_Fuel Prices 4-14 2 2 2" xfId="3559"/>
    <cellStyle name="_Fuel Prices 4-14 2 3" xfId="3560"/>
    <cellStyle name="_Fuel Prices 4-14 3" xfId="3561"/>
    <cellStyle name="_Fuel Prices 4-14 3 2" xfId="3562"/>
    <cellStyle name="_Fuel Prices 4-14 4" xfId="3563"/>
    <cellStyle name="_Fuel Prices 4-14 4 2" xfId="3564"/>
    <cellStyle name="_Fuel Prices 4-14 5" xfId="3565"/>
    <cellStyle name="_Fuel Prices 4-14_04 07E Wild Horse Wind Expansion (C) (2)" xfId="3566"/>
    <cellStyle name="_Fuel Prices 4-14_04 07E Wild Horse Wind Expansion (C) (2) 2" xfId="3567"/>
    <cellStyle name="_Fuel Prices 4-14_04 07E Wild Horse Wind Expansion (C) (2) 2 2" xfId="3568"/>
    <cellStyle name="_Fuel Prices 4-14_04 07E Wild Horse Wind Expansion (C) (2) 3" xfId="3569"/>
    <cellStyle name="_Fuel Prices 4-14_04 07E Wild Horse Wind Expansion (C) (2)_Adj Bench DR 3 for Initial Briefs (Electric)" xfId="3570"/>
    <cellStyle name="_Fuel Prices 4-14_04 07E Wild Horse Wind Expansion (C) (2)_Adj Bench DR 3 for Initial Briefs (Electric) 2" xfId="3571"/>
    <cellStyle name="_Fuel Prices 4-14_04 07E Wild Horse Wind Expansion (C) (2)_Adj Bench DR 3 for Initial Briefs (Electric) 2 2" xfId="3572"/>
    <cellStyle name="_Fuel Prices 4-14_04 07E Wild Horse Wind Expansion (C) (2)_Adj Bench DR 3 for Initial Briefs (Electric) 3" xfId="3573"/>
    <cellStyle name="_Fuel Prices 4-14_04 07E Wild Horse Wind Expansion (C) (2)_Book1" xfId="3574"/>
    <cellStyle name="_Fuel Prices 4-14_04 07E Wild Horse Wind Expansion (C) (2)_Electric Rev Req Model (2009 GRC) " xfId="3575"/>
    <cellStyle name="_Fuel Prices 4-14_04 07E Wild Horse Wind Expansion (C) (2)_Electric Rev Req Model (2009 GRC)  2" xfId="3576"/>
    <cellStyle name="_Fuel Prices 4-14_04 07E Wild Horse Wind Expansion (C) (2)_Electric Rev Req Model (2009 GRC)  2 2" xfId="3577"/>
    <cellStyle name="_Fuel Prices 4-14_04 07E Wild Horse Wind Expansion (C) (2)_Electric Rev Req Model (2009 GRC)  3" xfId="3578"/>
    <cellStyle name="_Fuel Prices 4-14_04 07E Wild Horse Wind Expansion (C) (2)_Electric Rev Req Model (2009 GRC) Rebuttal" xfId="3579"/>
    <cellStyle name="_Fuel Prices 4-14_04 07E Wild Horse Wind Expansion (C) (2)_Electric Rev Req Model (2009 GRC) Rebuttal 2" xfId="3580"/>
    <cellStyle name="_Fuel Prices 4-14_04 07E Wild Horse Wind Expansion (C) (2)_Electric Rev Req Model (2009 GRC) Rebuttal 2 2" xfId="3581"/>
    <cellStyle name="_Fuel Prices 4-14_04 07E Wild Horse Wind Expansion (C) (2)_Electric Rev Req Model (2009 GRC) Rebuttal 3" xfId="3582"/>
    <cellStyle name="_Fuel Prices 4-14_04 07E Wild Horse Wind Expansion (C) (2)_Electric Rev Req Model (2009 GRC) Rebuttal REmoval of New  WH Solar AdjustMI" xfId="3583"/>
    <cellStyle name="_Fuel Prices 4-14_04 07E Wild Horse Wind Expansion (C) (2)_Electric Rev Req Model (2009 GRC) Rebuttal REmoval of New  WH Solar AdjustMI 2" xfId="3584"/>
    <cellStyle name="_Fuel Prices 4-14_04 07E Wild Horse Wind Expansion (C) (2)_Electric Rev Req Model (2009 GRC) Rebuttal REmoval of New  WH Solar AdjustMI 2 2" xfId="3585"/>
    <cellStyle name="_Fuel Prices 4-14_04 07E Wild Horse Wind Expansion (C) (2)_Electric Rev Req Model (2009 GRC) Rebuttal REmoval of New  WH Solar AdjustMI 3" xfId="3586"/>
    <cellStyle name="_Fuel Prices 4-14_04 07E Wild Horse Wind Expansion (C) (2)_Electric Rev Req Model (2009 GRC) Revised 01-18-2010" xfId="3587"/>
    <cellStyle name="_Fuel Prices 4-14_04 07E Wild Horse Wind Expansion (C) (2)_Electric Rev Req Model (2009 GRC) Revised 01-18-2010 2" xfId="3588"/>
    <cellStyle name="_Fuel Prices 4-14_04 07E Wild Horse Wind Expansion (C) (2)_Electric Rev Req Model (2009 GRC) Revised 01-18-2010 2 2" xfId="3589"/>
    <cellStyle name="_Fuel Prices 4-14_04 07E Wild Horse Wind Expansion (C) (2)_Electric Rev Req Model (2009 GRC) Revised 01-18-2010 3" xfId="3590"/>
    <cellStyle name="_Fuel Prices 4-14_04 07E Wild Horse Wind Expansion (C) (2)_Electric Rev Req Model (2010 GRC)" xfId="3591"/>
    <cellStyle name="_Fuel Prices 4-14_04 07E Wild Horse Wind Expansion (C) (2)_Electric Rev Req Model (2010 GRC) SF" xfId="3592"/>
    <cellStyle name="_Fuel Prices 4-14_04 07E Wild Horse Wind Expansion (C) (2)_Final Order Electric EXHIBIT A-1" xfId="3593"/>
    <cellStyle name="_Fuel Prices 4-14_04 07E Wild Horse Wind Expansion (C) (2)_Final Order Electric EXHIBIT A-1 2" xfId="3594"/>
    <cellStyle name="_Fuel Prices 4-14_04 07E Wild Horse Wind Expansion (C) (2)_Final Order Electric EXHIBIT A-1 2 2" xfId="3595"/>
    <cellStyle name="_Fuel Prices 4-14_04 07E Wild Horse Wind Expansion (C) (2)_Final Order Electric EXHIBIT A-1 3" xfId="3596"/>
    <cellStyle name="_Fuel Prices 4-14_04 07E Wild Horse Wind Expansion (C) (2)_TENASKA REGULATORY ASSET" xfId="3597"/>
    <cellStyle name="_Fuel Prices 4-14_04 07E Wild Horse Wind Expansion (C) (2)_TENASKA REGULATORY ASSET 2" xfId="3598"/>
    <cellStyle name="_Fuel Prices 4-14_04 07E Wild Horse Wind Expansion (C) (2)_TENASKA REGULATORY ASSET 2 2" xfId="3599"/>
    <cellStyle name="_Fuel Prices 4-14_04 07E Wild Horse Wind Expansion (C) (2)_TENASKA REGULATORY ASSET 3" xfId="3600"/>
    <cellStyle name="_Fuel Prices 4-14_16.37E Wild Horse Expansion DeferralRevwrkingfile SF" xfId="3601"/>
    <cellStyle name="_Fuel Prices 4-14_16.37E Wild Horse Expansion DeferralRevwrkingfile SF 2" xfId="3602"/>
    <cellStyle name="_Fuel Prices 4-14_16.37E Wild Horse Expansion DeferralRevwrkingfile SF 2 2" xfId="3603"/>
    <cellStyle name="_Fuel Prices 4-14_16.37E Wild Horse Expansion DeferralRevwrkingfile SF 3" xfId="3604"/>
    <cellStyle name="_Fuel Prices 4-14_2009 Compliance Filing PCA Exhibits for GRC" xfId="3605"/>
    <cellStyle name="_Fuel Prices 4-14_2009 GRC Compl Filing - Exhibit D" xfId="3606"/>
    <cellStyle name="_Fuel Prices 4-14_2009 GRC Compl Filing - Exhibit D 2" xfId="3607"/>
    <cellStyle name="_Fuel Prices 4-14_3.01 Income Statement" xfId="3608"/>
    <cellStyle name="_Fuel Prices 4-14_4 31 Regulatory Assets and Liabilities  7 06- Exhibit D" xfId="3609"/>
    <cellStyle name="_Fuel Prices 4-14_4 31 Regulatory Assets and Liabilities  7 06- Exhibit D 2" xfId="3610"/>
    <cellStyle name="_Fuel Prices 4-14_4 31 Regulatory Assets and Liabilities  7 06- Exhibit D 2 2" xfId="3611"/>
    <cellStyle name="_Fuel Prices 4-14_4 31 Regulatory Assets and Liabilities  7 06- Exhibit D 3" xfId="3612"/>
    <cellStyle name="_Fuel Prices 4-14_4 31 Regulatory Assets and Liabilities  7 06- Exhibit D_NIM Summary" xfId="3613"/>
    <cellStyle name="_Fuel Prices 4-14_4 31 Regulatory Assets and Liabilities  7 06- Exhibit D_NIM Summary 2" xfId="3614"/>
    <cellStyle name="_Fuel Prices 4-14_4 32 Regulatory Assets and Liabilities  7 06- Exhibit D" xfId="3615"/>
    <cellStyle name="_Fuel Prices 4-14_4 32 Regulatory Assets and Liabilities  7 06- Exhibit D 2" xfId="3616"/>
    <cellStyle name="_Fuel Prices 4-14_4 32 Regulatory Assets and Liabilities  7 06- Exhibit D 2 2" xfId="3617"/>
    <cellStyle name="_Fuel Prices 4-14_4 32 Regulatory Assets and Liabilities  7 06- Exhibit D 3" xfId="3618"/>
    <cellStyle name="_Fuel Prices 4-14_4 32 Regulatory Assets and Liabilities  7 06- Exhibit D_NIM Summary" xfId="3619"/>
    <cellStyle name="_Fuel Prices 4-14_4 32 Regulatory Assets and Liabilities  7 06- Exhibit D_NIM Summary 2" xfId="3620"/>
    <cellStyle name="_Fuel Prices 4-14_AURORA Total New" xfId="3621"/>
    <cellStyle name="_Fuel Prices 4-14_AURORA Total New 2" xfId="3622"/>
    <cellStyle name="_Fuel Prices 4-14_Book2" xfId="3623"/>
    <cellStyle name="_Fuel Prices 4-14_Book2 2" xfId="3624"/>
    <cellStyle name="_Fuel Prices 4-14_Book2 2 2" xfId="3625"/>
    <cellStyle name="_Fuel Prices 4-14_Book2 3" xfId="3626"/>
    <cellStyle name="_Fuel Prices 4-14_Book2_Adj Bench DR 3 for Initial Briefs (Electric)" xfId="3627"/>
    <cellStyle name="_Fuel Prices 4-14_Book2_Adj Bench DR 3 for Initial Briefs (Electric) 2" xfId="3628"/>
    <cellStyle name="_Fuel Prices 4-14_Book2_Adj Bench DR 3 for Initial Briefs (Electric) 2 2" xfId="3629"/>
    <cellStyle name="_Fuel Prices 4-14_Book2_Adj Bench DR 3 for Initial Briefs (Electric) 3" xfId="3630"/>
    <cellStyle name="_Fuel Prices 4-14_Book2_Electric Rev Req Model (2009 GRC) Rebuttal" xfId="3631"/>
    <cellStyle name="_Fuel Prices 4-14_Book2_Electric Rev Req Model (2009 GRC) Rebuttal 2" xfId="3632"/>
    <cellStyle name="_Fuel Prices 4-14_Book2_Electric Rev Req Model (2009 GRC) Rebuttal 2 2" xfId="3633"/>
    <cellStyle name="_Fuel Prices 4-14_Book2_Electric Rev Req Model (2009 GRC) Rebuttal 3" xfId="3634"/>
    <cellStyle name="_Fuel Prices 4-14_Book2_Electric Rev Req Model (2009 GRC) Rebuttal REmoval of New  WH Solar AdjustMI" xfId="3635"/>
    <cellStyle name="_Fuel Prices 4-14_Book2_Electric Rev Req Model (2009 GRC) Rebuttal REmoval of New  WH Solar AdjustMI 2" xfId="3636"/>
    <cellStyle name="_Fuel Prices 4-14_Book2_Electric Rev Req Model (2009 GRC) Rebuttal REmoval of New  WH Solar AdjustMI 2 2" xfId="3637"/>
    <cellStyle name="_Fuel Prices 4-14_Book2_Electric Rev Req Model (2009 GRC) Rebuttal REmoval of New  WH Solar AdjustMI 3" xfId="3638"/>
    <cellStyle name="_Fuel Prices 4-14_Book2_Electric Rev Req Model (2009 GRC) Revised 01-18-2010" xfId="3639"/>
    <cellStyle name="_Fuel Prices 4-14_Book2_Electric Rev Req Model (2009 GRC) Revised 01-18-2010 2" xfId="3640"/>
    <cellStyle name="_Fuel Prices 4-14_Book2_Electric Rev Req Model (2009 GRC) Revised 01-18-2010 2 2" xfId="3641"/>
    <cellStyle name="_Fuel Prices 4-14_Book2_Electric Rev Req Model (2009 GRC) Revised 01-18-2010 3" xfId="3642"/>
    <cellStyle name="_Fuel Prices 4-14_Book2_Final Order Electric EXHIBIT A-1" xfId="3643"/>
    <cellStyle name="_Fuel Prices 4-14_Book2_Final Order Electric EXHIBIT A-1 2" xfId="3644"/>
    <cellStyle name="_Fuel Prices 4-14_Book2_Final Order Electric EXHIBIT A-1 2 2" xfId="3645"/>
    <cellStyle name="_Fuel Prices 4-14_Book2_Final Order Electric EXHIBIT A-1 3" xfId="3646"/>
    <cellStyle name="_Fuel Prices 4-14_Book4" xfId="3647"/>
    <cellStyle name="_Fuel Prices 4-14_Book4 2" xfId="3648"/>
    <cellStyle name="_Fuel Prices 4-14_Book4 2 2" xfId="3649"/>
    <cellStyle name="_Fuel Prices 4-14_Book4 3" xfId="3650"/>
    <cellStyle name="_Fuel Prices 4-14_Book9" xfId="3651"/>
    <cellStyle name="_Fuel Prices 4-14_Book9 2" xfId="3652"/>
    <cellStyle name="_Fuel Prices 4-14_Book9 2 2" xfId="3653"/>
    <cellStyle name="_Fuel Prices 4-14_Book9 3" xfId="3654"/>
    <cellStyle name="_Fuel Prices 4-14_Chelan PUD Power Costs (8-10)" xfId="3655"/>
    <cellStyle name="_Fuel Prices 4-14_Direct Assignment Distribution Plant 2008" xfId="3656"/>
    <cellStyle name="_Fuel Prices 4-14_Direct Assignment Distribution Plant 2008 2" xfId="3657"/>
    <cellStyle name="_Fuel Prices 4-14_Direct Assignment Distribution Plant 2008 2 2" xfId="3658"/>
    <cellStyle name="_Fuel Prices 4-14_Direct Assignment Distribution Plant 2008 2 2 2" xfId="3659"/>
    <cellStyle name="_Fuel Prices 4-14_Direct Assignment Distribution Plant 2008 2 3" xfId="3660"/>
    <cellStyle name="_Fuel Prices 4-14_Direct Assignment Distribution Plant 2008 2 3 2" xfId="3661"/>
    <cellStyle name="_Fuel Prices 4-14_Direct Assignment Distribution Plant 2008 2 4" xfId="3662"/>
    <cellStyle name="_Fuel Prices 4-14_Direct Assignment Distribution Plant 2008 2 4 2" xfId="3663"/>
    <cellStyle name="_Fuel Prices 4-14_Direct Assignment Distribution Plant 2008 3" xfId="3664"/>
    <cellStyle name="_Fuel Prices 4-14_Direct Assignment Distribution Plant 2008 3 2" xfId="3665"/>
    <cellStyle name="_Fuel Prices 4-14_Direct Assignment Distribution Plant 2008 4" xfId="3666"/>
    <cellStyle name="_Fuel Prices 4-14_Direct Assignment Distribution Plant 2008 4 2" xfId="3667"/>
    <cellStyle name="_Fuel Prices 4-14_Direct Assignment Distribution Plant 2008 5" xfId="3668"/>
    <cellStyle name="_Fuel Prices 4-14_Direct Assignment Distribution Plant 2008 6" xfId="3669"/>
    <cellStyle name="_Fuel Prices 4-14_Electric COS Inputs" xfId="3670"/>
    <cellStyle name="_Fuel Prices 4-14_Electric COS Inputs 2" xfId="3671"/>
    <cellStyle name="_Fuel Prices 4-14_Electric COS Inputs 2 2" xfId="3672"/>
    <cellStyle name="_Fuel Prices 4-14_Electric COS Inputs 2 2 2" xfId="3673"/>
    <cellStyle name="_Fuel Prices 4-14_Electric COS Inputs 2 3" xfId="3674"/>
    <cellStyle name="_Fuel Prices 4-14_Electric COS Inputs 2 3 2" xfId="3675"/>
    <cellStyle name="_Fuel Prices 4-14_Electric COS Inputs 2 4" xfId="3676"/>
    <cellStyle name="_Fuel Prices 4-14_Electric COS Inputs 2 4 2" xfId="3677"/>
    <cellStyle name="_Fuel Prices 4-14_Electric COS Inputs 3" xfId="3678"/>
    <cellStyle name="_Fuel Prices 4-14_Electric COS Inputs 3 2" xfId="3679"/>
    <cellStyle name="_Fuel Prices 4-14_Electric COS Inputs 4" xfId="3680"/>
    <cellStyle name="_Fuel Prices 4-14_Electric COS Inputs 4 2" xfId="3681"/>
    <cellStyle name="_Fuel Prices 4-14_Electric COS Inputs 5" xfId="3682"/>
    <cellStyle name="_Fuel Prices 4-14_Electric COS Inputs 6" xfId="3683"/>
    <cellStyle name="_Fuel Prices 4-14_Electric Rate Spread and Rate Design 3.23.09" xfId="3684"/>
    <cellStyle name="_Fuel Prices 4-14_Electric Rate Spread and Rate Design 3.23.09 2" xfId="3685"/>
    <cellStyle name="_Fuel Prices 4-14_Electric Rate Spread and Rate Design 3.23.09 2 2" xfId="3686"/>
    <cellStyle name="_Fuel Prices 4-14_Electric Rate Spread and Rate Design 3.23.09 2 2 2" xfId="3687"/>
    <cellStyle name="_Fuel Prices 4-14_Electric Rate Spread and Rate Design 3.23.09 2 3" xfId="3688"/>
    <cellStyle name="_Fuel Prices 4-14_Electric Rate Spread and Rate Design 3.23.09 2 3 2" xfId="3689"/>
    <cellStyle name="_Fuel Prices 4-14_Electric Rate Spread and Rate Design 3.23.09 2 4" xfId="3690"/>
    <cellStyle name="_Fuel Prices 4-14_Electric Rate Spread and Rate Design 3.23.09 2 4 2" xfId="3691"/>
    <cellStyle name="_Fuel Prices 4-14_Electric Rate Spread and Rate Design 3.23.09 3" xfId="3692"/>
    <cellStyle name="_Fuel Prices 4-14_Electric Rate Spread and Rate Design 3.23.09 3 2" xfId="3693"/>
    <cellStyle name="_Fuel Prices 4-14_Electric Rate Spread and Rate Design 3.23.09 4" xfId="3694"/>
    <cellStyle name="_Fuel Prices 4-14_Electric Rate Spread and Rate Design 3.23.09 4 2" xfId="3695"/>
    <cellStyle name="_Fuel Prices 4-14_Electric Rate Spread and Rate Design 3.23.09 5" xfId="3696"/>
    <cellStyle name="_Fuel Prices 4-14_Electric Rate Spread and Rate Design 3.23.09 6" xfId="3697"/>
    <cellStyle name="_Fuel Prices 4-14_INPUTS" xfId="3698"/>
    <cellStyle name="_Fuel Prices 4-14_INPUTS 2" xfId="3699"/>
    <cellStyle name="_Fuel Prices 4-14_INPUTS 2 2" xfId="3700"/>
    <cellStyle name="_Fuel Prices 4-14_INPUTS 2 2 2" xfId="3701"/>
    <cellStyle name="_Fuel Prices 4-14_INPUTS 2 3" xfId="3702"/>
    <cellStyle name="_Fuel Prices 4-14_INPUTS 2 3 2" xfId="3703"/>
    <cellStyle name="_Fuel Prices 4-14_INPUTS 2 4" xfId="3704"/>
    <cellStyle name="_Fuel Prices 4-14_INPUTS 2 4 2" xfId="3705"/>
    <cellStyle name="_Fuel Prices 4-14_INPUTS 3" xfId="3706"/>
    <cellStyle name="_Fuel Prices 4-14_INPUTS 3 2" xfId="3707"/>
    <cellStyle name="_Fuel Prices 4-14_INPUTS 4" xfId="3708"/>
    <cellStyle name="_Fuel Prices 4-14_INPUTS 4 2" xfId="3709"/>
    <cellStyle name="_Fuel Prices 4-14_INPUTS 5" xfId="3710"/>
    <cellStyle name="_Fuel Prices 4-14_INPUTS 6" xfId="3711"/>
    <cellStyle name="_Fuel Prices 4-14_Leased Transformer &amp; Substation Plant &amp; Rev 12-2009" xfId="3712"/>
    <cellStyle name="_Fuel Prices 4-14_Leased Transformer &amp; Substation Plant &amp; Rev 12-2009 2" xfId="3713"/>
    <cellStyle name="_Fuel Prices 4-14_Leased Transformer &amp; Substation Plant &amp; Rev 12-2009 2 2" xfId="3714"/>
    <cellStyle name="_Fuel Prices 4-14_Leased Transformer &amp; Substation Plant &amp; Rev 12-2009 2 2 2" xfId="3715"/>
    <cellStyle name="_Fuel Prices 4-14_Leased Transformer &amp; Substation Plant &amp; Rev 12-2009 2 3" xfId="3716"/>
    <cellStyle name="_Fuel Prices 4-14_Leased Transformer &amp; Substation Plant &amp; Rev 12-2009 2 3 2" xfId="3717"/>
    <cellStyle name="_Fuel Prices 4-14_Leased Transformer &amp; Substation Plant &amp; Rev 12-2009 2 4" xfId="3718"/>
    <cellStyle name="_Fuel Prices 4-14_Leased Transformer &amp; Substation Plant &amp; Rev 12-2009 2 4 2" xfId="3719"/>
    <cellStyle name="_Fuel Prices 4-14_Leased Transformer &amp; Substation Plant &amp; Rev 12-2009 3" xfId="3720"/>
    <cellStyle name="_Fuel Prices 4-14_Leased Transformer &amp; Substation Plant &amp; Rev 12-2009 3 2" xfId="3721"/>
    <cellStyle name="_Fuel Prices 4-14_Leased Transformer &amp; Substation Plant &amp; Rev 12-2009 4" xfId="3722"/>
    <cellStyle name="_Fuel Prices 4-14_Leased Transformer &amp; Substation Plant &amp; Rev 12-2009 4 2" xfId="3723"/>
    <cellStyle name="_Fuel Prices 4-14_Leased Transformer &amp; Substation Plant &amp; Rev 12-2009 5" xfId="3724"/>
    <cellStyle name="_Fuel Prices 4-14_Leased Transformer &amp; Substation Plant &amp; Rev 12-2009 6" xfId="3725"/>
    <cellStyle name="_Fuel Prices 4-14_NIM Summary" xfId="3726"/>
    <cellStyle name="_Fuel Prices 4-14_NIM Summary 09GRC" xfId="3727"/>
    <cellStyle name="_Fuel Prices 4-14_NIM Summary 09GRC 2" xfId="3728"/>
    <cellStyle name="_Fuel Prices 4-14_NIM Summary 2" xfId="3729"/>
    <cellStyle name="_Fuel Prices 4-14_NIM Summary 3" xfId="3730"/>
    <cellStyle name="_Fuel Prices 4-14_NIM Summary 4" xfId="3731"/>
    <cellStyle name="_Fuel Prices 4-14_NIM Summary 5" xfId="3732"/>
    <cellStyle name="_Fuel Prices 4-14_NIM Summary 6" xfId="3733"/>
    <cellStyle name="_Fuel Prices 4-14_NIM Summary 7" xfId="3734"/>
    <cellStyle name="_Fuel Prices 4-14_NIM Summary 8" xfId="3735"/>
    <cellStyle name="_Fuel Prices 4-14_NIM Summary 9" xfId="3736"/>
    <cellStyle name="_Fuel Prices 4-14_PCA 10 -  Exhibit D from A Kellogg Jan 2011" xfId="3737"/>
    <cellStyle name="_Fuel Prices 4-14_PCA 10 -  Exhibit D from A Kellogg July 2011" xfId="3738"/>
    <cellStyle name="_Fuel Prices 4-14_PCA 10 -  Exhibit D from S Free Rcv'd 12-11" xfId="3739"/>
    <cellStyle name="_Fuel Prices 4-14_PCA 9 -  Exhibit D April 2010" xfId="3740"/>
    <cellStyle name="_Fuel Prices 4-14_PCA 9 -  Exhibit D April 2010 (3)" xfId="3741"/>
    <cellStyle name="_Fuel Prices 4-14_PCA 9 -  Exhibit D April 2010 (3) 2" xfId="3742"/>
    <cellStyle name="_Fuel Prices 4-14_PCA 9 -  Exhibit D Nov 2010" xfId="3743"/>
    <cellStyle name="_Fuel Prices 4-14_PCA 9 - Exhibit D at August 2010" xfId="3744"/>
    <cellStyle name="_Fuel Prices 4-14_PCA 9 - Exhibit D June 2010 GRC" xfId="3745"/>
    <cellStyle name="_Fuel Prices 4-14_Peak Credit Exhibits for 2009 GRC" xfId="3746"/>
    <cellStyle name="_Fuel Prices 4-14_Peak Credit Exhibits for 2009 GRC 2" xfId="3747"/>
    <cellStyle name="_Fuel Prices 4-14_Peak Credit Exhibits for 2009 GRC 2 2" xfId="3748"/>
    <cellStyle name="_Fuel Prices 4-14_Peak Credit Exhibits for 2009 GRC 2 2 2" xfId="3749"/>
    <cellStyle name="_Fuel Prices 4-14_Peak Credit Exhibits for 2009 GRC 2 3" xfId="3750"/>
    <cellStyle name="_Fuel Prices 4-14_Peak Credit Exhibits for 2009 GRC 2 3 2" xfId="3751"/>
    <cellStyle name="_Fuel Prices 4-14_Peak Credit Exhibits for 2009 GRC 2 4" xfId="3752"/>
    <cellStyle name="_Fuel Prices 4-14_Peak Credit Exhibits for 2009 GRC 2 4 2" xfId="3753"/>
    <cellStyle name="_Fuel Prices 4-14_Peak Credit Exhibits for 2009 GRC 3" xfId="3754"/>
    <cellStyle name="_Fuel Prices 4-14_Peak Credit Exhibits for 2009 GRC 3 2" xfId="3755"/>
    <cellStyle name="_Fuel Prices 4-14_Peak Credit Exhibits for 2009 GRC 4" xfId="3756"/>
    <cellStyle name="_Fuel Prices 4-14_Peak Credit Exhibits for 2009 GRC 4 2" xfId="3757"/>
    <cellStyle name="_Fuel Prices 4-14_Peak Credit Exhibits for 2009 GRC 5" xfId="3758"/>
    <cellStyle name="_Fuel Prices 4-14_Peak Credit Exhibits for 2009 GRC 6" xfId="3759"/>
    <cellStyle name="_Fuel Prices 4-14_Power Costs - Comparison bx Rbtl-Staff-Jt-PC" xfId="3760"/>
    <cellStyle name="_Fuel Prices 4-14_Power Costs - Comparison bx Rbtl-Staff-Jt-PC 2" xfId="3761"/>
    <cellStyle name="_Fuel Prices 4-14_Power Costs - Comparison bx Rbtl-Staff-Jt-PC 2 2" xfId="3762"/>
    <cellStyle name="_Fuel Prices 4-14_Power Costs - Comparison bx Rbtl-Staff-Jt-PC 3" xfId="3763"/>
    <cellStyle name="_Fuel Prices 4-14_Power Costs - Comparison bx Rbtl-Staff-Jt-PC_Adj Bench DR 3 for Initial Briefs (Electric)" xfId="3764"/>
    <cellStyle name="_Fuel Prices 4-14_Power Costs - Comparison bx Rbtl-Staff-Jt-PC_Adj Bench DR 3 for Initial Briefs (Electric) 2" xfId="3765"/>
    <cellStyle name="_Fuel Prices 4-14_Power Costs - Comparison bx Rbtl-Staff-Jt-PC_Adj Bench DR 3 for Initial Briefs (Electric) 2 2" xfId="3766"/>
    <cellStyle name="_Fuel Prices 4-14_Power Costs - Comparison bx Rbtl-Staff-Jt-PC_Adj Bench DR 3 for Initial Briefs (Electric) 3" xfId="3767"/>
    <cellStyle name="_Fuel Prices 4-14_Power Costs - Comparison bx Rbtl-Staff-Jt-PC_Electric Rev Req Model (2009 GRC) Rebuttal" xfId="3768"/>
    <cellStyle name="_Fuel Prices 4-14_Power Costs - Comparison bx Rbtl-Staff-Jt-PC_Electric Rev Req Model (2009 GRC) Rebuttal 2" xfId="3769"/>
    <cellStyle name="_Fuel Prices 4-14_Power Costs - Comparison bx Rbtl-Staff-Jt-PC_Electric Rev Req Model (2009 GRC) Rebuttal 2 2" xfId="3770"/>
    <cellStyle name="_Fuel Prices 4-14_Power Costs - Comparison bx Rbtl-Staff-Jt-PC_Electric Rev Req Model (2009 GRC) Rebuttal 3" xfId="3771"/>
    <cellStyle name="_Fuel Prices 4-14_Power Costs - Comparison bx Rbtl-Staff-Jt-PC_Electric Rev Req Model (2009 GRC) Rebuttal REmoval of New  WH Solar AdjustMI" xfId="3772"/>
    <cellStyle name="_Fuel Prices 4-14_Power Costs - Comparison bx Rbtl-Staff-Jt-PC_Electric Rev Req Model (2009 GRC) Rebuttal REmoval of New  WH Solar AdjustMI 2" xfId="3773"/>
    <cellStyle name="_Fuel Prices 4-14_Power Costs - Comparison bx Rbtl-Staff-Jt-PC_Electric Rev Req Model (2009 GRC) Rebuttal REmoval of New  WH Solar AdjustMI 2 2" xfId="3774"/>
    <cellStyle name="_Fuel Prices 4-14_Power Costs - Comparison bx Rbtl-Staff-Jt-PC_Electric Rev Req Model (2009 GRC) Rebuttal REmoval of New  WH Solar AdjustMI 3" xfId="3775"/>
    <cellStyle name="_Fuel Prices 4-14_Power Costs - Comparison bx Rbtl-Staff-Jt-PC_Electric Rev Req Model (2009 GRC) Revised 01-18-2010" xfId="3776"/>
    <cellStyle name="_Fuel Prices 4-14_Power Costs - Comparison bx Rbtl-Staff-Jt-PC_Electric Rev Req Model (2009 GRC) Revised 01-18-2010 2" xfId="3777"/>
    <cellStyle name="_Fuel Prices 4-14_Power Costs - Comparison bx Rbtl-Staff-Jt-PC_Electric Rev Req Model (2009 GRC) Revised 01-18-2010 2 2" xfId="3778"/>
    <cellStyle name="_Fuel Prices 4-14_Power Costs - Comparison bx Rbtl-Staff-Jt-PC_Electric Rev Req Model (2009 GRC) Revised 01-18-2010 3" xfId="3779"/>
    <cellStyle name="_Fuel Prices 4-14_Power Costs - Comparison bx Rbtl-Staff-Jt-PC_Final Order Electric EXHIBIT A-1" xfId="3780"/>
    <cellStyle name="_Fuel Prices 4-14_Power Costs - Comparison bx Rbtl-Staff-Jt-PC_Final Order Electric EXHIBIT A-1 2" xfId="3781"/>
    <cellStyle name="_Fuel Prices 4-14_Power Costs - Comparison bx Rbtl-Staff-Jt-PC_Final Order Electric EXHIBIT A-1 2 2" xfId="3782"/>
    <cellStyle name="_Fuel Prices 4-14_Power Costs - Comparison bx Rbtl-Staff-Jt-PC_Final Order Electric EXHIBIT A-1 3" xfId="3783"/>
    <cellStyle name="_Fuel Prices 4-14_Production Adj 4.37" xfId="3784"/>
    <cellStyle name="_Fuel Prices 4-14_Production Adj 4.37 2" xfId="3785"/>
    <cellStyle name="_Fuel Prices 4-14_Production Adj 4.37 2 2" xfId="3786"/>
    <cellStyle name="_Fuel Prices 4-14_Production Adj 4.37 3" xfId="3787"/>
    <cellStyle name="_Fuel Prices 4-14_Purchased Power Adj 4.03" xfId="3788"/>
    <cellStyle name="_Fuel Prices 4-14_Purchased Power Adj 4.03 2" xfId="3789"/>
    <cellStyle name="_Fuel Prices 4-14_Purchased Power Adj 4.03 2 2" xfId="3790"/>
    <cellStyle name="_Fuel Prices 4-14_Purchased Power Adj 4.03 3" xfId="3791"/>
    <cellStyle name="_Fuel Prices 4-14_Rate Design Sch 24" xfId="3792"/>
    <cellStyle name="_Fuel Prices 4-14_Rate Design Sch 24 2" xfId="3793"/>
    <cellStyle name="_Fuel Prices 4-14_Rate Design Sch 25" xfId="3794"/>
    <cellStyle name="_Fuel Prices 4-14_Rate Design Sch 25 2" xfId="3795"/>
    <cellStyle name="_Fuel Prices 4-14_Rate Design Sch 25 2 2" xfId="3796"/>
    <cellStyle name="_Fuel Prices 4-14_Rate Design Sch 25 3" xfId="3797"/>
    <cellStyle name="_Fuel Prices 4-14_Rate Design Sch 26" xfId="3798"/>
    <cellStyle name="_Fuel Prices 4-14_Rate Design Sch 26 2" xfId="3799"/>
    <cellStyle name="_Fuel Prices 4-14_Rate Design Sch 26 2 2" xfId="3800"/>
    <cellStyle name="_Fuel Prices 4-14_Rate Design Sch 26 3" xfId="3801"/>
    <cellStyle name="_Fuel Prices 4-14_Rate Design Sch 31" xfId="3802"/>
    <cellStyle name="_Fuel Prices 4-14_Rate Design Sch 31 2" xfId="3803"/>
    <cellStyle name="_Fuel Prices 4-14_Rate Design Sch 31 2 2" xfId="3804"/>
    <cellStyle name="_Fuel Prices 4-14_Rate Design Sch 31 3" xfId="3805"/>
    <cellStyle name="_Fuel Prices 4-14_Rate Design Sch 43" xfId="3806"/>
    <cellStyle name="_Fuel Prices 4-14_Rate Design Sch 43 2" xfId="3807"/>
    <cellStyle name="_Fuel Prices 4-14_Rate Design Sch 43 2 2" xfId="3808"/>
    <cellStyle name="_Fuel Prices 4-14_Rate Design Sch 43 3" xfId="3809"/>
    <cellStyle name="_Fuel Prices 4-14_Rate Design Sch 448-449" xfId="3810"/>
    <cellStyle name="_Fuel Prices 4-14_Rate Design Sch 448-449 2" xfId="3811"/>
    <cellStyle name="_Fuel Prices 4-14_Rate Design Sch 46" xfId="3812"/>
    <cellStyle name="_Fuel Prices 4-14_Rate Design Sch 46 2" xfId="3813"/>
    <cellStyle name="_Fuel Prices 4-14_Rate Design Sch 46 2 2" xfId="3814"/>
    <cellStyle name="_Fuel Prices 4-14_Rate Design Sch 46 3" xfId="3815"/>
    <cellStyle name="_Fuel Prices 4-14_Rate Spread" xfId="3816"/>
    <cellStyle name="_Fuel Prices 4-14_Rate Spread 2" xfId="3817"/>
    <cellStyle name="_Fuel Prices 4-14_Rate Spread 2 2" xfId="3818"/>
    <cellStyle name="_Fuel Prices 4-14_Rate Spread 3" xfId="3819"/>
    <cellStyle name="_Fuel Prices 4-14_Rebuttal Power Costs" xfId="3820"/>
    <cellStyle name="_Fuel Prices 4-14_Rebuttal Power Costs 2" xfId="3821"/>
    <cellStyle name="_Fuel Prices 4-14_Rebuttal Power Costs 2 2" xfId="3822"/>
    <cellStyle name="_Fuel Prices 4-14_Rebuttal Power Costs 3" xfId="3823"/>
    <cellStyle name="_Fuel Prices 4-14_Rebuttal Power Costs_Adj Bench DR 3 for Initial Briefs (Electric)" xfId="3824"/>
    <cellStyle name="_Fuel Prices 4-14_Rebuttal Power Costs_Adj Bench DR 3 for Initial Briefs (Electric) 2" xfId="3825"/>
    <cellStyle name="_Fuel Prices 4-14_Rebuttal Power Costs_Adj Bench DR 3 for Initial Briefs (Electric) 2 2" xfId="3826"/>
    <cellStyle name="_Fuel Prices 4-14_Rebuttal Power Costs_Adj Bench DR 3 for Initial Briefs (Electric) 3" xfId="3827"/>
    <cellStyle name="_Fuel Prices 4-14_Rebuttal Power Costs_Electric Rev Req Model (2009 GRC) Rebuttal" xfId="3828"/>
    <cellStyle name="_Fuel Prices 4-14_Rebuttal Power Costs_Electric Rev Req Model (2009 GRC) Rebuttal 2" xfId="3829"/>
    <cellStyle name="_Fuel Prices 4-14_Rebuttal Power Costs_Electric Rev Req Model (2009 GRC) Rebuttal 2 2" xfId="3830"/>
    <cellStyle name="_Fuel Prices 4-14_Rebuttal Power Costs_Electric Rev Req Model (2009 GRC) Rebuttal 3" xfId="3831"/>
    <cellStyle name="_Fuel Prices 4-14_Rebuttal Power Costs_Electric Rev Req Model (2009 GRC) Rebuttal REmoval of New  WH Solar AdjustMI" xfId="3832"/>
    <cellStyle name="_Fuel Prices 4-14_Rebuttal Power Costs_Electric Rev Req Model (2009 GRC) Rebuttal REmoval of New  WH Solar AdjustMI 2" xfId="3833"/>
    <cellStyle name="_Fuel Prices 4-14_Rebuttal Power Costs_Electric Rev Req Model (2009 GRC) Rebuttal REmoval of New  WH Solar AdjustMI 2 2" xfId="3834"/>
    <cellStyle name="_Fuel Prices 4-14_Rebuttal Power Costs_Electric Rev Req Model (2009 GRC) Rebuttal REmoval of New  WH Solar AdjustMI 3" xfId="3835"/>
    <cellStyle name="_Fuel Prices 4-14_Rebuttal Power Costs_Electric Rev Req Model (2009 GRC) Revised 01-18-2010" xfId="3836"/>
    <cellStyle name="_Fuel Prices 4-14_Rebuttal Power Costs_Electric Rev Req Model (2009 GRC) Revised 01-18-2010 2" xfId="3837"/>
    <cellStyle name="_Fuel Prices 4-14_Rebuttal Power Costs_Electric Rev Req Model (2009 GRC) Revised 01-18-2010 2 2" xfId="3838"/>
    <cellStyle name="_Fuel Prices 4-14_Rebuttal Power Costs_Electric Rev Req Model (2009 GRC) Revised 01-18-2010 3" xfId="3839"/>
    <cellStyle name="_Fuel Prices 4-14_Rebuttal Power Costs_Final Order Electric EXHIBIT A-1" xfId="3840"/>
    <cellStyle name="_Fuel Prices 4-14_Rebuttal Power Costs_Final Order Electric EXHIBIT A-1 2" xfId="3841"/>
    <cellStyle name="_Fuel Prices 4-14_Rebuttal Power Costs_Final Order Electric EXHIBIT A-1 2 2" xfId="3842"/>
    <cellStyle name="_Fuel Prices 4-14_Rebuttal Power Costs_Final Order Electric EXHIBIT A-1 3" xfId="3843"/>
    <cellStyle name="_Fuel Prices 4-14_ROR 5.02" xfId="3844"/>
    <cellStyle name="_Fuel Prices 4-14_ROR 5.02 2" xfId="3845"/>
    <cellStyle name="_Fuel Prices 4-14_ROR 5.02 2 2" xfId="3846"/>
    <cellStyle name="_Fuel Prices 4-14_ROR 5.02 3" xfId="3847"/>
    <cellStyle name="_Fuel Prices 4-14_Sch 40 Feeder OH 2008" xfId="3848"/>
    <cellStyle name="_Fuel Prices 4-14_Sch 40 Feeder OH 2008 2" xfId="3849"/>
    <cellStyle name="_Fuel Prices 4-14_Sch 40 Feeder OH 2008 2 2" xfId="3850"/>
    <cellStyle name="_Fuel Prices 4-14_Sch 40 Feeder OH 2008 3" xfId="3851"/>
    <cellStyle name="_Fuel Prices 4-14_Sch 40 Interim Energy Rates " xfId="3852"/>
    <cellStyle name="_Fuel Prices 4-14_Sch 40 Interim Energy Rates  2" xfId="3853"/>
    <cellStyle name="_Fuel Prices 4-14_Sch 40 Interim Energy Rates  2 2" xfId="3854"/>
    <cellStyle name="_Fuel Prices 4-14_Sch 40 Interim Energy Rates  3" xfId="3855"/>
    <cellStyle name="_Fuel Prices 4-14_Sch 40 Substation A&amp;G 2008" xfId="3856"/>
    <cellStyle name="_Fuel Prices 4-14_Sch 40 Substation A&amp;G 2008 2" xfId="3857"/>
    <cellStyle name="_Fuel Prices 4-14_Sch 40 Substation A&amp;G 2008 2 2" xfId="3858"/>
    <cellStyle name="_Fuel Prices 4-14_Sch 40 Substation A&amp;G 2008 3" xfId="3859"/>
    <cellStyle name="_Fuel Prices 4-14_Sch 40 Substation O&amp;M 2008" xfId="3860"/>
    <cellStyle name="_Fuel Prices 4-14_Sch 40 Substation O&amp;M 2008 2" xfId="3861"/>
    <cellStyle name="_Fuel Prices 4-14_Sch 40 Substation O&amp;M 2008 2 2" xfId="3862"/>
    <cellStyle name="_Fuel Prices 4-14_Sch 40 Substation O&amp;M 2008 3" xfId="3863"/>
    <cellStyle name="_Fuel Prices 4-14_Subs 2008" xfId="3864"/>
    <cellStyle name="_Fuel Prices 4-14_Subs 2008 2" xfId="3865"/>
    <cellStyle name="_Fuel Prices 4-14_Subs 2008 2 2" xfId="3866"/>
    <cellStyle name="_Fuel Prices 4-14_Subs 2008 3" xfId="3867"/>
    <cellStyle name="_Fuel Prices 4-14_Wind Integration 10GRC" xfId="3868"/>
    <cellStyle name="_Fuel Prices 4-14_Wind Integration 10GRC 2" xfId="3869"/>
    <cellStyle name="_Gas Pro Forma Rev CY 2007 Janet 4_8_08" xfId="3870"/>
    <cellStyle name="_Gas Transportation Charges_2009GRC_120308" xfId="3871"/>
    <cellStyle name="_Gas Transportation Charges_2009GRC_120308 2" xfId="3872"/>
    <cellStyle name="_Gas Transportation Charges_2009GRC_120308 2 2" xfId="3873"/>
    <cellStyle name="_Gas Transportation Charges_2009GRC_120308 3" xfId="3874"/>
    <cellStyle name="_Gas Transportation Charges_2009GRC_120308_Chelan PUD Power Costs (8-10)" xfId="3875"/>
    <cellStyle name="_Gas Transportation Charges_2009GRC_120308_DEM-WP(C) Costs Not In AURORA 2010GRC As Filed" xfId="3876"/>
    <cellStyle name="_Gas Transportation Charges_2009GRC_120308_DEM-WP(C) Costs Not In AURORA 2010GRC As Filed 2" xfId="3877"/>
    <cellStyle name="_Gas Transportation Charges_2009GRC_120308_NIM Summary" xfId="3878"/>
    <cellStyle name="_Gas Transportation Charges_2009GRC_120308_NIM Summary 09GRC" xfId="3879"/>
    <cellStyle name="_Gas Transportation Charges_2009GRC_120308_NIM Summary 09GRC 2" xfId="3880"/>
    <cellStyle name="_Gas Transportation Charges_2009GRC_120308_NIM Summary 2" xfId="3881"/>
    <cellStyle name="_Gas Transportation Charges_2009GRC_120308_NIM Summary 3" xfId="3882"/>
    <cellStyle name="_Gas Transportation Charges_2009GRC_120308_NIM Summary 4" xfId="3883"/>
    <cellStyle name="_Gas Transportation Charges_2009GRC_120308_NIM Summary 5" xfId="3884"/>
    <cellStyle name="_Gas Transportation Charges_2009GRC_120308_NIM Summary 6" xfId="3885"/>
    <cellStyle name="_Gas Transportation Charges_2009GRC_120308_NIM Summary 7" xfId="3886"/>
    <cellStyle name="_Gas Transportation Charges_2009GRC_120308_NIM Summary 8" xfId="3887"/>
    <cellStyle name="_Gas Transportation Charges_2009GRC_120308_NIM Summary 9" xfId="3888"/>
    <cellStyle name="_Gas Transportation Charges_2009GRC_120308_PCA 9 -  Exhibit D April 2010 (3)" xfId="3889"/>
    <cellStyle name="_Gas Transportation Charges_2009GRC_120308_PCA 9 -  Exhibit D April 2010 (3) 2" xfId="3890"/>
    <cellStyle name="_Gas Transportation Charges_2009GRC_120308_Reconciliation" xfId="3891"/>
    <cellStyle name="_Gas Transportation Charges_2009GRC_120308_Reconciliation 2" xfId="3892"/>
    <cellStyle name="_Gas Transportation Charges_2009GRC_120308_Wind Integration 10GRC" xfId="3893"/>
    <cellStyle name="_Gas Transportation Charges_2009GRC_120308_Wind Integration 10GRC 2" xfId="3894"/>
    <cellStyle name="_Mid C 09GRC" xfId="3895"/>
    <cellStyle name="_Monthly Fixed Input" xfId="3896"/>
    <cellStyle name="_Monthly Fixed Input 2" xfId="3897"/>
    <cellStyle name="_Monthly Fixed Input_NIM Summary" xfId="3898"/>
    <cellStyle name="_Monthly Fixed Input_NIM Summary 2" xfId="3899"/>
    <cellStyle name="_NIM 06 Base Case Current Trends" xfId="3900"/>
    <cellStyle name="_NIM 06 Base Case Current Trends 2" xfId="3901"/>
    <cellStyle name="_NIM 06 Base Case Current Trends 2 2" xfId="3902"/>
    <cellStyle name="_NIM 06 Base Case Current Trends 3" xfId="3903"/>
    <cellStyle name="_NIM 06 Base Case Current Trends_Adj Bench DR 3 for Initial Briefs (Electric)" xfId="3904"/>
    <cellStyle name="_NIM 06 Base Case Current Trends_Adj Bench DR 3 for Initial Briefs (Electric) 2" xfId="3905"/>
    <cellStyle name="_NIM 06 Base Case Current Trends_Adj Bench DR 3 for Initial Briefs (Electric) 2 2" xfId="3906"/>
    <cellStyle name="_NIM 06 Base Case Current Trends_Adj Bench DR 3 for Initial Briefs (Electric) 3" xfId="3907"/>
    <cellStyle name="_NIM 06 Base Case Current Trends_Book1" xfId="3908"/>
    <cellStyle name="_NIM 06 Base Case Current Trends_Book2" xfId="3909"/>
    <cellStyle name="_NIM 06 Base Case Current Trends_Book2 2" xfId="3910"/>
    <cellStyle name="_NIM 06 Base Case Current Trends_Book2 2 2" xfId="3911"/>
    <cellStyle name="_NIM 06 Base Case Current Trends_Book2 3" xfId="3912"/>
    <cellStyle name="_NIM 06 Base Case Current Trends_Book2_Adj Bench DR 3 for Initial Briefs (Electric)" xfId="3913"/>
    <cellStyle name="_NIM 06 Base Case Current Trends_Book2_Adj Bench DR 3 for Initial Briefs (Electric) 2" xfId="3914"/>
    <cellStyle name="_NIM 06 Base Case Current Trends_Book2_Adj Bench DR 3 for Initial Briefs (Electric) 2 2" xfId="3915"/>
    <cellStyle name="_NIM 06 Base Case Current Trends_Book2_Adj Bench DR 3 for Initial Briefs (Electric) 3" xfId="3916"/>
    <cellStyle name="_NIM 06 Base Case Current Trends_Book2_Electric Rev Req Model (2009 GRC) Rebuttal" xfId="3917"/>
    <cellStyle name="_NIM 06 Base Case Current Trends_Book2_Electric Rev Req Model (2009 GRC) Rebuttal 2" xfId="3918"/>
    <cellStyle name="_NIM 06 Base Case Current Trends_Book2_Electric Rev Req Model (2009 GRC) Rebuttal 2 2" xfId="3919"/>
    <cellStyle name="_NIM 06 Base Case Current Trends_Book2_Electric Rev Req Model (2009 GRC) Rebuttal 3" xfId="3920"/>
    <cellStyle name="_NIM 06 Base Case Current Trends_Book2_Electric Rev Req Model (2009 GRC) Rebuttal REmoval of New  WH Solar AdjustMI" xfId="3921"/>
    <cellStyle name="_NIM 06 Base Case Current Trends_Book2_Electric Rev Req Model (2009 GRC) Rebuttal REmoval of New  WH Solar AdjustMI 2" xfId="3922"/>
    <cellStyle name="_NIM 06 Base Case Current Trends_Book2_Electric Rev Req Model (2009 GRC) Rebuttal REmoval of New  WH Solar AdjustMI 2 2" xfId="3923"/>
    <cellStyle name="_NIM 06 Base Case Current Trends_Book2_Electric Rev Req Model (2009 GRC) Rebuttal REmoval of New  WH Solar AdjustMI 3" xfId="3924"/>
    <cellStyle name="_NIM 06 Base Case Current Trends_Book2_Electric Rev Req Model (2009 GRC) Revised 01-18-2010" xfId="3925"/>
    <cellStyle name="_NIM 06 Base Case Current Trends_Book2_Electric Rev Req Model (2009 GRC) Revised 01-18-2010 2" xfId="3926"/>
    <cellStyle name="_NIM 06 Base Case Current Trends_Book2_Electric Rev Req Model (2009 GRC) Revised 01-18-2010 2 2" xfId="3927"/>
    <cellStyle name="_NIM 06 Base Case Current Trends_Book2_Electric Rev Req Model (2009 GRC) Revised 01-18-2010 3" xfId="3928"/>
    <cellStyle name="_NIM 06 Base Case Current Trends_Book2_Final Order Electric EXHIBIT A-1" xfId="3929"/>
    <cellStyle name="_NIM 06 Base Case Current Trends_Book2_Final Order Electric EXHIBIT A-1 2" xfId="3930"/>
    <cellStyle name="_NIM 06 Base Case Current Trends_Book2_Final Order Electric EXHIBIT A-1 2 2" xfId="3931"/>
    <cellStyle name="_NIM 06 Base Case Current Trends_Book2_Final Order Electric EXHIBIT A-1 3" xfId="3932"/>
    <cellStyle name="_NIM 06 Base Case Current Trends_Chelan PUD Power Costs (8-10)" xfId="3933"/>
    <cellStyle name="_NIM 06 Base Case Current Trends_Confidential Material" xfId="3934"/>
    <cellStyle name="_NIM 06 Base Case Current Trends_DEM-WP(C) Colstrip 12 Coal Cost Forecast 2010GRC" xfId="3935"/>
    <cellStyle name="_NIM 06 Base Case Current Trends_DEM-WP(C) Production O&amp;M 2010GRC As-Filed" xfId="3936"/>
    <cellStyle name="_NIM 06 Base Case Current Trends_DEM-WP(C) Production O&amp;M 2010GRC As-Filed 2" xfId="3937"/>
    <cellStyle name="_NIM 06 Base Case Current Trends_Electric Rev Req Model (2009 GRC) " xfId="3938"/>
    <cellStyle name="_NIM 06 Base Case Current Trends_Electric Rev Req Model (2009 GRC)  2" xfId="3939"/>
    <cellStyle name="_NIM 06 Base Case Current Trends_Electric Rev Req Model (2009 GRC)  2 2" xfId="3940"/>
    <cellStyle name="_NIM 06 Base Case Current Trends_Electric Rev Req Model (2009 GRC)  3" xfId="3941"/>
    <cellStyle name="_NIM 06 Base Case Current Trends_Electric Rev Req Model (2009 GRC) Rebuttal" xfId="3942"/>
    <cellStyle name="_NIM 06 Base Case Current Trends_Electric Rev Req Model (2009 GRC) Rebuttal 2" xfId="3943"/>
    <cellStyle name="_NIM 06 Base Case Current Trends_Electric Rev Req Model (2009 GRC) Rebuttal 2 2" xfId="3944"/>
    <cellStyle name="_NIM 06 Base Case Current Trends_Electric Rev Req Model (2009 GRC) Rebuttal 3" xfId="3945"/>
    <cellStyle name="_NIM 06 Base Case Current Trends_Electric Rev Req Model (2009 GRC) Rebuttal REmoval of New  WH Solar AdjustMI" xfId="3946"/>
    <cellStyle name="_NIM 06 Base Case Current Trends_Electric Rev Req Model (2009 GRC) Rebuttal REmoval of New  WH Solar AdjustMI 2" xfId="3947"/>
    <cellStyle name="_NIM 06 Base Case Current Trends_Electric Rev Req Model (2009 GRC) Rebuttal REmoval of New  WH Solar AdjustMI 2 2" xfId="3948"/>
    <cellStyle name="_NIM 06 Base Case Current Trends_Electric Rev Req Model (2009 GRC) Rebuttal REmoval of New  WH Solar AdjustMI 3" xfId="3949"/>
    <cellStyle name="_NIM 06 Base Case Current Trends_Electric Rev Req Model (2009 GRC) Revised 01-18-2010" xfId="3950"/>
    <cellStyle name="_NIM 06 Base Case Current Trends_Electric Rev Req Model (2009 GRC) Revised 01-18-2010 2" xfId="3951"/>
    <cellStyle name="_NIM 06 Base Case Current Trends_Electric Rev Req Model (2009 GRC) Revised 01-18-2010 2 2" xfId="3952"/>
    <cellStyle name="_NIM 06 Base Case Current Trends_Electric Rev Req Model (2009 GRC) Revised 01-18-2010 3" xfId="3953"/>
    <cellStyle name="_NIM 06 Base Case Current Trends_Electric Rev Req Model (2010 GRC)" xfId="3954"/>
    <cellStyle name="_NIM 06 Base Case Current Trends_Electric Rev Req Model (2010 GRC) SF" xfId="3955"/>
    <cellStyle name="_NIM 06 Base Case Current Trends_Final Order Electric EXHIBIT A-1" xfId="3956"/>
    <cellStyle name="_NIM 06 Base Case Current Trends_Final Order Electric EXHIBIT A-1 2" xfId="3957"/>
    <cellStyle name="_NIM 06 Base Case Current Trends_Final Order Electric EXHIBIT A-1 2 2" xfId="3958"/>
    <cellStyle name="_NIM 06 Base Case Current Trends_Final Order Electric EXHIBIT A-1 3" xfId="3959"/>
    <cellStyle name="_NIM 06 Base Case Current Trends_NIM Summary" xfId="3960"/>
    <cellStyle name="_NIM 06 Base Case Current Trends_NIM Summary 2" xfId="3961"/>
    <cellStyle name="_NIM 06 Base Case Current Trends_Rebuttal Power Costs" xfId="3962"/>
    <cellStyle name="_NIM 06 Base Case Current Trends_Rebuttal Power Costs 2" xfId="3963"/>
    <cellStyle name="_NIM 06 Base Case Current Trends_Rebuttal Power Costs 2 2" xfId="3964"/>
    <cellStyle name="_NIM 06 Base Case Current Trends_Rebuttal Power Costs 3" xfId="3965"/>
    <cellStyle name="_NIM 06 Base Case Current Trends_Rebuttal Power Costs_Adj Bench DR 3 for Initial Briefs (Electric)" xfId="3966"/>
    <cellStyle name="_NIM 06 Base Case Current Trends_Rebuttal Power Costs_Adj Bench DR 3 for Initial Briefs (Electric) 2" xfId="3967"/>
    <cellStyle name="_NIM 06 Base Case Current Trends_Rebuttal Power Costs_Adj Bench DR 3 for Initial Briefs (Electric) 2 2" xfId="3968"/>
    <cellStyle name="_NIM 06 Base Case Current Trends_Rebuttal Power Costs_Adj Bench DR 3 for Initial Briefs (Electric) 3" xfId="3969"/>
    <cellStyle name="_NIM 06 Base Case Current Trends_Rebuttal Power Costs_Electric Rev Req Model (2009 GRC) Rebuttal" xfId="3970"/>
    <cellStyle name="_NIM 06 Base Case Current Trends_Rebuttal Power Costs_Electric Rev Req Model (2009 GRC) Rebuttal 2" xfId="3971"/>
    <cellStyle name="_NIM 06 Base Case Current Trends_Rebuttal Power Costs_Electric Rev Req Model (2009 GRC) Rebuttal 2 2" xfId="3972"/>
    <cellStyle name="_NIM 06 Base Case Current Trends_Rebuttal Power Costs_Electric Rev Req Model (2009 GRC) Rebuttal 3" xfId="3973"/>
    <cellStyle name="_NIM 06 Base Case Current Trends_Rebuttal Power Costs_Electric Rev Req Model (2009 GRC) Rebuttal REmoval of New  WH Solar AdjustMI" xfId="3974"/>
    <cellStyle name="_NIM 06 Base Case Current Trends_Rebuttal Power Costs_Electric Rev Req Model (2009 GRC) Rebuttal REmoval of New  WH Solar AdjustMI 2" xfId="3975"/>
    <cellStyle name="_NIM 06 Base Case Current Trends_Rebuttal Power Costs_Electric Rev Req Model (2009 GRC) Rebuttal REmoval of New  WH Solar AdjustMI 2 2" xfId="3976"/>
    <cellStyle name="_NIM 06 Base Case Current Trends_Rebuttal Power Costs_Electric Rev Req Model (2009 GRC) Rebuttal REmoval of New  WH Solar AdjustMI 3" xfId="3977"/>
    <cellStyle name="_NIM 06 Base Case Current Trends_Rebuttal Power Costs_Electric Rev Req Model (2009 GRC) Revised 01-18-2010" xfId="3978"/>
    <cellStyle name="_NIM 06 Base Case Current Trends_Rebuttal Power Costs_Electric Rev Req Model (2009 GRC) Revised 01-18-2010 2" xfId="3979"/>
    <cellStyle name="_NIM 06 Base Case Current Trends_Rebuttal Power Costs_Electric Rev Req Model (2009 GRC) Revised 01-18-2010 2 2" xfId="3980"/>
    <cellStyle name="_NIM 06 Base Case Current Trends_Rebuttal Power Costs_Electric Rev Req Model (2009 GRC) Revised 01-18-2010 3" xfId="3981"/>
    <cellStyle name="_NIM 06 Base Case Current Trends_Rebuttal Power Costs_Final Order Electric EXHIBIT A-1" xfId="3982"/>
    <cellStyle name="_NIM 06 Base Case Current Trends_Rebuttal Power Costs_Final Order Electric EXHIBIT A-1 2" xfId="3983"/>
    <cellStyle name="_NIM 06 Base Case Current Trends_Rebuttal Power Costs_Final Order Electric EXHIBIT A-1 2 2" xfId="3984"/>
    <cellStyle name="_NIM 06 Base Case Current Trends_Rebuttal Power Costs_Final Order Electric EXHIBIT A-1 3" xfId="3985"/>
    <cellStyle name="_NIM 06 Base Case Current Trends_TENASKA REGULATORY ASSET" xfId="3986"/>
    <cellStyle name="_NIM 06 Base Case Current Trends_TENASKA REGULATORY ASSET 2" xfId="3987"/>
    <cellStyle name="_NIM 06 Base Case Current Trends_TENASKA REGULATORY ASSET 2 2" xfId="3988"/>
    <cellStyle name="_NIM 06 Base Case Current Trends_TENASKA REGULATORY ASSET 3" xfId="3989"/>
    <cellStyle name="_NIM Summary 09GRC" xfId="3990"/>
    <cellStyle name="_NIM Summary 09GRC 2" xfId="3991"/>
    <cellStyle name="_NIM Summary 09GRC_NIM Summary" xfId="3992"/>
    <cellStyle name="_NIM Summary 09GRC_NIM Summary 2" xfId="3993"/>
    <cellStyle name="_PC DRAFT 10 15 07" xfId="3994"/>
    <cellStyle name="_PCA 7 - Exhibit D update 9_30_2008" xfId="3995"/>
    <cellStyle name="_PCA 7 - Exhibit D update 9_30_2008 2" xfId="3996"/>
    <cellStyle name="_PCA 7 - Exhibit D update 9_30_2008_Chelan PUD Power Costs (8-10)" xfId="3997"/>
    <cellStyle name="_PCA 7 - Exhibit D update 9_30_2008_NIM Summary" xfId="3998"/>
    <cellStyle name="_PCA 7 - Exhibit D update 9_30_2008_NIM Summary 2" xfId="3999"/>
    <cellStyle name="_PCA 7 - Exhibit D update 9_30_2008_Transmission Workbook for May BOD" xfId="4000"/>
    <cellStyle name="_PCA 7 - Exhibit D update 9_30_2008_Transmission Workbook for May BOD 2" xfId="4001"/>
    <cellStyle name="_PCA 7 - Exhibit D update 9_30_2008_Wind Integration 10GRC" xfId="4002"/>
    <cellStyle name="_PCA 7 - Exhibit D update 9_30_2008_Wind Integration 10GRC 2" xfId="4003"/>
    <cellStyle name="_Portfolio SPlan Base Case.xls Chart 1" xfId="4004"/>
    <cellStyle name="_Portfolio SPlan Base Case.xls Chart 1 2" xfId="4005"/>
    <cellStyle name="_Portfolio SPlan Base Case.xls Chart 1 2 2" xfId="4006"/>
    <cellStyle name="_Portfolio SPlan Base Case.xls Chart 1 3" xfId="4007"/>
    <cellStyle name="_Portfolio SPlan Base Case.xls Chart 1_Adj Bench DR 3 for Initial Briefs (Electric)" xfId="4008"/>
    <cellStyle name="_Portfolio SPlan Base Case.xls Chart 1_Adj Bench DR 3 for Initial Briefs (Electric) 2" xfId="4009"/>
    <cellStyle name="_Portfolio SPlan Base Case.xls Chart 1_Adj Bench DR 3 for Initial Briefs (Electric) 2 2" xfId="4010"/>
    <cellStyle name="_Portfolio SPlan Base Case.xls Chart 1_Adj Bench DR 3 for Initial Briefs (Electric) 3" xfId="4011"/>
    <cellStyle name="_Portfolio SPlan Base Case.xls Chart 1_Book1" xfId="4012"/>
    <cellStyle name="_Portfolio SPlan Base Case.xls Chart 1_Book2" xfId="4013"/>
    <cellStyle name="_Portfolio SPlan Base Case.xls Chart 1_Book2 2" xfId="4014"/>
    <cellStyle name="_Portfolio SPlan Base Case.xls Chart 1_Book2 2 2" xfId="4015"/>
    <cellStyle name="_Portfolio SPlan Base Case.xls Chart 1_Book2 3" xfId="4016"/>
    <cellStyle name="_Portfolio SPlan Base Case.xls Chart 1_Book2_Adj Bench DR 3 for Initial Briefs (Electric)" xfId="4017"/>
    <cellStyle name="_Portfolio SPlan Base Case.xls Chart 1_Book2_Adj Bench DR 3 for Initial Briefs (Electric) 2" xfId="4018"/>
    <cellStyle name="_Portfolio SPlan Base Case.xls Chart 1_Book2_Adj Bench DR 3 for Initial Briefs (Electric) 2 2" xfId="4019"/>
    <cellStyle name="_Portfolio SPlan Base Case.xls Chart 1_Book2_Adj Bench DR 3 for Initial Briefs (Electric) 3" xfId="4020"/>
    <cellStyle name="_Portfolio SPlan Base Case.xls Chart 1_Book2_Electric Rev Req Model (2009 GRC) Rebuttal" xfId="4021"/>
    <cellStyle name="_Portfolio SPlan Base Case.xls Chart 1_Book2_Electric Rev Req Model (2009 GRC) Rebuttal 2" xfId="4022"/>
    <cellStyle name="_Portfolio SPlan Base Case.xls Chart 1_Book2_Electric Rev Req Model (2009 GRC) Rebuttal 2 2" xfId="4023"/>
    <cellStyle name="_Portfolio SPlan Base Case.xls Chart 1_Book2_Electric Rev Req Model (2009 GRC) Rebuttal 3" xfId="4024"/>
    <cellStyle name="_Portfolio SPlan Base Case.xls Chart 1_Book2_Electric Rev Req Model (2009 GRC) Rebuttal REmoval of New  WH Solar AdjustMI" xfId="4025"/>
    <cellStyle name="_Portfolio SPlan Base Case.xls Chart 1_Book2_Electric Rev Req Model (2009 GRC) Rebuttal REmoval of New  WH Solar AdjustMI 2" xfId="4026"/>
    <cellStyle name="_Portfolio SPlan Base Case.xls Chart 1_Book2_Electric Rev Req Model (2009 GRC) Rebuttal REmoval of New  WH Solar AdjustMI 2 2" xfId="4027"/>
    <cellStyle name="_Portfolio SPlan Base Case.xls Chart 1_Book2_Electric Rev Req Model (2009 GRC) Rebuttal REmoval of New  WH Solar AdjustMI 3" xfId="4028"/>
    <cellStyle name="_Portfolio SPlan Base Case.xls Chart 1_Book2_Electric Rev Req Model (2009 GRC) Revised 01-18-2010" xfId="4029"/>
    <cellStyle name="_Portfolio SPlan Base Case.xls Chart 1_Book2_Electric Rev Req Model (2009 GRC) Revised 01-18-2010 2" xfId="4030"/>
    <cellStyle name="_Portfolio SPlan Base Case.xls Chart 1_Book2_Electric Rev Req Model (2009 GRC) Revised 01-18-2010 2 2" xfId="4031"/>
    <cellStyle name="_Portfolio SPlan Base Case.xls Chart 1_Book2_Electric Rev Req Model (2009 GRC) Revised 01-18-2010 3" xfId="4032"/>
    <cellStyle name="_Portfolio SPlan Base Case.xls Chart 1_Book2_Final Order Electric EXHIBIT A-1" xfId="4033"/>
    <cellStyle name="_Portfolio SPlan Base Case.xls Chart 1_Book2_Final Order Electric EXHIBIT A-1 2" xfId="4034"/>
    <cellStyle name="_Portfolio SPlan Base Case.xls Chart 1_Book2_Final Order Electric EXHIBIT A-1 2 2" xfId="4035"/>
    <cellStyle name="_Portfolio SPlan Base Case.xls Chart 1_Book2_Final Order Electric EXHIBIT A-1 3" xfId="4036"/>
    <cellStyle name="_Portfolio SPlan Base Case.xls Chart 1_Chelan PUD Power Costs (8-10)" xfId="4037"/>
    <cellStyle name="_Portfolio SPlan Base Case.xls Chart 1_Confidential Material" xfId="4038"/>
    <cellStyle name="_Portfolio SPlan Base Case.xls Chart 1_DEM-WP(C) Colstrip 12 Coal Cost Forecast 2010GRC" xfId="4039"/>
    <cellStyle name="_Portfolio SPlan Base Case.xls Chart 1_DEM-WP(C) Production O&amp;M 2010GRC As-Filed" xfId="4040"/>
    <cellStyle name="_Portfolio SPlan Base Case.xls Chart 1_DEM-WP(C) Production O&amp;M 2010GRC As-Filed 2" xfId="4041"/>
    <cellStyle name="_Portfolio SPlan Base Case.xls Chart 1_Electric Rev Req Model (2009 GRC) " xfId="4042"/>
    <cellStyle name="_Portfolio SPlan Base Case.xls Chart 1_Electric Rev Req Model (2009 GRC)  2" xfId="4043"/>
    <cellStyle name="_Portfolio SPlan Base Case.xls Chart 1_Electric Rev Req Model (2009 GRC)  2 2" xfId="4044"/>
    <cellStyle name="_Portfolio SPlan Base Case.xls Chart 1_Electric Rev Req Model (2009 GRC)  3" xfId="4045"/>
    <cellStyle name="_Portfolio SPlan Base Case.xls Chart 1_Electric Rev Req Model (2009 GRC) Rebuttal" xfId="4046"/>
    <cellStyle name="_Portfolio SPlan Base Case.xls Chart 1_Electric Rev Req Model (2009 GRC) Rebuttal 2" xfId="4047"/>
    <cellStyle name="_Portfolio SPlan Base Case.xls Chart 1_Electric Rev Req Model (2009 GRC) Rebuttal 2 2" xfId="4048"/>
    <cellStyle name="_Portfolio SPlan Base Case.xls Chart 1_Electric Rev Req Model (2009 GRC) Rebuttal 3" xfId="4049"/>
    <cellStyle name="_Portfolio SPlan Base Case.xls Chart 1_Electric Rev Req Model (2009 GRC) Rebuttal REmoval of New  WH Solar AdjustMI" xfId="4050"/>
    <cellStyle name="_Portfolio SPlan Base Case.xls Chart 1_Electric Rev Req Model (2009 GRC) Rebuttal REmoval of New  WH Solar AdjustMI 2" xfId="4051"/>
    <cellStyle name="_Portfolio SPlan Base Case.xls Chart 1_Electric Rev Req Model (2009 GRC) Rebuttal REmoval of New  WH Solar AdjustMI 2 2" xfId="4052"/>
    <cellStyle name="_Portfolio SPlan Base Case.xls Chart 1_Electric Rev Req Model (2009 GRC) Rebuttal REmoval of New  WH Solar AdjustMI 3" xfId="4053"/>
    <cellStyle name="_Portfolio SPlan Base Case.xls Chart 1_Electric Rev Req Model (2009 GRC) Revised 01-18-2010" xfId="4054"/>
    <cellStyle name="_Portfolio SPlan Base Case.xls Chart 1_Electric Rev Req Model (2009 GRC) Revised 01-18-2010 2" xfId="4055"/>
    <cellStyle name="_Portfolio SPlan Base Case.xls Chart 1_Electric Rev Req Model (2009 GRC) Revised 01-18-2010 2 2" xfId="4056"/>
    <cellStyle name="_Portfolio SPlan Base Case.xls Chart 1_Electric Rev Req Model (2009 GRC) Revised 01-18-2010 3" xfId="4057"/>
    <cellStyle name="_Portfolio SPlan Base Case.xls Chart 1_Electric Rev Req Model (2010 GRC)" xfId="4058"/>
    <cellStyle name="_Portfolio SPlan Base Case.xls Chart 1_Electric Rev Req Model (2010 GRC) SF" xfId="4059"/>
    <cellStyle name="_Portfolio SPlan Base Case.xls Chart 1_Final Order Electric EXHIBIT A-1" xfId="4060"/>
    <cellStyle name="_Portfolio SPlan Base Case.xls Chart 1_Final Order Electric EXHIBIT A-1 2" xfId="4061"/>
    <cellStyle name="_Portfolio SPlan Base Case.xls Chart 1_Final Order Electric EXHIBIT A-1 2 2" xfId="4062"/>
    <cellStyle name="_Portfolio SPlan Base Case.xls Chart 1_Final Order Electric EXHIBIT A-1 3" xfId="4063"/>
    <cellStyle name="_Portfolio SPlan Base Case.xls Chart 1_NIM Summary" xfId="4064"/>
    <cellStyle name="_Portfolio SPlan Base Case.xls Chart 1_NIM Summary 2" xfId="4065"/>
    <cellStyle name="_Portfolio SPlan Base Case.xls Chart 1_Rebuttal Power Costs" xfId="4066"/>
    <cellStyle name="_Portfolio SPlan Base Case.xls Chart 1_Rebuttal Power Costs 2" xfId="4067"/>
    <cellStyle name="_Portfolio SPlan Base Case.xls Chart 1_Rebuttal Power Costs 2 2" xfId="4068"/>
    <cellStyle name="_Portfolio SPlan Base Case.xls Chart 1_Rebuttal Power Costs 3" xfId="4069"/>
    <cellStyle name="_Portfolio SPlan Base Case.xls Chart 1_Rebuttal Power Costs_Adj Bench DR 3 for Initial Briefs (Electric)" xfId="4070"/>
    <cellStyle name="_Portfolio SPlan Base Case.xls Chart 1_Rebuttal Power Costs_Adj Bench DR 3 for Initial Briefs (Electric) 2" xfId="4071"/>
    <cellStyle name="_Portfolio SPlan Base Case.xls Chart 1_Rebuttal Power Costs_Adj Bench DR 3 for Initial Briefs (Electric) 2 2" xfId="4072"/>
    <cellStyle name="_Portfolio SPlan Base Case.xls Chart 1_Rebuttal Power Costs_Adj Bench DR 3 for Initial Briefs (Electric) 3" xfId="4073"/>
    <cellStyle name="_Portfolio SPlan Base Case.xls Chart 1_Rebuttal Power Costs_Electric Rev Req Model (2009 GRC) Rebuttal" xfId="4074"/>
    <cellStyle name="_Portfolio SPlan Base Case.xls Chart 1_Rebuttal Power Costs_Electric Rev Req Model (2009 GRC) Rebuttal 2" xfId="4075"/>
    <cellStyle name="_Portfolio SPlan Base Case.xls Chart 1_Rebuttal Power Costs_Electric Rev Req Model (2009 GRC) Rebuttal 2 2" xfId="4076"/>
    <cellStyle name="_Portfolio SPlan Base Case.xls Chart 1_Rebuttal Power Costs_Electric Rev Req Model (2009 GRC) Rebuttal 3" xfId="4077"/>
    <cellStyle name="_Portfolio SPlan Base Case.xls Chart 1_Rebuttal Power Costs_Electric Rev Req Model (2009 GRC) Rebuttal REmoval of New  WH Solar AdjustMI" xfId="4078"/>
    <cellStyle name="_Portfolio SPlan Base Case.xls Chart 1_Rebuttal Power Costs_Electric Rev Req Model (2009 GRC) Rebuttal REmoval of New  WH Solar AdjustMI 2" xfId="4079"/>
    <cellStyle name="_Portfolio SPlan Base Case.xls Chart 1_Rebuttal Power Costs_Electric Rev Req Model (2009 GRC) Rebuttal REmoval of New  WH Solar AdjustMI 2 2" xfId="4080"/>
    <cellStyle name="_Portfolio SPlan Base Case.xls Chart 1_Rebuttal Power Costs_Electric Rev Req Model (2009 GRC) Rebuttal REmoval of New  WH Solar AdjustMI 3" xfId="4081"/>
    <cellStyle name="_Portfolio SPlan Base Case.xls Chart 1_Rebuttal Power Costs_Electric Rev Req Model (2009 GRC) Revised 01-18-2010" xfId="4082"/>
    <cellStyle name="_Portfolio SPlan Base Case.xls Chart 1_Rebuttal Power Costs_Electric Rev Req Model (2009 GRC) Revised 01-18-2010 2" xfId="4083"/>
    <cellStyle name="_Portfolio SPlan Base Case.xls Chart 1_Rebuttal Power Costs_Electric Rev Req Model (2009 GRC) Revised 01-18-2010 2 2" xfId="4084"/>
    <cellStyle name="_Portfolio SPlan Base Case.xls Chart 1_Rebuttal Power Costs_Electric Rev Req Model (2009 GRC) Revised 01-18-2010 3" xfId="4085"/>
    <cellStyle name="_Portfolio SPlan Base Case.xls Chart 1_Rebuttal Power Costs_Final Order Electric EXHIBIT A-1" xfId="4086"/>
    <cellStyle name="_Portfolio SPlan Base Case.xls Chart 1_Rebuttal Power Costs_Final Order Electric EXHIBIT A-1 2" xfId="4087"/>
    <cellStyle name="_Portfolio SPlan Base Case.xls Chart 1_Rebuttal Power Costs_Final Order Electric EXHIBIT A-1 2 2" xfId="4088"/>
    <cellStyle name="_Portfolio SPlan Base Case.xls Chart 1_Rebuttal Power Costs_Final Order Electric EXHIBIT A-1 3" xfId="4089"/>
    <cellStyle name="_Portfolio SPlan Base Case.xls Chart 1_TENASKA REGULATORY ASSET" xfId="4090"/>
    <cellStyle name="_Portfolio SPlan Base Case.xls Chart 1_TENASKA REGULATORY ASSET 2" xfId="4091"/>
    <cellStyle name="_Portfolio SPlan Base Case.xls Chart 1_TENASKA REGULATORY ASSET 2 2" xfId="4092"/>
    <cellStyle name="_Portfolio SPlan Base Case.xls Chart 1_TENASKA REGULATORY ASSET 3" xfId="4093"/>
    <cellStyle name="_Portfolio SPlan Base Case.xls Chart 2" xfId="4094"/>
    <cellStyle name="_Portfolio SPlan Base Case.xls Chart 2 2" xfId="4095"/>
    <cellStyle name="_Portfolio SPlan Base Case.xls Chart 2 2 2" xfId="4096"/>
    <cellStyle name="_Portfolio SPlan Base Case.xls Chart 2 3" xfId="4097"/>
    <cellStyle name="_Portfolio SPlan Base Case.xls Chart 2_Adj Bench DR 3 for Initial Briefs (Electric)" xfId="4098"/>
    <cellStyle name="_Portfolio SPlan Base Case.xls Chart 2_Adj Bench DR 3 for Initial Briefs (Electric) 2" xfId="4099"/>
    <cellStyle name="_Portfolio SPlan Base Case.xls Chart 2_Adj Bench DR 3 for Initial Briefs (Electric) 2 2" xfId="4100"/>
    <cellStyle name="_Portfolio SPlan Base Case.xls Chart 2_Adj Bench DR 3 for Initial Briefs (Electric) 3" xfId="4101"/>
    <cellStyle name="_Portfolio SPlan Base Case.xls Chart 2_Book1" xfId="4102"/>
    <cellStyle name="_Portfolio SPlan Base Case.xls Chart 2_Book2" xfId="4103"/>
    <cellStyle name="_Portfolio SPlan Base Case.xls Chart 2_Book2 2" xfId="4104"/>
    <cellStyle name="_Portfolio SPlan Base Case.xls Chart 2_Book2 2 2" xfId="4105"/>
    <cellStyle name="_Portfolio SPlan Base Case.xls Chart 2_Book2 3" xfId="4106"/>
    <cellStyle name="_Portfolio SPlan Base Case.xls Chart 2_Book2_Adj Bench DR 3 for Initial Briefs (Electric)" xfId="4107"/>
    <cellStyle name="_Portfolio SPlan Base Case.xls Chart 2_Book2_Adj Bench DR 3 for Initial Briefs (Electric) 2" xfId="4108"/>
    <cellStyle name="_Portfolio SPlan Base Case.xls Chart 2_Book2_Adj Bench DR 3 for Initial Briefs (Electric) 2 2" xfId="4109"/>
    <cellStyle name="_Portfolio SPlan Base Case.xls Chart 2_Book2_Adj Bench DR 3 for Initial Briefs (Electric) 3" xfId="4110"/>
    <cellStyle name="_Portfolio SPlan Base Case.xls Chart 2_Book2_Electric Rev Req Model (2009 GRC) Rebuttal" xfId="4111"/>
    <cellStyle name="_Portfolio SPlan Base Case.xls Chart 2_Book2_Electric Rev Req Model (2009 GRC) Rebuttal 2" xfId="4112"/>
    <cellStyle name="_Portfolio SPlan Base Case.xls Chart 2_Book2_Electric Rev Req Model (2009 GRC) Rebuttal 2 2" xfId="4113"/>
    <cellStyle name="_Portfolio SPlan Base Case.xls Chart 2_Book2_Electric Rev Req Model (2009 GRC) Rebuttal 3" xfId="4114"/>
    <cellStyle name="_Portfolio SPlan Base Case.xls Chart 2_Book2_Electric Rev Req Model (2009 GRC) Rebuttal REmoval of New  WH Solar AdjustMI" xfId="4115"/>
    <cellStyle name="_Portfolio SPlan Base Case.xls Chart 2_Book2_Electric Rev Req Model (2009 GRC) Rebuttal REmoval of New  WH Solar AdjustMI 2" xfId="4116"/>
    <cellStyle name="_Portfolio SPlan Base Case.xls Chart 2_Book2_Electric Rev Req Model (2009 GRC) Rebuttal REmoval of New  WH Solar AdjustMI 2 2" xfId="4117"/>
    <cellStyle name="_Portfolio SPlan Base Case.xls Chart 2_Book2_Electric Rev Req Model (2009 GRC) Rebuttal REmoval of New  WH Solar AdjustMI 3" xfId="4118"/>
    <cellStyle name="_Portfolio SPlan Base Case.xls Chart 2_Book2_Electric Rev Req Model (2009 GRC) Revised 01-18-2010" xfId="4119"/>
    <cellStyle name="_Portfolio SPlan Base Case.xls Chart 2_Book2_Electric Rev Req Model (2009 GRC) Revised 01-18-2010 2" xfId="4120"/>
    <cellStyle name="_Portfolio SPlan Base Case.xls Chart 2_Book2_Electric Rev Req Model (2009 GRC) Revised 01-18-2010 2 2" xfId="4121"/>
    <cellStyle name="_Portfolio SPlan Base Case.xls Chart 2_Book2_Electric Rev Req Model (2009 GRC) Revised 01-18-2010 3" xfId="4122"/>
    <cellStyle name="_Portfolio SPlan Base Case.xls Chart 2_Book2_Final Order Electric EXHIBIT A-1" xfId="4123"/>
    <cellStyle name="_Portfolio SPlan Base Case.xls Chart 2_Book2_Final Order Electric EXHIBIT A-1 2" xfId="4124"/>
    <cellStyle name="_Portfolio SPlan Base Case.xls Chart 2_Book2_Final Order Electric EXHIBIT A-1 2 2" xfId="4125"/>
    <cellStyle name="_Portfolio SPlan Base Case.xls Chart 2_Book2_Final Order Electric EXHIBIT A-1 3" xfId="4126"/>
    <cellStyle name="_Portfolio SPlan Base Case.xls Chart 2_Chelan PUD Power Costs (8-10)" xfId="4127"/>
    <cellStyle name="_Portfolio SPlan Base Case.xls Chart 2_Confidential Material" xfId="4128"/>
    <cellStyle name="_Portfolio SPlan Base Case.xls Chart 2_DEM-WP(C) Colstrip 12 Coal Cost Forecast 2010GRC" xfId="4129"/>
    <cellStyle name="_Portfolio SPlan Base Case.xls Chart 2_DEM-WP(C) Production O&amp;M 2010GRC As-Filed" xfId="4130"/>
    <cellStyle name="_Portfolio SPlan Base Case.xls Chart 2_DEM-WP(C) Production O&amp;M 2010GRC As-Filed 2" xfId="4131"/>
    <cellStyle name="_Portfolio SPlan Base Case.xls Chart 2_Electric Rev Req Model (2009 GRC) " xfId="4132"/>
    <cellStyle name="_Portfolio SPlan Base Case.xls Chart 2_Electric Rev Req Model (2009 GRC)  2" xfId="4133"/>
    <cellStyle name="_Portfolio SPlan Base Case.xls Chart 2_Electric Rev Req Model (2009 GRC)  2 2" xfId="4134"/>
    <cellStyle name="_Portfolio SPlan Base Case.xls Chart 2_Electric Rev Req Model (2009 GRC)  3" xfId="4135"/>
    <cellStyle name="_Portfolio SPlan Base Case.xls Chart 2_Electric Rev Req Model (2009 GRC)  4" xfId="4136"/>
    <cellStyle name="_Portfolio SPlan Base Case.xls Chart 2_Electric Rev Req Model (2009 GRC) Rebuttal" xfId="4137"/>
    <cellStyle name="_Portfolio SPlan Base Case.xls Chart 2_Electric Rev Req Model (2009 GRC) Rebuttal 2" xfId="4138"/>
    <cellStyle name="_Portfolio SPlan Base Case.xls Chart 2_Electric Rev Req Model (2009 GRC) Rebuttal 2 2" xfId="4139"/>
    <cellStyle name="_Portfolio SPlan Base Case.xls Chart 2_Electric Rev Req Model (2009 GRC) Rebuttal 3" xfId="4140"/>
    <cellStyle name="_Portfolio SPlan Base Case.xls Chart 2_Electric Rev Req Model (2009 GRC) Rebuttal 4" xfId="4141"/>
    <cellStyle name="_Portfolio SPlan Base Case.xls Chart 2_Electric Rev Req Model (2009 GRC) Rebuttal REmoval of New  WH Solar AdjustMI" xfId="4142"/>
    <cellStyle name="_Portfolio SPlan Base Case.xls Chart 2_Electric Rev Req Model (2009 GRC) Rebuttal REmoval of New  WH Solar AdjustMI 2" xfId="4143"/>
    <cellStyle name="_Portfolio SPlan Base Case.xls Chart 2_Electric Rev Req Model (2009 GRC) Rebuttal REmoval of New  WH Solar AdjustMI 2 2" xfId="4144"/>
    <cellStyle name="_Portfolio SPlan Base Case.xls Chart 2_Electric Rev Req Model (2009 GRC) Rebuttal REmoval of New  WH Solar AdjustMI 3" xfId="4145"/>
    <cellStyle name="_Portfolio SPlan Base Case.xls Chart 2_Electric Rev Req Model (2009 GRC) Rebuttal REmoval of New  WH Solar AdjustMI 4" xfId="4146"/>
    <cellStyle name="_Portfolio SPlan Base Case.xls Chart 2_Electric Rev Req Model (2009 GRC) Revised 01-18-2010" xfId="4147"/>
    <cellStyle name="_Portfolio SPlan Base Case.xls Chart 2_Electric Rev Req Model (2009 GRC) Revised 01-18-2010 2" xfId="4148"/>
    <cellStyle name="_Portfolio SPlan Base Case.xls Chart 2_Electric Rev Req Model (2009 GRC) Revised 01-18-2010 2 2" xfId="4149"/>
    <cellStyle name="_Portfolio SPlan Base Case.xls Chart 2_Electric Rev Req Model (2009 GRC) Revised 01-18-2010 3" xfId="4150"/>
    <cellStyle name="_Portfolio SPlan Base Case.xls Chart 2_Electric Rev Req Model (2009 GRC) Revised 01-18-2010 4" xfId="4151"/>
    <cellStyle name="_Portfolio SPlan Base Case.xls Chart 2_Electric Rev Req Model (2010 GRC)" xfId="4152"/>
    <cellStyle name="_Portfolio SPlan Base Case.xls Chart 2_Electric Rev Req Model (2010 GRC) SF" xfId="4153"/>
    <cellStyle name="_Portfolio SPlan Base Case.xls Chart 2_Final Order Electric EXHIBIT A-1" xfId="4154"/>
    <cellStyle name="_Portfolio SPlan Base Case.xls Chart 2_Final Order Electric EXHIBIT A-1 2" xfId="4155"/>
    <cellStyle name="_Portfolio SPlan Base Case.xls Chart 2_Final Order Electric EXHIBIT A-1 2 2" xfId="4156"/>
    <cellStyle name="_Portfolio SPlan Base Case.xls Chart 2_Final Order Electric EXHIBIT A-1 3" xfId="4157"/>
    <cellStyle name="_Portfolio SPlan Base Case.xls Chart 2_Final Order Electric EXHIBIT A-1 4" xfId="4158"/>
    <cellStyle name="_Portfolio SPlan Base Case.xls Chart 2_NIM Summary" xfId="4159"/>
    <cellStyle name="_Portfolio SPlan Base Case.xls Chart 2_NIM Summary 2" xfId="4160"/>
    <cellStyle name="_Portfolio SPlan Base Case.xls Chart 2_Rebuttal Power Costs" xfId="4161"/>
    <cellStyle name="_Portfolio SPlan Base Case.xls Chart 2_Rebuttal Power Costs 2" xfId="4162"/>
    <cellStyle name="_Portfolio SPlan Base Case.xls Chart 2_Rebuttal Power Costs 2 2" xfId="4163"/>
    <cellStyle name="_Portfolio SPlan Base Case.xls Chart 2_Rebuttal Power Costs 3" xfId="4164"/>
    <cellStyle name="_Portfolio SPlan Base Case.xls Chart 2_Rebuttal Power Costs 4" xfId="4165"/>
    <cellStyle name="_Portfolio SPlan Base Case.xls Chart 2_Rebuttal Power Costs_Adj Bench DR 3 for Initial Briefs (Electric)" xfId="4166"/>
    <cellStyle name="_Portfolio SPlan Base Case.xls Chart 2_Rebuttal Power Costs_Adj Bench DR 3 for Initial Briefs (Electric) 2" xfId="4167"/>
    <cellStyle name="_Portfolio SPlan Base Case.xls Chart 2_Rebuttal Power Costs_Adj Bench DR 3 for Initial Briefs (Electric) 2 2" xfId="4168"/>
    <cellStyle name="_Portfolio SPlan Base Case.xls Chart 2_Rebuttal Power Costs_Adj Bench DR 3 for Initial Briefs (Electric) 3" xfId="4169"/>
    <cellStyle name="_Portfolio SPlan Base Case.xls Chart 2_Rebuttal Power Costs_Adj Bench DR 3 for Initial Briefs (Electric) 4" xfId="4170"/>
    <cellStyle name="_Portfolio SPlan Base Case.xls Chart 2_Rebuttal Power Costs_Electric Rev Req Model (2009 GRC) Rebuttal" xfId="4171"/>
    <cellStyle name="_Portfolio SPlan Base Case.xls Chart 2_Rebuttal Power Costs_Electric Rev Req Model (2009 GRC) Rebuttal 2" xfId="4172"/>
    <cellStyle name="_Portfolio SPlan Base Case.xls Chart 2_Rebuttal Power Costs_Electric Rev Req Model (2009 GRC) Rebuttal 2 2" xfId="4173"/>
    <cellStyle name="_Portfolio SPlan Base Case.xls Chart 2_Rebuttal Power Costs_Electric Rev Req Model (2009 GRC) Rebuttal 3" xfId="4174"/>
    <cellStyle name="_Portfolio SPlan Base Case.xls Chart 2_Rebuttal Power Costs_Electric Rev Req Model (2009 GRC) Rebuttal 4" xfId="4175"/>
    <cellStyle name="_Portfolio SPlan Base Case.xls Chart 2_Rebuttal Power Costs_Electric Rev Req Model (2009 GRC) Rebuttal REmoval of New  WH Solar AdjustMI" xfId="4176"/>
    <cellStyle name="_Portfolio SPlan Base Case.xls Chart 2_Rebuttal Power Costs_Electric Rev Req Model (2009 GRC) Rebuttal REmoval of New  WH Solar AdjustMI 2" xfId="4177"/>
    <cellStyle name="_Portfolio SPlan Base Case.xls Chart 2_Rebuttal Power Costs_Electric Rev Req Model (2009 GRC) Rebuttal REmoval of New  WH Solar AdjustMI 2 2" xfId="4178"/>
    <cellStyle name="_Portfolio SPlan Base Case.xls Chart 2_Rebuttal Power Costs_Electric Rev Req Model (2009 GRC) Rebuttal REmoval of New  WH Solar AdjustMI 3" xfId="4179"/>
    <cellStyle name="_Portfolio SPlan Base Case.xls Chart 2_Rebuttal Power Costs_Electric Rev Req Model (2009 GRC) Rebuttal REmoval of New  WH Solar AdjustMI 4" xfId="4180"/>
    <cellStyle name="_Portfolio SPlan Base Case.xls Chart 2_Rebuttal Power Costs_Electric Rev Req Model (2009 GRC) Revised 01-18-2010" xfId="4181"/>
    <cellStyle name="_Portfolio SPlan Base Case.xls Chart 2_Rebuttal Power Costs_Electric Rev Req Model (2009 GRC) Revised 01-18-2010 2" xfId="4182"/>
    <cellStyle name="_Portfolio SPlan Base Case.xls Chart 2_Rebuttal Power Costs_Electric Rev Req Model (2009 GRC) Revised 01-18-2010 2 2" xfId="4183"/>
    <cellStyle name="_Portfolio SPlan Base Case.xls Chart 2_Rebuttal Power Costs_Electric Rev Req Model (2009 GRC) Revised 01-18-2010 3" xfId="4184"/>
    <cellStyle name="_Portfolio SPlan Base Case.xls Chart 2_Rebuttal Power Costs_Electric Rev Req Model (2009 GRC) Revised 01-18-2010 4" xfId="4185"/>
    <cellStyle name="_Portfolio SPlan Base Case.xls Chart 2_Rebuttal Power Costs_Final Order Electric EXHIBIT A-1" xfId="4186"/>
    <cellStyle name="_Portfolio SPlan Base Case.xls Chart 2_Rebuttal Power Costs_Final Order Electric EXHIBIT A-1 2" xfId="4187"/>
    <cellStyle name="_Portfolio SPlan Base Case.xls Chart 2_Rebuttal Power Costs_Final Order Electric EXHIBIT A-1 2 2" xfId="4188"/>
    <cellStyle name="_Portfolio SPlan Base Case.xls Chart 2_Rebuttal Power Costs_Final Order Electric EXHIBIT A-1 3" xfId="4189"/>
    <cellStyle name="_Portfolio SPlan Base Case.xls Chart 2_Rebuttal Power Costs_Final Order Electric EXHIBIT A-1 4" xfId="4190"/>
    <cellStyle name="_Portfolio SPlan Base Case.xls Chart 2_TENASKA REGULATORY ASSET" xfId="4191"/>
    <cellStyle name="_Portfolio SPlan Base Case.xls Chart 2_TENASKA REGULATORY ASSET 2" xfId="4192"/>
    <cellStyle name="_Portfolio SPlan Base Case.xls Chart 2_TENASKA REGULATORY ASSET 2 2" xfId="4193"/>
    <cellStyle name="_Portfolio SPlan Base Case.xls Chart 2_TENASKA REGULATORY ASSET 3" xfId="4194"/>
    <cellStyle name="_Portfolio SPlan Base Case.xls Chart 2_TENASKA REGULATORY ASSET 4" xfId="4195"/>
    <cellStyle name="_Portfolio SPlan Base Case.xls Chart 3" xfId="4196"/>
    <cellStyle name="_Portfolio SPlan Base Case.xls Chart 3 2" xfId="4197"/>
    <cellStyle name="_Portfolio SPlan Base Case.xls Chart 3 2 2" xfId="4198"/>
    <cellStyle name="_Portfolio SPlan Base Case.xls Chart 3 3" xfId="4199"/>
    <cellStyle name="_Portfolio SPlan Base Case.xls Chart 3 4" xfId="4200"/>
    <cellStyle name="_Portfolio SPlan Base Case.xls Chart 3_Adj Bench DR 3 for Initial Briefs (Electric)" xfId="4201"/>
    <cellStyle name="_Portfolio SPlan Base Case.xls Chart 3_Adj Bench DR 3 for Initial Briefs (Electric) 2" xfId="4202"/>
    <cellStyle name="_Portfolio SPlan Base Case.xls Chart 3_Adj Bench DR 3 for Initial Briefs (Electric) 2 2" xfId="4203"/>
    <cellStyle name="_Portfolio SPlan Base Case.xls Chart 3_Adj Bench DR 3 for Initial Briefs (Electric) 3" xfId="4204"/>
    <cellStyle name="_Portfolio SPlan Base Case.xls Chart 3_Adj Bench DR 3 for Initial Briefs (Electric) 4" xfId="4205"/>
    <cellStyle name="_Portfolio SPlan Base Case.xls Chart 3_Book1" xfId="4206"/>
    <cellStyle name="_Portfolio SPlan Base Case.xls Chart 3_Book2" xfId="4207"/>
    <cellStyle name="_Portfolio SPlan Base Case.xls Chart 3_Book2 2" xfId="4208"/>
    <cellStyle name="_Portfolio SPlan Base Case.xls Chart 3_Book2 2 2" xfId="4209"/>
    <cellStyle name="_Portfolio SPlan Base Case.xls Chart 3_Book2 3" xfId="4210"/>
    <cellStyle name="_Portfolio SPlan Base Case.xls Chart 3_Book2 4" xfId="4211"/>
    <cellStyle name="_Portfolio SPlan Base Case.xls Chart 3_Book2_Adj Bench DR 3 for Initial Briefs (Electric)" xfId="4212"/>
    <cellStyle name="_Portfolio SPlan Base Case.xls Chart 3_Book2_Adj Bench DR 3 for Initial Briefs (Electric) 2" xfId="4213"/>
    <cellStyle name="_Portfolio SPlan Base Case.xls Chart 3_Book2_Adj Bench DR 3 for Initial Briefs (Electric) 2 2" xfId="4214"/>
    <cellStyle name="_Portfolio SPlan Base Case.xls Chart 3_Book2_Adj Bench DR 3 for Initial Briefs (Electric) 3" xfId="4215"/>
    <cellStyle name="_Portfolio SPlan Base Case.xls Chart 3_Book2_Adj Bench DR 3 for Initial Briefs (Electric) 4" xfId="4216"/>
    <cellStyle name="_Portfolio SPlan Base Case.xls Chart 3_Book2_Electric Rev Req Model (2009 GRC) Rebuttal" xfId="4217"/>
    <cellStyle name="_Portfolio SPlan Base Case.xls Chart 3_Book2_Electric Rev Req Model (2009 GRC) Rebuttal 2" xfId="4218"/>
    <cellStyle name="_Portfolio SPlan Base Case.xls Chart 3_Book2_Electric Rev Req Model (2009 GRC) Rebuttal 2 2" xfId="4219"/>
    <cellStyle name="_Portfolio SPlan Base Case.xls Chart 3_Book2_Electric Rev Req Model (2009 GRC) Rebuttal 3" xfId="4220"/>
    <cellStyle name="_Portfolio SPlan Base Case.xls Chart 3_Book2_Electric Rev Req Model (2009 GRC) Rebuttal 4" xfId="4221"/>
    <cellStyle name="_Portfolio SPlan Base Case.xls Chart 3_Book2_Electric Rev Req Model (2009 GRC) Rebuttal REmoval of New  WH Solar AdjustMI" xfId="4222"/>
    <cellStyle name="_Portfolio SPlan Base Case.xls Chart 3_Book2_Electric Rev Req Model (2009 GRC) Rebuttal REmoval of New  WH Solar AdjustMI 2" xfId="4223"/>
    <cellStyle name="_Portfolio SPlan Base Case.xls Chart 3_Book2_Electric Rev Req Model (2009 GRC) Rebuttal REmoval of New  WH Solar AdjustMI 2 2" xfId="4224"/>
    <cellStyle name="_Portfolio SPlan Base Case.xls Chart 3_Book2_Electric Rev Req Model (2009 GRC) Rebuttal REmoval of New  WH Solar AdjustMI 3" xfId="4225"/>
    <cellStyle name="_Portfolio SPlan Base Case.xls Chart 3_Book2_Electric Rev Req Model (2009 GRC) Rebuttal REmoval of New  WH Solar AdjustMI 4" xfId="4226"/>
    <cellStyle name="_Portfolio SPlan Base Case.xls Chart 3_Book2_Electric Rev Req Model (2009 GRC) Revised 01-18-2010" xfId="4227"/>
    <cellStyle name="_Portfolio SPlan Base Case.xls Chart 3_Book2_Electric Rev Req Model (2009 GRC) Revised 01-18-2010 2" xfId="4228"/>
    <cellStyle name="_Portfolio SPlan Base Case.xls Chart 3_Book2_Electric Rev Req Model (2009 GRC) Revised 01-18-2010 2 2" xfId="4229"/>
    <cellStyle name="_Portfolio SPlan Base Case.xls Chart 3_Book2_Electric Rev Req Model (2009 GRC) Revised 01-18-2010 3" xfId="4230"/>
    <cellStyle name="_Portfolio SPlan Base Case.xls Chart 3_Book2_Electric Rev Req Model (2009 GRC) Revised 01-18-2010 4" xfId="4231"/>
    <cellStyle name="_Portfolio SPlan Base Case.xls Chart 3_Book2_Final Order Electric EXHIBIT A-1" xfId="4232"/>
    <cellStyle name="_Portfolio SPlan Base Case.xls Chart 3_Book2_Final Order Electric EXHIBIT A-1 2" xfId="4233"/>
    <cellStyle name="_Portfolio SPlan Base Case.xls Chart 3_Book2_Final Order Electric EXHIBIT A-1 2 2" xfId="4234"/>
    <cellStyle name="_Portfolio SPlan Base Case.xls Chart 3_Book2_Final Order Electric EXHIBIT A-1 3" xfId="4235"/>
    <cellStyle name="_Portfolio SPlan Base Case.xls Chart 3_Book2_Final Order Electric EXHIBIT A-1 4" xfId="4236"/>
    <cellStyle name="_Portfolio SPlan Base Case.xls Chart 3_Chelan PUD Power Costs (8-10)" xfId="4237"/>
    <cellStyle name="_Portfolio SPlan Base Case.xls Chart 3_Confidential Material" xfId="4238"/>
    <cellStyle name="_Portfolio SPlan Base Case.xls Chart 3_DEM-WP(C) Colstrip 12 Coal Cost Forecast 2010GRC" xfId="4239"/>
    <cellStyle name="_Portfolio SPlan Base Case.xls Chart 3_DEM-WP(C) Production O&amp;M 2010GRC As-Filed" xfId="4240"/>
    <cellStyle name="_Portfolio SPlan Base Case.xls Chart 3_DEM-WP(C) Production O&amp;M 2010GRC As-Filed 2" xfId="4241"/>
    <cellStyle name="_Portfolio SPlan Base Case.xls Chart 3_Electric Rev Req Model (2009 GRC) " xfId="4242"/>
    <cellStyle name="_Portfolio SPlan Base Case.xls Chart 3_Electric Rev Req Model (2009 GRC)  2" xfId="4243"/>
    <cellStyle name="_Portfolio SPlan Base Case.xls Chart 3_Electric Rev Req Model (2009 GRC)  2 2" xfId="4244"/>
    <cellStyle name="_Portfolio SPlan Base Case.xls Chart 3_Electric Rev Req Model (2009 GRC)  3" xfId="4245"/>
    <cellStyle name="_Portfolio SPlan Base Case.xls Chart 3_Electric Rev Req Model (2009 GRC)  4" xfId="4246"/>
    <cellStyle name="_Portfolio SPlan Base Case.xls Chart 3_Electric Rev Req Model (2009 GRC) Rebuttal" xfId="4247"/>
    <cellStyle name="_Portfolio SPlan Base Case.xls Chart 3_Electric Rev Req Model (2009 GRC) Rebuttal 2" xfId="4248"/>
    <cellStyle name="_Portfolio SPlan Base Case.xls Chart 3_Electric Rev Req Model (2009 GRC) Rebuttal 2 2" xfId="4249"/>
    <cellStyle name="_Portfolio SPlan Base Case.xls Chart 3_Electric Rev Req Model (2009 GRC) Rebuttal 3" xfId="4250"/>
    <cellStyle name="_Portfolio SPlan Base Case.xls Chart 3_Electric Rev Req Model (2009 GRC) Rebuttal 4" xfId="4251"/>
    <cellStyle name="_Portfolio SPlan Base Case.xls Chart 3_Electric Rev Req Model (2009 GRC) Rebuttal REmoval of New  WH Solar AdjustMI" xfId="4252"/>
    <cellStyle name="_Portfolio SPlan Base Case.xls Chart 3_Electric Rev Req Model (2009 GRC) Rebuttal REmoval of New  WH Solar AdjustMI 2" xfId="4253"/>
    <cellStyle name="_Portfolio SPlan Base Case.xls Chart 3_Electric Rev Req Model (2009 GRC) Rebuttal REmoval of New  WH Solar AdjustMI 2 2" xfId="4254"/>
    <cellStyle name="_Portfolio SPlan Base Case.xls Chart 3_Electric Rev Req Model (2009 GRC) Rebuttal REmoval of New  WH Solar AdjustMI 3" xfId="4255"/>
    <cellStyle name="_Portfolio SPlan Base Case.xls Chart 3_Electric Rev Req Model (2009 GRC) Rebuttal REmoval of New  WH Solar AdjustMI 4" xfId="4256"/>
    <cellStyle name="_Portfolio SPlan Base Case.xls Chart 3_Electric Rev Req Model (2009 GRC) Revised 01-18-2010" xfId="4257"/>
    <cellStyle name="_Portfolio SPlan Base Case.xls Chart 3_Electric Rev Req Model (2009 GRC) Revised 01-18-2010 2" xfId="4258"/>
    <cellStyle name="_Portfolio SPlan Base Case.xls Chart 3_Electric Rev Req Model (2009 GRC) Revised 01-18-2010 2 2" xfId="4259"/>
    <cellStyle name="_Portfolio SPlan Base Case.xls Chart 3_Electric Rev Req Model (2009 GRC) Revised 01-18-2010 3" xfId="4260"/>
    <cellStyle name="_Portfolio SPlan Base Case.xls Chart 3_Electric Rev Req Model (2009 GRC) Revised 01-18-2010 4" xfId="4261"/>
    <cellStyle name="_Portfolio SPlan Base Case.xls Chart 3_Electric Rev Req Model (2010 GRC)" xfId="4262"/>
    <cellStyle name="_Portfolio SPlan Base Case.xls Chart 3_Electric Rev Req Model (2010 GRC) SF" xfId="4263"/>
    <cellStyle name="_Portfolio SPlan Base Case.xls Chart 3_Final Order Electric EXHIBIT A-1" xfId="4264"/>
    <cellStyle name="_Portfolio SPlan Base Case.xls Chart 3_Final Order Electric EXHIBIT A-1 2" xfId="4265"/>
    <cellStyle name="_Portfolio SPlan Base Case.xls Chart 3_Final Order Electric EXHIBIT A-1 2 2" xfId="4266"/>
    <cellStyle name="_Portfolio SPlan Base Case.xls Chart 3_Final Order Electric EXHIBIT A-1 3" xfId="4267"/>
    <cellStyle name="_Portfolio SPlan Base Case.xls Chart 3_Final Order Electric EXHIBIT A-1 4" xfId="4268"/>
    <cellStyle name="_Portfolio SPlan Base Case.xls Chart 3_NIM Summary" xfId="4269"/>
    <cellStyle name="_Portfolio SPlan Base Case.xls Chart 3_NIM Summary 2" xfId="4270"/>
    <cellStyle name="_Portfolio SPlan Base Case.xls Chart 3_Rebuttal Power Costs" xfId="4271"/>
    <cellStyle name="_Portfolio SPlan Base Case.xls Chart 3_Rebuttal Power Costs 2" xfId="4272"/>
    <cellStyle name="_Portfolio SPlan Base Case.xls Chart 3_Rebuttal Power Costs 2 2" xfId="4273"/>
    <cellStyle name="_Portfolio SPlan Base Case.xls Chart 3_Rebuttal Power Costs 3" xfId="4274"/>
    <cellStyle name="_Portfolio SPlan Base Case.xls Chart 3_Rebuttal Power Costs 4" xfId="4275"/>
    <cellStyle name="_Portfolio SPlan Base Case.xls Chart 3_Rebuttal Power Costs_Adj Bench DR 3 for Initial Briefs (Electric)" xfId="4276"/>
    <cellStyle name="_Portfolio SPlan Base Case.xls Chart 3_Rebuttal Power Costs_Adj Bench DR 3 for Initial Briefs (Electric) 2" xfId="4277"/>
    <cellStyle name="_Portfolio SPlan Base Case.xls Chart 3_Rebuttal Power Costs_Adj Bench DR 3 for Initial Briefs (Electric) 2 2" xfId="4278"/>
    <cellStyle name="_Portfolio SPlan Base Case.xls Chart 3_Rebuttal Power Costs_Adj Bench DR 3 for Initial Briefs (Electric) 3" xfId="4279"/>
    <cellStyle name="_Portfolio SPlan Base Case.xls Chart 3_Rebuttal Power Costs_Adj Bench DR 3 for Initial Briefs (Electric) 4" xfId="4280"/>
    <cellStyle name="_Portfolio SPlan Base Case.xls Chart 3_Rebuttal Power Costs_Electric Rev Req Model (2009 GRC) Rebuttal" xfId="4281"/>
    <cellStyle name="_Portfolio SPlan Base Case.xls Chart 3_Rebuttal Power Costs_Electric Rev Req Model (2009 GRC) Rebuttal 2" xfId="4282"/>
    <cellStyle name="_Portfolio SPlan Base Case.xls Chart 3_Rebuttal Power Costs_Electric Rev Req Model (2009 GRC) Rebuttal 2 2" xfId="4283"/>
    <cellStyle name="_Portfolio SPlan Base Case.xls Chart 3_Rebuttal Power Costs_Electric Rev Req Model (2009 GRC) Rebuttal 3" xfId="4284"/>
    <cellStyle name="_Portfolio SPlan Base Case.xls Chart 3_Rebuttal Power Costs_Electric Rev Req Model (2009 GRC) Rebuttal 4" xfId="4285"/>
    <cellStyle name="_Portfolio SPlan Base Case.xls Chart 3_Rebuttal Power Costs_Electric Rev Req Model (2009 GRC) Rebuttal REmoval of New  WH Solar AdjustMI" xfId="4286"/>
    <cellStyle name="_Portfolio SPlan Base Case.xls Chart 3_Rebuttal Power Costs_Electric Rev Req Model (2009 GRC) Rebuttal REmoval of New  WH Solar AdjustMI 2" xfId="4287"/>
    <cellStyle name="_Portfolio SPlan Base Case.xls Chart 3_Rebuttal Power Costs_Electric Rev Req Model (2009 GRC) Rebuttal REmoval of New  WH Solar AdjustMI 2 2" xfId="4288"/>
    <cellStyle name="_Portfolio SPlan Base Case.xls Chart 3_Rebuttal Power Costs_Electric Rev Req Model (2009 GRC) Rebuttal REmoval of New  WH Solar AdjustMI 3" xfId="4289"/>
    <cellStyle name="_Portfolio SPlan Base Case.xls Chart 3_Rebuttal Power Costs_Electric Rev Req Model (2009 GRC) Rebuttal REmoval of New  WH Solar AdjustMI 4" xfId="4290"/>
    <cellStyle name="_Portfolio SPlan Base Case.xls Chart 3_Rebuttal Power Costs_Electric Rev Req Model (2009 GRC) Revised 01-18-2010" xfId="4291"/>
    <cellStyle name="_Portfolio SPlan Base Case.xls Chart 3_Rebuttal Power Costs_Electric Rev Req Model (2009 GRC) Revised 01-18-2010 2" xfId="4292"/>
    <cellStyle name="_Portfolio SPlan Base Case.xls Chart 3_Rebuttal Power Costs_Electric Rev Req Model (2009 GRC) Revised 01-18-2010 2 2" xfId="4293"/>
    <cellStyle name="_Portfolio SPlan Base Case.xls Chart 3_Rebuttal Power Costs_Electric Rev Req Model (2009 GRC) Revised 01-18-2010 3" xfId="4294"/>
    <cellStyle name="_Portfolio SPlan Base Case.xls Chart 3_Rebuttal Power Costs_Electric Rev Req Model (2009 GRC) Revised 01-18-2010 4" xfId="4295"/>
    <cellStyle name="_Portfolio SPlan Base Case.xls Chart 3_Rebuttal Power Costs_Final Order Electric EXHIBIT A-1" xfId="4296"/>
    <cellStyle name="_Portfolio SPlan Base Case.xls Chart 3_Rebuttal Power Costs_Final Order Electric EXHIBIT A-1 2" xfId="4297"/>
    <cellStyle name="_Portfolio SPlan Base Case.xls Chart 3_Rebuttal Power Costs_Final Order Electric EXHIBIT A-1 2 2" xfId="4298"/>
    <cellStyle name="_Portfolio SPlan Base Case.xls Chart 3_Rebuttal Power Costs_Final Order Electric EXHIBIT A-1 3" xfId="4299"/>
    <cellStyle name="_Portfolio SPlan Base Case.xls Chart 3_Rebuttal Power Costs_Final Order Electric EXHIBIT A-1 4" xfId="4300"/>
    <cellStyle name="_Portfolio SPlan Base Case.xls Chart 3_TENASKA REGULATORY ASSET" xfId="4301"/>
    <cellStyle name="_Portfolio SPlan Base Case.xls Chart 3_TENASKA REGULATORY ASSET 2" xfId="4302"/>
    <cellStyle name="_Portfolio SPlan Base Case.xls Chart 3_TENASKA REGULATORY ASSET 2 2" xfId="4303"/>
    <cellStyle name="_Portfolio SPlan Base Case.xls Chart 3_TENASKA REGULATORY ASSET 3" xfId="4304"/>
    <cellStyle name="_Portfolio SPlan Base Case.xls Chart 3_TENASKA REGULATORY ASSET 4" xfId="4305"/>
    <cellStyle name="_Power Cost Value Copy 11.30.05 gas 1.09.06 AURORA at 1.10.06" xfId="4306"/>
    <cellStyle name="_Power Cost Value Copy 11.30.05 gas 1.09.06 AURORA at 1.10.06 2" xfId="4307"/>
    <cellStyle name="_Power Cost Value Copy 11.30.05 gas 1.09.06 AURORA at 1.10.06 2 2" xfId="4308"/>
    <cellStyle name="_Power Cost Value Copy 11.30.05 gas 1.09.06 AURORA at 1.10.06 2 2 2" xfId="4309"/>
    <cellStyle name="_Power Cost Value Copy 11.30.05 gas 1.09.06 AURORA at 1.10.06 2 3" xfId="4310"/>
    <cellStyle name="_Power Cost Value Copy 11.30.05 gas 1.09.06 AURORA at 1.10.06 3" xfId="4311"/>
    <cellStyle name="_Power Cost Value Copy 11.30.05 gas 1.09.06 AURORA at 1.10.06 3 2" xfId="4312"/>
    <cellStyle name="_Power Cost Value Copy 11.30.05 gas 1.09.06 AURORA at 1.10.06 4" xfId="4313"/>
    <cellStyle name="_Power Cost Value Copy 11.30.05 gas 1.09.06 AURORA at 1.10.06 4 2" xfId="4314"/>
    <cellStyle name="_Power Cost Value Copy 11.30.05 gas 1.09.06 AURORA at 1.10.06 5" xfId="4315"/>
    <cellStyle name="_Power Cost Value Copy 11.30.05 gas 1.09.06 AURORA at 1.10.06_04 07E Wild Horse Wind Expansion (C) (2)" xfId="4316"/>
    <cellStyle name="_Power Cost Value Copy 11.30.05 gas 1.09.06 AURORA at 1.10.06_04 07E Wild Horse Wind Expansion (C) (2) 2" xfId="4317"/>
    <cellStyle name="_Power Cost Value Copy 11.30.05 gas 1.09.06 AURORA at 1.10.06_04 07E Wild Horse Wind Expansion (C) (2) 2 2" xfId="4318"/>
    <cellStyle name="_Power Cost Value Copy 11.30.05 gas 1.09.06 AURORA at 1.10.06_04 07E Wild Horse Wind Expansion (C) (2) 3" xfId="4319"/>
    <cellStyle name="_Power Cost Value Copy 11.30.05 gas 1.09.06 AURORA at 1.10.06_04 07E Wild Horse Wind Expansion (C) (2) 4" xfId="4320"/>
    <cellStyle name="_Power Cost Value Copy 11.30.05 gas 1.09.06 AURORA at 1.10.06_04 07E Wild Horse Wind Expansion (C) (2)_Adj Bench DR 3 for Initial Briefs (Electric)" xfId="4321"/>
    <cellStyle name="_Power Cost Value Copy 11.30.05 gas 1.09.06 AURORA at 1.10.06_04 07E Wild Horse Wind Expansion (C) (2)_Adj Bench DR 3 for Initial Briefs (Electric) 2" xfId="4322"/>
    <cellStyle name="_Power Cost Value Copy 11.30.05 gas 1.09.06 AURORA at 1.10.06_04 07E Wild Horse Wind Expansion (C) (2)_Adj Bench DR 3 for Initial Briefs (Electric) 2 2" xfId="4323"/>
    <cellStyle name="_Power Cost Value Copy 11.30.05 gas 1.09.06 AURORA at 1.10.06_04 07E Wild Horse Wind Expansion (C) (2)_Adj Bench DR 3 for Initial Briefs (Electric) 3" xfId="4324"/>
    <cellStyle name="_Power Cost Value Copy 11.30.05 gas 1.09.06 AURORA at 1.10.06_04 07E Wild Horse Wind Expansion (C) (2)_Adj Bench DR 3 for Initial Briefs (Electric) 4" xfId="4325"/>
    <cellStyle name="_Power Cost Value Copy 11.30.05 gas 1.09.06 AURORA at 1.10.06_04 07E Wild Horse Wind Expansion (C) (2)_Book1" xfId="4326"/>
    <cellStyle name="_Power Cost Value Copy 11.30.05 gas 1.09.06 AURORA at 1.10.06_04 07E Wild Horse Wind Expansion (C) (2)_Electric Rev Req Model (2009 GRC) " xfId="4327"/>
    <cellStyle name="_Power Cost Value Copy 11.30.05 gas 1.09.06 AURORA at 1.10.06_04 07E Wild Horse Wind Expansion (C) (2)_Electric Rev Req Model (2009 GRC)  2" xfId="4328"/>
    <cellStyle name="_Power Cost Value Copy 11.30.05 gas 1.09.06 AURORA at 1.10.06_04 07E Wild Horse Wind Expansion (C) (2)_Electric Rev Req Model (2009 GRC)  2 2" xfId="4329"/>
    <cellStyle name="_Power Cost Value Copy 11.30.05 gas 1.09.06 AURORA at 1.10.06_04 07E Wild Horse Wind Expansion (C) (2)_Electric Rev Req Model (2009 GRC)  3" xfId="4330"/>
    <cellStyle name="_Power Cost Value Copy 11.30.05 gas 1.09.06 AURORA at 1.10.06_04 07E Wild Horse Wind Expansion (C) (2)_Electric Rev Req Model (2009 GRC)  4" xfId="4331"/>
    <cellStyle name="_Power Cost Value Copy 11.30.05 gas 1.09.06 AURORA at 1.10.06_04 07E Wild Horse Wind Expansion (C) (2)_Electric Rev Req Model (2009 GRC) Rebuttal" xfId="4332"/>
    <cellStyle name="_Power Cost Value Copy 11.30.05 gas 1.09.06 AURORA at 1.10.06_04 07E Wild Horse Wind Expansion (C) (2)_Electric Rev Req Model (2009 GRC) Rebuttal 2" xfId="4333"/>
    <cellStyle name="_Power Cost Value Copy 11.30.05 gas 1.09.06 AURORA at 1.10.06_04 07E Wild Horse Wind Expansion (C) (2)_Electric Rev Req Model (2009 GRC) Rebuttal 2 2" xfId="4334"/>
    <cellStyle name="_Power Cost Value Copy 11.30.05 gas 1.09.06 AURORA at 1.10.06_04 07E Wild Horse Wind Expansion (C) (2)_Electric Rev Req Model (2009 GRC) Rebuttal 3" xfId="4335"/>
    <cellStyle name="_Power Cost Value Copy 11.30.05 gas 1.09.06 AURORA at 1.10.06_04 07E Wild Horse Wind Expansion (C) (2)_Electric Rev Req Model (2009 GRC) Rebuttal 4" xfId="4336"/>
    <cellStyle name="_Power Cost Value Copy 11.30.05 gas 1.09.06 AURORA at 1.10.06_04 07E Wild Horse Wind Expansion (C) (2)_Electric Rev Req Model (2009 GRC) Rebuttal REmoval of New  WH Solar AdjustMI" xfId="4337"/>
    <cellStyle name="_Power Cost Value Copy 11.30.05 gas 1.09.06 AURORA at 1.10.06_04 07E Wild Horse Wind Expansion (C) (2)_Electric Rev Req Model (2009 GRC) Rebuttal REmoval of New  WH Solar AdjustMI 2" xfId="4338"/>
    <cellStyle name="_Power Cost Value Copy 11.30.05 gas 1.09.06 AURORA at 1.10.06_04 07E Wild Horse Wind Expansion (C) (2)_Electric Rev Req Model (2009 GRC) Rebuttal REmoval of New  WH Solar AdjustMI 2 2" xfId="4339"/>
    <cellStyle name="_Power Cost Value Copy 11.30.05 gas 1.09.06 AURORA at 1.10.06_04 07E Wild Horse Wind Expansion (C) (2)_Electric Rev Req Model (2009 GRC) Rebuttal REmoval of New  WH Solar AdjustMI 3" xfId="4340"/>
    <cellStyle name="_Power Cost Value Copy 11.30.05 gas 1.09.06 AURORA at 1.10.06_04 07E Wild Horse Wind Expansion (C) (2)_Electric Rev Req Model (2009 GRC) Rebuttal REmoval of New  WH Solar AdjustMI 4" xfId="4341"/>
    <cellStyle name="_Power Cost Value Copy 11.30.05 gas 1.09.06 AURORA at 1.10.06_04 07E Wild Horse Wind Expansion (C) (2)_Electric Rev Req Model (2009 GRC) Revised 01-18-2010" xfId="4342"/>
    <cellStyle name="_Power Cost Value Copy 11.30.05 gas 1.09.06 AURORA at 1.10.06_04 07E Wild Horse Wind Expansion (C) (2)_Electric Rev Req Model (2009 GRC) Revised 01-18-2010 2" xfId="4343"/>
    <cellStyle name="_Power Cost Value Copy 11.30.05 gas 1.09.06 AURORA at 1.10.06_04 07E Wild Horse Wind Expansion (C) (2)_Electric Rev Req Model (2009 GRC) Revised 01-18-2010 2 2" xfId="4344"/>
    <cellStyle name="_Power Cost Value Copy 11.30.05 gas 1.09.06 AURORA at 1.10.06_04 07E Wild Horse Wind Expansion (C) (2)_Electric Rev Req Model (2009 GRC) Revised 01-18-2010 3" xfId="4345"/>
    <cellStyle name="_Power Cost Value Copy 11.30.05 gas 1.09.06 AURORA at 1.10.06_04 07E Wild Horse Wind Expansion (C) (2)_Electric Rev Req Model (2009 GRC) Revised 01-18-2010 4" xfId="4346"/>
    <cellStyle name="_Power Cost Value Copy 11.30.05 gas 1.09.06 AURORA at 1.10.06_04 07E Wild Horse Wind Expansion (C) (2)_Electric Rev Req Model (2010 GRC)" xfId="4347"/>
    <cellStyle name="_Power Cost Value Copy 11.30.05 gas 1.09.06 AURORA at 1.10.06_04 07E Wild Horse Wind Expansion (C) (2)_Electric Rev Req Model (2010 GRC) SF" xfId="4348"/>
    <cellStyle name="_Power Cost Value Copy 11.30.05 gas 1.09.06 AURORA at 1.10.06_04 07E Wild Horse Wind Expansion (C) (2)_Final Order Electric EXHIBIT A-1" xfId="4349"/>
    <cellStyle name="_Power Cost Value Copy 11.30.05 gas 1.09.06 AURORA at 1.10.06_04 07E Wild Horse Wind Expansion (C) (2)_Final Order Electric EXHIBIT A-1 2" xfId="4350"/>
    <cellStyle name="_Power Cost Value Copy 11.30.05 gas 1.09.06 AURORA at 1.10.06_04 07E Wild Horse Wind Expansion (C) (2)_Final Order Electric EXHIBIT A-1 2 2" xfId="4351"/>
    <cellStyle name="_Power Cost Value Copy 11.30.05 gas 1.09.06 AURORA at 1.10.06_04 07E Wild Horse Wind Expansion (C) (2)_Final Order Electric EXHIBIT A-1 3" xfId="4352"/>
    <cellStyle name="_Power Cost Value Copy 11.30.05 gas 1.09.06 AURORA at 1.10.06_04 07E Wild Horse Wind Expansion (C) (2)_Final Order Electric EXHIBIT A-1 4" xfId="4353"/>
    <cellStyle name="_Power Cost Value Copy 11.30.05 gas 1.09.06 AURORA at 1.10.06_04 07E Wild Horse Wind Expansion (C) (2)_TENASKA REGULATORY ASSET" xfId="4354"/>
    <cellStyle name="_Power Cost Value Copy 11.30.05 gas 1.09.06 AURORA at 1.10.06_04 07E Wild Horse Wind Expansion (C) (2)_TENASKA REGULATORY ASSET 2" xfId="4355"/>
    <cellStyle name="_Power Cost Value Copy 11.30.05 gas 1.09.06 AURORA at 1.10.06_04 07E Wild Horse Wind Expansion (C) (2)_TENASKA REGULATORY ASSET 2 2" xfId="4356"/>
    <cellStyle name="_Power Cost Value Copy 11.30.05 gas 1.09.06 AURORA at 1.10.06_04 07E Wild Horse Wind Expansion (C) (2)_TENASKA REGULATORY ASSET 3" xfId="4357"/>
    <cellStyle name="_Power Cost Value Copy 11.30.05 gas 1.09.06 AURORA at 1.10.06_04 07E Wild Horse Wind Expansion (C) (2)_TENASKA REGULATORY ASSET 4" xfId="4358"/>
    <cellStyle name="_Power Cost Value Copy 11.30.05 gas 1.09.06 AURORA at 1.10.06_16.37E Wild Horse Expansion DeferralRevwrkingfile SF" xfId="4359"/>
    <cellStyle name="_Power Cost Value Copy 11.30.05 gas 1.09.06 AURORA at 1.10.06_16.37E Wild Horse Expansion DeferralRevwrkingfile SF 2" xfId="4360"/>
    <cellStyle name="_Power Cost Value Copy 11.30.05 gas 1.09.06 AURORA at 1.10.06_16.37E Wild Horse Expansion DeferralRevwrkingfile SF 2 2" xfId="4361"/>
    <cellStyle name="_Power Cost Value Copy 11.30.05 gas 1.09.06 AURORA at 1.10.06_16.37E Wild Horse Expansion DeferralRevwrkingfile SF 3" xfId="4362"/>
    <cellStyle name="_Power Cost Value Copy 11.30.05 gas 1.09.06 AURORA at 1.10.06_16.37E Wild Horse Expansion DeferralRevwrkingfile SF 4" xfId="4363"/>
    <cellStyle name="_Power Cost Value Copy 11.30.05 gas 1.09.06 AURORA at 1.10.06_2009 Compliance Filing PCA Exhibits for GRC" xfId="4364"/>
    <cellStyle name="_Power Cost Value Copy 11.30.05 gas 1.09.06 AURORA at 1.10.06_2009 Compliance Filing PCA Exhibits for GRC 2" xfId="4365"/>
    <cellStyle name="_Power Cost Value Copy 11.30.05 gas 1.09.06 AURORA at 1.10.06_2009 GRC Compl Filing - Exhibit D" xfId="4366"/>
    <cellStyle name="_Power Cost Value Copy 11.30.05 gas 1.09.06 AURORA at 1.10.06_2009 GRC Compl Filing - Exhibit D 2" xfId="4367"/>
    <cellStyle name="_Power Cost Value Copy 11.30.05 gas 1.09.06 AURORA at 1.10.06_3.01 Income Statement" xfId="4368"/>
    <cellStyle name="_Power Cost Value Copy 11.30.05 gas 1.09.06 AURORA at 1.10.06_4 31 Regulatory Assets and Liabilities  7 06- Exhibit D" xfId="4369"/>
    <cellStyle name="_Power Cost Value Copy 11.30.05 gas 1.09.06 AURORA at 1.10.06_4 31 Regulatory Assets and Liabilities  7 06- Exhibit D 2" xfId="4370"/>
    <cellStyle name="_Power Cost Value Copy 11.30.05 gas 1.09.06 AURORA at 1.10.06_4 31 Regulatory Assets and Liabilities  7 06- Exhibit D 2 2" xfId="4371"/>
    <cellStyle name="_Power Cost Value Copy 11.30.05 gas 1.09.06 AURORA at 1.10.06_4 31 Regulatory Assets and Liabilities  7 06- Exhibit D 3" xfId="4372"/>
    <cellStyle name="_Power Cost Value Copy 11.30.05 gas 1.09.06 AURORA at 1.10.06_4 31 Regulatory Assets and Liabilities  7 06- Exhibit D 4" xfId="4373"/>
    <cellStyle name="_Power Cost Value Copy 11.30.05 gas 1.09.06 AURORA at 1.10.06_4 31 Regulatory Assets and Liabilities  7 06- Exhibit D_NIM Summary" xfId="4374"/>
    <cellStyle name="_Power Cost Value Copy 11.30.05 gas 1.09.06 AURORA at 1.10.06_4 31 Regulatory Assets and Liabilities  7 06- Exhibit D_NIM Summary 2" xfId="4375"/>
    <cellStyle name="_Power Cost Value Copy 11.30.05 gas 1.09.06 AURORA at 1.10.06_4 32 Regulatory Assets and Liabilities  7 06- Exhibit D" xfId="4376"/>
    <cellStyle name="_Power Cost Value Copy 11.30.05 gas 1.09.06 AURORA at 1.10.06_4 32 Regulatory Assets and Liabilities  7 06- Exhibit D 2" xfId="4377"/>
    <cellStyle name="_Power Cost Value Copy 11.30.05 gas 1.09.06 AURORA at 1.10.06_4 32 Regulatory Assets and Liabilities  7 06- Exhibit D 2 2" xfId="4378"/>
    <cellStyle name="_Power Cost Value Copy 11.30.05 gas 1.09.06 AURORA at 1.10.06_4 32 Regulatory Assets and Liabilities  7 06- Exhibit D 3" xfId="4379"/>
    <cellStyle name="_Power Cost Value Copy 11.30.05 gas 1.09.06 AURORA at 1.10.06_4 32 Regulatory Assets and Liabilities  7 06- Exhibit D 4" xfId="4380"/>
    <cellStyle name="_Power Cost Value Copy 11.30.05 gas 1.09.06 AURORA at 1.10.06_4 32 Regulatory Assets and Liabilities  7 06- Exhibit D_NIM Summary" xfId="4381"/>
    <cellStyle name="_Power Cost Value Copy 11.30.05 gas 1.09.06 AURORA at 1.10.06_4 32 Regulatory Assets and Liabilities  7 06- Exhibit D_NIM Summary 2" xfId="4382"/>
    <cellStyle name="_Power Cost Value Copy 11.30.05 gas 1.09.06 AURORA at 1.10.06_ACCOUNTS" xfId="4383"/>
    <cellStyle name="_Power Cost Value Copy 11.30.05 gas 1.09.06 AURORA at 1.10.06_AURORA Total New" xfId="4384"/>
    <cellStyle name="_Power Cost Value Copy 11.30.05 gas 1.09.06 AURORA at 1.10.06_AURORA Total New 2" xfId="4385"/>
    <cellStyle name="_Power Cost Value Copy 11.30.05 gas 1.09.06 AURORA at 1.10.06_Book2" xfId="4386"/>
    <cellStyle name="_Power Cost Value Copy 11.30.05 gas 1.09.06 AURORA at 1.10.06_Book2 2" xfId="4387"/>
    <cellStyle name="_Power Cost Value Copy 11.30.05 gas 1.09.06 AURORA at 1.10.06_Book2 2 2" xfId="4388"/>
    <cellStyle name="_Power Cost Value Copy 11.30.05 gas 1.09.06 AURORA at 1.10.06_Book2 3" xfId="4389"/>
    <cellStyle name="_Power Cost Value Copy 11.30.05 gas 1.09.06 AURORA at 1.10.06_Book2 4" xfId="4390"/>
    <cellStyle name="_Power Cost Value Copy 11.30.05 gas 1.09.06 AURORA at 1.10.06_Book2_Adj Bench DR 3 for Initial Briefs (Electric)" xfId="4391"/>
    <cellStyle name="_Power Cost Value Copy 11.30.05 gas 1.09.06 AURORA at 1.10.06_Book2_Adj Bench DR 3 for Initial Briefs (Electric) 2" xfId="4392"/>
    <cellStyle name="_Power Cost Value Copy 11.30.05 gas 1.09.06 AURORA at 1.10.06_Book2_Adj Bench DR 3 for Initial Briefs (Electric) 2 2" xfId="4393"/>
    <cellStyle name="_Power Cost Value Copy 11.30.05 gas 1.09.06 AURORA at 1.10.06_Book2_Adj Bench DR 3 for Initial Briefs (Electric) 3" xfId="4394"/>
    <cellStyle name="_Power Cost Value Copy 11.30.05 gas 1.09.06 AURORA at 1.10.06_Book2_Adj Bench DR 3 for Initial Briefs (Electric) 4" xfId="4395"/>
    <cellStyle name="_Power Cost Value Copy 11.30.05 gas 1.09.06 AURORA at 1.10.06_Book2_Electric Rev Req Model (2009 GRC) Rebuttal" xfId="4396"/>
    <cellStyle name="_Power Cost Value Copy 11.30.05 gas 1.09.06 AURORA at 1.10.06_Book2_Electric Rev Req Model (2009 GRC) Rebuttal 2" xfId="4397"/>
    <cellStyle name="_Power Cost Value Copy 11.30.05 gas 1.09.06 AURORA at 1.10.06_Book2_Electric Rev Req Model (2009 GRC) Rebuttal 2 2" xfId="4398"/>
    <cellStyle name="_Power Cost Value Copy 11.30.05 gas 1.09.06 AURORA at 1.10.06_Book2_Electric Rev Req Model (2009 GRC) Rebuttal 3" xfId="4399"/>
    <cellStyle name="_Power Cost Value Copy 11.30.05 gas 1.09.06 AURORA at 1.10.06_Book2_Electric Rev Req Model (2009 GRC) Rebuttal 4" xfId="4400"/>
    <cellStyle name="_Power Cost Value Copy 11.30.05 gas 1.09.06 AURORA at 1.10.06_Book2_Electric Rev Req Model (2009 GRC) Rebuttal REmoval of New  WH Solar AdjustMI" xfId="4401"/>
    <cellStyle name="_Power Cost Value Copy 11.30.05 gas 1.09.06 AURORA at 1.10.06_Book2_Electric Rev Req Model (2009 GRC) Rebuttal REmoval of New  WH Solar AdjustMI 2" xfId="4402"/>
    <cellStyle name="_Power Cost Value Copy 11.30.05 gas 1.09.06 AURORA at 1.10.06_Book2_Electric Rev Req Model (2009 GRC) Rebuttal REmoval of New  WH Solar AdjustMI 2 2" xfId="4403"/>
    <cellStyle name="_Power Cost Value Copy 11.30.05 gas 1.09.06 AURORA at 1.10.06_Book2_Electric Rev Req Model (2009 GRC) Rebuttal REmoval of New  WH Solar AdjustMI 3" xfId="4404"/>
    <cellStyle name="_Power Cost Value Copy 11.30.05 gas 1.09.06 AURORA at 1.10.06_Book2_Electric Rev Req Model (2009 GRC) Rebuttal REmoval of New  WH Solar AdjustMI 4" xfId="4405"/>
    <cellStyle name="_Power Cost Value Copy 11.30.05 gas 1.09.06 AURORA at 1.10.06_Book2_Electric Rev Req Model (2009 GRC) Revised 01-18-2010" xfId="4406"/>
    <cellStyle name="_Power Cost Value Copy 11.30.05 gas 1.09.06 AURORA at 1.10.06_Book2_Electric Rev Req Model (2009 GRC) Revised 01-18-2010 2" xfId="4407"/>
    <cellStyle name="_Power Cost Value Copy 11.30.05 gas 1.09.06 AURORA at 1.10.06_Book2_Electric Rev Req Model (2009 GRC) Revised 01-18-2010 2 2" xfId="4408"/>
    <cellStyle name="_Power Cost Value Copy 11.30.05 gas 1.09.06 AURORA at 1.10.06_Book2_Electric Rev Req Model (2009 GRC) Revised 01-18-2010 3" xfId="4409"/>
    <cellStyle name="_Power Cost Value Copy 11.30.05 gas 1.09.06 AURORA at 1.10.06_Book2_Electric Rev Req Model (2009 GRC) Revised 01-18-2010 4" xfId="4410"/>
    <cellStyle name="_Power Cost Value Copy 11.30.05 gas 1.09.06 AURORA at 1.10.06_Book2_Final Order Electric EXHIBIT A-1" xfId="4411"/>
    <cellStyle name="_Power Cost Value Copy 11.30.05 gas 1.09.06 AURORA at 1.10.06_Book2_Final Order Electric EXHIBIT A-1 2" xfId="4412"/>
    <cellStyle name="_Power Cost Value Copy 11.30.05 gas 1.09.06 AURORA at 1.10.06_Book2_Final Order Electric EXHIBIT A-1 2 2" xfId="4413"/>
    <cellStyle name="_Power Cost Value Copy 11.30.05 gas 1.09.06 AURORA at 1.10.06_Book2_Final Order Electric EXHIBIT A-1 3" xfId="4414"/>
    <cellStyle name="_Power Cost Value Copy 11.30.05 gas 1.09.06 AURORA at 1.10.06_Book2_Final Order Electric EXHIBIT A-1 4" xfId="4415"/>
    <cellStyle name="_Power Cost Value Copy 11.30.05 gas 1.09.06 AURORA at 1.10.06_Book4" xfId="4416"/>
    <cellStyle name="_Power Cost Value Copy 11.30.05 gas 1.09.06 AURORA at 1.10.06_Book4 2" xfId="4417"/>
    <cellStyle name="_Power Cost Value Copy 11.30.05 gas 1.09.06 AURORA at 1.10.06_Book4 2 2" xfId="4418"/>
    <cellStyle name="_Power Cost Value Copy 11.30.05 gas 1.09.06 AURORA at 1.10.06_Book4 3" xfId="4419"/>
    <cellStyle name="_Power Cost Value Copy 11.30.05 gas 1.09.06 AURORA at 1.10.06_Book4 4" xfId="4420"/>
    <cellStyle name="_Power Cost Value Copy 11.30.05 gas 1.09.06 AURORA at 1.10.06_Book9" xfId="4421"/>
    <cellStyle name="_Power Cost Value Copy 11.30.05 gas 1.09.06 AURORA at 1.10.06_Book9 2" xfId="4422"/>
    <cellStyle name="_Power Cost Value Copy 11.30.05 gas 1.09.06 AURORA at 1.10.06_Book9 2 2" xfId="4423"/>
    <cellStyle name="_Power Cost Value Copy 11.30.05 gas 1.09.06 AURORA at 1.10.06_Book9 3" xfId="4424"/>
    <cellStyle name="_Power Cost Value Copy 11.30.05 gas 1.09.06 AURORA at 1.10.06_Book9 4" xfId="4425"/>
    <cellStyle name="_Power Cost Value Copy 11.30.05 gas 1.09.06 AURORA at 1.10.06_Check the Interest Calculation" xfId="4426"/>
    <cellStyle name="_Power Cost Value Copy 11.30.05 gas 1.09.06 AURORA at 1.10.06_Check the Interest Calculation_Scenario 1 REC vs PTC Offset" xfId="4427"/>
    <cellStyle name="_Power Cost Value Copy 11.30.05 gas 1.09.06 AURORA at 1.10.06_Check the Interest Calculation_Scenario 3" xfId="4428"/>
    <cellStyle name="_Power Cost Value Copy 11.30.05 gas 1.09.06 AURORA at 1.10.06_Chelan PUD Power Costs (8-10)" xfId="4429"/>
    <cellStyle name="_Power Cost Value Copy 11.30.05 gas 1.09.06 AURORA at 1.10.06_Direct Assignment Distribution Plant 2008" xfId="4430"/>
    <cellStyle name="_Power Cost Value Copy 11.30.05 gas 1.09.06 AURORA at 1.10.06_Direct Assignment Distribution Plant 2008 2" xfId="4431"/>
    <cellStyle name="_Power Cost Value Copy 11.30.05 gas 1.09.06 AURORA at 1.10.06_Direct Assignment Distribution Plant 2008 2 2" xfId="4432"/>
    <cellStyle name="_Power Cost Value Copy 11.30.05 gas 1.09.06 AURORA at 1.10.06_Direct Assignment Distribution Plant 2008 2 2 2" xfId="4433"/>
    <cellStyle name="_Power Cost Value Copy 11.30.05 gas 1.09.06 AURORA at 1.10.06_Direct Assignment Distribution Plant 2008 2 3" xfId="4434"/>
    <cellStyle name="_Power Cost Value Copy 11.30.05 gas 1.09.06 AURORA at 1.10.06_Direct Assignment Distribution Plant 2008 2 3 2" xfId="4435"/>
    <cellStyle name="_Power Cost Value Copy 11.30.05 gas 1.09.06 AURORA at 1.10.06_Direct Assignment Distribution Plant 2008 2 4" xfId="4436"/>
    <cellStyle name="_Power Cost Value Copy 11.30.05 gas 1.09.06 AURORA at 1.10.06_Direct Assignment Distribution Plant 2008 2 4 2" xfId="4437"/>
    <cellStyle name="_Power Cost Value Copy 11.30.05 gas 1.09.06 AURORA at 1.10.06_Direct Assignment Distribution Plant 2008 3" xfId="4438"/>
    <cellStyle name="_Power Cost Value Copy 11.30.05 gas 1.09.06 AURORA at 1.10.06_Direct Assignment Distribution Plant 2008 3 2" xfId="4439"/>
    <cellStyle name="_Power Cost Value Copy 11.30.05 gas 1.09.06 AURORA at 1.10.06_Direct Assignment Distribution Plant 2008 4" xfId="4440"/>
    <cellStyle name="_Power Cost Value Copy 11.30.05 gas 1.09.06 AURORA at 1.10.06_Direct Assignment Distribution Plant 2008 4 2" xfId="4441"/>
    <cellStyle name="_Power Cost Value Copy 11.30.05 gas 1.09.06 AURORA at 1.10.06_Direct Assignment Distribution Plant 2008 5" xfId="4442"/>
    <cellStyle name="_Power Cost Value Copy 11.30.05 gas 1.09.06 AURORA at 1.10.06_Direct Assignment Distribution Plant 2008 6" xfId="4443"/>
    <cellStyle name="_Power Cost Value Copy 11.30.05 gas 1.09.06 AURORA at 1.10.06_Electric COS Inputs" xfId="4444"/>
    <cellStyle name="_Power Cost Value Copy 11.30.05 gas 1.09.06 AURORA at 1.10.06_Electric COS Inputs 2" xfId="4445"/>
    <cellStyle name="_Power Cost Value Copy 11.30.05 gas 1.09.06 AURORA at 1.10.06_Electric COS Inputs 2 2" xfId="4446"/>
    <cellStyle name="_Power Cost Value Copy 11.30.05 gas 1.09.06 AURORA at 1.10.06_Electric COS Inputs 2 2 2" xfId="4447"/>
    <cellStyle name="_Power Cost Value Copy 11.30.05 gas 1.09.06 AURORA at 1.10.06_Electric COS Inputs 2 3" xfId="4448"/>
    <cellStyle name="_Power Cost Value Copy 11.30.05 gas 1.09.06 AURORA at 1.10.06_Electric COS Inputs 2 3 2" xfId="4449"/>
    <cellStyle name="_Power Cost Value Copy 11.30.05 gas 1.09.06 AURORA at 1.10.06_Electric COS Inputs 2 4" xfId="4450"/>
    <cellStyle name="_Power Cost Value Copy 11.30.05 gas 1.09.06 AURORA at 1.10.06_Electric COS Inputs 2 4 2" xfId="4451"/>
    <cellStyle name="_Power Cost Value Copy 11.30.05 gas 1.09.06 AURORA at 1.10.06_Electric COS Inputs 3" xfId="4452"/>
    <cellStyle name="_Power Cost Value Copy 11.30.05 gas 1.09.06 AURORA at 1.10.06_Electric COS Inputs 3 2" xfId="4453"/>
    <cellStyle name="_Power Cost Value Copy 11.30.05 gas 1.09.06 AURORA at 1.10.06_Electric COS Inputs 4" xfId="4454"/>
    <cellStyle name="_Power Cost Value Copy 11.30.05 gas 1.09.06 AURORA at 1.10.06_Electric COS Inputs 4 2" xfId="4455"/>
    <cellStyle name="_Power Cost Value Copy 11.30.05 gas 1.09.06 AURORA at 1.10.06_Electric COS Inputs 5" xfId="4456"/>
    <cellStyle name="_Power Cost Value Copy 11.30.05 gas 1.09.06 AURORA at 1.10.06_Electric COS Inputs 6" xfId="4457"/>
    <cellStyle name="_Power Cost Value Copy 11.30.05 gas 1.09.06 AURORA at 1.10.06_Electric Rate Spread and Rate Design 3.23.09" xfId="4458"/>
    <cellStyle name="_Power Cost Value Copy 11.30.05 gas 1.09.06 AURORA at 1.10.06_Electric Rate Spread and Rate Design 3.23.09 2" xfId="4459"/>
    <cellStyle name="_Power Cost Value Copy 11.30.05 gas 1.09.06 AURORA at 1.10.06_Electric Rate Spread and Rate Design 3.23.09 2 2" xfId="4460"/>
    <cellStyle name="_Power Cost Value Copy 11.30.05 gas 1.09.06 AURORA at 1.10.06_Electric Rate Spread and Rate Design 3.23.09 2 2 2" xfId="4461"/>
    <cellStyle name="_Power Cost Value Copy 11.30.05 gas 1.09.06 AURORA at 1.10.06_Electric Rate Spread and Rate Design 3.23.09 2 3" xfId="4462"/>
    <cellStyle name="_Power Cost Value Copy 11.30.05 gas 1.09.06 AURORA at 1.10.06_Electric Rate Spread and Rate Design 3.23.09 2 3 2" xfId="4463"/>
    <cellStyle name="_Power Cost Value Copy 11.30.05 gas 1.09.06 AURORA at 1.10.06_Electric Rate Spread and Rate Design 3.23.09 2 4" xfId="4464"/>
    <cellStyle name="_Power Cost Value Copy 11.30.05 gas 1.09.06 AURORA at 1.10.06_Electric Rate Spread and Rate Design 3.23.09 2 4 2" xfId="4465"/>
    <cellStyle name="_Power Cost Value Copy 11.30.05 gas 1.09.06 AURORA at 1.10.06_Electric Rate Spread and Rate Design 3.23.09 3" xfId="4466"/>
    <cellStyle name="_Power Cost Value Copy 11.30.05 gas 1.09.06 AURORA at 1.10.06_Electric Rate Spread and Rate Design 3.23.09 3 2" xfId="4467"/>
    <cellStyle name="_Power Cost Value Copy 11.30.05 gas 1.09.06 AURORA at 1.10.06_Electric Rate Spread and Rate Design 3.23.09 4" xfId="4468"/>
    <cellStyle name="_Power Cost Value Copy 11.30.05 gas 1.09.06 AURORA at 1.10.06_Electric Rate Spread and Rate Design 3.23.09 4 2" xfId="4469"/>
    <cellStyle name="_Power Cost Value Copy 11.30.05 gas 1.09.06 AURORA at 1.10.06_Electric Rate Spread and Rate Design 3.23.09 5" xfId="4470"/>
    <cellStyle name="_Power Cost Value Copy 11.30.05 gas 1.09.06 AURORA at 1.10.06_Electric Rate Spread and Rate Design 3.23.09 6" xfId="4471"/>
    <cellStyle name="_Power Cost Value Copy 11.30.05 gas 1.09.06 AURORA at 1.10.06_Exhibit D fr R Gho 12-31-08" xfId="4472"/>
    <cellStyle name="_Power Cost Value Copy 11.30.05 gas 1.09.06 AURORA at 1.10.06_Exhibit D fr R Gho 12-31-08 2" xfId="4473"/>
    <cellStyle name="_Power Cost Value Copy 11.30.05 gas 1.09.06 AURORA at 1.10.06_Exhibit D fr R Gho 12-31-08 3" xfId="4474"/>
    <cellStyle name="_Power Cost Value Copy 11.30.05 gas 1.09.06 AURORA at 1.10.06_Exhibit D fr R Gho 12-31-08 v2" xfId="4475"/>
    <cellStyle name="_Power Cost Value Copy 11.30.05 gas 1.09.06 AURORA at 1.10.06_Exhibit D fr R Gho 12-31-08 v2 2" xfId="4476"/>
    <cellStyle name="_Power Cost Value Copy 11.30.05 gas 1.09.06 AURORA at 1.10.06_Exhibit D fr R Gho 12-31-08 v2 3" xfId="4477"/>
    <cellStyle name="_Power Cost Value Copy 11.30.05 gas 1.09.06 AURORA at 1.10.06_Exhibit D fr R Gho 12-31-08 v2_NIM Summary" xfId="4478"/>
    <cellStyle name="_Power Cost Value Copy 11.30.05 gas 1.09.06 AURORA at 1.10.06_Exhibit D fr R Gho 12-31-08 v2_NIM Summary 2" xfId="4479"/>
    <cellStyle name="_Power Cost Value Copy 11.30.05 gas 1.09.06 AURORA at 1.10.06_Exhibit D fr R Gho 12-31-08_NIM Summary" xfId="4480"/>
    <cellStyle name="_Power Cost Value Copy 11.30.05 gas 1.09.06 AURORA at 1.10.06_Exhibit D fr R Gho 12-31-08_NIM Summary 2" xfId="4481"/>
    <cellStyle name="_Power Cost Value Copy 11.30.05 gas 1.09.06 AURORA at 1.10.06_Gas Rev Req Model (2010 GRC)" xfId="4482"/>
    <cellStyle name="_Power Cost Value Copy 11.30.05 gas 1.09.06 AURORA at 1.10.06_Hopkins Ridge Prepaid Tran - Interest Earned RY 12ME Feb  '11" xfId="4483"/>
    <cellStyle name="_Power Cost Value Copy 11.30.05 gas 1.09.06 AURORA at 1.10.06_Hopkins Ridge Prepaid Tran - Interest Earned RY 12ME Feb  '11 2" xfId="4484"/>
    <cellStyle name="_Power Cost Value Copy 11.30.05 gas 1.09.06 AURORA at 1.10.06_Hopkins Ridge Prepaid Tran - Interest Earned RY 12ME Feb  '11_NIM Summary" xfId="4485"/>
    <cellStyle name="_Power Cost Value Copy 11.30.05 gas 1.09.06 AURORA at 1.10.06_Hopkins Ridge Prepaid Tran - Interest Earned RY 12ME Feb  '11_NIM Summary 2" xfId="4486"/>
    <cellStyle name="_Power Cost Value Copy 11.30.05 gas 1.09.06 AURORA at 1.10.06_Hopkins Ridge Prepaid Tran - Interest Earned RY 12ME Feb  '11_Transmission Workbook for May BOD" xfId="4487"/>
    <cellStyle name="_Power Cost Value Copy 11.30.05 gas 1.09.06 AURORA at 1.10.06_Hopkins Ridge Prepaid Tran - Interest Earned RY 12ME Feb  '11_Transmission Workbook for May BOD 2" xfId="4488"/>
    <cellStyle name="_Power Cost Value Copy 11.30.05 gas 1.09.06 AURORA at 1.10.06_INPUTS" xfId="4489"/>
    <cellStyle name="_Power Cost Value Copy 11.30.05 gas 1.09.06 AURORA at 1.10.06_INPUTS 2" xfId="4490"/>
    <cellStyle name="_Power Cost Value Copy 11.30.05 gas 1.09.06 AURORA at 1.10.06_INPUTS 2 2" xfId="4491"/>
    <cellStyle name="_Power Cost Value Copy 11.30.05 gas 1.09.06 AURORA at 1.10.06_INPUTS 2 2 2" xfId="4492"/>
    <cellStyle name="_Power Cost Value Copy 11.30.05 gas 1.09.06 AURORA at 1.10.06_INPUTS 2 3" xfId="4493"/>
    <cellStyle name="_Power Cost Value Copy 11.30.05 gas 1.09.06 AURORA at 1.10.06_INPUTS 2 3 2" xfId="4494"/>
    <cellStyle name="_Power Cost Value Copy 11.30.05 gas 1.09.06 AURORA at 1.10.06_INPUTS 2 4" xfId="4495"/>
    <cellStyle name="_Power Cost Value Copy 11.30.05 gas 1.09.06 AURORA at 1.10.06_INPUTS 2 4 2" xfId="4496"/>
    <cellStyle name="_Power Cost Value Copy 11.30.05 gas 1.09.06 AURORA at 1.10.06_INPUTS 3" xfId="4497"/>
    <cellStyle name="_Power Cost Value Copy 11.30.05 gas 1.09.06 AURORA at 1.10.06_INPUTS 3 2" xfId="4498"/>
    <cellStyle name="_Power Cost Value Copy 11.30.05 gas 1.09.06 AURORA at 1.10.06_INPUTS 4" xfId="4499"/>
    <cellStyle name="_Power Cost Value Copy 11.30.05 gas 1.09.06 AURORA at 1.10.06_INPUTS 4 2" xfId="4500"/>
    <cellStyle name="_Power Cost Value Copy 11.30.05 gas 1.09.06 AURORA at 1.10.06_INPUTS 5" xfId="4501"/>
    <cellStyle name="_Power Cost Value Copy 11.30.05 gas 1.09.06 AURORA at 1.10.06_INPUTS 6" xfId="4502"/>
    <cellStyle name="_Power Cost Value Copy 11.30.05 gas 1.09.06 AURORA at 1.10.06_Leased Transformer &amp; Substation Plant &amp; Rev 12-2009" xfId="4503"/>
    <cellStyle name="_Power Cost Value Copy 11.30.05 gas 1.09.06 AURORA at 1.10.06_Leased Transformer &amp; Substation Plant &amp; Rev 12-2009 2" xfId="4504"/>
    <cellStyle name="_Power Cost Value Copy 11.30.05 gas 1.09.06 AURORA at 1.10.06_Leased Transformer &amp; Substation Plant &amp; Rev 12-2009 2 2" xfId="4505"/>
    <cellStyle name="_Power Cost Value Copy 11.30.05 gas 1.09.06 AURORA at 1.10.06_Leased Transformer &amp; Substation Plant &amp; Rev 12-2009 2 2 2" xfId="4506"/>
    <cellStyle name="_Power Cost Value Copy 11.30.05 gas 1.09.06 AURORA at 1.10.06_Leased Transformer &amp; Substation Plant &amp; Rev 12-2009 2 3" xfId="4507"/>
    <cellStyle name="_Power Cost Value Copy 11.30.05 gas 1.09.06 AURORA at 1.10.06_Leased Transformer &amp; Substation Plant &amp; Rev 12-2009 2 3 2" xfId="4508"/>
    <cellStyle name="_Power Cost Value Copy 11.30.05 gas 1.09.06 AURORA at 1.10.06_Leased Transformer &amp; Substation Plant &amp; Rev 12-2009 2 4" xfId="4509"/>
    <cellStyle name="_Power Cost Value Copy 11.30.05 gas 1.09.06 AURORA at 1.10.06_Leased Transformer &amp; Substation Plant &amp; Rev 12-2009 2 4 2" xfId="4510"/>
    <cellStyle name="_Power Cost Value Copy 11.30.05 gas 1.09.06 AURORA at 1.10.06_Leased Transformer &amp; Substation Plant &amp; Rev 12-2009 3" xfId="4511"/>
    <cellStyle name="_Power Cost Value Copy 11.30.05 gas 1.09.06 AURORA at 1.10.06_Leased Transformer &amp; Substation Plant &amp; Rev 12-2009 3 2" xfId="4512"/>
    <cellStyle name="_Power Cost Value Copy 11.30.05 gas 1.09.06 AURORA at 1.10.06_Leased Transformer &amp; Substation Plant &amp; Rev 12-2009 4" xfId="4513"/>
    <cellStyle name="_Power Cost Value Copy 11.30.05 gas 1.09.06 AURORA at 1.10.06_Leased Transformer &amp; Substation Plant &amp; Rev 12-2009 4 2" xfId="4514"/>
    <cellStyle name="_Power Cost Value Copy 11.30.05 gas 1.09.06 AURORA at 1.10.06_Leased Transformer &amp; Substation Plant &amp; Rev 12-2009 5" xfId="4515"/>
    <cellStyle name="_Power Cost Value Copy 11.30.05 gas 1.09.06 AURORA at 1.10.06_Leased Transformer &amp; Substation Plant &amp; Rev 12-2009 6" xfId="4516"/>
    <cellStyle name="_Power Cost Value Copy 11.30.05 gas 1.09.06 AURORA at 1.10.06_NIM Summary" xfId="4517"/>
    <cellStyle name="_Power Cost Value Copy 11.30.05 gas 1.09.06 AURORA at 1.10.06_NIM Summary 09GRC" xfId="4518"/>
    <cellStyle name="_Power Cost Value Copy 11.30.05 gas 1.09.06 AURORA at 1.10.06_NIM Summary 09GRC 2" xfId="4519"/>
    <cellStyle name="_Power Cost Value Copy 11.30.05 gas 1.09.06 AURORA at 1.10.06_NIM Summary 2" xfId="4520"/>
    <cellStyle name="_Power Cost Value Copy 11.30.05 gas 1.09.06 AURORA at 1.10.06_NIM Summary 3" xfId="4521"/>
    <cellStyle name="_Power Cost Value Copy 11.30.05 gas 1.09.06 AURORA at 1.10.06_NIM Summary 4" xfId="4522"/>
    <cellStyle name="_Power Cost Value Copy 11.30.05 gas 1.09.06 AURORA at 1.10.06_NIM Summary 5" xfId="4523"/>
    <cellStyle name="_Power Cost Value Copy 11.30.05 gas 1.09.06 AURORA at 1.10.06_NIM Summary 6" xfId="4524"/>
    <cellStyle name="_Power Cost Value Copy 11.30.05 gas 1.09.06 AURORA at 1.10.06_NIM Summary 7" xfId="4525"/>
    <cellStyle name="_Power Cost Value Copy 11.30.05 gas 1.09.06 AURORA at 1.10.06_NIM Summary 8" xfId="4526"/>
    <cellStyle name="_Power Cost Value Copy 11.30.05 gas 1.09.06 AURORA at 1.10.06_NIM Summary 9" xfId="4527"/>
    <cellStyle name="_Power Cost Value Copy 11.30.05 gas 1.09.06 AURORA at 1.10.06_PCA 10 -  Exhibit D from A Kellogg Jan 2011" xfId="4528"/>
    <cellStyle name="_Power Cost Value Copy 11.30.05 gas 1.09.06 AURORA at 1.10.06_PCA 10 -  Exhibit D from A Kellogg July 2011" xfId="4529"/>
    <cellStyle name="_Power Cost Value Copy 11.30.05 gas 1.09.06 AURORA at 1.10.06_PCA 10 -  Exhibit D from S Free Rcv'd 12-11" xfId="4530"/>
    <cellStyle name="_Power Cost Value Copy 11.30.05 gas 1.09.06 AURORA at 1.10.06_PCA 7 - Exhibit D update 11_30_08 (2)" xfId="4531"/>
    <cellStyle name="_Power Cost Value Copy 11.30.05 gas 1.09.06 AURORA at 1.10.06_PCA 7 - Exhibit D update 11_30_08 (2) 2" xfId="4532"/>
    <cellStyle name="_Power Cost Value Copy 11.30.05 gas 1.09.06 AURORA at 1.10.06_PCA 7 - Exhibit D update 11_30_08 (2) 2 2" xfId="4533"/>
    <cellStyle name="_Power Cost Value Copy 11.30.05 gas 1.09.06 AURORA at 1.10.06_PCA 7 - Exhibit D update 11_30_08 (2) 3" xfId="4534"/>
    <cellStyle name="_Power Cost Value Copy 11.30.05 gas 1.09.06 AURORA at 1.10.06_PCA 7 - Exhibit D update 11_30_08 (2) 4" xfId="4535"/>
    <cellStyle name="_Power Cost Value Copy 11.30.05 gas 1.09.06 AURORA at 1.10.06_PCA 7 - Exhibit D update 11_30_08 (2)_NIM Summary" xfId="4536"/>
    <cellStyle name="_Power Cost Value Copy 11.30.05 gas 1.09.06 AURORA at 1.10.06_PCA 7 - Exhibit D update 11_30_08 (2)_NIM Summary 2" xfId="4537"/>
    <cellStyle name="_Power Cost Value Copy 11.30.05 gas 1.09.06 AURORA at 1.10.06_PCA 8 - Exhibit D update 12_31_09" xfId="4538"/>
    <cellStyle name="_Power Cost Value Copy 11.30.05 gas 1.09.06 AURORA at 1.10.06_PCA 8 - Exhibit D update 12_31_09 2" xfId="4539"/>
    <cellStyle name="_Power Cost Value Copy 11.30.05 gas 1.09.06 AURORA at 1.10.06_PCA 9 -  Exhibit D April 2010" xfId="4540"/>
    <cellStyle name="_Power Cost Value Copy 11.30.05 gas 1.09.06 AURORA at 1.10.06_PCA 9 -  Exhibit D April 2010 (3)" xfId="4541"/>
    <cellStyle name="_Power Cost Value Copy 11.30.05 gas 1.09.06 AURORA at 1.10.06_PCA 9 -  Exhibit D April 2010 (3) 2" xfId="4542"/>
    <cellStyle name="_Power Cost Value Copy 11.30.05 gas 1.09.06 AURORA at 1.10.06_PCA 9 -  Exhibit D April 2010 2" xfId="4543"/>
    <cellStyle name="_Power Cost Value Copy 11.30.05 gas 1.09.06 AURORA at 1.10.06_PCA 9 -  Exhibit D April 2010 3" xfId="4544"/>
    <cellStyle name="_Power Cost Value Copy 11.30.05 gas 1.09.06 AURORA at 1.10.06_PCA 9 -  Exhibit D Feb 2010" xfId="4545"/>
    <cellStyle name="_Power Cost Value Copy 11.30.05 gas 1.09.06 AURORA at 1.10.06_PCA 9 -  Exhibit D Feb 2010 2" xfId="4546"/>
    <cellStyle name="_Power Cost Value Copy 11.30.05 gas 1.09.06 AURORA at 1.10.06_PCA 9 -  Exhibit D Feb 2010 v2" xfId="4547"/>
    <cellStyle name="_Power Cost Value Copy 11.30.05 gas 1.09.06 AURORA at 1.10.06_PCA 9 -  Exhibit D Feb 2010 v2 2" xfId="4548"/>
    <cellStyle name="_Power Cost Value Copy 11.30.05 gas 1.09.06 AURORA at 1.10.06_PCA 9 -  Exhibit D Feb 2010 WF" xfId="4549"/>
    <cellStyle name="_Power Cost Value Copy 11.30.05 gas 1.09.06 AURORA at 1.10.06_PCA 9 -  Exhibit D Feb 2010 WF 2" xfId="4550"/>
    <cellStyle name="_Power Cost Value Copy 11.30.05 gas 1.09.06 AURORA at 1.10.06_PCA 9 -  Exhibit D Jan 2010" xfId="4551"/>
    <cellStyle name="_Power Cost Value Copy 11.30.05 gas 1.09.06 AURORA at 1.10.06_PCA 9 -  Exhibit D Jan 2010 2" xfId="4552"/>
    <cellStyle name="_Power Cost Value Copy 11.30.05 gas 1.09.06 AURORA at 1.10.06_PCA 9 -  Exhibit D March 2010 (2)" xfId="4553"/>
    <cellStyle name="_Power Cost Value Copy 11.30.05 gas 1.09.06 AURORA at 1.10.06_PCA 9 -  Exhibit D March 2010 (2) 2" xfId="4554"/>
    <cellStyle name="_Power Cost Value Copy 11.30.05 gas 1.09.06 AURORA at 1.10.06_PCA 9 -  Exhibit D Nov 2010" xfId="4555"/>
    <cellStyle name="_Power Cost Value Copy 11.30.05 gas 1.09.06 AURORA at 1.10.06_PCA 9 -  Exhibit D Nov 2010 2" xfId="4556"/>
    <cellStyle name="_Power Cost Value Copy 11.30.05 gas 1.09.06 AURORA at 1.10.06_PCA 9 - Exhibit D at August 2010" xfId="4557"/>
    <cellStyle name="_Power Cost Value Copy 11.30.05 gas 1.09.06 AURORA at 1.10.06_PCA 9 - Exhibit D at August 2010 2" xfId="4558"/>
    <cellStyle name="_Power Cost Value Copy 11.30.05 gas 1.09.06 AURORA at 1.10.06_PCA 9 - Exhibit D June 2010 GRC" xfId="4559"/>
    <cellStyle name="_Power Cost Value Copy 11.30.05 gas 1.09.06 AURORA at 1.10.06_PCA 9 - Exhibit D June 2010 GRC 2" xfId="4560"/>
    <cellStyle name="_Power Cost Value Copy 11.30.05 gas 1.09.06 AURORA at 1.10.06_Power Costs - Comparison bx Rbtl-Staff-Jt-PC" xfId="4561"/>
    <cellStyle name="_Power Cost Value Copy 11.30.05 gas 1.09.06 AURORA at 1.10.06_Power Costs - Comparison bx Rbtl-Staff-Jt-PC 2" xfId="4562"/>
    <cellStyle name="_Power Cost Value Copy 11.30.05 gas 1.09.06 AURORA at 1.10.06_Power Costs - Comparison bx Rbtl-Staff-Jt-PC 2 2" xfId="4563"/>
    <cellStyle name="_Power Cost Value Copy 11.30.05 gas 1.09.06 AURORA at 1.10.06_Power Costs - Comparison bx Rbtl-Staff-Jt-PC 3" xfId="4564"/>
    <cellStyle name="_Power Cost Value Copy 11.30.05 gas 1.09.06 AURORA at 1.10.06_Power Costs - Comparison bx Rbtl-Staff-Jt-PC 4" xfId="4565"/>
    <cellStyle name="_Power Cost Value Copy 11.30.05 gas 1.09.06 AURORA at 1.10.06_Power Costs - Comparison bx Rbtl-Staff-Jt-PC_Adj Bench DR 3 for Initial Briefs (Electric)" xfId="4566"/>
    <cellStyle name="_Power Cost Value Copy 11.30.05 gas 1.09.06 AURORA at 1.10.06_Power Costs - Comparison bx Rbtl-Staff-Jt-PC_Adj Bench DR 3 for Initial Briefs (Electric) 2" xfId="4567"/>
    <cellStyle name="_Power Cost Value Copy 11.30.05 gas 1.09.06 AURORA at 1.10.06_Power Costs - Comparison bx Rbtl-Staff-Jt-PC_Adj Bench DR 3 for Initial Briefs (Electric) 2 2" xfId="4568"/>
    <cellStyle name="_Power Cost Value Copy 11.30.05 gas 1.09.06 AURORA at 1.10.06_Power Costs - Comparison bx Rbtl-Staff-Jt-PC_Adj Bench DR 3 for Initial Briefs (Electric) 3" xfId="4569"/>
    <cellStyle name="_Power Cost Value Copy 11.30.05 gas 1.09.06 AURORA at 1.10.06_Power Costs - Comparison bx Rbtl-Staff-Jt-PC_Adj Bench DR 3 for Initial Briefs (Electric) 4" xfId="4570"/>
    <cellStyle name="_Power Cost Value Copy 11.30.05 gas 1.09.06 AURORA at 1.10.06_Power Costs - Comparison bx Rbtl-Staff-Jt-PC_Electric Rev Req Model (2009 GRC) Rebuttal" xfId="4571"/>
    <cellStyle name="_Power Cost Value Copy 11.30.05 gas 1.09.06 AURORA at 1.10.06_Power Costs - Comparison bx Rbtl-Staff-Jt-PC_Electric Rev Req Model (2009 GRC) Rebuttal 2" xfId="4572"/>
    <cellStyle name="_Power Cost Value Copy 11.30.05 gas 1.09.06 AURORA at 1.10.06_Power Costs - Comparison bx Rbtl-Staff-Jt-PC_Electric Rev Req Model (2009 GRC) Rebuttal 2 2" xfId="4573"/>
    <cellStyle name="_Power Cost Value Copy 11.30.05 gas 1.09.06 AURORA at 1.10.06_Power Costs - Comparison bx Rbtl-Staff-Jt-PC_Electric Rev Req Model (2009 GRC) Rebuttal 3" xfId="4574"/>
    <cellStyle name="_Power Cost Value Copy 11.30.05 gas 1.09.06 AURORA at 1.10.06_Power Costs - Comparison bx Rbtl-Staff-Jt-PC_Electric Rev Req Model (2009 GRC) Rebuttal 4" xfId="4575"/>
    <cellStyle name="_Power Cost Value Copy 11.30.05 gas 1.09.06 AURORA at 1.10.06_Power Costs - Comparison bx Rbtl-Staff-Jt-PC_Electric Rev Req Model (2009 GRC) Rebuttal REmoval of New  WH Solar AdjustMI" xfId="4576"/>
    <cellStyle name="_Power Cost Value Copy 11.30.05 gas 1.09.06 AURORA at 1.10.06_Power Costs - Comparison bx Rbtl-Staff-Jt-PC_Electric Rev Req Model (2009 GRC) Rebuttal REmoval of New  WH Solar AdjustMI 2" xfId="4577"/>
    <cellStyle name="_Power Cost Value Copy 11.30.05 gas 1.09.06 AURORA at 1.10.06_Power Costs - Comparison bx Rbtl-Staff-Jt-PC_Electric Rev Req Model (2009 GRC) Rebuttal REmoval of New  WH Solar AdjustMI 2 2" xfId="4578"/>
    <cellStyle name="_Power Cost Value Copy 11.30.05 gas 1.09.06 AURORA at 1.10.06_Power Costs - Comparison bx Rbtl-Staff-Jt-PC_Electric Rev Req Model (2009 GRC) Rebuttal REmoval of New  WH Solar AdjustMI 3" xfId="4579"/>
    <cellStyle name="_Power Cost Value Copy 11.30.05 gas 1.09.06 AURORA at 1.10.06_Power Costs - Comparison bx Rbtl-Staff-Jt-PC_Electric Rev Req Model (2009 GRC) Rebuttal REmoval of New  WH Solar AdjustMI 4" xfId="4580"/>
    <cellStyle name="_Power Cost Value Copy 11.30.05 gas 1.09.06 AURORA at 1.10.06_Power Costs - Comparison bx Rbtl-Staff-Jt-PC_Electric Rev Req Model (2009 GRC) Revised 01-18-2010" xfId="4581"/>
    <cellStyle name="_Power Cost Value Copy 11.30.05 gas 1.09.06 AURORA at 1.10.06_Power Costs - Comparison bx Rbtl-Staff-Jt-PC_Electric Rev Req Model (2009 GRC) Revised 01-18-2010 2" xfId="4582"/>
    <cellStyle name="_Power Cost Value Copy 11.30.05 gas 1.09.06 AURORA at 1.10.06_Power Costs - Comparison bx Rbtl-Staff-Jt-PC_Electric Rev Req Model (2009 GRC) Revised 01-18-2010 2 2" xfId="4583"/>
    <cellStyle name="_Power Cost Value Copy 11.30.05 gas 1.09.06 AURORA at 1.10.06_Power Costs - Comparison bx Rbtl-Staff-Jt-PC_Electric Rev Req Model (2009 GRC) Revised 01-18-2010 3" xfId="4584"/>
    <cellStyle name="_Power Cost Value Copy 11.30.05 gas 1.09.06 AURORA at 1.10.06_Power Costs - Comparison bx Rbtl-Staff-Jt-PC_Electric Rev Req Model (2009 GRC) Revised 01-18-2010 4" xfId="4585"/>
    <cellStyle name="_Power Cost Value Copy 11.30.05 gas 1.09.06 AURORA at 1.10.06_Power Costs - Comparison bx Rbtl-Staff-Jt-PC_Final Order Electric EXHIBIT A-1" xfId="4586"/>
    <cellStyle name="_Power Cost Value Copy 11.30.05 gas 1.09.06 AURORA at 1.10.06_Power Costs - Comparison bx Rbtl-Staff-Jt-PC_Final Order Electric EXHIBIT A-1 2" xfId="4587"/>
    <cellStyle name="_Power Cost Value Copy 11.30.05 gas 1.09.06 AURORA at 1.10.06_Power Costs - Comparison bx Rbtl-Staff-Jt-PC_Final Order Electric EXHIBIT A-1 2 2" xfId="4588"/>
    <cellStyle name="_Power Cost Value Copy 11.30.05 gas 1.09.06 AURORA at 1.10.06_Power Costs - Comparison bx Rbtl-Staff-Jt-PC_Final Order Electric EXHIBIT A-1 3" xfId="4589"/>
    <cellStyle name="_Power Cost Value Copy 11.30.05 gas 1.09.06 AURORA at 1.10.06_Power Costs - Comparison bx Rbtl-Staff-Jt-PC_Final Order Electric EXHIBIT A-1 4" xfId="4590"/>
    <cellStyle name="_Power Cost Value Copy 11.30.05 gas 1.09.06 AURORA at 1.10.06_Production Adj 4.37" xfId="4591"/>
    <cellStyle name="_Power Cost Value Copy 11.30.05 gas 1.09.06 AURORA at 1.10.06_Production Adj 4.37 2" xfId="4592"/>
    <cellStyle name="_Power Cost Value Copy 11.30.05 gas 1.09.06 AURORA at 1.10.06_Production Adj 4.37 2 2" xfId="4593"/>
    <cellStyle name="_Power Cost Value Copy 11.30.05 gas 1.09.06 AURORA at 1.10.06_Production Adj 4.37 3" xfId="4594"/>
    <cellStyle name="_Power Cost Value Copy 11.30.05 gas 1.09.06 AURORA at 1.10.06_Purchased Power Adj 4.03" xfId="4595"/>
    <cellStyle name="_Power Cost Value Copy 11.30.05 gas 1.09.06 AURORA at 1.10.06_Purchased Power Adj 4.03 2" xfId="4596"/>
    <cellStyle name="_Power Cost Value Copy 11.30.05 gas 1.09.06 AURORA at 1.10.06_Purchased Power Adj 4.03 2 2" xfId="4597"/>
    <cellStyle name="_Power Cost Value Copy 11.30.05 gas 1.09.06 AURORA at 1.10.06_Purchased Power Adj 4.03 3" xfId="4598"/>
    <cellStyle name="_Power Cost Value Copy 11.30.05 gas 1.09.06 AURORA at 1.10.06_Rate Design Sch 24" xfId="4599"/>
    <cellStyle name="_Power Cost Value Copy 11.30.05 gas 1.09.06 AURORA at 1.10.06_Rate Design Sch 24 2" xfId="4600"/>
    <cellStyle name="_Power Cost Value Copy 11.30.05 gas 1.09.06 AURORA at 1.10.06_Rate Design Sch 25" xfId="4601"/>
    <cellStyle name="_Power Cost Value Copy 11.30.05 gas 1.09.06 AURORA at 1.10.06_Rate Design Sch 25 2" xfId="4602"/>
    <cellStyle name="_Power Cost Value Copy 11.30.05 gas 1.09.06 AURORA at 1.10.06_Rate Design Sch 25 2 2" xfId="4603"/>
    <cellStyle name="_Power Cost Value Copy 11.30.05 gas 1.09.06 AURORA at 1.10.06_Rate Design Sch 25 3" xfId="4604"/>
    <cellStyle name="_Power Cost Value Copy 11.30.05 gas 1.09.06 AURORA at 1.10.06_Rate Design Sch 26" xfId="4605"/>
    <cellStyle name="_Power Cost Value Copy 11.30.05 gas 1.09.06 AURORA at 1.10.06_Rate Design Sch 26 2" xfId="4606"/>
    <cellStyle name="_Power Cost Value Copy 11.30.05 gas 1.09.06 AURORA at 1.10.06_Rate Design Sch 26 2 2" xfId="4607"/>
    <cellStyle name="_Power Cost Value Copy 11.30.05 gas 1.09.06 AURORA at 1.10.06_Rate Design Sch 26 3" xfId="4608"/>
    <cellStyle name="_Power Cost Value Copy 11.30.05 gas 1.09.06 AURORA at 1.10.06_Rate Design Sch 31" xfId="4609"/>
    <cellStyle name="_Power Cost Value Copy 11.30.05 gas 1.09.06 AURORA at 1.10.06_Rate Design Sch 31 2" xfId="4610"/>
    <cellStyle name="_Power Cost Value Copy 11.30.05 gas 1.09.06 AURORA at 1.10.06_Rate Design Sch 31 2 2" xfId="4611"/>
    <cellStyle name="_Power Cost Value Copy 11.30.05 gas 1.09.06 AURORA at 1.10.06_Rate Design Sch 31 3" xfId="4612"/>
    <cellStyle name="_Power Cost Value Copy 11.30.05 gas 1.09.06 AURORA at 1.10.06_Rate Design Sch 43" xfId="4613"/>
    <cellStyle name="_Power Cost Value Copy 11.30.05 gas 1.09.06 AURORA at 1.10.06_Rate Design Sch 43 2" xfId="4614"/>
    <cellStyle name="_Power Cost Value Copy 11.30.05 gas 1.09.06 AURORA at 1.10.06_Rate Design Sch 43 2 2" xfId="4615"/>
    <cellStyle name="_Power Cost Value Copy 11.30.05 gas 1.09.06 AURORA at 1.10.06_Rate Design Sch 43 3" xfId="4616"/>
    <cellStyle name="_Power Cost Value Copy 11.30.05 gas 1.09.06 AURORA at 1.10.06_Rate Design Sch 448-449" xfId="4617"/>
    <cellStyle name="_Power Cost Value Copy 11.30.05 gas 1.09.06 AURORA at 1.10.06_Rate Design Sch 448-449 2" xfId="4618"/>
    <cellStyle name="_Power Cost Value Copy 11.30.05 gas 1.09.06 AURORA at 1.10.06_Rate Design Sch 46" xfId="4619"/>
    <cellStyle name="_Power Cost Value Copy 11.30.05 gas 1.09.06 AURORA at 1.10.06_Rate Design Sch 46 2" xfId="4620"/>
    <cellStyle name="_Power Cost Value Copy 11.30.05 gas 1.09.06 AURORA at 1.10.06_Rate Design Sch 46 2 2" xfId="4621"/>
    <cellStyle name="_Power Cost Value Copy 11.30.05 gas 1.09.06 AURORA at 1.10.06_Rate Design Sch 46 3" xfId="4622"/>
    <cellStyle name="_Power Cost Value Copy 11.30.05 gas 1.09.06 AURORA at 1.10.06_Rate Spread" xfId="4623"/>
    <cellStyle name="_Power Cost Value Copy 11.30.05 gas 1.09.06 AURORA at 1.10.06_Rate Spread 2" xfId="4624"/>
    <cellStyle name="_Power Cost Value Copy 11.30.05 gas 1.09.06 AURORA at 1.10.06_Rate Spread 2 2" xfId="4625"/>
    <cellStyle name="_Power Cost Value Copy 11.30.05 gas 1.09.06 AURORA at 1.10.06_Rate Spread 3" xfId="4626"/>
    <cellStyle name="_Power Cost Value Copy 11.30.05 gas 1.09.06 AURORA at 1.10.06_Rebuttal Power Costs" xfId="4627"/>
    <cellStyle name="_Power Cost Value Copy 11.30.05 gas 1.09.06 AURORA at 1.10.06_Rebuttal Power Costs 2" xfId="4628"/>
    <cellStyle name="_Power Cost Value Copy 11.30.05 gas 1.09.06 AURORA at 1.10.06_Rebuttal Power Costs 2 2" xfId="4629"/>
    <cellStyle name="_Power Cost Value Copy 11.30.05 gas 1.09.06 AURORA at 1.10.06_Rebuttal Power Costs 3" xfId="4630"/>
    <cellStyle name="_Power Cost Value Copy 11.30.05 gas 1.09.06 AURORA at 1.10.06_Rebuttal Power Costs 4" xfId="4631"/>
    <cellStyle name="_Power Cost Value Copy 11.30.05 gas 1.09.06 AURORA at 1.10.06_Rebuttal Power Costs_Adj Bench DR 3 for Initial Briefs (Electric)" xfId="4632"/>
    <cellStyle name="_Power Cost Value Copy 11.30.05 gas 1.09.06 AURORA at 1.10.06_Rebuttal Power Costs_Adj Bench DR 3 for Initial Briefs (Electric) 2" xfId="4633"/>
    <cellStyle name="_Power Cost Value Copy 11.30.05 gas 1.09.06 AURORA at 1.10.06_Rebuttal Power Costs_Adj Bench DR 3 for Initial Briefs (Electric) 2 2" xfId="4634"/>
    <cellStyle name="_Power Cost Value Copy 11.30.05 gas 1.09.06 AURORA at 1.10.06_Rebuttal Power Costs_Adj Bench DR 3 for Initial Briefs (Electric) 3" xfId="4635"/>
    <cellStyle name="_Power Cost Value Copy 11.30.05 gas 1.09.06 AURORA at 1.10.06_Rebuttal Power Costs_Adj Bench DR 3 for Initial Briefs (Electric) 4" xfId="4636"/>
    <cellStyle name="_Power Cost Value Copy 11.30.05 gas 1.09.06 AURORA at 1.10.06_Rebuttal Power Costs_Electric Rev Req Model (2009 GRC) Rebuttal" xfId="4637"/>
    <cellStyle name="_Power Cost Value Copy 11.30.05 gas 1.09.06 AURORA at 1.10.06_Rebuttal Power Costs_Electric Rev Req Model (2009 GRC) Rebuttal 2" xfId="4638"/>
    <cellStyle name="_Power Cost Value Copy 11.30.05 gas 1.09.06 AURORA at 1.10.06_Rebuttal Power Costs_Electric Rev Req Model (2009 GRC) Rebuttal 2 2" xfId="4639"/>
    <cellStyle name="_Power Cost Value Copy 11.30.05 gas 1.09.06 AURORA at 1.10.06_Rebuttal Power Costs_Electric Rev Req Model (2009 GRC) Rebuttal 3" xfId="4640"/>
    <cellStyle name="_Power Cost Value Copy 11.30.05 gas 1.09.06 AURORA at 1.10.06_Rebuttal Power Costs_Electric Rev Req Model (2009 GRC) Rebuttal 4" xfId="4641"/>
    <cellStyle name="_Power Cost Value Copy 11.30.05 gas 1.09.06 AURORA at 1.10.06_Rebuttal Power Costs_Electric Rev Req Model (2009 GRC) Rebuttal REmoval of New  WH Solar AdjustMI" xfId="4642"/>
    <cellStyle name="_Power Cost Value Copy 11.30.05 gas 1.09.06 AURORA at 1.10.06_Rebuttal Power Costs_Electric Rev Req Model (2009 GRC) Rebuttal REmoval of New  WH Solar AdjustMI 2" xfId="4643"/>
    <cellStyle name="_Power Cost Value Copy 11.30.05 gas 1.09.06 AURORA at 1.10.06_Rebuttal Power Costs_Electric Rev Req Model (2009 GRC) Rebuttal REmoval of New  WH Solar AdjustMI 2 2" xfId="4644"/>
    <cellStyle name="_Power Cost Value Copy 11.30.05 gas 1.09.06 AURORA at 1.10.06_Rebuttal Power Costs_Electric Rev Req Model (2009 GRC) Rebuttal REmoval of New  WH Solar AdjustMI 3" xfId="4645"/>
    <cellStyle name="_Power Cost Value Copy 11.30.05 gas 1.09.06 AURORA at 1.10.06_Rebuttal Power Costs_Electric Rev Req Model (2009 GRC) Rebuttal REmoval of New  WH Solar AdjustMI 4" xfId="4646"/>
    <cellStyle name="_Power Cost Value Copy 11.30.05 gas 1.09.06 AURORA at 1.10.06_Rebuttal Power Costs_Electric Rev Req Model (2009 GRC) Revised 01-18-2010" xfId="4647"/>
    <cellStyle name="_Power Cost Value Copy 11.30.05 gas 1.09.06 AURORA at 1.10.06_Rebuttal Power Costs_Electric Rev Req Model (2009 GRC) Revised 01-18-2010 2" xfId="4648"/>
    <cellStyle name="_Power Cost Value Copy 11.30.05 gas 1.09.06 AURORA at 1.10.06_Rebuttal Power Costs_Electric Rev Req Model (2009 GRC) Revised 01-18-2010 2 2" xfId="4649"/>
    <cellStyle name="_Power Cost Value Copy 11.30.05 gas 1.09.06 AURORA at 1.10.06_Rebuttal Power Costs_Electric Rev Req Model (2009 GRC) Revised 01-18-2010 3" xfId="4650"/>
    <cellStyle name="_Power Cost Value Copy 11.30.05 gas 1.09.06 AURORA at 1.10.06_Rebuttal Power Costs_Electric Rev Req Model (2009 GRC) Revised 01-18-2010 4" xfId="4651"/>
    <cellStyle name="_Power Cost Value Copy 11.30.05 gas 1.09.06 AURORA at 1.10.06_Rebuttal Power Costs_Final Order Electric EXHIBIT A-1" xfId="4652"/>
    <cellStyle name="_Power Cost Value Copy 11.30.05 gas 1.09.06 AURORA at 1.10.06_Rebuttal Power Costs_Final Order Electric EXHIBIT A-1 2" xfId="4653"/>
    <cellStyle name="_Power Cost Value Copy 11.30.05 gas 1.09.06 AURORA at 1.10.06_Rebuttal Power Costs_Final Order Electric EXHIBIT A-1 2 2" xfId="4654"/>
    <cellStyle name="_Power Cost Value Copy 11.30.05 gas 1.09.06 AURORA at 1.10.06_Rebuttal Power Costs_Final Order Electric EXHIBIT A-1 3" xfId="4655"/>
    <cellStyle name="_Power Cost Value Copy 11.30.05 gas 1.09.06 AURORA at 1.10.06_Rebuttal Power Costs_Final Order Electric EXHIBIT A-1 4" xfId="4656"/>
    <cellStyle name="_Power Cost Value Copy 11.30.05 gas 1.09.06 AURORA at 1.10.06_ROR 5.02" xfId="4657"/>
    <cellStyle name="_Power Cost Value Copy 11.30.05 gas 1.09.06 AURORA at 1.10.06_ROR 5.02 2" xfId="4658"/>
    <cellStyle name="_Power Cost Value Copy 11.30.05 gas 1.09.06 AURORA at 1.10.06_ROR 5.02 2 2" xfId="4659"/>
    <cellStyle name="_Power Cost Value Copy 11.30.05 gas 1.09.06 AURORA at 1.10.06_ROR 5.02 3" xfId="4660"/>
    <cellStyle name="_Power Cost Value Copy 11.30.05 gas 1.09.06 AURORA at 1.10.06_Sch 40 Feeder OH 2008" xfId="4661"/>
    <cellStyle name="_Power Cost Value Copy 11.30.05 gas 1.09.06 AURORA at 1.10.06_Sch 40 Feeder OH 2008 2" xfId="4662"/>
    <cellStyle name="_Power Cost Value Copy 11.30.05 gas 1.09.06 AURORA at 1.10.06_Sch 40 Feeder OH 2008 2 2" xfId="4663"/>
    <cellStyle name="_Power Cost Value Copy 11.30.05 gas 1.09.06 AURORA at 1.10.06_Sch 40 Feeder OH 2008 3" xfId="4664"/>
    <cellStyle name="_Power Cost Value Copy 11.30.05 gas 1.09.06 AURORA at 1.10.06_Sch 40 Interim Energy Rates " xfId="4665"/>
    <cellStyle name="_Power Cost Value Copy 11.30.05 gas 1.09.06 AURORA at 1.10.06_Sch 40 Interim Energy Rates  2" xfId="4666"/>
    <cellStyle name="_Power Cost Value Copy 11.30.05 gas 1.09.06 AURORA at 1.10.06_Sch 40 Interim Energy Rates  2 2" xfId="4667"/>
    <cellStyle name="_Power Cost Value Copy 11.30.05 gas 1.09.06 AURORA at 1.10.06_Sch 40 Interim Energy Rates  3" xfId="4668"/>
    <cellStyle name="_Power Cost Value Copy 11.30.05 gas 1.09.06 AURORA at 1.10.06_Sch 40 Substation A&amp;G 2008" xfId="4669"/>
    <cellStyle name="_Power Cost Value Copy 11.30.05 gas 1.09.06 AURORA at 1.10.06_Sch 40 Substation A&amp;G 2008 2" xfId="4670"/>
    <cellStyle name="_Power Cost Value Copy 11.30.05 gas 1.09.06 AURORA at 1.10.06_Sch 40 Substation A&amp;G 2008 2 2" xfId="4671"/>
    <cellStyle name="_Power Cost Value Copy 11.30.05 gas 1.09.06 AURORA at 1.10.06_Sch 40 Substation A&amp;G 2008 3" xfId="4672"/>
    <cellStyle name="_Power Cost Value Copy 11.30.05 gas 1.09.06 AURORA at 1.10.06_Sch 40 Substation O&amp;M 2008" xfId="4673"/>
    <cellStyle name="_Power Cost Value Copy 11.30.05 gas 1.09.06 AURORA at 1.10.06_Sch 40 Substation O&amp;M 2008 2" xfId="4674"/>
    <cellStyle name="_Power Cost Value Copy 11.30.05 gas 1.09.06 AURORA at 1.10.06_Sch 40 Substation O&amp;M 2008 2 2" xfId="4675"/>
    <cellStyle name="_Power Cost Value Copy 11.30.05 gas 1.09.06 AURORA at 1.10.06_Sch 40 Substation O&amp;M 2008 3" xfId="4676"/>
    <cellStyle name="_Power Cost Value Copy 11.30.05 gas 1.09.06 AURORA at 1.10.06_Subs 2008" xfId="4677"/>
    <cellStyle name="_Power Cost Value Copy 11.30.05 gas 1.09.06 AURORA at 1.10.06_Subs 2008 2" xfId="4678"/>
    <cellStyle name="_Power Cost Value Copy 11.30.05 gas 1.09.06 AURORA at 1.10.06_Subs 2008 2 2" xfId="4679"/>
    <cellStyle name="_Power Cost Value Copy 11.30.05 gas 1.09.06 AURORA at 1.10.06_Subs 2008 3" xfId="4680"/>
    <cellStyle name="_Power Cost Value Copy 11.30.05 gas 1.09.06 AURORA at 1.10.06_Transmission Workbook for May BOD" xfId="4681"/>
    <cellStyle name="_Power Cost Value Copy 11.30.05 gas 1.09.06 AURORA at 1.10.06_Transmission Workbook for May BOD 2" xfId="4682"/>
    <cellStyle name="_Power Cost Value Copy 11.30.05 gas 1.09.06 AURORA at 1.10.06_Wind Integration 10GRC" xfId="4683"/>
    <cellStyle name="_Power Cost Value Copy 11.30.05 gas 1.09.06 AURORA at 1.10.06_Wind Integration 10GRC 2" xfId="4684"/>
    <cellStyle name="_Power Costs Rate Year 11-13-07" xfId="4685"/>
    <cellStyle name="_Price Output" xfId="4686"/>
    <cellStyle name="_Price Output 2" xfId="4687"/>
    <cellStyle name="_Price Output_NIM Summary" xfId="4688"/>
    <cellStyle name="_Price Output_NIM Summary 2" xfId="4689"/>
    <cellStyle name="_Price Output_Wind Integration 10GRC" xfId="4690"/>
    <cellStyle name="_Price Output_Wind Integration 10GRC 2" xfId="4691"/>
    <cellStyle name="_Prices" xfId="4692"/>
    <cellStyle name="_Prices 2" xfId="4693"/>
    <cellStyle name="_Prices_NIM Summary" xfId="4694"/>
    <cellStyle name="_Prices_NIM Summary 2" xfId="4695"/>
    <cellStyle name="_Prices_Wind Integration 10GRC" xfId="4696"/>
    <cellStyle name="_Prices_Wind Integration 10GRC 2" xfId="4697"/>
    <cellStyle name="_Pro Forma Rev 07 GRC" xfId="4698"/>
    <cellStyle name="_x0013__Rebuttal Power Costs" xfId="4699"/>
    <cellStyle name="_x0013__Rebuttal Power Costs 2" xfId="4700"/>
    <cellStyle name="_x0013__Rebuttal Power Costs 2 2" xfId="4701"/>
    <cellStyle name="_x0013__Rebuttal Power Costs 3" xfId="4702"/>
    <cellStyle name="_x0013__Rebuttal Power Costs 4" xfId="4703"/>
    <cellStyle name="_x0013__Rebuttal Power Costs_Adj Bench DR 3 for Initial Briefs (Electric)" xfId="4704"/>
    <cellStyle name="_x0013__Rebuttal Power Costs_Adj Bench DR 3 for Initial Briefs (Electric) 2" xfId="4705"/>
    <cellStyle name="_x0013__Rebuttal Power Costs_Adj Bench DR 3 for Initial Briefs (Electric) 2 2" xfId="4706"/>
    <cellStyle name="_x0013__Rebuttal Power Costs_Adj Bench DR 3 for Initial Briefs (Electric) 3" xfId="4707"/>
    <cellStyle name="_x0013__Rebuttal Power Costs_Adj Bench DR 3 for Initial Briefs (Electric) 4" xfId="4708"/>
    <cellStyle name="_x0013__Rebuttal Power Costs_Electric Rev Req Model (2009 GRC) Rebuttal" xfId="4709"/>
    <cellStyle name="_x0013__Rebuttal Power Costs_Electric Rev Req Model (2009 GRC) Rebuttal 2" xfId="4710"/>
    <cellStyle name="_x0013__Rebuttal Power Costs_Electric Rev Req Model (2009 GRC) Rebuttal 2 2" xfId="4711"/>
    <cellStyle name="_x0013__Rebuttal Power Costs_Electric Rev Req Model (2009 GRC) Rebuttal 3" xfId="4712"/>
    <cellStyle name="_x0013__Rebuttal Power Costs_Electric Rev Req Model (2009 GRC) Rebuttal 4" xfId="4713"/>
    <cellStyle name="_x0013__Rebuttal Power Costs_Electric Rev Req Model (2009 GRC) Rebuttal REmoval of New  WH Solar AdjustMI" xfId="4714"/>
    <cellStyle name="_x0013__Rebuttal Power Costs_Electric Rev Req Model (2009 GRC) Rebuttal REmoval of New  WH Solar AdjustMI 2" xfId="4715"/>
    <cellStyle name="_x0013__Rebuttal Power Costs_Electric Rev Req Model (2009 GRC) Rebuttal REmoval of New  WH Solar AdjustMI 2 2" xfId="4716"/>
    <cellStyle name="_x0013__Rebuttal Power Costs_Electric Rev Req Model (2009 GRC) Rebuttal REmoval of New  WH Solar AdjustMI 3" xfId="4717"/>
    <cellStyle name="_x0013__Rebuttal Power Costs_Electric Rev Req Model (2009 GRC) Rebuttal REmoval of New  WH Solar AdjustMI 4" xfId="4718"/>
    <cellStyle name="_x0013__Rebuttal Power Costs_Electric Rev Req Model (2009 GRC) Revised 01-18-2010" xfId="4719"/>
    <cellStyle name="_x0013__Rebuttal Power Costs_Electric Rev Req Model (2009 GRC) Revised 01-18-2010 2" xfId="4720"/>
    <cellStyle name="_x0013__Rebuttal Power Costs_Electric Rev Req Model (2009 GRC) Revised 01-18-2010 2 2" xfId="4721"/>
    <cellStyle name="_x0013__Rebuttal Power Costs_Electric Rev Req Model (2009 GRC) Revised 01-18-2010 3" xfId="4722"/>
    <cellStyle name="_x0013__Rebuttal Power Costs_Electric Rev Req Model (2009 GRC) Revised 01-18-2010 4" xfId="4723"/>
    <cellStyle name="_x0013__Rebuttal Power Costs_Final Order Electric EXHIBIT A-1" xfId="4724"/>
    <cellStyle name="_x0013__Rebuttal Power Costs_Final Order Electric EXHIBIT A-1 2" xfId="4725"/>
    <cellStyle name="_x0013__Rebuttal Power Costs_Final Order Electric EXHIBIT A-1 2 2" xfId="4726"/>
    <cellStyle name="_x0013__Rebuttal Power Costs_Final Order Electric EXHIBIT A-1 3" xfId="4727"/>
    <cellStyle name="_x0013__Rebuttal Power Costs_Final Order Electric EXHIBIT A-1 4" xfId="4728"/>
    <cellStyle name="_recommendation" xfId="4729"/>
    <cellStyle name="_recommendation 2" xfId="4730"/>
    <cellStyle name="_recommendation_DEM-WP(C) Wind Integration Summary 2010GRC" xfId="4731"/>
    <cellStyle name="_recommendation_DEM-WP(C) Wind Integration Summary 2010GRC 2" xfId="4732"/>
    <cellStyle name="_recommendation_NIM Summary" xfId="4733"/>
    <cellStyle name="_recommendation_NIM Summary 2" xfId="4734"/>
    <cellStyle name="_Recon to Darrin's 5.11.05 proforma" xfId="4735"/>
    <cellStyle name="_Recon to Darrin's 5.11.05 proforma 2" xfId="4736"/>
    <cellStyle name="_Recon to Darrin's 5.11.05 proforma 2 2" xfId="4737"/>
    <cellStyle name="_Recon to Darrin's 5.11.05 proforma 2 2 2" xfId="4738"/>
    <cellStyle name="_Recon to Darrin's 5.11.05 proforma 2 3" xfId="4739"/>
    <cellStyle name="_Recon to Darrin's 5.11.05 proforma 3" xfId="4740"/>
    <cellStyle name="_Recon to Darrin's 5.11.05 proforma 3 2" xfId="4741"/>
    <cellStyle name="_Recon to Darrin's 5.11.05 proforma 3 2 2" xfId="4742"/>
    <cellStyle name="_Recon to Darrin's 5.11.05 proforma 3 3" xfId="4743"/>
    <cellStyle name="_Recon to Darrin's 5.11.05 proforma 3 3 2" xfId="4744"/>
    <cellStyle name="_Recon to Darrin's 5.11.05 proforma 3 4" xfId="4745"/>
    <cellStyle name="_Recon to Darrin's 5.11.05 proforma 3 4 2" xfId="4746"/>
    <cellStyle name="_Recon to Darrin's 5.11.05 proforma 4" xfId="4747"/>
    <cellStyle name="_Recon to Darrin's 5.11.05 proforma 4 2" xfId="4748"/>
    <cellStyle name="_Recon to Darrin's 5.11.05 proforma 5" xfId="4749"/>
    <cellStyle name="_Recon to Darrin's 5.11.05 proforma 6" xfId="4750"/>
    <cellStyle name="_Recon to Darrin's 5.11.05 proforma 7" xfId="4751"/>
    <cellStyle name="_Recon to Darrin's 5.11.05 proforma_(C) WHE Proforma with ITC cash grant 10 Yr Amort_for deferral_102809" xfId="4752"/>
    <cellStyle name="_Recon to Darrin's 5.11.05 proforma_(C) WHE Proforma with ITC cash grant 10 Yr Amort_for deferral_102809 2" xfId="4753"/>
    <cellStyle name="_Recon to Darrin's 5.11.05 proforma_(C) WHE Proforma with ITC cash grant 10 Yr Amort_for deferral_102809 2 2" xfId="4754"/>
    <cellStyle name="_Recon to Darrin's 5.11.05 proforma_(C) WHE Proforma with ITC cash grant 10 Yr Amort_for deferral_102809 3" xfId="4755"/>
    <cellStyle name="_Recon to Darrin's 5.11.05 proforma_(C) WHE Proforma with ITC cash grant 10 Yr Amort_for deferral_102809 4" xfId="4756"/>
    <cellStyle name="_Recon to Darrin's 5.11.05 proforma_(C) WHE Proforma with ITC cash grant 10 Yr Amort_for deferral_102809_16.07E Wild Horse Wind Expansionwrkingfile" xfId="4757"/>
    <cellStyle name="_Recon to Darrin's 5.11.05 proforma_(C) WHE Proforma with ITC cash grant 10 Yr Amort_for deferral_102809_16.07E Wild Horse Wind Expansionwrkingfile 2" xfId="4758"/>
    <cellStyle name="_Recon to Darrin's 5.11.05 proforma_(C) WHE Proforma with ITC cash grant 10 Yr Amort_for deferral_102809_16.07E Wild Horse Wind Expansionwrkingfile 2 2" xfId="4759"/>
    <cellStyle name="_Recon to Darrin's 5.11.05 proforma_(C) WHE Proforma with ITC cash grant 10 Yr Amort_for deferral_102809_16.07E Wild Horse Wind Expansionwrkingfile 3" xfId="4760"/>
    <cellStyle name="_Recon to Darrin's 5.11.05 proforma_(C) WHE Proforma with ITC cash grant 10 Yr Amort_for deferral_102809_16.07E Wild Horse Wind Expansionwrkingfile 4" xfId="4761"/>
    <cellStyle name="_Recon to Darrin's 5.11.05 proforma_(C) WHE Proforma with ITC cash grant 10 Yr Amort_for deferral_102809_16.07E Wild Horse Wind Expansionwrkingfile SF" xfId="4762"/>
    <cellStyle name="_Recon to Darrin's 5.11.05 proforma_(C) WHE Proforma with ITC cash grant 10 Yr Amort_for deferral_102809_16.07E Wild Horse Wind Expansionwrkingfile SF 2" xfId="4763"/>
    <cellStyle name="_Recon to Darrin's 5.11.05 proforma_(C) WHE Proforma with ITC cash grant 10 Yr Amort_for deferral_102809_16.07E Wild Horse Wind Expansionwrkingfile SF 2 2" xfId="4764"/>
    <cellStyle name="_Recon to Darrin's 5.11.05 proforma_(C) WHE Proforma with ITC cash grant 10 Yr Amort_for deferral_102809_16.07E Wild Horse Wind Expansionwrkingfile SF 3" xfId="4765"/>
    <cellStyle name="_Recon to Darrin's 5.11.05 proforma_(C) WHE Proforma with ITC cash grant 10 Yr Amort_for deferral_102809_16.07E Wild Horse Wind Expansionwrkingfile SF 4" xfId="4766"/>
    <cellStyle name="_Recon to Darrin's 5.11.05 proforma_(C) WHE Proforma with ITC cash grant 10 Yr Amort_for deferral_102809_16.37E Wild Horse Expansion DeferralRevwrkingfile SF" xfId="4767"/>
    <cellStyle name="_Recon to Darrin's 5.11.05 proforma_(C) WHE Proforma with ITC cash grant 10 Yr Amort_for deferral_102809_16.37E Wild Horse Expansion DeferralRevwrkingfile SF 2" xfId="4768"/>
    <cellStyle name="_Recon to Darrin's 5.11.05 proforma_(C) WHE Proforma with ITC cash grant 10 Yr Amort_for deferral_102809_16.37E Wild Horse Expansion DeferralRevwrkingfile SF 2 2" xfId="4769"/>
    <cellStyle name="_Recon to Darrin's 5.11.05 proforma_(C) WHE Proforma with ITC cash grant 10 Yr Amort_for deferral_102809_16.37E Wild Horse Expansion DeferralRevwrkingfile SF 3" xfId="4770"/>
    <cellStyle name="_Recon to Darrin's 5.11.05 proforma_(C) WHE Proforma with ITC cash grant 10 Yr Amort_for deferral_102809_16.37E Wild Horse Expansion DeferralRevwrkingfile SF 4" xfId="4771"/>
    <cellStyle name="_Recon to Darrin's 5.11.05 proforma_(C) WHE Proforma with ITC cash grant 10 Yr Amort_for rebuttal_120709" xfId="4772"/>
    <cellStyle name="_Recon to Darrin's 5.11.05 proforma_(C) WHE Proforma with ITC cash grant 10 Yr Amort_for rebuttal_120709 2" xfId="4773"/>
    <cellStyle name="_Recon to Darrin's 5.11.05 proforma_(C) WHE Proforma with ITC cash grant 10 Yr Amort_for rebuttal_120709 2 2" xfId="4774"/>
    <cellStyle name="_Recon to Darrin's 5.11.05 proforma_(C) WHE Proforma with ITC cash grant 10 Yr Amort_for rebuttal_120709 3" xfId="4775"/>
    <cellStyle name="_Recon to Darrin's 5.11.05 proforma_(C) WHE Proforma with ITC cash grant 10 Yr Amort_for rebuttal_120709 4" xfId="4776"/>
    <cellStyle name="_Recon to Darrin's 5.11.05 proforma_04.07E Wild Horse Wind Expansion" xfId="4777"/>
    <cellStyle name="_Recon to Darrin's 5.11.05 proforma_04.07E Wild Horse Wind Expansion 2" xfId="4778"/>
    <cellStyle name="_Recon to Darrin's 5.11.05 proforma_04.07E Wild Horse Wind Expansion 2 2" xfId="4779"/>
    <cellStyle name="_Recon to Darrin's 5.11.05 proforma_04.07E Wild Horse Wind Expansion 3" xfId="4780"/>
    <cellStyle name="_Recon to Darrin's 5.11.05 proforma_04.07E Wild Horse Wind Expansion 4" xfId="4781"/>
    <cellStyle name="_Recon to Darrin's 5.11.05 proforma_04.07E Wild Horse Wind Expansion_16.07E Wild Horse Wind Expansionwrkingfile" xfId="4782"/>
    <cellStyle name="_Recon to Darrin's 5.11.05 proforma_04.07E Wild Horse Wind Expansion_16.07E Wild Horse Wind Expansionwrkingfile 2" xfId="4783"/>
    <cellStyle name="_Recon to Darrin's 5.11.05 proforma_04.07E Wild Horse Wind Expansion_16.07E Wild Horse Wind Expansionwrkingfile 2 2" xfId="4784"/>
    <cellStyle name="_Recon to Darrin's 5.11.05 proforma_04.07E Wild Horse Wind Expansion_16.07E Wild Horse Wind Expansionwrkingfile 3" xfId="4785"/>
    <cellStyle name="_Recon to Darrin's 5.11.05 proforma_04.07E Wild Horse Wind Expansion_16.07E Wild Horse Wind Expansionwrkingfile 4" xfId="4786"/>
    <cellStyle name="_Recon to Darrin's 5.11.05 proforma_04.07E Wild Horse Wind Expansion_16.07E Wild Horse Wind Expansionwrkingfile SF" xfId="4787"/>
    <cellStyle name="_Recon to Darrin's 5.11.05 proforma_04.07E Wild Horse Wind Expansion_16.07E Wild Horse Wind Expansionwrkingfile SF 2" xfId="4788"/>
    <cellStyle name="_Recon to Darrin's 5.11.05 proforma_04.07E Wild Horse Wind Expansion_16.07E Wild Horse Wind Expansionwrkingfile SF 2 2" xfId="4789"/>
    <cellStyle name="_Recon to Darrin's 5.11.05 proforma_04.07E Wild Horse Wind Expansion_16.07E Wild Horse Wind Expansionwrkingfile SF 3" xfId="4790"/>
    <cellStyle name="_Recon to Darrin's 5.11.05 proforma_04.07E Wild Horse Wind Expansion_16.07E Wild Horse Wind Expansionwrkingfile SF 4" xfId="4791"/>
    <cellStyle name="_Recon to Darrin's 5.11.05 proforma_04.07E Wild Horse Wind Expansion_16.37E Wild Horse Expansion DeferralRevwrkingfile SF" xfId="4792"/>
    <cellStyle name="_Recon to Darrin's 5.11.05 proforma_04.07E Wild Horse Wind Expansion_16.37E Wild Horse Expansion DeferralRevwrkingfile SF 2" xfId="4793"/>
    <cellStyle name="_Recon to Darrin's 5.11.05 proforma_04.07E Wild Horse Wind Expansion_16.37E Wild Horse Expansion DeferralRevwrkingfile SF 2 2" xfId="4794"/>
    <cellStyle name="_Recon to Darrin's 5.11.05 proforma_04.07E Wild Horse Wind Expansion_16.37E Wild Horse Expansion DeferralRevwrkingfile SF 3" xfId="4795"/>
    <cellStyle name="_Recon to Darrin's 5.11.05 proforma_04.07E Wild Horse Wind Expansion_16.37E Wild Horse Expansion DeferralRevwrkingfile SF 4" xfId="4796"/>
    <cellStyle name="_Recon to Darrin's 5.11.05 proforma_16.07E Wild Horse Wind Expansionwrkingfile" xfId="4797"/>
    <cellStyle name="_Recon to Darrin's 5.11.05 proforma_16.07E Wild Horse Wind Expansionwrkingfile 2" xfId="4798"/>
    <cellStyle name="_Recon to Darrin's 5.11.05 proforma_16.07E Wild Horse Wind Expansionwrkingfile 2 2" xfId="4799"/>
    <cellStyle name="_Recon to Darrin's 5.11.05 proforma_16.07E Wild Horse Wind Expansionwrkingfile 3" xfId="4800"/>
    <cellStyle name="_Recon to Darrin's 5.11.05 proforma_16.07E Wild Horse Wind Expansionwrkingfile 4" xfId="4801"/>
    <cellStyle name="_Recon to Darrin's 5.11.05 proforma_16.07E Wild Horse Wind Expansionwrkingfile SF" xfId="4802"/>
    <cellStyle name="_Recon to Darrin's 5.11.05 proforma_16.07E Wild Horse Wind Expansionwrkingfile SF 2" xfId="4803"/>
    <cellStyle name="_Recon to Darrin's 5.11.05 proforma_16.07E Wild Horse Wind Expansionwrkingfile SF 2 2" xfId="4804"/>
    <cellStyle name="_Recon to Darrin's 5.11.05 proforma_16.07E Wild Horse Wind Expansionwrkingfile SF 3" xfId="4805"/>
    <cellStyle name="_Recon to Darrin's 5.11.05 proforma_16.07E Wild Horse Wind Expansionwrkingfile SF 4" xfId="4806"/>
    <cellStyle name="_Recon to Darrin's 5.11.05 proforma_16.37E Wild Horse Expansion DeferralRevwrkingfile SF" xfId="4807"/>
    <cellStyle name="_Recon to Darrin's 5.11.05 proforma_16.37E Wild Horse Expansion DeferralRevwrkingfile SF 2" xfId="4808"/>
    <cellStyle name="_Recon to Darrin's 5.11.05 proforma_16.37E Wild Horse Expansion DeferralRevwrkingfile SF 2 2" xfId="4809"/>
    <cellStyle name="_Recon to Darrin's 5.11.05 proforma_16.37E Wild Horse Expansion DeferralRevwrkingfile SF 3" xfId="4810"/>
    <cellStyle name="_Recon to Darrin's 5.11.05 proforma_16.37E Wild Horse Expansion DeferralRevwrkingfile SF 4" xfId="4811"/>
    <cellStyle name="_Recon to Darrin's 5.11.05 proforma_2009 Compliance Filing PCA Exhibits for GRC" xfId="4812"/>
    <cellStyle name="_Recon to Darrin's 5.11.05 proforma_2009 Compliance Filing PCA Exhibits for GRC 2" xfId="4813"/>
    <cellStyle name="_Recon to Darrin's 5.11.05 proforma_2009 GRC Compl Filing - Exhibit D" xfId="4814"/>
    <cellStyle name="_Recon to Darrin's 5.11.05 proforma_2009 GRC Compl Filing - Exhibit D 2" xfId="4815"/>
    <cellStyle name="_Recon to Darrin's 5.11.05 proforma_3.01 Income Statement" xfId="4816"/>
    <cellStyle name="_Recon to Darrin's 5.11.05 proforma_4 31 Regulatory Assets and Liabilities  7 06- Exhibit D" xfId="4817"/>
    <cellStyle name="_Recon to Darrin's 5.11.05 proforma_4 31 Regulatory Assets and Liabilities  7 06- Exhibit D 2" xfId="4818"/>
    <cellStyle name="_Recon to Darrin's 5.11.05 proforma_4 31 Regulatory Assets and Liabilities  7 06- Exhibit D 2 2" xfId="4819"/>
    <cellStyle name="_Recon to Darrin's 5.11.05 proforma_4 31 Regulatory Assets and Liabilities  7 06- Exhibit D 3" xfId="4820"/>
    <cellStyle name="_Recon to Darrin's 5.11.05 proforma_4 31 Regulatory Assets and Liabilities  7 06- Exhibit D 4" xfId="4821"/>
    <cellStyle name="_Recon to Darrin's 5.11.05 proforma_4 31 Regulatory Assets and Liabilities  7 06- Exhibit D_NIM Summary" xfId="4822"/>
    <cellStyle name="_Recon to Darrin's 5.11.05 proforma_4 31 Regulatory Assets and Liabilities  7 06- Exhibit D_NIM Summary 2" xfId="4823"/>
    <cellStyle name="_Recon to Darrin's 5.11.05 proforma_4 32 Regulatory Assets and Liabilities  7 06- Exhibit D" xfId="4824"/>
    <cellStyle name="_Recon to Darrin's 5.11.05 proforma_4 32 Regulatory Assets and Liabilities  7 06- Exhibit D 2" xfId="4825"/>
    <cellStyle name="_Recon to Darrin's 5.11.05 proforma_4 32 Regulatory Assets and Liabilities  7 06- Exhibit D 2 2" xfId="4826"/>
    <cellStyle name="_Recon to Darrin's 5.11.05 proforma_4 32 Regulatory Assets and Liabilities  7 06- Exhibit D 3" xfId="4827"/>
    <cellStyle name="_Recon to Darrin's 5.11.05 proforma_4 32 Regulatory Assets and Liabilities  7 06- Exhibit D 4" xfId="4828"/>
    <cellStyle name="_Recon to Darrin's 5.11.05 proforma_4 32 Regulatory Assets and Liabilities  7 06- Exhibit D_NIM Summary" xfId="4829"/>
    <cellStyle name="_Recon to Darrin's 5.11.05 proforma_4 32 Regulatory Assets and Liabilities  7 06- Exhibit D_NIM Summary 2" xfId="4830"/>
    <cellStyle name="_Recon to Darrin's 5.11.05 proforma_ACCOUNTS" xfId="4831"/>
    <cellStyle name="_Recon to Darrin's 5.11.05 proforma_AURORA Total New" xfId="4832"/>
    <cellStyle name="_Recon to Darrin's 5.11.05 proforma_AURORA Total New 2" xfId="4833"/>
    <cellStyle name="_Recon to Darrin's 5.11.05 proforma_Book2" xfId="4834"/>
    <cellStyle name="_Recon to Darrin's 5.11.05 proforma_Book2 2" xfId="4835"/>
    <cellStyle name="_Recon to Darrin's 5.11.05 proforma_Book2 2 2" xfId="4836"/>
    <cellStyle name="_Recon to Darrin's 5.11.05 proforma_Book2 3" xfId="4837"/>
    <cellStyle name="_Recon to Darrin's 5.11.05 proforma_Book2 4" xfId="4838"/>
    <cellStyle name="_Recon to Darrin's 5.11.05 proforma_Book2_Adj Bench DR 3 for Initial Briefs (Electric)" xfId="4839"/>
    <cellStyle name="_Recon to Darrin's 5.11.05 proforma_Book2_Adj Bench DR 3 for Initial Briefs (Electric) 2" xfId="4840"/>
    <cellStyle name="_Recon to Darrin's 5.11.05 proforma_Book2_Adj Bench DR 3 for Initial Briefs (Electric) 2 2" xfId="4841"/>
    <cellStyle name="_Recon to Darrin's 5.11.05 proforma_Book2_Adj Bench DR 3 for Initial Briefs (Electric) 3" xfId="4842"/>
    <cellStyle name="_Recon to Darrin's 5.11.05 proforma_Book2_Adj Bench DR 3 for Initial Briefs (Electric) 4" xfId="4843"/>
    <cellStyle name="_Recon to Darrin's 5.11.05 proforma_Book2_Electric Rev Req Model (2009 GRC) Rebuttal" xfId="4844"/>
    <cellStyle name="_Recon to Darrin's 5.11.05 proforma_Book2_Electric Rev Req Model (2009 GRC) Rebuttal 2" xfId="4845"/>
    <cellStyle name="_Recon to Darrin's 5.11.05 proforma_Book2_Electric Rev Req Model (2009 GRC) Rebuttal 2 2" xfId="4846"/>
    <cellStyle name="_Recon to Darrin's 5.11.05 proforma_Book2_Electric Rev Req Model (2009 GRC) Rebuttal 3" xfId="4847"/>
    <cellStyle name="_Recon to Darrin's 5.11.05 proforma_Book2_Electric Rev Req Model (2009 GRC) Rebuttal 4" xfId="4848"/>
    <cellStyle name="_Recon to Darrin's 5.11.05 proforma_Book2_Electric Rev Req Model (2009 GRC) Rebuttal REmoval of New  WH Solar AdjustMI" xfId="4849"/>
    <cellStyle name="_Recon to Darrin's 5.11.05 proforma_Book2_Electric Rev Req Model (2009 GRC) Rebuttal REmoval of New  WH Solar AdjustMI 2" xfId="4850"/>
    <cellStyle name="_Recon to Darrin's 5.11.05 proforma_Book2_Electric Rev Req Model (2009 GRC) Rebuttal REmoval of New  WH Solar AdjustMI 2 2" xfId="4851"/>
    <cellStyle name="_Recon to Darrin's 5.11.05 proforma_Book2_Electric Rev Req Model (2009 GRC) Rebuttal REmoval of New  WH Solar AdjustMI 3" xfId="4852"/>
    <cellStyle name="_Recon to Darrin's 5.11.05 proforma_Book2_Electric Rev Req Model (2009 GRC) Rebuttal REmoval of New  WH Solar AdjustMI 4" xfId="4853"/>
    <cellStyle name="_Recon to Darrin's 5.11.05 proforma_Book2_Electric Rev Req Model (2009 GRC) Revised 01-18-2010" xfId="4854"/>
    <cellStyle name="_Recon to Darrin's 5.11.05 proforma_Book2_Electric Rev Req Model (2009 GRC) Revised 01-18-2010 2" xfId="4855"/>
    <cellStyle name="_Recon to Darrin's 5.11.05 proforma_Book2_Electric Rev Req Model (2009 GRC) Revised 01-18-2010 2 2" xfId="4856"/>
    <cellStyle name="_Recon to Darrin's 5.11.05 proforma_Book2_Electric Rev Req Model (2009 GRC) Revised 01-18-2010 3" xfId="4857"/>
    <cellStyle name="_Recon to Darrin's 5.11.05 proforma_Book2_Electric Rev Req Model (2009 GRC) Revised 01-18-2010 4" xfId="4858"/>
    <cellStyle name="_Recon to Darrin's 5.11.05 proforma_Book2_Final Order Electric EXHIBIT A-1" xfId="4859"/>
    <cellStyle name="_Recon to Darrin's 5.11.05 proforma_Book2_Final Order Electric EXHIBIT A-1 2" xfId="4860"/>
    <cellStyle name="_Recon to Darrin's 5.11.05 proforma_Book2_Final Order Electric EXHIBIT A-1 2 2" xfId="4861"/>
    <cellStyle name="_Recon to Darrin's 5.11.05 proforma_Book2_Final Order Electric EXHIBIT A-1 3" xfId="4862"/>
    <cellStyle name="_Recon to Darrin's 5.11.05 proforma_Book2_Final Order Electric EXHIBIT A-1 4" xfId="4863"/>
    <cellStyle name="_Recon to Darrin's 5.11.05 proforma_Book4" xfId="4864"/>
    <cellStyle name="_Recon to Darrin's 5.11.05 proforma_Book4 2" xfId="4865"/>
    <cellStyle name="_Recon to Darrin's 5.11.05 proforma_Book4 2 2" xfId="4866"/>
    <cellStyle name="_Recon to Darrin's 5.11.05 proforma_Book4 3" xfId="4867"/>
    <cellStyle name="_Recon to Darrin's 5.11.05 proforma_Book4 4" xfId="4868"/>
    <cellStyle name="_Recon to Darrin's 5.11.05 proforma_Book9" xfId="4869"/>
    <cellStyle name="_Recon to Darrin's 5.11.05 proforma_Book9 2" xfId="4870"/>
    <cellStyle name="_Recon to Darrin's 5.11.05 proforma_Book9 2 2" xfId="4871"/>
    <cellStyle name="_Recon to Darrin's 5.11.05 proforma_Book9 3" xfId="4872"/>
    <cellStyle name="_Recon to Darrin's 5.11.05 proforma_Book9 4" xfId="4873"/>
    <cellStyle name="_Recon to Darrin's 5.11.05 proforma_Check the Interest Calculation" xfId="4874"/>
    <cellStyle name="_Recon to Darrin's 5.11.05 proforma_Check the Interest Calculation_Scenario 1 REC vs PTC Offset" xfId="4875"/>
    <cellStyle name="_Recon to Darrin's 5.11.05 proforma_Check the Interest Calculation_Scenario 3" xfId="4876"/>
    <cellStyle name="_Recon to Darrin's 5.11.05 proforma_Chelan PUD Power Costs (8-10)" xfId="4877"/>
    <cellStyle name="_Recon to Darrin's 5.11.05 proforma_Exhibit D fr R Gho 12-31-08" xfId="4878"/>
    <cellStyle name="_Recon to Darrin's 5.11.05 proforma_Exhibit D fr R Gho 12-31-08 2" xfId="4879"/>
    <cellStyle name="_Recon to Darrin's 5.11.05 proforma_Exhibit D fr R Gho 12-31-08 3" xfId="4880"/>
    <cellStyle name="_Recon to Darrin's 5.11.05 proforma_Exhibit D fr R Gho 12-31-08 v2" xfId="4881"/>
    <cellStyle name="_Recon to Darrin's 5.11.05 proforma_Exhibit D fr R Gho 12-31-08 v2 2" xfId="4882"/>
    <cellStyle name="_Recon to Darrin's 5.11.05 proforma_Exhibit D fr R Gho 12-31-08 v2 3" xfId="4883"/>
    <cellStyle name="_Recon to Darrin's 5.11.05 proforma_Exhibit D fr R Gho 12-31-08 v2_NIM Summary" xfId="4884"/>
    <cellStyle name="_Recon to Darrin's 5.11.05 proforma_Exhibit D fr R Gho 12-31-08 v2_NIM Summary 2" xfId="4885"/>
    <cellStyle name="_Recon to Darrin's 5.11.05 proforma_Exhibit D fr R Gho 12-31-08_NIM Summary" xfId="4886"/>
    <cellStyle name="_Recon to Darrin's 5.11.05 proforma_Exhibit D fr R Gho 12-31-08_NIM Summary 2" xfId="4887"/>
    <cellStyle name="_Recon to Darrin's 5.11.05 proforma_Gas Rev Req Model (2010 GRC)" xfId="4888"/>
    <cellStyle name="_Recon to Darrin's 5.11.05 proforma_Hopkins Ridge Prepaid Tran - Interest Earned RY 12ME Feb  '11" xfId="4889"/>
    <cellStyle name="_Recon to Darrin's 5.11.05 proforma_Hopkins Ridge Prepaid Tran - Interest Earned RY 12ME Feb  '11 2" xfId="4890"/>
    <cellStyle name="_Recon to Darrin's 5.11.05 proforma_Hopkins Ridge Prepaid Tran - Interest Earned RY 12ME Feb  '11_NIM Summary" xfId="4891"/>
    <cellStyle name="_Recon to Darrin's 5.11.05 proforma_Hopkins Ridge Prepaid Tran - Interest Earned RY 12ME Feb  '11_NIM Summary 2" xfId="4892"/>
    <cellStyle name="_Recon to Darrin's 5.11.05 proforma_Hopkins Ridge Prepaid Tran - Interest Earned RY 12ME Feb  '11_Transmission Workbook for May BOD" xfId="4893"/>
    <cellStyle name="_Recon to Darrin's 5.11.05 proforma_Hopkins Ridge Prepaid Tran - Interest Earned RY 12ME Feb  '11_Transmission Workbook for May BOD 2" xfId="4894"/>
    <cellStyle name="_Recon to Darrin's 5.11.05 proforma_INPUTS" xfId="4895"/>
    <cellStyle name="_Recon to Darrin's 5.11.05 proforma_INPUTS 2" xfId="4896"/>
    <cellStyle name="_Recon to Darrin's 5.11.05 proforma_INPUTS 2 2" xfId="4897"/>
    <cellStyle name="_Recon to Darrin's 5.11.05 proforma_INPUTS 3" xfId="4898"/>
    <cellStyle name="_Recon to Darrin's 5.11.05 proforma_NIM Summary" xfId="4899"/>
    <cellStyle name="_Recon to Darrin's 5.11.05 proforma_NIM Summary 09GRC" xfId="4900"/>
    <cellStyle name="_Recon to Darrin's 5.11.05 proforma_NIM Summary 09GRC 2" xfId="4901"/>
    <cellStyle name="_Recon to Darrin's 5.11.05 proforma_NIM Summary 2" xfId="4902"/>
    <cellStyle name="_Recon to Darrin's 5.11.05 proforma_NIM Summary 3" xfId="4903"/>
    <cellStyle name="_Recon to Darrin's 5.11.05 proforma_NIM Summary 4" xfId="4904"/>
    <cellStyle name="_Recon to Darrin's 5.11.05 proforma_NIM Summary 5" xfId="4905"/>
    <cellStyle name="_Recon to Darrin's 5.11.05 proforma_NIM Summary 6" xfId="4906"/>
    <cellStyle name="_Recon to Darrin's 5.11.05 proforma_NIM Summary 7" xfId="4907"/>
    <cellStyle name="_Recon to Darrin's 5.11.05 proforma_NIM Summary 8" xfId="4908"/>
    <cellStyle name="_Recon to Darrin's 5.11.05 proforma_NIM Summary 9" xfId="4909"/>
    <cellStyle name="_Recon to Darrin's 5.11.05 proforma_PCA 10 -  Exhibit D from A Kellogg Jan 2011" xfId="4910"/>
    <cellStyle name="_Recon to Darrin's 5.11.05 proforma_PCA 10 -  Exhibit D from A Kellogg July 2011" xfId="4911"/>
    <cellStyle name="_Recon to Darrin's 5.11.05 proforma_PCA 10 -  Exhibit D from S Free Rcv'd 12-11" xfId="4912"/>
    <cellStyle name="_Recon to Darrin's 5.11.05 proforma_PCA 7 - Exhibit D update 11_30_08 (2)" xfId="4913"/>
    <cellStyle name="_Recon to Darrin's 5.11.05 proforma_PCA 7 - Exhibit D update 11_30_08 (2) 2" xfId="4914"/>
    <cellStyle name="_Recon to Darrin's 5.11.05 proforma_PCA 7 - Exhibit D update 11_30_08 (2) 2 2" xfId="4915"/>
    <cellStyle name="_Recon to Darrin's 5.11.05 proforma_PCA 7 - Exhibit D update 11_30_08 (2) 3" xfId="4916"/>
    <cellStyle name="_Recon to Darrin's 5.11.05 proforma_PCA 7 - Exhibit D update 11_30_08 (2) 4" xfId="4917"/>
    <cellStyle name="_Recon to Darrin's 5.11.05 proforma_PCA 7 - Exhibit D update 11_30_08 (2)_NIM Summary" xfId="4918"/>
    <cellStyle name="_Recon to Darrin's 5.11.05 proforma_PCA 7 - Exhibit D update 11_30_08 (2)_NIM Summary 2" xfId="4919"/>
    <cellStyle name="_Recon to Darrin's 5.11.05 proforma_PCA 8 - Exhibit D update 12_31_09" xfId="4920"/>
    <cellStyle name="_Recon to Darrin's 5.11.05 proforma_PCA 8 - Exhibit D update 12_31_09 2" xfId="4921"/>
    <cellStyle name="_Recon to Darrin's 5.11.05 proforma_PCA 9 -  Exhibit D April 2010" xfId="4922"/>
    <cellStyle name="_Recon to Darrin's 5.11.05 proforma_PCA 9 -  Exhibit D April 2010 (3)" xfId="4923"/>
    <cellStyle name="_Recon to Darrin's 5.11.05 proforma_PCA 9 -  Exhibit D April 2010 (3) 2" xfId="4924"/>
    <cellStyle name="_Recon to Darrin's 5.11.05 proforma_PCA 9 -  Exhibit D April 2010 2" xfId="4925"/>
    <cellStyle name="_Recon to Darrin's 5.11.05 proforma_PCA 9 -  Exhibit D April 2010 3" xfId="4926"/>
    <cellStyle name="_Recon to Darrin's 5.11.05 proforma_PCA 9 -  Exhibit D Feb 2010" xfId="4927"/>
    <cellStyle name="_Recon to Darrin's 5.11.05 proforma_PCA 9 -  Exhibit D Feb 2010 2" xfId="4928"/>
    <cellStyle name="_Recon to Darrin's 5.11.05 proforma_PCA 9 -  Exhibit D Feb 2010 v2" xfId="4929"/>
    <cellStyle name="_Recon to Darrin's 5.11.05 proforma_PCA 9 -  Exhibit D Feb 2010 v2 2" xfId="4930"/>
    <cellStyle name="_Recon to Darrin's 5.11.05 proforma_PCA 9 -  Exhibit D Feb 2010 WF" xfId="4931"/>
    <cellStyle name="_Recon to Darrin's 5.11.05 proforma_PCA 9 -  Exhibit D Feb 2010 WF 2" xfId="4932"/>
    <cellStyle name="_Recon to Darrin's 5.11.05 proforma_PCA 9 -  Exhibit D Jan 2010" xfId="4933"/>
    <cellStyle name="_Recon to Darrin's 5.11.05 proforma_PCA 9 -  Exhibit D Jan 2010 2" xfId="4934"/>
    <cellStyle name="_Recon to Darrin's 5.11.05 proforma_PCA 9 -  Exhibit D March 2010 (2)" xfId="4935"/>
    <cellStyle name="_Recon to Darrin's 5.11.05 proforma_PCA 9 -  Exhibit D March 2010 (2) 2" xfId="4936"/>
    <cellStyle name="_Recon to Darrin's 5.11.05 proforma_PCA 9 -  Exhibit D Nov 2010" xfId="4937"/>
    <cellStyle name="_Recon to Darrin's 5.11.05 proforma_PCA 9 -  Exhibit D Nov 2010 2" xfId="4938"/>
    <cellStyle name="_Recon to Darrin's 5.11.05 proforma_PCA 9 - Exhibit D at August 2010" xfId="4939"/>
    <cellStyle name="_Recon to Darrin's 5.11.05 proforma_PCA 9 - Exhibit D at August 2010 2" xfId="4940"/>
    <cellStyle name="_Recon to Darrin's 5.11.05 proforma_PCA 9 - Exhibit D June 2010 GRC" xfId="4941"/>
    <cellStyle name="_Recon to Darrin's 5.11.05 proforma_PCA 9 - Exhibit D June 2010 GRC 2" xfId="4942"/>
    <cellStyle name="_Recon to Darrin's 5.11.05 proforma_Power Costs - Comparison bx Rbtl-Staff-Jt-PC" xfId="4943"/>
    <cellStyle name="_Recon to Darrin's 5.11.05 proforma_Power Costs - Comparison bx Rbtl-Staff-Jt-PC 2" xfId="4944"/>
    <cellStyle name="_Recon to Darrin's 5.11.05 proforma_Power Costs - Comparison bx Rbtl-Staff-Jt-PC 2 2" xfId="4945"/>
    <cellStyle name="_Recon to Darrin's 5.11.05 proforma_Power Costs - Comparison bx Rbtl-Staff-Jt-PC 3" xfId="4946"/>
    <cellStyle name="_Recon to Darrin's 5.11.05 proforma_Power Costs - Comparison bx Rbtl-Staff-Jt-PC 4" xfId="4947"/>
    <cellStyle name="_Recon to Darrin's 5.11.05 proforma_Power Costs - Comparison bx Rbtl-Staff-Jt-PC_Adj Bench DR 3 for Initial Briefs (Electric)" xfId="4948"/>
    <cellStyle name="_Recon to Darrin's 5.11.05 proforma_Power Costs - Comparison bx Rbtl-Staff-Jt-PC_Adj Bench DR 3 for Initial Briefs (Electric) 2" xfId="4949"/>
    <cellStyle name="_Recon to Darrin's 5.11.05 proforma_Power Costs - Comparison bx Rbtl-Staff-Jt-PC_Adj Bench DR 3 for Initial Briefs (Electric) 2 2" xfId="4950"/>
    <cellStyle name="_Recon to Darrin's 5.11.05 proforma_Power Costs - Comparison bx Rbtl-Staff-Jt-PC_Adj Bench DR 3 for Initial Briefs (Electric) 3" xfId="4951"/>
    <cellStyle name="_Recon to Darrin's 5.11.05 proforma_Power Costs - Comparison bx Rbtl-Staff-Jt-PC_Adj Bench DR 3 for Initial Briefs (Electric) 4" xfId="4952"/>
    <cellStyle name="_Recon to Darrin's 5.11.05 proforma_Power Costs - Comparison bx Rbtl-Staff-Jt-PC_Electric Rev Req Model (2009 GRC) Rebuttal" xfId="4953"/>
    <cellStyle name="_Recon to Darrin's 5.11.05 proforma_Power Costs - Comparison bx Rbtl-Staff-Jt-PC_Electric Rev Req Model (2009 GRC) Rebuttal 2" xfId="4954"/>
    <cellStyle name="_Recon to Darrin's 5.11.05 proforma_Power Costs - Comparison bx Rbtl-Staff-Jt-PC_Electric Rev Req Model (2009 GRC) Rebuttal 2 2" xfId="4955"/>
    <cellStyle name="_Recon to Darrin's 5.11.05 proforma_Power Costs - Comparison bx Rbtl-Staff-Jt-PC_Electric Rev Req Model (2009 GRC) Rebuttal 3" xfId="4956"/>
    <cellStyle name="_Recon to Darrin's 5.11.05 proforma_Power Costs - Comparison bx Rbtl-Staff-Jt-PC_Electric Rev Req Model (2009 GRC) Rebuttal 4" xfId="4957"/>
    <cellStyle name="_Recon to Darrin's 5.11.05 proforma_Power Costs - Comparison bx Rbtl-Staff-Jt-PC_Electric Rev Req Model (2009 GRC) Rebuttal REmoval of New  WH Solar AdjustMI" xfId="4958"/>
    <cellStyle name="_Recon to Darrin's 5.11.05 proforma_Power Costs - Comparison bx Rbtl-Staff-Jt-PC_Electric Rev Req Model (2009 GRC) Rebuttal REmoval of New  WH Solar AdjustMI 2" xfId="4959"/>
    <cellStyle name="_Recon to Darrin's 5.11.05 proforma_Power Costs - Comparison bx Rbtl-Staff-Jt-PC_Electric Rev Req Model (2009 GRC) Rebuttal REmoval of New  WH Solar AdjustMI 2 2" xfId="4960"/>
    <cellStyle name="_Recon to Darrin's 5.11.05 proforma_Power Costs - Comparison bx Rbtl-Staff-Jt-PC_Electric Rev Req Model (2009 GRC) Rebuttal REmoval of New  WH Solar AdjustMI 3" xfId="4961"/>
    <cellStyle name="_Recon to Darrin's 5.11.05 proforma_Power Costs - Comparison bx Rbtl-Staff-Jt-PC_Electric Rev Req Model (2009 GRC) Rebuttal REmoval of New  WH Solar AdjustMI 4" xfId="4962"/>
    <cellStyle name="_Recon to Darrin's 5.11.05 proforma_Power Costs - Comparison bx Rbtl-Staff-Jt-PC_Electric Rev Req Model (2009 GRC) Revised 01-18-2010" xfId="4963"/>
    <cellStyle name="_Recon to Darrin's 5.11.05 proforma_Power Costs - Comparison bx Rbtl-Staff-Jt-PC_Electric Rev Req Model (2009 GRC) Revised 01-18-2010 2" xfId="4964"/>
    <cellStyle name="_Recon to Darrin's 5.11.05 proforma_Power Costs - Comparison bx Rbtl-Staff-Jt-PC_Electric Rev Req Model (2009 GRC) Revised 01-18-2010 2 2" xfId="4965"/>
    <cellStyle name="_Recon to Darrin's 5.11.05 proforma_Power Costs - Comparison bx Rbtl-Staff-Jt-PC_Electric Rev Req Model (2009 GRC) Revised 01-18-2010 3" xfId="4966"/>
    <cellStyle name="_Recon to Darrin's 5.11.05 proforma_Power Costs - Comparison bx Rbtl-Staff-Jt-PC_Electric Rev Req Model (2009 GRC) Revised 01-18-2010 4" xfId="4967"/>
    <cellStyle name="_Recon to Darrin's 5.11.05 proforma_Power Costs - Comparison bx Rbtl-Staff-Jt-PC_Final Order Electric EXHIBIT A-1" xfId="4968"/>
    <cellStyle name="_Recon to Darrin's 5.11.05 proforma_Power Costs - Comparison bx Rbtl-Staff-Jt-PC_Final Order Electric EXHIBIT A-1 2" xfId="4969"/>
    <cellStyle name="_Recon to Darrin's 5.11.05 proforma_Power Costs - Comparison bx Rbtl-Staff-Jt-PC_Final Order Electric EXHIBIT A-1 2 2" xfId="4970"/>
    <cellStyle name="_Recon to Darrin's 5.11.05 proforma_Power Costs - Comparison bx Rbtl-Staff-Jt-PC_Final Order Electric EXHIBIT A-1 3" xfId="4971"/>
    <cellStyle name="_Recon to Darrin's 5.11.05 proforma_Power Costs - Comparison bx Rbtl-Staff-Jt-PC_Final Order Electric EXHIBIT A-1 4" xfId="4972"/>
    <cellStyle name="_Recon to Darrin's 5.11.05 proforma_Production Adj 4.37" xfId="4973"/>
    <cellStyle name="_Recon to Darrin's 5.11.05 proforma_Production Adj 4.37 2" xfId="4974"/>
    <cellStyle name="_Recon to Darrin's 5.11.05 proforma_Production Adj 4.37 2 2" xfId="4975"/>
    <cellStyle name="_Recon to Darrin's 5.11.05 proforma_Production Adj 4.37 3" xfId="4976"/>
    <cellStyle name="_Recon to Darrin's 5.11.05 proforma_Purchased Power Adj 4.03" xfId="4977"/>
    <cellStyle name="_Recon to Darrin's 5.11.05 proforma_Purchased Power Adj 4.03 2" xfId="4978"/>
    <cellStyle name="_Recon to Darrin's 5.11.05 proforma_Purchased Power Adj 4.03 2 2" xfId="4979"/>
    <cellStyle name="_Recon to Darrin's 5.11.05 proforma_Purchased Power Adj 4.03 3" xfId="4980"/>
    <cellStyle name="_Recon to Darrin's 5.11.05 proforma_Rebuttal Power Costs" xfId="4981"/>
    <cellStyle name="_Recon to Darrin's 5.11.05 proforma_Rebuttal Power Costs 2" xfId="4982"/>
    <cellStyle name="_Recon to Darrin's 5.11.05 proforma_Rebuttal Power Costs 2 2" xfId="4983"/>
    <cellStyle name="_Recon to Darrin's 5.11.05 proforma_Rebuttal Power Costs 3" xfId="4984"/>
    <cellStyle name="_Recon to Darrin's 5.11.05 proforma_Rebuttal Power Costs 4" xfId="4985"/>
    <cellStyle name="_Recon to Darrin's 5.11.05 proforma_Rebuttal Power Costs_Adj Bench DR 3 for Initial Briefs (Electric)" xfId="4986"/>
    <cellStyle name="_Recon to Darrin's 5.11.05 proforma_Rebuttal Power Costs_Adj Bench DR 3 for Initial Briefs (Electric) 2" xfId="4987"/>
    <cellStyle name="_Recon to Darrin's 5.11.05 proforma_Rebuttal Power Costs_Adj Bench DR 3 for Initial Briefs (Electric) 2 2" xfId="4988"/>
    <cellStyle name="_Recon to Darrin's 5.11.05 proforma_Rebuttal Power Costs_Adj Bench DR 3 for Initial Briefs (Electric) 3" xfId="4989"/>
    <cellStyle name="_Recon to Darrin's 5.11.05 proforma_Rebuttal Power Costs_Adj Bench DR 3 for Initial Briefs (Electric) 4" xfId="4990"/>
    <cellStyle name="_Recon to Darrin's 5.11.05 proforma_Rebuttal Power Costs_Electric Rev Req Model (2009 GRC) Rebuttal" xfId="4991"/>
    <cellStyle name="_Recon to Darrin's 5.11.05 proforma_Rebuttal Power Costs_Electric Rev Req Model (2009 GRC) Rebuttal 2" xfId="4992"/>
    <cellStyle name="_Recon to Darrin's 5.11.05 proforma_Rebuttal Power Costs_Electric Rev Req Model (2009 GRC) Rebuttal 2 2" xfId="4993"/>
    <cellStyle name="_Recon to Darrin's 5.11.05 proforma_Rebuttal Power Costs_Electric Rev Req Model (2009 GRC) Rebuttal 3" xfId="4994"/>
    <cellStyle name="_Recon to Darrin's 5.11.05 proforma_Rebuttal Power Costs_Electric Rev Req Model (2009 GRC) Rebuttal 4" xfId="4995"/>
    <cellStyle name="_Recon to Darrin's 5.11.05 proforma_Rebuttal Power Costs_Electric Rev Req Model (2009 GRC) Rebuttal REmoval of New  WH Solar AdjustMI" xfId="4996"/>
    <cellStyle name="_Recon to Darrin's 5.11.05 proforma_Rebuttal Power Costs_Electric Rev Req Model (2009 GRC) Rebuttal REmoval of New  WH Solar AdjustMI 2" xfId="4997"/>
    <cellStyle name="_Recon to Darrin's 5.11.05 proforma_Rebuttal Power Costs_Electric Rev Req Model (2009 GRC) Rebuttal REmoval of New  WH Solar AdjustMI 2 2" xfId="4998"/>
    <cellStyle name="_Recon to Darrin's 5.11.05 proforma_Rebuttal Power Costs_Electric Rev Req Model (2009 GRC) Rebuttal REmoval of New  WH Solar AdjustMI 3" xfId="4999"/>
    <cellStyle name="_Recon to Darrin's 5.11.05 proforma_Rebuttal Power Costs_Electric Rev Req Model (2009 GRC) Rebuttal REmoval of New  WH Solar AdjustMI 4" xfId="5000"/>
    <cellStyle name="_Recon to Darrin's 5.11.05 proforma_Rebuttal Power Costs_Electric Rev Req Model (2009 GRC) Revised 01-18-2010" xfId="5001"/>
    <cellStyle name="_Recon to Darrin's 5.11.05 proforma_Rebuttal Power Costs_Electric Rev Req Model (2009 GRC) Revised 01-18-2010 2" xfId="5002"/>
    <cellStyle name="_Recon to Darrin's 5.11.05 proforma_Rebuttal Power Costs_Electric Rev Req Model (2009 GRC) Revised 01-18-2010 2 2" xfId="5003"/>
    <cellStyle name="_Recon to Darrin's 5.11.05 proforma_Rebuttal Power Costs_Electric Rev Req Model (2009 GRC) Revised 01-18-2010 3" xfId="5004"/>
    <cellStyle name="_Recon to Darrin's 5.11.05 proforma_Rebuttal Power Costs_Electric Rev Req Model (2009 GRC) Revised 01-18-2010 4" xfId="5005"/>
    <cellStyle name="_Recon to Darrin's 5.11.05 proforma_Rebuttal Power Costs_Final Order Electric EXHIBIT A-1" xfId="5006"/>
    <cellStyle name="_Recon to Darrin's 5.11.05 proforma_Rebuttal Power Costs_Final Order Electric EXHIBIT A-1 2" xfId="5007"/>
    <cellStyle name="_Recon to Darrin's 5.11.05 proforma_Rebuttal Power Costs_Final Order Electric EXHIBIT A-1 2 2" xfId="5008"/>
    <cellStyle name="_Recon to Darrin's 5.11.05 proforma_Rebuttal Power Costs_Final Order Electric EXHIBIT A-1 3" xfId="5009"/>
    <cellStyle name="_Recon to Darrin's 5.11.05 proforma_Rebuttal Power Costs_Final Order Electric EXHIBIT A-1 4" xfId="5010"/>
    <cellStyle name="_Recon to Darrin's 5.11.05 proforma_ROR &amp; CONV FACTOR" xfId="5011"/>
    <cellStyle name="_Recon to Darrin's 5.11.05 proforma_ROR &amp; CONV FACTOR 2" xfId="5012"/>
    <cellStyle name="_Recon to Darrin's 5.11.05 proforma_ROR &amp; CONV FACTOR 2 2" xfId="5013"/>
    <cellStyle name="_Recon to Darrin's 5.11.05 proforma_ROR &amp; CONV FACTOR 3" xfId="5014"/>
    <cellStyle name="_Recon to Darrin's 5.11.05 proforma_ROR 5.02" xfId="5015"/>
    <cellStyle name="_Recon to Darrin's 5.11.05 proforma_ROR 5.02 2" xfId="5016"/>
    <cellStyle name="_Recon to Darrin's 5.11.05 proforma_ROR 5.02 2 2" xfId="5017"/>
    <cellStyle name="_Recon to Darrin's 5.11.05 proforma_ROR 5.02 3" xfId="5018"/>
    <cellStyle name="_Recon to Darrin's 5.11.05 proforma_Transmission Workbook for May BOD" xfId="5019"/>
    <cellStyle name="_Recon to Darrin's 5.11.05 proforma_Transmission Workbook for May BOD 2" xfId="5020"/>
    <cellStyle name="_Recon to Darrin's 5.11.05 proforma_Wind Integration 10GRC" xfId="5021"/>
    <cellStyle name="_Recon to Darrin's 5.11.05 proforma_Wind Integration 10GRC 2" xfId="5022"/>
    <cellStyle name="_Revenue" xfId="5023"/>
    <cellStyle name="_Revenue_2.01G Temp Normalization(C) NEW WAY DM" xfId="5024"/>
    <cellStyle name="_Revenue_2.02G Revenues and Expenses NEW WAY DM" xfId="5025"/>
    <cellStyle name="_Revenue_4.01G Temp Normalization (C)" xfId="5026"/>
    <cellStyle name="_Revenue_4.01G Temp Normalization(HC)" xfId="5027"/>
    <cellStyle name="_Revenue_4.01G Temp Normalization(HC)new" xfId="5028"/>
    <cellStyle name="_Revenue_4.01G Temp Normalization(not used)" xfId="5029"/>
    <cellStyle name="_Revenue_Book1" xfId="5030"/>
    <cellStyle name="_Revenue_Data" xfId="5031"/>
    <cellStyle name="_Revenue_Data_1" xfId="5032"/>
    <cellStyle name="_Revenue_Data_Pro Forma Rev 09 GRC" xfId="5033"/>
    <cellStyle name="_Revenue_Data_Pro Forma Rev 2010 GRC" xfId="5034"/>
    <cellStyle name="_Revenue_Data_Pro Forma Rev 2010 GRC_Preliminary" xfId="5035"/>
    <cellStyle name="_Revenue_Data_Revenue (Feb 09 - Jan 10)" xfId="5036"/>
    <cellStyle name="_Revenue_Data_Revenue (Jan 09 - Dec 09)" xfId="5037"/>
    <cellStyle name="_Revenue_Data_Revenue (Mar 09 - Feb 10)" xfId="5038"/>
    <cellStyle name="_Revenue_Data_Volume Exhibit (Jan09 - Dec09)" xfId="5039"/>
    <cellStyle name="_Revenue_Mins" xfId="5040"/>
    <cellStyle name="_Revenue_Pro Forma Rev 07 GRC" xfId="5041"/>
    <cellStyle name="_Revenue_Pro Forma Rev 08 GRC" xfId="5042"/>
    <cellStyle name="_Revenue_Pro Forma Rev 09 GRC" xfId="5043"/>
    <cellStyle name="_Revenue_Pro Forma Rev 2010 GRC" xfId="5044"/>
    <cellStyle name="_Revenue_Pro Forma Rev 2010 GRC_Preliminary" xfId="5045"/>
    <cellStyle name="_Revenue_Revenue (Feb 09 - Jan 10)" xfId="5046"/>
    <cellStyle name="_Revenue_Revenue (Jan 09 - Dec 09)" xfId="5047"/>
    <cellStyle name="_Revenue_Revenue (Mar 09 - Feb 10)" xfId="5048"/>
    <cellStyle name="_Revenue_Revenue Proforma_Restating Gas 11-16-07" xfId="5049"/>
    <cellStyle name="_Revenue_Sheet2" xfId="5050"/>
    <cellStyle name="_Revenue_Therms Data" xfId="5051"/>
    <cellStyle name="_Revenue_Therms Data Rerun" xfId="5052"/>
    <cellStyle name="_Revenue_Volume Exhibit (Jan09 - Dec09)" xfId="5053"/>
    <cellStyle name="_x0013__Scenario 1 REC vs PTC Offset" xfId="5054"/>
    <cellStyle name="_x0013__Scenario 3" xfId="5055"/>
    <cellStyle name="_Sumas Proforma - 11-09-07" xfId="5056"/>
    <cellStyle name="_Sumas Proforma - 11-09-07 2" xfId="5057"/>
    <cellStyle name="_Sumas Property Taxes v1" xfId="5058"/>
    <cellStyle name="_Sumas Property Taxes v1 2" xfId="5059"/>
    <cellStyle name="_Tenaska Comparison" xfId="5060"/>
    <cellStyle name="_Tenaska Comparison 2" xfId="5061"/>
    <cellStyle name="_Tenaska Comparison 2 2" xfId="5062"/>
    <cellStyle name="_Tenaska Comparison 2 2 2" xfId="5063"/>
    <cellStyle name="_Tenaska Comparison 2 3" xfId="5064"/>
    <cellStyle name="_Tenaska Comparison 3" xfId="5065"/>
    <cellStyle name="_Tenaska Comparison 3 2" xfId="5066"/>
    <cellStyle name="_Tenaska Comparison 4" xfId="5067"/>
    <cellStyle name="_Tenaska Comparison 4 2" xfId="5068"/>
    <cellStyle name="_Tenaska Comparison 5" xfId="5069"/>
    <cellStyle name="_Tenaska Comparison_(C) WHE Proforma with ITC cash grant 10 Yr Amort_for deferral_102809" xfId="5070"/>
    <cellStyle name="_Tenaska Comparison_(C) WHE Proforma with ITC cash grant 10 Yr Amort_for deferral_102809 2" xfId="5071"/>
    <cellStyle name="_Tenaska Comparison_(C) WHE Proforma with ITC cash grant 10 Yr Amort_for deferral_102809 2 2" xfId="5072"/>
    <cellStyle name="_Tenaska Comparison_(C) WHE Proforma with ITC cash grant 10 Yr Amort_for deferral_102809 3" xfId="5073"/>
    <cellStyle name="_Tenaska Comparison_(C) WHE Proforma with ITC cash grant 10 Yr Amort_for deferral_102809 4" xfId="5074"/>
    <cellStyle name="_Tenaska Comparison_(C) WHE Proforma with ITC cash grant 10 Yr Amort_for deferral_102809_16.07E Wild Horse Wind Expansionwrkingfile" xfId="5075"/>
    <cellStyle name="_Tenaska Comparison_(C) WHE Proforma with ITC cash grant 10 Yr Amort_for deferral_102809_16.07E Wild Horse Wind Expansionwrkingfile 2" xfId="5076"/>
    <cellStyle name="_Tenaska Comparison_(C) WHE Proforma with ITC cash grant 10 Yr Amort_for deferral_102809_16.07E Wild Horse Wind Expansionwrkingfile 2 2" xfId="5077"/>
    <cellStyle name="_Tenaska Comparison_(C) WHE Proforma with ITC cash grant 10 Yr Amort_for deferral_102809_16.07E Wild Horse Wind Expansionwrkingfile 3" xfId="5078"/>
    <cellStyle name="_Tenaska Comparison_(C) WHE Proforma with ITC cash grant 10 Yr Amort_for deferral_102809_16.07E Wild Horse Wind Expansionwrkingfile 4" xfId="5079"/>
    <cellStyle name="_Tenaska Comparison_(C) WHE Proforma with ITC cash grant 10 Yr Amort_for deferral_102809_16.07E Wild Horse Wind Expansionwrkingfile SF" xfId="5080"/>
    <cellStyle name="_Tenaska Comparison_(C) WHE Proforma with ITC cash grant 10 Yr Amort_for deferral_102809_16.07E Wild Horse Wind Expansionwrkingfile SF 2" xfId="5081"/>
    <cellStyle name="_Tenaska Comparison_(C) WHE Proforma with ITC cash grant 10 Yr Amort_for deferral_102809_16.07E Wild Horse Wind Expansionwrkingfile SF 2 2" xfId="5082"/>
    <cellStyle name="_Tenaska Comparison_(C) WHE Proforma with ITC cash grant 10 Yr Amort_for deferral_102809_16.07E Wild Horse Wind Expansionwrkingfile SF 3" xfId="5083"/>
    <cellStyle name="_Tenaska Comparison_(C) WHE Proforma with ITC cash grant 10 Yr Amort_for deferral_102809_16.07E Wild Horse Wind Expansionwrkingfile SF 4" xfId="5084"/>
    <cellStyle name="_Tenaska Comparison_(C) WHE Proforma with ITC cash grant 10 Yr Amort_for deferral_102809_16.37E Wild Horse Expansion DeferralRevwrkingfile SF" xfId="5085"/>
    <cellStyle name="_Tenaska Comparison_(C) WHE Proforma with ITC cash grant 10 Yr Amort_for deferral_102809_16.37E Wild Horse Expansion DeferralRevwrkingfile SF 2" xfId="5086"/>
    <cellStyle name="_Tenaska Comparison_(C) WHE Proforma with ITC cash grant 10 Yr Amort_for deferral_102809_16.37E Wild Horse Expansion DeferralRevwrkingfile SF 2 2" xfId="5087"/>
    <cellStyle name="_Tenaska Comparison_(C) WHE Proforma with ITC cash grant 10 Yr Amort_for deferral_102809_16.37E Wild Horse Expansion DeferralRevwrkingfile SF 3" xfId="5088"/>
    <cellStyle name="_Tenaska Comparison_(C) WHE Proforma with ITC cash grant 10 Yr Amort_for deferral_102809_16.37E Wild Horse Expansion DeferralRevwrkingfile SF 4" xfId="5089"/>
    <cellStyle name="_Tenaska Comparison_(C) WHE Proforma with ITC cash grant 10 Yr Amort_for rebuttal_120709" xfId="5090"/>
    <cellStyle name="_Tenaska Comparison_(C) WHE Proforma with ITC cash grant 10 Yr Amort_for rebuttal_120709 2" xfId="5091"/>
    <cellStyle name="_Tenaska Comparison_(C) WHE Proforma with ITC cash grant 10 Yr Amort_for rebuttal_120709 2 2" xfId="5092"/>
    <cellStyle name="_Tenaska Comparison_(C) WHE Proforma with ITC cash grant 10 Yr Amort_for rebuttal_120709 3" xfId="5093"/>
    <cellStyle name="_Tenaska Comparison_(C) WHE Proforma with ITC cash grant 10 Yr Amort_for rebuttal_120709 4" xfId="5094"/>
    <cellStyle name="_Tenaska Comparison_04.07E Wild Horse Wind Expansion" xfId="5095"/>
    <cellStyle name="_Tenaska Comparison_04.07E Wild Horse Wind Expansion 2" xfId="5096"/>
    <cellStyle name="_Tenaska Comparison_04.07E Wild Horse Wind Expansion 2 2" xfId="5097"/>
    <cellStyle name="_Tenaska Comparison_04.07E Wild Horse Wind Expansion 3" xfId="5098"/>
    <cellStyle name="_Tenaska Comparison_04.07E Wild Horse Wind Expansion 4" xfId="5099"/>
    <cellStyle name="_Tenaska Comparison_04.07E Wild Horse Wind Expansion_16.07E Wild Horse Wind Expansionwrkingfile" xfId="5100"/>
    <cellStyle name="_Tenaska Comparison_04.07E Wild Horse Wind Expansion_16.07E Wild Horse Wind Expansionwrkingfile 2" xfId="5101"/>
    <cellStyle name="_Tenaska Comparison_04.07E Wild Horse Wind Expansion_16.07E Wild Horse Wind Expansionwrkingfile 2 2" xfId="5102"/>
    <cellStyle name="_Tenaska Comparison_04.07E Wild Horse Wind Expansion_16.07E Wild Horse Wind Expansionwrkingfile 3" xfId="5103"/>
    <cellStyle name="_Tenaska Comparison_04.07E Wild Horse Wind Expansion_16.07E Wild Horse Wind Expansionwrkingfile 4" xfId="5104"/>
    <cellStyle name="_Tenaska Comparison_04.07E Wild Horse Wind Expansion_16.07E Wild Horse Wind Expansionwrkingfile SF" xfId="5105"/>
    <cellStyle name="_Tenaska Comparison_04.07E Wild Horse Wind Expansion_16.07E Wild Horse Wind Expansionwrkingfile SF 2" xfId="5106"/>
    <cellStyle name="_Tenaska Comparison_04.07E Wild Horse Wind Expansion_16.07E Wild Horse Wind Expansionwrkingfile SF 2 2" xfId="5107"/>
    <cellStyle name="_Tenaska Comparison_04.07E Wild Horse Wind Expansion_16.07E Wild Horse Wind Expansionwrkingfile SF 3" xfId="5108"/>
    <cellStyle name="_Tenaska Comparison_04.07E Wild Horse Wind Expansion_16.07E Wild Horse Wind Expansionwrkingfile SF 4" xfId="5109"/>
    <cellStyle name="_Tenaska Comparison_04.07E Wild Horse Wind Expansion_16.37E Wild Horse Expansion DeferralRevwrkingfile SF" xfId="5110"/>
    <cellStyle name="_Tenaska Comparison_04.07E Wild Horse Wind Expansion_16.37E Wild Horse Expansion DeferralRevwrkingfile SF 2" xfId="5111"/>
    <cellStyle name="_Tenaska Comparison_04.07E Wild Horse Wind Expansion_16.37E Wild Horse Expansion DeferralRevwrkingfile SF 2 2" xfId="5112"/>
    <cellStyle name="_Tenaska Comparison_04.07E Wild Horse Wind Expansion_16.37E Wild Horse Expansion DeferralRevwrkingfile SF 3" xfId="5113"/>
    <cellStyle name="_Tenaska Comparison_04.07E Wild Horse Wind Expansion_16.37E Wild Horse Expansion DeferralRevwrkingfile SF 4" xfId="5114"/>
    <cellStyle name="_Tenaska Comparison_16.07E Wild Horse Wind Expansionwrkingfile" xfId="5115"/>
    <cellStyle name="_Tenaska Comparison_16.07E Wild Horse Wind Expansionwrkingfile 2" xfId="5116"/>
    <cellStyle name="_Tenaska Comparison_16.07E Wild Horse Wind Expansionwrkingfile 2 2" xfId="5117"/>
    <cellStyle name="_Tenaska Comparison_16.07E Wild Horse Wind Expansionwrkingfile 3" xfId="5118"/>
    <cellStyle name="_Tenaska Comparison_16.07E Wild Horse Wind Expansionwrkingfile 4" xfId="5119"/>
    <cellStyle name="_Tenaska Comparison_16.07E Wild Horse Wind Expansionwrkingfile SF" xfId="5120"/>
    <cellStyle name="_Tenaska Comparison_16.07E Wild Horse Wind Expansionwrkingfile SF 2" xfId="5121"/>
    <cellStyle name="_Tenaska Comparison_16.07E Wild Horse Wind Expansionwrkingfile SF 2 2" xfId="5122"/>
    <cellStyle name="_Tenaska Comparison_16.07E Wild Horse Wind Expansionwrkingfile SF 3" xfId="5123"/>
    <cellStyle name="_Tenaska Comparison_16.07E Wild Horse Wind Expansionwrkingfile SF 4" xfId="5124"/>
    <cellStyle name="_Tenaska Comparison_16.37E Wild Horse Expansion DeferralRevwrkingfile SF" xfId="5125"/>
    <cellStyle name="_Tenaska Comparison_16.37E Wild Horse Expansion DeferralRevwrkingfile SF 2" xfId="5126"/>
    <cellStyle name="_Tenaska Comparison_16.37E Wild Horse Expansion DeferralRevwrkingfile SF 2 2" xfId="5127"/>
    <cellStyle name="_Tenaska Comparison_16.37E Wild Horse Expansion DeferralRevwrkingfile SF 3" xfId="5128"/>
    <cellStyle name="_Tenaska Comparison_16.37E Wild Horse Expansion DeferralRevwrkingfile SF 4" xfId="5129"/>
    <cellStyle name="_Tenaska Comparison_2009 Compliance Filing PCA Exhibits for GRC" xfId="5130"/>
    <cellStyle name="_Tenaska Comparison_2009 Compliance Filing PCA Exhibits for GRC 2" xfId="5131"/>
    <cellStyle name="_Tenaska Comparison_2009 GRC Compl Filing - Exhibit D" xfId="5132"/>
    <cellStyle name="_Tenaska Comparison_2009 GRC Compl Filing - Exhibit D 2" xfId="5133"/>
    <cellStyle name="_Tenaska Comparison_2009 GRC Compl Filing - Exhibit D 3" xfId="5134"/>
    <cellStyle name="_Tenaska Comparison_3.01 Income Statement" xfId="5135"/>
    <cellStyle name="_Tenaska Comparison_4 31 Regulatory Assets and Liabilities  7 06- Exhibit D" xfId="5136"/>
    <cellStyle name="_Tenaska Comparison_4 31 Regulatory Assets and Liabilities  7 06- Exhibit D 2" xfId="5137"/>
    <cellStyle name="_Tenaska Comparison_4 31 Regulatory Assets and Liabilities  7 06- Exhibit D 2 2" xfId="5138"/>
    <cellStyle name="_Tenaska Comparison_4 31 Regulatory Assets and Liabilities  7 06- Exhibit D 3" xfId="5139"/>
    <cellStyle name="_Tenaska Comparison_4 31 Regulatory Assets and Liabilities  7 06- Exhibit D 4" xfId="5140"/>
    <cellStyle name="_Tenaska Comparison_4 31 Regulatory Assets and Liabilities  7 06- Exhibit D_NIM Summary" xfId="5141"/>
    <cellStyle name="_Tenaska Comparison_4 31 Regulatory Assets and Liabilities  7 06- Exhibit D_NIM Summary 2" xfId="5142"/>
    <cellStyle name="_Tenaska Comparison_4 32 Regulatory Assets and Liabilities  7 06- Exhibit D" xfId="5143"/>
    <cellStyle name="_Tenaska Comparison_4 32 Regulatory Assets and Liabilities  7 06- Exhibit D 2" xfId="5144"/>
    <cellStyle name="_Tenaska Comparison_4 32 Regulatory Assets and Liabilities  7 06- Exhibit D 2 2" xfId="5145"/>
    <cellStyle name="_Tenaska Comparison_4 32 Regulatory Assets and Liabilities  7 06- Exhibit D 3" xfId="5146"/>
    <cellStyle name="_Tenaska Comparison_4 32 Regulatory Assets and Liabilities  7 06- Exhibit D 4" xfId="5147"/>
    <cellStyle name="_Tenaska Comparison_4 32 Regulatory Assets and Liabilities  7 06- Exhibit D_NIM Summary" xfId="5148"/>
    <cellStyle name="_Tenaska Comparison_4 32 Regulatory Assets and Liabilities  7 06- Exhibit D_NIM Summary 2" xfId="5149"/>
    <cellStyle name="_Tenaska Comparison_AURORA Total New" xfId="5150"/>
    <cellStyle name="_Tenaska Comparison_AURORA Total New 2" xfId="5151"/>
    <cellStyle name="_Tenaska Comparison_Book2" xfId="5152"/>
    <cellStyle name="_Tenaska Comparison_Book2 2" xfId="5153"/>
    <cellStyle name="_Tenaska Comparison_Book2 2 2" xfId="5154"/>
    <cellStyle name="_Tenaska Comparison_Book2 3" xfId="5155"/>
    <cellStyle name="_Tenaska Comparison_Book2 4" xfId="5156"/>
    <cellStyle name="_Tenaska Comparison_Book2_Adj Bench DR 3 for Initial Briefs (Electric)" xfId="5157"/>
    <cellStyle name="_Tenaska Comparison_Book2_Adj Bench DR 3 for Initial Briefs (Electric) 2" xfId="5158"/>
    <cellStyle name="_Tenaska Comparison_Book2_Adj Bench DR 3 for Initial Briefs (Electric) 2 2" xfId="5159"/>
    <cellStyle name="_Tenaska Comparison_Book2_Adj Bench DR 3 for Initial Briefs (Electric) 3" xfId="5160"/>
    <cellStyle name="_Tenaska Comparison_Book2_Adj Bench DR 3 for Initial Briefs (Electric) 4" xfId="5161"/>
    <cellStyle name="_Tenaska Comparison_Book2_Electric Rev Req Model (2009 GRC) Rebuttal" xfId="5162"/>
    <cellStyle name="_Tenaska Comparison_Book2_Electric Rev Req Model (2009 GRC) Rebuttal 2" xfId="5163"/>
    <cellStyle name="_Tenaska Comparison_Book2_Electric Rev Req Model (2009 GRC) Rebuttal 2 2" xfId="5164"/>
    <cellStyle name="_Tenaska Comparison_Book2_Electric Rev Req Model (2009 GRC) Rebuttal 3" xfId="5165"/>
    <cellStyle name="_Tenaska Comparison_Book2_Electric Rev Req Model (2009 GRC) Rebuttal 4" xfId="5166"/>
    <cellStyle name="_Tenaska Comparison_Book2_Electric Rev Req Model (2009 GRC) Rebuttal REmoval of New  WH Solar AdjustMI" xfId="5167"/>
    <cellStyle name="_Tenaska Comparison_Book2_Electric Rev Req Model (2009 GRC) Rebuttal REmoval of New  WH Solar AdjustMI 2" xfId="5168"/>
    <cellStyle name="_Tenaska Comparison_Book2_Electric Rev Req Model (2009 GRC) Rebuttal REmoval of New  WH Solar AdjustMI 2 2" xfId="5169"/>
    <cellStyle name="_Tenaska Comparison_Book2_Electric Rev Req Model (2009 GRC) Rebuttal REmoval of New  WH Solar AdjustMI 3" xfId="5170"/>
    <cellStyle name="_Tenaska Comparison_Book2_Electric Rev Req Model (2009 GRC) Rebuttal REmoval of New  WH Solar AdjustMI 4" xfId="5171"/>
    <cellStyle name="_Tenaska Comparison_Book2_Electric Rev Req Model (2009 GRC) Revised 01-18-2010" xfId="5172"/>
    <cellStyle name="_Tenaska Comparison_Book2_Electric Rev Req Model (2009 GRC) Revised 01-18-2010 2" xfId="5173"/>
    <cellStyle name="_Tenaska Comparison_Book2_Electric Rev Req Model (2009 GRC) Revised 01-18-2010 2 2" xfId="5174"/>
    <cellStyle name="_Tenaska Comparison_Book2_Electric Rev Req Model (2009 GRC) Revised 01-18-2010 3" xfId="5175"/>
    <cellStyle name="_Tenaska Comparison_Book2_Electric Rev Req Model (2009 GRC) Revised 01-18-2010 4" xfId="5176"/>
    <cellStyle name="_Tenaska Comparison_Book2_Final Order Electric EXHIBIT A-1" xfId="5177"/>
    <cellStyle name="_Tenaska Comparison_Book2_Final Order Electric EXHIBIT A-1 2" xfId="5178"/>
    <cellStyle name="_Tenaska Comparison_Book2_Final Order Electric EXHIBIT A-1 2 2" xfId="5179"/>
    <cellStyle name="_Tenaska Comparison_Book2_Final Order Electric EXHIBIT A-1 3" xfId="5180"/>
    <cellStyle name="_Tenaska Comparison_Book2_Final Order Electric EXHIBIT A-1 4" xfId="5181"/>
    <cellStyle name="_Tenaska Comparison_Book4" xfId="5182"/>
    <cellStyle name="_Tenaska Comparison_Book4 2" xfId="5183"/>
    <cellStyle name="_Tenaska Comparison_Book4 2 2" xfId="5184"/>
    <cellStyle name="_Tenaska Comparison_Book4 3" xfId="5185"/>
    <cellStyle name="_Tenaska Comparison_Book4 4" xfId="5186"/>
    <cellStyle name="_Tenaska Comparison_Book9" xfId="5187"/>
    <cellStyle name="_Tenaska Comparison_Book9 2" xfId="5188"/>
    <cellStyle name="_Tenaska Comparison_Book9 2 2" xfId="5189"/>
    <cellStyle name="_Tenaska Comparison_Book9 3" xfId="5190"/>
    <cellStyle name="_Tenaska Comparison_Book9 4" xfId="5191"/>
    <cellStyle name="_Tenaska Comparison_Chelan PUD Power Costs (8-10)" xfId="5192"/>
    <cellStyle name="_Tenaska Comparison_Electric COS Inputs" xfId="5193"/>
    <cellStyle name="_Tenaska Comparison_Electric COS Inputs 2" xfId="5194"/>
    <cellStyle name="_Tenaska Comparison_Electric COS Inputs 2 2" xfId="5195"/>
    <cellStyle name="_Tenaska Comparison_Electric COS Inputs 2 2 2" xfId="5196"/>
    <cellStyle name="_Tenaska Comparison_Electric COS Inputs 2 3" xfId="5197"/>
    <cellStyle name="_Tenaska Comparison_Electric COS Inputs 2 3 2" xfId="5198"/>
    <cellStyle name="_Tenaska Comparison_Electric COS Inputs 2 4" xfId="5199"/>
    <cellStyle name="_Tenaska Comparison_Electric COS Inputs 2 4 2" xfId="5200"/>
    <cellStyle name="_Tenaska Comparison_Electric COS Inputs 3" xfId="5201"/>
    <cellStyle name="_Tenaska Comparison_Electric COS Inputs 3 2" xfId="5202"/>
    <cellStyle name="_Tenaska Comparison_Electric COS Inputs 4" xfId="5203"/>
    <cellStyle name="_Tenaska Comparison_Electric COS Inputs 4 2" xfId="5204"/>
    <cellStyle name="_Tenaska Comparison_Electric COS Inputs 5" xfId="5205"/>
    <cellStyle name="_Tenaska Comparison_Electric COS Inputs 6" xfId="5206"/>
    <cellStyle name="_Tenaska Comparison_NIM Summary" xfId="5207"/>
    <cellStyle name="_Tenaska Comparison_NIM Summary 09GRC" xfId="5208"/>
    <cellStyle name="_Tenaska Comparison_NIM Summary 09GRC 2" xfId="5209"/>
    <cellStyle name="_Tenaska Comparison_NIM Summary 2" xfId="5210"/>
    <cellStyle name="_Tenaska Comparison_NIM Summary 3" xfId="5211"/>
    <cellStyle name="_Tenaska Comparison_NIM Summary 4" xfId="5212"/>
    <cellStyle name="_Tenaska Comparison_NIM Summary 5" xfId="5213"/>
    <cellStyle name="_Tenaska Comparison_NIM Summary 6" xfId="5214"/>
    <cellStyle name="_Tenaska Comparison_NIM Summary 7" xfId="5215"/>
    <cellStyle name="_Tenaska Comparison_NIM Summary 8" xfId="5216"/>
    <cellStyle name="_Tenaska Comparison_NIM Summary 9" xfId="5217"/>
    <cellStyle name="_Tenaska Comparison_PCA 10 -  Exhibit D from A Kellogg Jan 2011" xfId="5218"/>
    <cellStyle name="_Tenaska Comparison_PCA 10 -  Exhibit D from A Kellogg July 2011" xfId="5219"/>
    <cellStyle name="_Tenaska Comparison_PCA 10 -  Exhibit D from S Free Rcv'd 12-11" xfId="5220"/>
    <cellStyle name="_Tenaska Comparison_PCA 9 -  Exhibit D April 2010" xfId="5221"/>
    <cellStyle name="_Tenaska Comparison_PCA 9 -  Exhibit D April 2010 (3)" xfId="5222"/>
    <cellStyle name="_Tenaska Comparison_PCA 9 -  Exhibit D April 2010 (3) 2" xfId="5223"/>
    <cellStyle name="_Tenaska Comparison_PCA 9 -  Exhibit D April 2010 2" xfId="5224"/>
    <cellStyle name="_Tenaska Comparison_PCA 9 -  Exhibit D April 2010 3" xfId="5225"/>
    <cellStyle name="_Tenaska Comparison_PCA 9 -  Exhibit D Nov 2010" xfId="5226"/>
    <cellStyle name="_Tenaska Comparison_PCA 9 -  Exhibit D Nov 2010 2" xfId="5227"/>
    <cellStyle name="_Tenaska Comparison_PCA 9 - Exhibit D at August 2010" xfId="5228"/>
    <cellStyle name="_Tenaska Comparison_PCA 9 - Exhibit D at August 2010 2" xfId="5229"/>
    <cellStyle name="_Tenaska Comparison_PCA 9 - Exhibit D June 2010 GRC" xfId="5230"/>
    <cellStyle name="_Tenaska Comparison_PCA 9 - Exhibit D June 2010 GRC 2" xfId="5231"/>
    <cellStyle name="_Tenaska Comparison_Power Costs - Comparison bx Rbtl-Staff-Jt-PC" xfId="5232"/>
    <cellStyle name="_Tenaska Comparison_Power Costs - Comparison bx Rbtl-Staff-Jt-PC 2" xfId="5233"/>
    <cellStyle name="_Tenaska Comparison_Power Costs - Comparison bx Rbtl-Staff-Jt-PC 2 2" xfId="5234"/>
    <cellStyle name="_Tenaska Comparison_Power Costs - Comparison bx Rbtl-Staff-Jt-PC 3" xfId="5235"/>
    <cellStyle name="_Tenaska Comparison_Power Costs - Comparison bx Rbtl-Staff-Jt-PC 4" xfId="5236"/>
    <cellStyle name="_Tenaska Comparison_Power Costs - Comparison bx Rbtl-Staff-Jt-PC_Adj Bench DR 3 for Initial Briefs (Electric)" xfId="5237"/>
    <cellStyle name="_Tenaska Comparison_Power Costs - Comparison bx Rbtl-Staff-Jt-PC_Adj Bench DR 3 for Initial Briefs (Electric) 2" xfId="5238"/>
    <cellStyle name="_Tenaska Comparison_Power Costs - Comparison bx Rbtl-Staff-Jt-PC_Adj Bench DR 3 for Initial Briefs (Electric) 2 2" xfId="5239"/>
    <cellStyle name="_Tenaska Comparison_Power Costs - Comparison bx Rbtl-Staff-Jt-PC_Adj Bench DR 3 for Initial Briefs (Electric) 3" xfId="5240"/>
    <cellStyle name="_Tenaska Comparison_Power Costs - Comparison bx Rbtl-Staff-Jt-PC_Adj Bench DR 3 for Initial Briefs (Electric) 4" xfId="5241"/>
    <cellStyle name="_Tenaska Comparison_Power Costs - Comparison bx Rbtl-Staff-Jt-PC_Electric Rev Req Model (2009 GRC) Rebuttal" xfId="5242"/>
    <cellStyle name="_Tenaska Comparison_Power Costs - Comparison bx Rbtl-Staff-Jt-PC_Electric Rev Req Model (2009 GRC) Rebuttal 2" xfId="5243"/>
    <cellStyle name="_Tenaska Comparison_Power Costs - Comparison bx Rbtl-Staff-Jt-PC_Electric Rev Req Model (2009 GRC) Rebuttal 2 2" xfId="5244"/>
    <cellStyle name="_Tenaska Comparison_Power Costs - Comparison bx Rbtl-Staff-Jt-PC_Electric Rev Req Model (2009 GRC) Rebuttal 3" xfId="5245"/>
    <cellStyle name="_Tenaska Comparison_Power Costs - Comparison bx Rbtl-Staff-Jt-PC_Electric Rev Req Model (2009 GRC) Rebuttal 4" xfId="5246"/>
    <cellStyle name="_Tenaska Comparison_Power Costs - Comparison bx Rbtl-Staff-Jt-PC_Electric Rev Req Model (2009 GRC) Rebuttal REmoval of New  WH Solar AdjustMI" xfId="5247"/>
    <cellStyle name="_Tenaska Comparison_Power Costs - Comparison bx Rbtl-Staff-Jt-PC_Electric Rev Req Model (2009 GRC) Rebuttal REmoval of New  WH Solar AdjustMI 2" xfId="5248"/>
    <cellStyle name="_Tenaska Comparison_Power Costs - Comparison bx Rbtl-Staff-Jt-PC_Electric Rev Req Model (2009 GRC) Rebuttal REmoval of New  WH Solar AdjustMI 2 2" xfId="5249"/>
    <cellStyle name="_Tenaska Comparison_Power Costs - Comparison bx Rbtl-Staff-Jt-PC_Electric Rev Req Model (2009 GRC) Rebuttal REmoval of New  WH Solar AdjustMI 3" xfId="5250"/>
    <cellStyle name="_Tenaska Comparison_Power Costs - Comparison bx Rbtl-Staff-Jt-PC_Electric Rev Req Model (2009 GRC) Rebuttal REmoval of New  WH Solar AdjustMI 4" xfId="5251"/>
    <cellStyle name="_Tenaska Comparison_Power Costs - Comparison bx Rbtl-Staff-Jt-PC_Electric Rev Req Model (2009 GRC) Revised 01-18-2010" xfId="5252"/>
    <cellStyle name="_Tenaska Comparison_Power Costs - Comparison bx Rbtl-Staff-Jt-PC_Electric Rev Req Model (2009 GRC) Revised 01-18-2010 2" xfId="5253"/>
    <cellStyle name="_Tenaska Comparison_Power Costs - Comparison bx Rbtl-Staff-Jt-PC_Electric Rev Req Model (2009 GRC) Revised 01-18-2010 2 2" xfId="5254"/>
    <cellStyle name="_Tenaska Comparison_Power Costs - Comparison bx Rbtl-Staff-Jt-PC_Electric Rev Req Model (2009 GRC) Revised 01-18-2010 3" xfId="5255"/>
    <cellStyle name="_Tenaska Comparison_Power Costs - Comparison bx Rbtl-Staff-Jt-PC_Electric Rev Req Model (2009 GRC) Revised 01-18-2010 4" xfId="5256"/>
    <cellStyle name="_Tenaska Comparison_Power Costs - Comparison bx Rbtl-Staff-Jt-PC_Final Order Electric EXHIBIT A-1" xfId="5257"/>
    <cellStyle name="_Tenaska Comparison_Power Costs - Comparison bx Rbtl-Staff-Jt-PC_Final Order Electric EXHIBIT A-1 2" xfId="5258"/>
    <cellStyle name="_Tenaska Comparison_Power Costs - Comparison bx Rbtl-Staff-Jt-PC_Final Order Electric EXHIBIT A-1 2 2" xfId="5259"/>
    <cellStyle name="_Tenaska Comparison_Power Costs - Comparison bx Rbtl-Staff-Jt-PC_Final Order Electric EXHIBIT A-1 3" xfId="5260"/>
    <cellStyle name="_Tenaska Comparison_Power Costs - Comparison bx Rbtl-Staff-Jt-PC_Final Order Electric EXHIBIT A-1 4" xfId="5261"/>
    <cellStyle name="_Tenaska Comparison_Production Adj 4.37" xfId="5262"/>
    <cellStyle name="_Tenaska Comparison_Production Adj 4.37 2" xfId="5263"/>
    <cellStyle name="_Tenaska Comparison_Production Adj 4.37 2 2" xfId="5264"/>
    <cellStyle name="_Tenaska Comparison_Production Adj 4.37 3" xfId="5265"/>
    <cellStyle name="_Tenaska Comparison_Purchased Power Adj 4.03" xfId="5266"/>
    <cellStyle name="_Tenaska Comparison_Purchased Power Adj 4.03 2" xfId="5267"/>
    <cellStyle name="_Tenaska Comparison_Purchased Power Adj 4.03 2 2" xfId="5268"/>
    <cellStyle name="_Tenaska Comparison_Purchased Power Adj 4.03 3" xfId="5269"/>
    <cellStyle name="_Tenaska Comparison_Rebuttal Power Costs" xfId="5270"/>
    <cellStyle name="_Tenaska Comparison_Rebuttal Power Costs 2" xfId="5271"/>
    <cellStyle name="_Tenaska Comparison_Rebuttal Power Costs 2 2" xfId="5272"/>
    <cellStyle name="_Tenaska Comparison_Rebuttal Power Costs 3" xfId="5273"/>
    <cellStyle name="_Tenaska Comparison_Rebuttal Power Costs 4" xfId="5274"/>
    <cellStyle name="_Tenaska Comparison_Rebuttal Power Costs_Adj Bench DR 3 for Initial Briefs (Electric)" xfId="5275"/>
    <cellStyle name="_Tenaska Comparison_Rebuttal Power Costs_Adj Bench DR 3 for Initial Briefs (Electric) 2" xfId="5276"/>
    <cellStyle name="_Tenaska Comparison_Rebuttal Power Costs_Adj Bench DR 3 for Initial Briefs (Electric) 2 2" xfId="5277"/>
    <cellStyle name="_Tenaska Comparison_Rebuttal Power Costs_Adj Bench DR 3 for Initial Briefs (Electric) 3" xfId="5278"/>
    <cellStyle name="_Tenaska Comparison_Rebuttal Power Costs_Adj Bench DR 3 for Initial Briefs (Electric) 4" xfId="5279"/>
    <cellStyle name="_Tenaska Comparison_Rebuttal Power Costs_Electric Rev Req Model (2009 GRC) Rebuttal" xfId="5280"/>
    <cellStyle name="_Tenaska Comparison_Rebuttal Power Costs_Electric Rev Req Model (2009 GRC) Rebuttal 2" xfId="5281"/>
    <cellStyle name="_Tenaska Comparison_Rebuttal Power Costs_Electric Rev Req Model (2009 GRC) Rebuttal 2 2" xfId="5282"/>
    <cellStyle name="_Tenaska Comparison_Rebuttal Power Costs_Electric Rev Req Model (2009 GRC) Rebuttal 3" xfId="5283"/>
    <cellStyle name="_Tenaska Comparison_Rebuttal Power Costs_Electric Rev Req Model (2009 GRC) Rebuttal 4" xfId="5284"/>
    <cellStyle name="_Tenaska Comparison_Rebuttal Power Costs_Electric Rev Req Model (2009 GRC) Rebuttal REmoval of New  WH Solar AdjustMI" xfId="5285"/>
    <cellStyle name="_Tenaska Comparison_Rebuttal Power Costs_Electric Rev Req Model (2009 GRC) Rebuttal REmoval of New  WH Solar AdjustMI 2" xfId="5286"/>
    <cellStyle name="_Tenaska Comparison_Rebuttal Power Costs_Electric Rev Req Model (2009 GRC) Rebuttal REmoval of New  WH Solar AdjustMI 2 2" xfId="5287"/>
    <cellStyle name="_Tenaska Comparison_Rebuttal Power Costs_Electric Rev Req Model (2009 GRC) Rebuttal REmoval of New  WH Solar AdjustMI 3" xfId="5288"/>
    <cellStyle name="_Tenaska Comparison_Rebuttal Power Costs_Electric Rev Req Model (2009 GRC) Rebuttal REmoval of New  WH Solar AdjustMI 4" xfId="5289"/>
    <cellStyle name="_Tenaska Comparison_Rebuttal Power Costs_Electric Rev Req Model (2009 GRC) Revised 01-18-2010" xfId="5290"/>
    <cellStyle name="_Tenaska Comparison_Rebuttal Power Costs_Electric Rev Req Model (2009 GRC) Revised 01-18-2010 2" xfId="5291"/>
    <cellStyle name="_Tenaska Comparison_Rebuttal Power Costs_Electric Rev Req Model (2009 GRC) Revised 01-18-2010 2 2" xfId="5292"/>
    <cellStyle name="_Tenaska Comparison_Rebuttal Power Costs_Electric Rev Req Model (2009 GRC) Revised 01-18-2010 3" xfId="5293"/>
    <cellStyle name="_Tenaska Comparison_Rebuttal Power Costs_Electric Rev Req Model (2009 GRC) Revised 01-18-2010 4" xfId="5294"/>
    <cellStyle name="_Tenaska Comparison_Rebuttal Power Costs_Final Order Electric EXHIBIT A-1" xfId="5295"/>
    <cellStyle name="_Tenaska Comparison_Rebuttal Power Costs_Final Order Electric EXHIBIT A-1 2" xfId="5296"/>
    <cellStyle name="_Tenaska Comparison_Rebuttal Power Costs_Final Order Electric EXHIBIT A-1 2 2" xfId="5297"/>
    <cellStyle name="_Tenaska Comparison_Rebuttal Power Costs_Final Order Electric EXHIBIT A-1 3" xfId="5298"/>
    <cellStyle name="_Tenaska Comparison_Rebuttal Power Costs_Final Order Electric EXHIBIT A-1 4" xfId="5299"/>
    <cellStyle name="_Tenaska Comparison_ROR 5.02" xfId="5300"/>
    <cellStyle name="_Tenaska Comparison_ROR 5.02 2" xfId="5301"/>
    <cellStyle name="_Tenaska Comparison_ROR 5.02 2 2" xfId="5302"/>
    <cellStyle name="_Tenaska Comparison_ROR 5.02 3" xfId="5303"/>
    <cellStyle name="_Tenaska Comparison_Transmission Workbook for May BOD" xfId="5304"/>
    <cellStyle name="_Tenaska Comparison_Transmission Workbook for May BOD 2" xfId="5305"/>
    <cellStyle name="_Tenaska Comparison_Wind Integration 10GRC" xfId="5306"/>
    <cellStyle name="_Tenaska Comparison_Wind Integration 10GRC 2" xfId="5307"/>
    <cellStyle name="_x0013__TENASKA REGULATORY ASSET" xfId="5308"/>
    <cellStyle name="_x0013__TENASKA REGULATORY ASSET 2" xfId="5309"/>
    <cellStyle name="_x0013__TENASKA REGULATORY ASSET 2 2" xfId="5310"/>
    <cellStyle name="_x0013__TENASKA REGULATORY ASSET 3" xfId="5311"/>
    <cellStyle name="_x0013__TENASKA REGULATORY ASSET 4" xfId="5312"/>
    <cellStyle name="_Therms Data" xfId="5313"/>
    <cellStyle name="_Therms Data_Pro Forma Rev 09 GRC" xfId="5314"/>
    <cellStyle name="_Therms Data_Pro Forma Rev 2010 GRC" xfId="5315"/>
    <cellStyle name="_Therms Data_Pro Forma Rev 2010 GRC_Preliminary" xfId="5316"/>
    <cellStyle name="_Therms Data_Revenue (Feb 09 - Jan 10)" xfId="5317"/>
    <cellStyle name="_Therms Data_Revenue (Jan 09 - Dec 09)" xfId="5318"/>
    <cellStyle name="_Therms Data_Revenue (Mar 09 - Feb 10)" xfId="5319"/>
    <cellStyle name="_Therms Data_Volume Exhibit (Jan09 - Dec09)" xfId="5320"/>
    <cellStyle name="_Value Copy 11 30 05 gas 12 09 05 AURORA at 12 14 05" xfId="5321"/>
    <cellStyle name="_Value Copy 11 30 05 gas 12 09 05 AURORA at 12 14 05 2" xfId="5322"/>
    <cellStyle name="_Value Copy 11 30 05 gas 12 09 05 AURORA at 12 14 05 2 2" xfId="5323"/>
    <cellStyle name="_Value Copy 11 30 05 gas 12 09 05 AURORA at 12 14 05 2 2 2" xfId="5324"/>
    <cellStyle name="_Value Copy 11 30 05 gas 12 09 05 AURORA at 12 14 05 2 3" xfId="5325"/>
    <cellStyle name="_Value Copy 11 30 05 gas 12 09 05 AURORA at 12 14 05 3" xfId="5326"/>
    <cellStyle name="_Value Copy 11 30 05 gas 12 09 05 AURORA at 12 14 05 3 2" xfId="5327"/>
    <cellStyle name="_Value Copy 11 30 05 gas 12 09 05 AURORA at 12 14 05 4" xfId="5328"/>
    <cellStyle name="_Value Copy 11 30 05 gas 12 09 05 AURORA at 12 14 05 4 2" xfId="5329"/>
    <cellStyle name="_Value Copy 11 30 05 gas 12 09 05 AURORA at 12 14 05 5" xfId="5330"/>
    <cellStyle name="_Value Copy 11 30 05 gas 12 09 05 AURORA at 12 14 05_04 07E Wild Horse Wind Expansion (C) (2)" xfId="5331"/>
    <cellStyle name="_Value Copy 11 30 05 gas 12 09 05 AURORA at 12 14 05_04 07E Wild Horse Wind Expansion (C) (2) 2" xfId="5332"/>
    <cellStyle name="_Value Copy 11 30 05 gas 12 09 05 AURORA at 12 14 05_04 07E Wild Horse Wind Expansion (C) (2) 2 2" xfId="5333"/>
    <cellStyle name="_Value Copy 11 30 05 gas 12 09 05 AURORA at 12 14 05_04 07E Wild Horse Wind Expansion (C) (2) 3" xfId="5334"/>
    <cellStyle name="_Value Copy 11 30 05 gas 12 09 05 AURORA at 12 14 05_04 07E Wild Horse Wind Expansion (C) (2) 4" xfId="5335"/>
    <cellStyle name="_Value Copy 11 30 05 gas 12 09 05 AURORA at 12 14 05_04 07E Wild Horse Wind Expansion (C) (2)_Adj Bench DR 3 for Initial Briefs (Electric)" xfId="5336"/>
    <cellStyle name="_Value Copy 11 30 05 gas 12 09 05 AURORA at 12 14 05_04 07E Wild Horse Wind Expansion (C) (2)_Adj Bench DR 3 for Initial Briefs (Electric) 2" xfId="5337"/>
    <cellStyle name="_Value Copy 11 30 05 gas 12 09 05 AURORA at 12 14 05_04 07E Wild Horse Wind Expansion (C) (2)_Adj Bench DR 3 for Initial Briefs (Electric) 2 2" xfId="5338"/>
    <cellStyle name="_Value Copy 11 30 05 gas 12 09 05 AURORA at 12 14 05_04 07E Wild Horse Wind Expansion (C) (2)_Adj Bench DR 3 for Initial Briefs (Electric) 3" xfId="5339"/>
    <cellStyle name="_Value Copy 11 30 05 gas 12 09 05 AURORA at 12 14 05_04 07E Wild Horse Wind Expansion (C) (2)_Adj Bench DR 3 for Initial Briefs (Electric) 4" xfId="5340"/>
    <cellStyle name="_Value Copy 11 30 05 gas 12 09 05 AURORA at 12 14 05_04 07E Wild Horse Wind Expansion (C) (2)_Book1" xfId="5341"/>
    <cellStyle name="_Value Copy 11 30 05 gas 12 09 05 AURORA at 12 14 05_04 07E Wild Horse Wind Expansion (C) (2)_Electric Rev Req Model (2009 GRC) " xfId="5342"/>
    <cellStyle name="_Value Copy 11 30 05 gas 12 09 05 AURORA at 12 14 05_04 07E Wild Horse Wind Expansion (C) (2)_Electric Rev Req Model (2009 GRC)  2" xfId="5343"/>
    <cellStyle name="_Value Copy 11 30 05 gas 12 09 05 AURORA at 12 14 05_04 07E Wild Horse Wind Expansion (C) (2)_Electric Rev Req Model (2009 GRC)  2 2" xfId="5344"/>
    <cellStyle name="_Value Copy 11 30 05 gas 12 09 05 AURORA at 12 14 05_04 07E Wild Horse Wind Expansion (C) (2)_Electric Rev Req Model (2009 GRC)  3" xfId="5345"/>
    <cellStyle name="_Value Copy 11 30 05 gas 12 09 05 AURORA at 12 14 05_04 07E Wild Horse Wind Expansion (C) (2)_Electric Rev Req Model (2009 GRC)  4" xfId="5346"/>
    <cellStyle name="_Value Copy 11 30 05 gas 12 09 05 AURORA at 12 14 05_04 07E Wild Horse Wind Expansion (C) (2)_Electric Rev Req Model (2009 GRC) Rebuttal" xfId="5347"/>
    <cellStyle name="_Value Copy 11 30 05 gas 12 09 05 AURORA at 12 14 05_04 07E Wild Horse Wind Expansion (C) (2)_Electric Rev Req Model (2009 GRC) Rebuttal 2" xfId="5348"/>
    <cellStyle name="_Value Copy 11 30 05 gas 12 09 05 AURORA at 12 14 05_04 07E Wild Horse Wind Expansion (C) (2)_Electric Rev Req Model (2009 GRC) Rebuttal 2 2" xfId="5349"/>
    <cellStyle name="_Value Copy 11 30 05 gas 12 09 05 AURORA at 12 14 05_04 07E Wild Horse Wind Expansion (C) (2)_Electric Rev Req Model (2009 GRC) Rebuttal 3" xfId="5350"/>
    <cellStyle name="_Value Copy 11 30 05 gas 12 09 05 AURORA at 12 14 05_04 07E Wild Horse Wind Expansion (C) (2)_Electric Rev Req Model (2009 GRC) Rebuttal 4" xfId="5351"/>
    <cellStyle name="_Value Copy 11 30 05 gas 12 09 05 AURORA at 12 14 05_04 07E Wild Horse Wind Expansion (C) (2)_Electric Rev Req Model (2009 GRC) Rebuttal REmoval of New  WH Solar AdjustMI" xfId="5352"/>
    <cellStyle name="_Value Copy 11 30 05 gas 12 09 05 AURORA at 12 14 05_04 07E Wild Horse Wind Expansion (C) (2)_Electric Rev Req Model (2009 GRC) Rebuttal REmoval of New  WH Solar AdjustMI 2" xfId="5353"/>
    <cellStyle name="_Value Copy 11 30 05 gas 12 09 05 AURORA at 12 14 05_04 07E Wild Horse Wind Expansion (C) (2)_Electric Rev Req Model (2009 GRC) Rebuttal REmoval of New  WH Solar AdjustMI 2 2" xfId="5354"/>
    <cellStyle name="_Value Copy 11 30 05 gas 12 09 05 AURORA at 12 14 05_04 07E Wild Horse Wind Expansion (C) (2)_Electric Rev Req Model (2009 GRC) Rebuttal REmoval of New  WH Solar AdjustMI 3" xfId="5355"/>
    <cellStyle name="_Value Copy 11 30 05 gas 12 09 05 AURORA at 12 14 05_04 07E Wild Horse Wind Expansion (C) (2)_Electric Rev Req Model (2009 GRC) Rebuttal REmoval of New  WH Solar AdjustMI 4" xfId="5356"/>
    <cellStyle name="_Value Copy 11 30 05 gas 12 09 05 AURORA at 12 14 05_04 07E Wild Horse Wind Expansion (C) (2)_Electric Rev Req Model (2009 GRC) Revised 01-18-2010" xfId="5357"/>
    <cellStyle name="_Value Copy 11 30 05 gas 12 09 05 AURORA at 12 14 05_04 07E Wild Horse Wind Expansion (C) (2)_Electric Rev Req Model (2009 GRC) Revised 01-18-2010 2" xfId="5358"/>
    <cellStyle name="_Value Copy 11 30 05 gas 12 09 05 AURORA at 12 14 05_04 07E Wild Horse Wind Expansion (C) (2)_Electric Rev Req Model (2009 GRC) Revised 01-18-2010 2 2" xfId="5359"/>
    <cellStyle name="_Value Copy 11 30 05 gas 12 09 05 AURORA at 12 14 05_04 07E Wild Horse Wind Expansion (C) (2)_Electric Rev Req Model (2009 GRC) Revised 01-18-2010 3" xfId="5360"/>
    <cellStyle name="_Value Copy 11 30 05 gas 12 09 05 AURORA at 12 14 05_04 07E Wild Horse Wind Expansion (C) (2)_Electric Rev Req Model (2009 GRC) Revised 01-18-2010 4" xfId="5361"/>
    <cellStyle name="_Value Copy 11 30 05 gas 12 09 05 AURORA at 12 14 05_04 07E Wild Horse Wind Expansion (C) (2)_Electric Rev Req Model (2010 GRC)" xfId="5362"/>
    <cellStyle name="_Value Copy 11 30 05 gas 12 09 05 AURORA at 12 14 05_04 07E Wild Horse Wind Expansion (C) (2)_Electric Rev Req Model (2010 GRC) SF" xfId="5363"/>
    <cellStyle name="_Value Copy 11 30 05 gas 12 09 05 AURORA at 12 14 05_04 07E Wild Horse Wind Expansion (C) (2)_Final Order Electric EXHIBIT A-1" xfId="5364"/>
    <cellStyle name="_Value Copy 11 30 05 gas 12 09 05 AURORA at 12 14 05_04 07E Wild Horse Wind Expansion (C) (2)_Final Order Electric EXHIBIT A-1 2" xfId="5365"/>
    <cellStyle name="_Value Copy 11 30 05 gas 12 09 05 AURORA at 12 14 05_04 07E Wild Horse Wind Expansion (C) (2)_Final Order Electric EXHIBIT A-1 2 2" xfId="5366"/>
    <cellStyle name="_Value Copy 11 30 05 gas 12 09 05 AURORA at 12 14 05_04 07E Wild Horse Wind Expansion (C) (2)_Final Order Electric EXHIBIT A-1 3" xfId="5367"/>
    <cellStyle name="_Value Copy 11 30 05 gas 12 09 05 AURORA at 12 14 05_04 07E Wild Horse Wind Expansion (C) (2)_Final Order Electric EXHIBIT A-1 4" xfId="5368"/>
    <cellStyle name="_Value Copy 11 30 05 gas 12 09 05 AURORA at 12 14 05_04 07E Wild Horse Wind Expansion (C) (2)_TENASKA REGULATORY ASSET" xfId="5369"/>
    <cellStyle name="_Value Copy 11 30 05 gas 12 09 05 AURORA at 12 14 05_04 07E Wild Horse Wind Expansion (C) (2)_TENASKA REGULATORY ASSET 2" xfId="5370"/>
    <cellStyle name="_Value Copy 11 30 05 gas 12 09 05 AURORA at 12 14 05_04 07E Wild Horse Wind Expansion (C) (2)_TENASKA REGULATORY ASSET 2 2" xfId="5371"/>
    <cellStyle name="_Value Copy 11 30 05 gas 12 09 05 AURORA at 12 14 05_04 07E Wild Horse Wind Expansion (C) (2)_TENASKA REGULATORY ASSET 3" xfId="5372"/>
    <cellStyle name="_Value Copy 11 30 05 gas 12 09 05 AURORA at 12 14 05_04 07E Wild Horse Wind Expansion (C) (2)_TENASKA REGULATORY ASSET 4" xfId="5373"/>
    <cellStyle name="_Value Copy 11 30 05 gas 12 09 05 AURORA at 12 14 05_16.37E Wild Horse Expansion DeferralRevwrkingfile SF" xfId="5374"/>
    <cellStyle name="_Value Copy 11 30 05 gas 12 09 05 AURORA at 12 14 05_16.37E Wild Horse Expansion DeferralRevwrkingfile SF 2" xfId="5375"/>
    <cellStyle name="_Value Copy 11 30 05 gas 12 09 05 AURORA at 12 14 05_16.37E Wild Horse Expansion DeferralRevwrkingfile SF 2 2" xfId="5376"/>
    <cellStyle name="_Value Copy 11 30 05 gas 12 09 05 AURORA at 12 14 05_16.37E Wild Horse Expansion DeferralRevwrkingfile SF 3" xfId="5377"/>
    <cellStyle name="_Value Copy 11 30 05 gas 12 09 05 AURORA at 12 14 05_16.37E Wild Horse Expansion DeferralRevwrkingfile SF 4" xfId="5378"/>
    <cellStyle name="_Value Copy 11 30 05 gas 12 09 05 AURORA at 12 14 05_2009 Compliance Filing PCA Exhibits for GRC" xfId="5379"/>
    <cellStyle name="_Value Copy 11 30 05 gas 12 09 05 AURORA at 12 14 05_2009 Compliance Filing PCA Exhibits for GRC 2" xfId="5380"/>
    <cellStyle name="_Value Copy 11 30 05 gas 12 09 05 AURORA at 12 14 05_2009 GRC Compl Filing - Exhibit D" xfId="5381"/>
    <cellStyle name="_Value Copy 11 30 05 gas 12 09 05 AURORA at 12 14 05_2009 GRC Compl Filing - Exhibit D 2" xfId="5382"/>
    <cellStyle name="_Value Copy 11 30 05 gas 12 09 05 AURORA at 12 14 05_3.01 Income Statement" xfId="5383"/>
    <cellStyle name="_Value Copy 11 30 05 gas 12 09 05 AURORA at 12 14 05_4 31 Regulatory Assets and Liabilities  7 06- Exhibit D" xfId="5384"/>
    <cellStyle name="_Value Copy 11 30 05 gas 12 09 05 AURORA at 12 14 05_4 31 Regulatory Assets and Liabilities  7 06- Exhibit D 2" xfId="5385"/>
    <cellStyle name="_Value Copy 11 30 05 gas 12 09 05 AURORA at 12 14 05_4 31 Regulatory Assets and Liabilities  7 06- Exhibit D 2 2" xfId="5386"/>
    <cellStyle name="_Value Copy 11 30 05 gas 12 09 05 AURORA at 12 14 05_4 31 Regulatory Assets and Liabilities  7 06- Exhibit D 3" xfId="5387"/>
    <cellStyle name="_Value Copy 11 30 05 gas 12 09 05 AURORA at 12 14 05_4 31 Regulatory Assets and Liabilities  7 06- Exhibit D 4" xfId="5388"/>
    <cellStyle name="_Value Copy 11 30 05 gas 12 09 05 AURORA at 12 14 05_4 31 Regulatory Assets and Liabilities  7 06- Exhibit D_NIM Summary" xfId="5389"/>
    <cellStyle name="_Value Copy 11 30 05 gas 12 09 05 AURORA at 12 14 05_4 31 Regulatory Assets and Liabilities  7 06- Exhibit D_NIM Summary 2" xfId="5390"/>
    <cellStyle name="_Value Copy 11 30 05 gas 12 09 05 AURORA at 12 14 05_4 32 Regulatory Assets and Liabilities  7 06- Exhibit D" xfId="5391"/>
    <cellStyle name="_Value Copy 11 30 05 gas 12 09 05 AURORA at 12 14 05_4 32 Regulatory Assets and Liabilities  7 06- Exhibit D 2" xfId="5392"/>
    <cellStyle name="_Value Copy 11 30 05 gas 12 09 05 AURORA at 12 14 05_4 32 Regulatory Assets and Liabilities  7 06- Exhibit D 2 2" xfId="5393"/>
    <cellStyle name="_Value Copy 11 30 05 gas 12 09 05 AURORA at 12 14 05_4 32 Regulatory Assets and Liabilities  7 06- Exhibit D 3" xfId="5394"/>
    <cellStyle name="_Value Copy 11 30 05 gas 12 09 05 AURORA at 12 14 05_4 32 Regulatory Assets and Liabilities  7 06- Exhibit D 4" xfId="5395"/>
    <cellStyle name="_Value Copy 11 30 05 gas 12 09 05 AURORA at 12 14 05_4 32 Regulatory Assets and Liabilities  7 06- Exhibit D_NIM Summary" xfId="5396"/>
    <cellStyle name="_Value Copy 11 30 05 gas 12 09 05 AURORA at 12 14 05_4 32 Regulatory Assets and Liabilities  7 06- Exhibit D_NIM Summary 2" xfId="5397"/>
    <cellStyle name="_Value Copy 11 30 05 gas 12 09 05 AURORA at 12 14 05_ACCOUNTS" xfId="5398"/>
    <cellStyle name="_Value Copy 11 30 05 gas 12 09 05 AURORA at 12 14 05_AURORA Total New" xfId="5399"/>
    <cellStyle name="_Value Copy 11 30 05 gas 12 09 05 AURORA at 12 14 05_AURORA Total New 2" xfId="5400"/>
    <cellStyle name="_Value Copy 11 30 05 gas 12 09 05 AURORA at 12 14 05_Book2" xfId="5401"/>
    <cellStyle name="_Value Copy 11 30 05 gas 12 09 05 AURORA at 12 14 05_Book2 2" xfId="5402"/>
    <cellStyle name="_Value Copy 11 30 05 gas 12 09 05 AURORA at 12 14 05_Book2 2 2" xfId="5403"/>
    <cellStyle name="_Value Copy 11 30 05 gas 12 09 05 AURORA at 12 14 05_Book2 3" xfId="5404"/>
    <cellStyle name="_Value Copy 11 30 05 gas 12 09 05 AURORA at 12 14 05_Book2 4" xfId="5405"/>
    <cellStyle name="_Value Copy 11 30 05 gas 12 09 05 AURORA at 12 14 05_Book2_Adj Bench DR 3 for Initial Briefs (Electric)" xfId="5406"/>
    <cellStyle name="_Value Copy 11 30 05 gas 12 09 05 AURORA at 12 14 05_Book2_Adj Bench DR 3 for Initial Briefs (Electric) 2" xfId="5407"/>
    <cellStyle name="_Value Copy 11 30 05 gas 12 09 05 AURORA at 12 14 05_Book2_Adj Bench DR 3 for Initial Briefs (Electric) 2 2" xfId="5408"/>
    <cellStyle name="_Value Copy 11 30 05 gas 12 09 05 AURORA at 12 14 05_Book2_Adj Bench DR 3 for Initial Briefs (Electric) 3" xfId="5409"/>
    <cellStyle name="_Value Copy 11 30 05 gas 12 09 05 AURORA at 12 14 05_Book2_Adj Bench DR 3 for Initial Briefs (Electric) 4" xfId="5410"/>
    <cellStyle name="_Value Copy 11 30 05 gas 12 09 05 AURORA at 12 14 05_Book2_Electric Rev Req Model (2009 GRC) Rebuttal" xfId="5411"/>
    <cellStyle name="_Value Copy 11 30 05 gas 12 09 05 AURORA at 12 14 05_Book2_Electric Rev Req Model (2009 GRC) Rebuttal 2" xfId="5412"/>
    <cellStyle name="_Value Copy 11 30 05 gas 12 09 05 AURORA at 12 14 05_Book2_Electric Rev Req Model (2009 GRC) Rebuttal 2 2" xfId="5413"/>
    <cellStyle name="_Value Copy 11 30 05 gas 12 09 05 AURORA at 12 14 05_Book2_Electric Rev Req Model (2009 GRC) Rebuttal 3" xfId="5414"/>
    <cellStyle name="_Value Copy 11 30 05 gas 12 09 05 AURORA at 12 14 05_Book2_Electric Rev Req Model (2009 GRC) Rebuttal 4" xfId="5415"/>
    <cellStyle name="_Value Copy 11 30 05 gas 12 09 05 AURORA at 12 14 05_Book2_Electric Rev Req Model (2009 GRC) Rebuttal REmoval of New  WH Solar AdjustMI" xfId="5416"/>
    <cellStyle name="_Value Copy 11 30 05 gas 12 09 05 AURORA at 12 14 05_Book2_Electric Rev Req Model (2009 GRC) Rebuttal REmoval of New  WH Solar AdjustMI 2" xfId="5417"/>
    <cellStyle name="_Value Copy 11 30 05 gas 12 09 05 AURORA at 12 14 05_Book2_Electric Rev Req Model (2009 GRC) Rebuttal REmoval of New  WH Solar AdjustMI 2 2" xfId="5418"/>
    <cellStyle name="_Value Copy 11 30 05 gas 12 09 05 AURORA at 12 14 05_Book2_Electric Rev Req Model (2009 GRC) Rebuttal REmoval of New  WH Solar AdjustMI 3" xfId="5419"/>
    <cellStyle name="_Value Copy 11 30 05 gas 12 09 05 AURORA at 12 14 05_Book2_Electric Rev Req Model (2009 GRC) Rebuttal REmoval of New  WH Solar AdjustMI 4" xfId="5420"/>
    <cellStyle name="_Value Copy 11 30 05 gas 12 09 05 AURORA at 12 14 05_Book2_Electric Rev Req Model (2009 GRC) Revised 01-18-2010" xfId="5421"/>
    <cellStyle name="_Value Copy 11 30 05 gas 12 09 05 AURORA at 12 14 05_Book2_Electric Rev Req Model (2009 GRC) Revised 01-18-2010 2" xfId="5422"/>
    <cellStyle name="_Value Copy 11 30 05 gas 12 09 05 AURORA at 12 14 05_Book2_Electric Rev Req Model (2009 GRC) Revised 01-18-2010 2 2" xfId="5423"/>
    <cellStyle name="_Value Copy 11 30 05 gas 12 09 05 AURORA at 12 14 05_Book2_Electric Rev Req Model (2009 GRC) Revised 01-18-2010 3" xfId="5424"/>
    <cellStyle name="_Value Copy 11 30 05 gas 12 09 05 AURORA at 12 14 05_Book2_Electric Rev Req Model (2009 GRC) Revised 01-18-2010 4" xfId="5425"/>
    <cellStyle name="_Value Copy 11 30 05 gas 12 09 05 AURORA at 12 14 05_Book2_Final Order Electric EXHIBIT A-1" xfId="5426"/>
    <cellStyle name="_Value Copy 11 30 05 gas 12 09 05 AURORA at 12 14 05_Book2_Final Order Electric EXHIBIT A-1 2" xfId="5427"/>
    <cellStyle name="_Value Copy 11 30 05 gas 12 09 05 AURORA at 12 14 05_Book2_Final Order Electric EXHIBIT A-1 2 2" xfId="5428"/>
    <cellStyle name="_Value Copy 11 30 05 gas 12 09 05 AURORA at 12 14 05_Book2_Final Order Electric EXHIBIT A-1 3" xfId="5429"/>
    <cellStyle name="_Value Copy 11 30 05 gas 12 09 05 AURORA at 12 14 05_Book2_Final Order Electric EXHIBIT A-1 4" xfId="5430"/>
    <cellStyle name="_Value Copy 11 30 05 gas 12 09 05 AURORA at 12 14 05_Book4" xfId="5431"/>
    <cellStyle name="_Value Copy 11 30 05 gas 12 09 05 AURORA at 12 14 05_Book4 2" xfId="5432"/>
    <cellStyle name="_Value Copy 11 30 05 gas 12 09 05 AURORA at 12 14 05_Book4 2 2" xfId="5433"/>
    <cellStyle name="_Value Copy 11 30 05 gas 12 09 05 AURORA at 12 14 05_Book4 3" xfId="5434"/>
    <cellStyle name="_Value Copy 11 30 05 gas 12 09 05 AURORA at 12 14 05_Book4 4" xfId="5435"/>
    <cellStyle name="_Value Copy 11 30 05 gas 12 09 05 AURORA at 12 14 05_Book9" xfId="5436"/>
    <cellStyle name="_Value Copy 11 30 05 gas 12 09 05 AURORA at 12 14 05_Book9 2" xfId="5437"/>
    <cellStyle name="_Value Copy 11 30 05 gas 12 09 05 AURORA at 12 14 05_Book9 2 2" xfId="5438"/>
    <cellStyle name="_Value Copy 11 30 05 gas 12 09 05 AURORA at 12 14 05_Book9 3" xfId="5439"/>
    <cellStyle name="_Value Copy 11 30 05 gas 12 09 05 AURORA at 12 14 05_Book9 4" xfId="5440"/>
    <cellStyle name="_Value Copy 11 30 05 gas 12 09 05 AURORA at 12 14 05_Check the Interest Calculation" xfId="5441"/>
    <cellStyle name="_Value Copy 11 30 05 gas 12 09 05 AURORA at 12 14 05_Check the Interest Calculation_Scenario 1 REC vs PTC Offset" xfId="5442"/>
    <cellStyle name="_Value Copy 11 30 05 gas 12 09 05 AURORA at 12 14 05_Check the Interest Calculation_Scenario 3" xfId="5443"/>
    <cellStyle name="_Value Copy 11 30 05 gas 12 09 05 AURORA at 12 14 05_Chelan PUD Power Costs (8-10)" xfId="5444"/>
    <cellStyle name="_Value Copy 11 30 05 gas 12 09 05 AURORA at 12 14 05_Direct Assignment Distribution Plant 2008" xfId="5445"/>
    <cellStyle name="_Value Copy 11 30 05 gas 12 09 05 AURORA at 12 14 05_Direct Assignment Distribution Plant 2008 2" xfId="5446"/>
    <cellStyle name="_Value Copy 11 30 05 gas 12 09 05 AURORA at 12 14 05_Direct Assignment Distribution Plant 2008 2 2" xfId="5447"/>
    <cellStyle name="_Value Copy 11 30 05 gas 12 09 05 AURORA at 12 14 05_Direct Assignment Distribution Plant 2008 2 2 2" xfId="5448"/>
    <cellStyle name="_Value Copy 11 30 05 gas 12 09 05 AURORA at 12 14 05_Direct Assignment Distribution Plant 2008 2 3" xfId="5449"/>
    <cellStyle name="_Value Copy 11 30 05 gas 12 09 05 AURORA at 12 14 05_Direct Assignment Distribution Plant 2008 2 3 2" xfId="5450"/>
    <cellStyle name="_Value Copy 11 30 05 gas 12 09 05 AURORA at 12 14 05_Direct Assignment Distribution Plant 2008 2 4" xfId="5451"/>
    <cellStyle name="_Value Copy 11 30 05 gas 12 09 05 AURORA at 12 14 05_Direct Assignment Distribution Plant 2008 2 4 2" xfId="5452"/>
    <cellStyle name="_Value Copy 11 30 05 gas 12 09 05 AURORA at 12 14 05_Direct Assignment Distribution Plant 2008 3" xfId="5453"/>
    <cellStyle name="_Value Copy 11 30 05 gas 12 09 05 AURORA at 12 14 05_Direct Assignment Distribution Plant 2008 3 2" xfId="5454"/>
    <cellStyle name="_Value Copy 11 30 05 gas 12 09 05 AURORA at 12 14 05_Direct Assignment Distribution Plant 2008 4" xfId="5455"/>
    <cellStyle name="_Value Copy 11 30 05 gas 12 09 05 AURORA at 12 14 05_Direct Assignment Distribution Plant 2008 4 2" xfId="5456"/>
    <cellStyle name="_Value Copy 11 30 05 gas 12 09 05 AURORA at 12 14 05_Direct Assignment Distribution Plant 2008 5" xfId="5457"/>
    <cellStyle name="_Value Copy 11 30 05 gas 12 09 05 AURORA at 12 14 05_Direct Assignment Distribution Plant 2008 6" xfId="5458"/>
    <cellStyle name="_Value Copy 11 30 05 gas 12 09 05 AURORA at 12 14 05_Electric COS Inputs" xfId="5459"/>
    <cellStyle name="_Value Copy 11 30 05 gas 12 09 05 AURORA at 12 14 05_Electric COS Inputs 2" xfId="5460"/>
    <cellStyle name="_Value Copy 11 30 05 gas 12 09 05 AURORA at 12 14 05_Electric COS Inputs 2 2" xfId="5461"/>
    <cellStyle name="_Value Copy 11 30 05 gas 12 09 05 AURORA at 12 14 05_Electric COS Inputs 2 2 2" xfId="5462"/>
    <cellStyle name="_Value Copy 11 30 05 gas 12 09 05 AURORA at 12 14 05_Electric COS Inputs 2 3" xfId="5463"/>
    <cellStyle name="_Value Copy 11 30 05 gas 12 09 05 AURORA at 12 14 05_Electric COS Inputs 2 3 2" xfId="5464"/>
    <cellStyle name="_Value Copy 11 30 05 gas 12 09 05 AURORA at 12 14 05_Electric COS Inputs 2 4" xfId="5465"/>
    <cellStyle name="_Value Copy 11 30 05 gas 12 09 05 AURORA at 12 14 05_Electric COS Inputs 2 4 2" xfId="5466"/>
    <cellStyle name="_Value Copy 11 30 05 gas 12 09 05 AURORA at 12 14 05_Electric COS Inputs 3" xfId="5467"/>
    <cellStyle name="_Value Copy 11 30 05 gas 12 09 05 AURORA at 12 14 05_Electric COS Inputs 3 2" xfId="5468"/>
    <cellStyle name="_Value Copy 11 30 05 gas 12 09 05 AURORA at 12 14 05_Electric COS Inputs 4" xfId="5469"/>
    <cellStyle name="_Value Copy 11 30 05 gas 12 09 05 AURORA at 12 14 05_Electric COS Inputs 4 2" xfId="5470"/>
    <cellStyle name="_Value Copy 11 30 05 gas 12 09 05 AURORA at 12 14 05_Electric COS Inputs 5" xfId="5471"/>
    <cellStyle name="_Value Copy 11 30 05 gas 12 09 05 AURORA at 12 14 05_Electric COS Inputs 6" xfId="5472"/>
    <cellStyle name="_Value Copy 11 30 05 gas 12 09 05 AURORA at 12 14 05_Electric Rate Spread and Rate Design 3.23.09" xfId="5473"/>
    <cellStyle name="_Value Copy 11 30 05 gas 12 09 05 AURORA at 12 14 05_Electric Rate Spread and Rate Design 3.23.09 2" xfId="5474"/>
    <cellStyle name="_Value Copy 11 30 05 gas 12 09 05 AURORA at 12 14 05_Electric Rate Spread and Rate Design 3.23.09 2 2" xfId="5475"/>
    <cellStyle name="_Value Copy 11 30 05 gas 12 09 05 AURORA at 12 14 05_Electric Rate Spread and Rate Design 3.23.09 2 2 2" xfId="5476"/>
    <cellStyle name="_Value Copy 11 30 05 gas 12 09 05 AURORA at 12 14 05_Electric Rate Spread and Rate Design 3.23.09 2 3" xfId="5477"/>
    <cellStyle name="_Value Copy 11 30 05 gas 12 09 05 AURORA at 12 14 05_Electric Rate Spread and Rate Design 3.23.09 2 3 2" xfId="5478"/>
    <cellStyle name="_Value Copy 11 30 05 gas 12 09 05 AURORA at 12 14 05_Electric Rate Spread and Rate Design 3.23.09 2 4" xfId="5479"/>
    <cellStyle name="_Value Copy 11 30 05 gas 12 09 05 AURORA at 12 14 05_Electric Rate Spread and Rate Design 3.23.09 2 4 2" xfId="5480"/>
    <cellStyle name="_Value Copy 11 30 05 gas 12 09 05 AURORA at 12 14 05_Electric Rate Spread and Rate Design 3.23.09 3" xfId="5481"/>
    <cellStyle name="_Value Copy 11 30 05 gas 12 09 05 AURORA at 12 14 05_Electric Rate Spread and Rate Design 3.23.09 3 2" xfId="5482"/>
    <cellStyle name="_Value Copy 11 30 05 gas 12 09 05 AURORA at 12 14 05_Electric Rate Spread and Rate Design 3.23.09 4" xfId="5483"/>
    <cellStyle name="_Value Copy 11 30 05 gas 12 09 05 AURORA at 12 14 05_Electric Rate Spread and Rate Design 3.23.09 4 2" xfId="5484"/>
    <cellStyle name="_Value Copy 11 30 05 gas 12 09 05 AURORA at 12 14 05_Electric Rate Spread and Rate Design 3.23.09 5" xfId="5485"/>
    <cellStyle name="_Value Copy 11 30 05 gas 12 09 05 AURORA at 12 14 05_Electric Rate Spread and Rate Design 3.23.09 6" xfId="5486"/>
    <cellStyle name="_Value Copy 11 30 05 gas 12 09 05 AURORA at 12 14 05_Exhibit D fr R Gho 12-31-08" xfId="5487"/>
    <cellStyle name="_Value Copy 11 30 05 gas 12 09 05 AURORA at 12 14 05_Exhibit D fr R Gho 12-31-08 2" xfId="5488"/>
    <cellStyle name="_Value Copy 11 30 05 gas 12 09 05 AURORA at 12 14 05_Exhibit D fr R Gho 12-31-08 3" xfId="5489"/>
    <cellStyle name="_Value Copy 11 30 05 gas 12 09 05 AURORA at 12 14 05_Exhibit D fr R Gho 12-31-08 v2" xfId="5490"/>
    <cellStyle name="_Value Copy 11 30 05 gas 12 09 05 AURORA at 12 14 05_Exhibit D fr R Gho 12-31-08 v2 2" xfId="5491"/>
    <cellStyle name="_Value Copy 11 30 05 gas 12 09 05 AURORA at 12 14 05_Exhibit D fr R Gho 12-31-08 v2 3" xfId="5492"/>
    <cellStyle name="_Value Copy 11 30 05 gas 12 09 05 AURORA at 12 14 05_Exhibit D fr R Gho 12-31-08 v2_NIM Summary" xfId="5493"/>
    <cellStyle name="_Value Copy 11 30 05 gas 12 09 05 AURORA at 12 14 05_Exhibit D fr R Gho 12-31-08 v2_NIM Summary 2" xfId="5494"/>
    <cellStyle name="_Value Copy 11 30 05 gas 12 09 05 AURORA at 12 14 05_Exhibit D fr R Gho 12-31-08_NIM Summary" xfId="5495"/>
    <cellStyle name="_Value Copy 11 30 05 gas 12 09 05 AURORA at 12 14 05_Exhibit D fr R Gho 12-31-08_NIM Summary 2" xfId="5496"/>
    <cellStyle name="_Value Copy 11 30 05 gas 12 09 05 AURORA at 12 14 05_Gas Rev Req Model (2010 GRC)" xfId="5497"/>
    <cellStyle name="_Value Copy 11 30 05 gas 12 09 05 AURORA at 12 14 05_Hopkins Ridge Prepaid Tran - Interest Earned RY 12ME Feb  '11" xfId="5498"/>
    <cellStyle name="_Value Copy 11 30 05 gas 12 09 05 AURORA at 12 14 05_Hopkins Ridge Prepaid Tran - Interest Earned RY 12ME Feb  '11 2" xfId="5499"/>
    <cellStyle name="_Value Copy 11 30 05 gas 12 09 05 AURORA at 12 14 05_Hopkins Ridge Prepaid Tran - Interest Earned RY 12ME Feb  '11_NIM Summary" xfId="5500"/>
    <cellStyle name="_Value Copy 11 30 05 gas 12 09 05 AURORA at 12 14 05_Hopkins Ridge Prepaid Tran - Interest Earned RY 12ME Feb  '11_NIM Summary 2" xfId="5501"/>
    <cellStyle name="_Value Copy 11 30 05 gas 12 09 05 AURORA at 12 14 05_Hopkins Ridge Prepaid Tran - Interest Earned RY 12ME Feb  '11_Transmission Workbook for May BOD" xfId="5502"/>
    <cellStyle name="_Value Copy 11 30 05 gas 12 09 05 AURORA at 12 14 05_Hopkins Ridge Prepaid Tran - Interest Earned RY 12ME Feb  '11_Transmission Workbook for May BOD 2" xfId="5503"/>
    <cellStyle name="_Value Copy 11 30 05 gas 12 09 05 AURORA at 12 14 05_INPUTS" xfId="5504"/>
    <cellStyle name="_Value Copy 11 30 05 gas 12 09 05 AURORA at 12 14 05_INPUTS 2" xfId="5505"/>
    <cellStyle name="_Value Copy 11 30 05 gas 12 09 05 AURORA at 12 14 05_INPUTS 2 2" xfId="5506"/>
    <cellStyle name="_Value Copy 11 30 05 gas 12 09 05 AURORA at 12 14 05_INPUTS 2 2 2" xfId="5507"/>
    <cellStyle name="_Value Copy 11 30 05 gas 12 09 05 AURORA at 12 14 05_INPUTS 2 3" xfId="5508"/>
    <cellStyle name="_Value Copy 11 30 05 gas 12 09 05 AURORA at 12 14 05_INPUTS 2 3 2" xfId="5509"/>
    <cellStyle name="_Value Copy 11 30 05 gas 12 09 05 AURORA at 12 14 05_INPUTS 2 4" xfId="5510"/>
    <cellStyle name="_Value Copy 11 30 05 gas 12 09 05 AURORA at 12 14 05_INPUTS 2 4 2" xfId="5511"/>
    <cellStyle name="_Value Copy 11 30 05 gas 12 09 05 AURORA at 12 14 05_INPUTS 3" xfId="5512"/>
    <cellStyle name="_Value Copy 11 30 05 gas 12 09 05 AURORA at 12 14 05_INPUTS 3 2" xfId="5513"/>
    <cellStyle name="_Value Copy 11 30 05 gas 12 09 05 AURORA at 12 14 05_INPUTS 4" xfId="5514"/>
    <cellStyle name="_Value Copy 11 30 05 gas 12 09 05 AURORA at 12 14 05_INPUTS 4 2" xfId="5515"/>
    <cellStyle name="_Value Copy 11 30 05 gas 12 09 05 AURORA at 12 14 05_INPUTS 5" xfId="5516"/>
    <cellStyle name="_Value Copy 11 30 05 gas 12 09 05 AURORA at 12 14 05_INPUTS 6" xfId="5517"/>
    <cellStyle name="_Value Copy 11 30 05 gas 12 09 05 AURORA at 12 14 05_Leased Transformer &amp; Substation Plant &amp; Rev 12-2009" xfId="5518"/>
    <cellStyle name="_Value Copy 11 30 05 gas 12 09 05 AURORA at 12 14 05_Leased Transformer &amp; Substation Plant &amp; Rev 12-2009 2" xfId="5519"/>
    <cellStyle name="_Value Copy 11 30 05 gas 12 09 05 AURORA at 12 14 05_Leased Transformer &amp; Substation Plant &amp; Rev 12-2009 2 2" xfId="5520"/>
    <cellStyle name="_Value Copy 11 30 05 gas 12 09 05 AURORA at 12 14 05_Leased Transformer &amp; Substation Plant &amp; Rev 12-2009 2 2 2" xfId="5521"/>
    <cellStyle name="_Value Copy 11 30 05 gas 12 09 05 AURORA at 12 14 05_Leased Transformer &amp; Substation Plant &amp; Rev 12-2009 2 3" xfId="5522"/>
    <cellStyle name="_Value Copy 11 30 05 gas 12 09 05 AURORA at 12 14 05_Leased Transformer &amp; Substation Plant &amp; Rev 12-2009 2 3 2" xfId="5523"/>
    <cellStyle name="_Value Copy 11 30 05 gas 12 09 05 AURORA at 12 14 05_Leased Transformer &amp; Substation Plant &amp; Rev 12-2009 2 4" xfId="5524"/>
    <cellStyle name="_Value Copy 11 30 05 gas 12 09 05 AURORA at 12 14 05_Leased Transformer &amp; Substation Plant &amp; Rev 12-2009 2 4 2" xfId="5525"/>
    <cellStyle name="_Value Copy 11 30 05 gas 12 09 05 AURORA at 12 14 05_Leased Transformer &amp; Substation Plant &amp; Rev 12-2009 3" xfId="5526"/>
    <cellStyle name="_Value Copy 11 30 05 gas 12 09 05 AURORA at 12 14 05_Leased Transformer &amp; Substation Plant &amp; Rev 12-2009 3 2" xfId="5527"/>
    <cellStyle name="_Value Copy 11 30 05 gas 12 09 05 AURORA at 12 14 05_Leased Transformer &amp; Substation Plant &amp; Rev 12-2009 4" xfId="5528"/>
    <cellStyle name="_Value Copy 11 30 05 gas 12 09 05 AURORA at 12 14 05_Leased Transformer &amp; Substation Plant &amp; Rev 12-2009 4 2" xfId="5529"/>
    <cellStyle name="_Value Copy 11 30 05 gas 12 09 05 AURORA at 12 14 05_Leased Transformer &amp; Substation Plant &amp; Rev 12-2009 5" xfId="5530"/>
    <cellStyle name="_Value Copy 11 30 05 gas 12 09 05 AURORA at 12 14 05_Leased Transformer &amp; Substation Plant &amp; Rev 12-2009 6" xfId="5531"/>
    <cellStyle name="_Value Copy 11 30 05 gas 12 09 05 AURORA at 12 14 05_NIM Summary" xfId="5532"/>
    <cellStyle name="_Value Copy 11 30 05 gas 12 09 05 AURORA at 12 14 05_NIM Summary 09GRC" xfId="5533"/>
    <cellStyle name="_Value Copy 11 30 05 gas 12 09 05 AURORA at 12 14 05_NIM Summary 09GRC 2" xfId="5534"/>
    <cellStyle name="_Value Copy 11 30 05 gas 12 09 05 AURORA at 12 14 05_NIM Summary 2" xfId="5535"/>
    <cellStyle name="_Value Copy 11 30 05 gas 12 09 05 AURORA at 12 14 05_NIM Summary 3" xfId="5536"/>
    <cellStyle name="_Value Copy 11 30 05 gas 12 09 05 AURORA at 12 14 05_NIM Summary 4" xfId="5537"/>
    <cellStyle name="_Value Copy 11 30 05 gas 12 09 05 AURORA at 12 14 05_NIM Summary 5" xfId="5538"/>
    <cellStyle name="_Value Copy 11 30 05 gas 12 09 05 AURORA at 12 14 05_NIM Summary 6" xfId="5539"/>
    <cellStyle name="_Value Copy 11 30 05 gas 12 09 05 AURORA at 12 14 05_NIM Summary 7" xfId="5540"/>
    <cellStyle name="_Value Copy 11 30 05 gas 12 09 05 AURORA at 12 14 05_NIM Summary 8" xfId="5541"/>
    <cellStyle name="_Value Copy 11 30 05 gas 12 09 05 AURORA at 12 14 05_NIM Summary 9" xfId="5542"/>
    <cellStyle name="_Value Copy 11 30 05 gas 12 09 05 AURORA at 12 14 05_PCA 10 -  Exhibit D from A Kellogg Jan 2011" xfId="5543"/>
    <cellStyle name="_Value Copy 11 30 05 gas 12 09 05 AURORA at 12 14 05_PCA 10 -  Exhibit D from A Kellogg July 2011" xfId="5544"/>
    <cellStyle name="_Value Copy 11 30 05 gas 12 09 05 AURORA at 12 14 05_PCA 10 -  Exhibit D from S Free Rcv'd 12-11" xfId="5545"/>
    <cellStyle name="_Value Copy 11 30 05 gas 12 09 05 AURORA at 12 14 05_PCA 7 - Exhibit D update 11_30_08 (2)" xfId="5546"/>
    <cellStyle name="_Value Copy 11 30 05 gas 12 09 05 AURORA at 12 14 05_PCA 7 - Exhibit D update 11_30_08 (2) 2" xfId="5547"/>
    <cellStyle name="_Value Copy 11 30 05 gas 12 09 05 AURORA at 12 14 05_PCA 7 - Exhibit D update 11_30_08 (2) 2 2" xfId="5548"/>
    <cellStyle name="_Value Copy 11 30 05 gas 12 09 05 AURORA at 12 14 05_PCA 7 - Exhibit D update 11_30_08 (2) 3" xfId="5549"/>
    <cellStyle name="_Value Copy 11 30 05 gas 12 09 05 AURORA at 12 14 05_PCA 7 - Exhibit D update 11_30_08 (2) 4" xfId="5550"/>
    <cellStyle name="_Value Copy 11 30 05 gas 12 09 05 AURORA at 12 14 05_PCA 7 - Exhibit D update 11_30_08 (2)_NIM Summary" xfId="5551"/>
    <cellStyle name="_Value Copy 11 30 05 gas 12 09 05 AURORA at 12 14 05_PCA 7 - Exhibit D update 11_30_08 (2)_NIM Summary 2" xfId="5552"/>
    <cellStyle name="_Value Copy 11 30 05 gas 12 09 05 AURORA at 12 14 05_PCA 8 - Exhibit D update 12_31_09" xfId="5553"/>
    <cellStyle name="_Value Copy 11 30 05 gas 12 09 05 AURORA at 12 14 05_PCA 8 - Exhibit D update 12_31_09 2" xfId="5554"/>
    <cellStyle name="_Value Copy 11 30 05 gas 12 09 05 AURORA at 12 14 05_PCA 9 -  Exhibit D April 2010" xfId="5555"/>
    <cellStyle name="_Value Copy 11 30 05 gas 12 09 05 AURORA at 12 14 05_PCA 9 -  Exhibit D April 2010 (3)" xfId="5556"/>
    <cellStyle name="_Value Copy 11 30 05 gas 12 09 05 AURORA at 12 14 05_PCA 9 -  Exhibit D April 2010 (3) 2" xfId="5557"/>
    <cellStyle name="_Value Copy 11 30 05 gas 12 09 05 AURORA at 12 14 05_PCA 9 -  Exhibit D April 2010 2" xfId="5558"/>
    <cellStyle name="_Value Copy 11 30 05 gas 12 09 05 AURORA at 12 14 05_PCA 9 -  Exhibit D April 2010 3" xfId="5559"/>
    <cellStyle name="_Value Copy 11 30 05 gas 12 09 05 AURORA at 12 14 05_PCA 9 -  Exhibit D Feb 2010" xfId="5560"/>
    <cellStyle name="_Value Copy 11 30 05 gas 12 09 05 AURORA at 12 14 05_PCA 9 -  Exhibit D Feb 2010 2" xfId="5561"/>
    <cellStyle name="_Value Copy 11 30 05 gas 12 09 05 AURORA at 12 14 05_PCA 9 -  Exhibit D Feb 2010 v2" xfId="5562"/>
    <cellStyle name="_Value Copy 11 30 05 gas 12 09 05 AURORA at 12 14 05_PCA 9 -  Exhibit D Feb 2010 v2 2" xfId="5563"/>
    <cellStyle name="_Value Copy 11 30 05 gas 12 09 05 AURORA at 12 14 05_PCA 9 -  Exhibit D Feb 2010 WF" xfId="5564"/>
    <cellStyle name="_Value Copy 11 30 05 gas 12 09 05 AURORA at 12 14 05_PCA 9 -  Exhibit D Feb 2010 WF 2" xfId="5565"/>
    <cellStyle name="_Value Copy 11 30 05 gas 12 09 05 AURORA at 12 14 05_PCA 9 -  Exhibit D Jan 2010" xfId="5566"/>
    <cellStyle name="_Value Copy 11 30 05 gas 12 09 05 AURORA at 12 14 05_PCA 9 -  Exhibit D Jan 2010 2" xfId="5567"/>
    <cellStyle name="_Value Copy 11 30 05 gas 12 09 05 AURORA at 12 14 05_PCA 9 -  Exhibit D March 2010 (2)" xfId="5568"/>
    <cellStyle name="_Value Copy 11 30 05 gas 12 09 05 AURORA at 12 14 05_PCA 9 -  Exhibit D March 2010 (2) 2" xfId="5569"/>
    <cellStyle name="_Value Copy 11 30 05 gas 12 09 05 AURORA at 12 14 05_PCA 9 -  Exhibit D Nov 2010" xfId="5570"/>
    <cellStyle name="_Value Copy 11 30 05 gas 12 09 05 AURORA at 12 14 05_PCA 9 -  Exhibit D Nov 2010 2" xfId="5571"/>
    <cellStyle name="_Value Copy 11 30 05 gas 12 09 05 AURORA at 12 14 05_PCA 9 - Exhibit D at August 2010" xfId="5572"/>
    <cellStyle name="_Value Copy 11 30 05 gas 12 09 05 AURORA at 12 14 05_PCA 9 - Exhibit D at August 2010 2" xfId="5573"/>
    <cellStyle name="_Value Copy 11 30 05 gas 12 09 05 AURORA at 12 14 05_PCA 9 - Exhibit D June 2010 GRC" xfId="5574"/>
    <cellStyle name="_Value Copy 11 30 05 gas 12 09 05 AURORA at 12 14 05_PCA 9 - Exhibit D June 2010 GRC 2" xfId="5575"/>
    <cellStyle name="_Value Copy 11 30 05 gas 12 09 05 AURORA at 12 14 05_Power Costs - Comparison bx Rbtl-Staff-Jt-PC" xfId="5576"/>
    <cellStyle name="_Value Copy 11 30 05 gas 12 09 05 AURORA at 12 14 05_Power Costs - Comparison bx Rbtl-Staff-Jt-PC 2" xfId="5577"/>
    <cellStyle name="_Value Copy 11 30 05 gas 12 09 05 AURORA at 12 14 05_Power Costs - Comparison bx Rbtl-Staff-Jt-PC 2 2" xfId="5578"/>
    <cellStyle name="_Value Copy 11 30 05 gas 12 09 05 AURORA at 12 14 05_Power Costs - Comparison bx Rbtl-Staff-Jt-PC 3" xfId="5579"/>
    <cellStyle name="_Value Copy 11 30 05 gas 12 09 05 AURORA at 12 14 05_Power Costs - Comparison bx Rbtl-Staff-Jt-PC 4" xfId="5580"/>
    <cellStyle name="_Value Copy 11 30 05 gas 12 09 05 AURORA at 12 14 05_Power Costs - Comparison bx Rbtl-Staff-Jt-PC_Adj Bench DR 3 for Initial Briefs (Electric)" xfId="5581"/>
    <cellStyle name="_Value Copy 11 30 05 gas 12 09 05 AURORA at 12 14 05_Power Costs - Comparison bx Rbtl-Staff-Jt-PC_Adj Bench DR 3 for Initial Briefs (Electric) 2" xfId="5582"/>
    <cellStyle name="_Value Copy 11 30 05 gas 12 09 05 AURORA at 12 14 05_Power Costs - Comparison bx Rbtl-Staff-Jt-PC_Adj Bench DR 3 for Initial Briefs (Electric) 2 2" xfId="5583"/>
    <cellStyle name="_Value Copy 11 30 05 gas 12 09 05 AURORA at 12 14 05_Power Costs - Comparison bx Rbtl-Staff-Jt-PC_Adj Bench DR 3 for Initial Briefs (Electric) 3" xfId="5584"/>
    <cellStyle name="_Value Copy 11 30 05 gas 12 09 05 AURORA at 12 14 05_Power Costs - Comparison bx Rbtl-Staff-Jt-PC_Adj Bench DR 3 for Initial Briefs (Electric) 4" xfId="5585"/>
    <cellStyle name="_Value Copy 11 30 05 gas 12 09 05 AURORA at 12 14 05_Power Costs - Comparison bx Rbtl-Staff-Jt-PC_Electric Rev Req Model (2009 GRC) Rebuttal" xfId="5586"/>
    <cellStyle name="_Value Copy 11 30 05 gas 12 09 05 AURORA at 12 14 05_Power Costs - Comparison bx Rbtl-Staff-Jt-PC_Electric Rev Req Model (2009 GRC) Rebuttal 2" xfId="5587"/>
    <cellStyle name="_Value Copy 11 30 05 gas 12 09 05 AURORA at 12 14 05_Power Costs - Comparison bx Rbtl-Staff-Jt-PC_Electric Rev Req Model (2009 GRC) Rebuttal 2 2" xfId="5588"/>
    <cellStyle name="_Value Copy 11 30 05 gas 12 09 05 AURORA at 12 14 05_Power Costs - Comparison bx Rbtl-Staff-Jt-PC_Electric Rev Req Model (2009 GRC) Rebuttal 3" xfId="5589"/>
    <cellStyle name="_Value Copy 11 30 05 gas 12 09 05 AURORA at 12 14 05_Power Costs - Comparison bx Rbtl-Staff-Jt-PC_Electric Rev Req Model (2009 GRC) Rebuttal 4" xfId="5590"/>
    <cellStyle name="_Value Copy 11 30 05 gas 12 09 05 AURORA at 12 14 05_Power Costs - Comparison bx Rbtl-Staff-Jt-PC_Electric Rev Req Model (2009 GRC) Rebuttal REmoval of New  WH Solar AdjustMI" xfId="5591"/>
    <cellStyle name="_Value Copy 11 30 05 gas 12 09 05 AURORA at 12 14 05_Power Costs - Comparison bx Rbtl-Staff-Jt-PC_Electric Rev Req Model (2009 GRC) Rebuttal REmoval of New  WH Solar AdjustMI 2" xfId="5592"/>
    <cellStyle name="_Value Copy 11 30 05 gas 12 09 05 AURORA at 12 14 05_Power Costs - Comparison bx Rbtl-Staff-Jt-PC_Electric Rev Req Model (2009 GRC) Rebuttal REmoval of New  WH Solar AdjustMI 2 2" xfId="5593"/>
    <cellStyle name="_Value Copy 11 30 05 gas 12 09 05 AURORA at 12 14 05_Power Costs - Comparison bx Rbtl-Staff-Jt-PC_Electric Rev Req Model (2009 GRC) Rebuttal REmoval of New  WH Solar AdjustMI 3" xfId="5594"/>
    <cellStyle name="_Value Copy 11 30 05 gas 12 09 05 AURORA at 12 14 05_Power Costs - Comparison bx Rbtl-Staff-Jt-PC_Electric Rev Req Model (2009 GRC) Rebuttal REmoval of New  WH Solar AdjustMI 4" xfId="5595"/>
    <cellStyle name="_Value Copy 11 30 05 gas 12 09 05 AURORA at 12 14 05_Power Costs - Comparison bx Rbtl-Staff-Jt-PC_Electric Rev Req Model (2009 GRC) Revised 01-18-2010" xfId="5596"/>
    <cellStyle name="_Value Copy 11 30 05 gas 12 09 05 AURORA at 12 14 05_Power Costs - Comparison bx Rbtl-Staff-Jt-PC_Electric Rev Req Model (2009 GRC) Revised 01-18-2010 2" xfId="5597"/>
    <cellStyle name="_Value Copy 11 30 05 gas 12 09 05 AURORA at 12 14 05_Power Costs - Comparison bx Rbtl-Staff-Jt-PC_Electric Rev Req Model (2009 GRC) Revised 01-18-2010 2 2" xfId="5598"/>
    <cellStyle name="_Value Copy 11 30 05 gas 12 09 05 AURORA at 12 14 05_Power Costs - Comparison bx Rbtl-Staff-Jt-PC_Electric Rev Req Model (2009 GRC) Revised 01-18-2010 3" xfId="5599"/>
    <cellStyle name="_Value Copy 11 30 05 gas 12 09 05 AURORA at 12 14 05_Power Costs - Comparison bx Rbtl-Staff-Jt-PC_Electric Rev Req Model (2009 GRC) Revised 01-18-2010 4" xfId="5600"/>
    <cellStyle name="_Value Copy 11 30 05 gas 12 09 05 AURORA at 12 14 05_Power Costs - Comparison bx Rbtl-Staff-Jt-PC_Final Order Electric EXHIBIT A-1" xfId="5601"/>
    <cellStyle name="_Value Copy 11 30 05 gas 12 09 05 AURORA at 12 14 05_Power Costs - Comparison bx Rbtl-Staff-Jt-PC_Final Order Electric EXHIBIT A-1 2" xfId="5602"/>
    <cellStyle name="_Value Copy 11 30 05 gas 12 09 05 AURORA at 12 14 05_Power Costs - Comparison bx Rbtl-Staff-Jt-PC_Final Order Electric EXHIBIT A-1 2 2" xfId="5603"/>
    <cellStyle name="_Value Copy 11 30 05 gas 12 09 05 AURORA at 12 14 05_Power Costs - Comparison bx Rbtl-Staff-Jt-PC_Final Order Electric EXHIBIT A-1 3" xfId="5604"/>
    <cellStyle name="_Value Copy 11 30 05 gas 12 09 05 AURORA at 12 14 05_Power Costs - Comparison bx Rbtl-Staff-Jt-PC_Final Order Electric EXHIBIT A-1 4" xfId="5605"/>
    <cellStyle name="_Value Copy 11 30 05 gas 12 09 05 AURORA at 12 14 05_Production Adj 4.37" xfId="5606"/>
    <cellStyle name="_Value Copy 11 30 05 gas 12 09 05 AURORA at 12 14 05_Production Adj 4.37 2" xfId="5607"/>
    <cellStyle name="_Value Copy 11 30 05 gas 12 09 05 AURORA at 12 14 05_Production Adj 4.37 2 2" xfId="5608"/>
    <cellStyle name="_Value Copy 11 30 05 gas 12 09 05 AURORA at 12 14 05_Production Adj 4.37 3" xfId="5609"/>
    <cellStyle name="_Value Copy 11 30 05 gas 12 09 05 AURORA at 12 14 05_Purchased Power Adj 4.03" xfId="5610"/>
    <cellStyle name="_Value Copy 11 30 05 gas 12 09 05 AURORA at 12 14 05_Purchased Power Adj 4.03 2" xfId="5611"/>
    <cellStyle name="_Value Copy 11 30 05 gas 12 09 05 AURORA at 12 14 05_Purchased Power Adj 4.03 2 2" xfId="5612"/>
    <cellStyle name="_Value Copy 11 30 05 gas 12 09 05 AURORA at 12 14 05_Purchased Power Adj 4.03 3" xfId="5613"/>
    <cellStyle name="_Value Copy 11 30 05 gas 12 09 05 AURORA at 12 14 05_Rate Design Sch 24" xfId="5614"/>
    <cellStyle name="_Value Copy 11 30 05 gas 12 09 05 AURORA at 12 14 05_Rate Design Sch 24 2" xfId="5615"/>
    <cellStyle name="_Value Copy 11 30 05 gas 12 09 05 AURORA at 12 14 05_Rate Design Sch 25" xfId="5616"/>
    <cellStyle name="_Value Copy 11 30 05 gas 12 09 05 AURORA at 12 14 05_Rate Design Sch 25 2" xfId="5617"/>
    <cellStyle name="_Value Copy 11 30 05 gas 12 09 05 AURORA at 12 14 05_Rate Design Sch 25 2 2" xfId="5618"/>
    <cellStyle name="_Value Copy 11 30 05 gas 12 09 05 AURORA at 12 14 05_Rate Design Sch 25 3" xfId="5619"/>
    <cellStyle name="_Value Copy 11 30 05 gas 12 09 05 AURORA at 12 14 05_Rate Design Sch 26" xfId="5620"/>
    <cellStyle name="_Value Copy 11 30 05 gas 12 09 05 AURORA at 12 14 05_Rate Design Sch 26 2" xfId="5621"/>
    <cellStyle name="_Value Copy 11 30 05 gas 12 09 05 AURORA at 12 14 05_Rate Design Sch 26 2 2" xfId="5622"/>
    <cellStyle name="_Value Copy 11 30 05 gas 12 09 05 AURORA at 12 14 05_Rate Design Sch 26 3" xfId="5623"/>
    <cellStyle name="_Value Copy 11 30 05 gas 12 09 05 AURORA at 12 14 05_Rate Design Sch 31" xfId="5624"/>
    <cellStyle name="_Value Copy 11 30 05 gas 12 09 05 AURORA at 12 14 05_Rate Design Sch 31 2" xfId="5625"/>
    <cellStyle name="_Value Copy 11 30 05 gas 12 09 05 AURORA at 12 14 05_Rate Design Sch 31 2 2" xfId="5626"/>
    <cellStyle name="_Value Copy 11 30 05 gas 12 09 05 AURORA at 12 14 05_Rate Design Sch 31 3" xfId="5627"/>
    <cellStyle name="_Value Copy 11 30 05 gas 12 09 05 AURORA at 12 14 05_Rate Design Sch 43" xfId="5628"/>
    <cellStyle name="_Value Copy 11 30 05 gas 12 09 05 AURORA at 12 14 05_Rate Design Sch 43 2" xfId="5629"/>
    <cellStyle name="_Value Copy 11 30 05 gas 12 09 05 AURORA at 12 14 05_Rate Design Sch 43 2 2" xfId="5630"/>
    <cellStyle name="_Value Copy 11 30 05 gas 12 09 05 AURORA at 12 14 05_Rate Design Sch 43 3" xfId="5631"/>
    <cellStyle name="_Value Copy 11 30 05 gas 12 09 05 AURORA at 12 14 05_Rate Design Sch 448-449" xfId="5632"/>
    <cellStyle name="_Value Copy 11 30 05 gas 12 09 05 AURORA at 12 14 05_Rate Design Sch 448-449 2" xfId="5633"/>
    <cellStyle name="_Value Copy 11 30 05 gas 12 09 05 AURORA at 12 14 05_Rate Design Sch 46" xfId="5634"/>
    <cellStyle name="_Value Copy 11 30 05 gas 12 09 05 AURORA at 12 14 05_Rate Design Sch 46 2" xfId="5635"/>
    <cellStyle name="_Value Copy 11 30 05 gas 12 09 05 AURORA at 12 14 05_Rate Design Sch 46 2 2" xfId="5636"/>
    <cellStyle name="_Value Copy 11 30 05 gas 12 09 05 AURORA at 12 14 05_Rate Design Sch 46 3" xfId="5637"/>
    <cellStyle name="_Value Copy 11 30 05 gas 12 09 05 AURORA at 12 14 05_Rate Spread" xfId="5638"/>
    <cellStyle name="_Value Copy 11 30 05 gas 12 09 05 AURORA at 12 14 05_Rate Spread 2" xfId="5639"/>
    <cellStyle name="_Value Copy 11 30 05 gas 12 09 05 AURORA at 12 14 05_Rate Spread 2 2" xfId="5640"/>
    <cellStyle name="_Value Copy 11 30 05 gas 12 09 05 AURORA at 12 14 05_Rate Spread 3" xfId="5641"/>
    <cellStyle name="_Value Copy 11 30 05 gas 12 09 05 AURORA at 12 14 05_Rebuttal Power Costs" xfId="5642"/>
    <cellStyle name="_Value Copy 11 30 05 gas 12 09 05 AURORA at 12 14 05_Rebuttal Power Costs 2" xfId="5643"/>
    <cellStyle name="_Value Copy 11 30 05 gas 12 09 05 AURORA at 12 14 05_Rebuttal Power Costs 2 2" xfId="5644"/>
    <cellStyle name="_Value Copy 11 30 05 gas 12 09 05 AURORA at 12 14 05_Rebuttal Power Costs 3" xfId="5645"/>
    <cellStyle name="_Value Copy 11 30 05 gas 12 09 05 AURORA at 12 14 05_Rebuttal Power Costs 4" xfId="5646"/>
    <cellStyle name="_Value Copy 11 30 05 gas 12 09 05 AURORA at 12 14 05_Rebuttal Power Costs_Adj Bench DR 3 for Initial Briefs (Electric)" xfId="5647"/>
    <cellStyle name="_Value Copy 11 30 05 gas 12 09 05 AURORA at 12 14 05_Rebuttal Power Costs_Adj Bench DR 3 for Initial Briefs (Electric) 2" xfId="5648"/>
    <cellStyle name="_Value Copy 11 30 05 gas 12 09 05 AURORA at 12 14 05_Rebuttal Power Costs_Adj Bench DR 3 for Initial Briefs (Electric) 2 2" xfId="5649"/>
    <cellStyle name="_Value Copy 11 30 05 gas 12 09 05 AURORA at 12 14 05_Rebuttal Power Costs_Adj Bench DR 3 for Initial Briefs (Electric) 3" xfId="5650"/>
    <cellStyle name="_Value Copy 11 30 05 gas 12 09 05 AURORA at 12 14 05_Rebuttal Power Costs_Adj Bench DR 3 for Initial Briefs (Electric) 4" xfId="5651"/>
    <cellStyle name="_Value Copy 11 30 05 gas 12 09 05 AURORA at 12 14 05_Rebuttal Power Costs_Electric Rev Req Model (2009 GRC) Rebuttal" xfId="5652"/>
    <cellStyle name="_Value Copy 11 30 05 gas 12 09 05 AURORA at 12 14 05_Rebuttal Power Costs_Electric Rev Req Model (2009 GRC) Rebuttal 2" xfId="5653"/>
    <cellStyle name="_Value Copy 11 30 05 gas 12 09 05 AURORA at 12 14 05_Rebuttal Power Costs_Electric Rev Req Model (2009 GRC) Rebuttal 2 2" xfId="5654"/>
    <cellStyle name="_Value Copy 11 30 05 gas 12 09 05 AURORA at 12 14 05_Rebuttal Power Costs_Electric Rev Req Model (2009 GRC) Rebuttal 3" xfId="5655"/>
    <cellStyle name="_Value Copy 11 30 05 gas 12 09 05 AURORA at 12 14 05_Rebuttal Power Costs_Electric Rev Req Model (2009 GRC) Rebuttal 4" xfId="5656"/>
    <cellStyle name="_Value Copy 11 30 05 gas 12 09 05 AURORA at 12 14 05_Rebuttal Power Costs_Electric Rev Req Model (2009 GRC) Rebuttal REmoval of New  WH Solar AdjustMI" xfId="5657"/>
    <cellStyle name="_Value Copy 11 30 05 gas 12 09 05 AURORA at 12 14 05_Rebuttal Power Costs_Electric Rev Req Model (2009 GRC) Rebuttal REmoval of New  WH Solar AdjustMI 2" xfId="5658"/>
    <cellStyle name="_Value Copy 11 30 05 gas 12 09 05 AURORA at 12 14 05_Rebuttal Power Costs_Electric Rev Req Model (2009 GRC) Rebuttal REmoval of New  WH Solar AdjustMI 2 2" xfId="5659"/>
    <cellStyle name="_Value Copy 11 30 05 gas 12 09 05 AURORA at 12 14 05_Rebuttal Power Costs_Electric Rev Req Model (2009 GRC) Rebuttal REmoval of New  WH Solar AdjustMI 3" xfId="5660"/>
    <cellStyle name="_Value Copy 11 30 05 gas 12 09 05 AURORA at 12 14 05_Rebuttal Power Costs_Electric Rev Req Model (2009 GRC) Rebuttal REmoval of New  WH Solar AdjustMI 4" xfId="5661"/>
    <cellStyle name="_Value Copy 11 30 05 gas 12 09 05 AURORA at 12 14 05_Rebuttal Power Costs_Electric Rev Req Model (2009 GRC) Revised 01-18-2010" xfId="5662"/>
    <cellStyle name="_Value Copy 11 30 05 gas 12 09 05 AURORA at 12 14 05_Rebuttal Power Costs_Electric Rev Req Model (2009 GRC) Revised 01-18-2010 2" xfId="5663"/>
    <cellStyle name="_Value Copy 11 30 05 gas 12 09 05 AURORA at 12 14 05_Rebuttal Power Costs_Electric Rev Req Model (2009 GRC) Revised 01-18-2010 2 2" xfId="5664"/>
    <cellStyle name="_Value Copy 11 30 05 gas 12 09 05 AURORA at 12 14 05_Rebuttal Power Costs_Electric Rev Req Model (2009 GRC) Revised 01-18-2010 3" xfId="5665"/>
    <cellStyle name="_Value Copy 11 30 05 gas 12 09 05 AURORA at 12 14 05_Rebuttal Power Costs_Electric Rev Req Model (2009 GRC) Revised 01-18-2010 4" xfId="5666"/>
    <cellStyle name="_Value Copy 11 30 05 gas 12 09 05 AURORA at 12 14 05_Rebuttal Power Costs_Final Order Electric EXHIBIT A-1" xfId="5667"/>
    <cellStyle name="_Value Copy 11 30 05 gas 12 09 05 AURORA at 12 14 05_Rebuttal Power Costs_Final Order Electric EXHIBIT A-1 2" xfId="5668"/>
    <cellStyle name="_Value Copy 11 30 05 gas 12 09 05 AURORA at 12 14 05_Rebuttal Power Costs_Final Order Electric EXHIBIT A-1 2 2" xfId="5669"/>
    <cellStyle name="_Value Copy 11 30 05 gas 12 09 05 AURORA at 12 14 05_Rebuttal Power Costs_Final Order Electric EXHIBIT A-1 3" xfId="5670"/>
    <cellStyle name="_Value Copy 11 30 05 gas 12 09 05 AURORA at 12 14 05_Rebuttal Power Costs_Final Order Electric EXHIBIT A-1 4" xfId="5671"/>
    <cellStyle name="_Value Copy 11 30 05 gas 12 09 05 AURORA at 12 14 05_ROR 5.02" xfId="5672"/>
    <cellStyle name="_Value Copy 11 30 05 gas 12 09 05 AURORA at 12 14 05_ROR 5.02 2" xfId="5673"/>
    <cellStyle name="_Value Copy 11 30 05 gas 12 09 05 AURORA at 12 14 05_ROR 5.02 2 2" xfId="5674"/>
    <cellStyle name="_Value Copy 11 30 05 gas 12 09 05 AURORA at 12 14 05_ROR 5.02 3" xfId="5675"/>
    <cellStyle name="_Value Copy 11 30 05 gas 12 09 05 AURORA at 12 14 05_Sch 40 Feeder OH 2008" xfId="5676"/>
    <cellStyle name="_Value Copy 11 30 05 gas 12 09 05 AURORA at 12 14 05_Sch 40 Feeder OH 2008 2" xfId="5677"/>
    <cellStyle name="_Value Copy 11 30 05 gas 12 09 05 AURORA at 12 14 05_Sch 40 Feeder OH 2008 2 2" xfId="5678"/>
    <cellStyle name="_Value Copy 11 30 05 gas 12 09 05 AURORA at 12 14 05_Sch 40 Feeder OH 2008 3" xfId="5679"/>
    <cellStyle name="_Value Copy 11 30 05 gas 12 09 05 AURORA at 12 14 05_Sch 40 Interim Energy Rates " xfId="5680"/>
    <cellStyle name="_Value Copy 11 30 05 gas 12 09 05 AURORA at 12 14 05_Sch 40 Interim Energy Rates  2" xfId="5681"/>
    <cellStyle name="_Value Copy 11 30 05 gas 12 09 05 AURORA at 12 14 05_Sch 40 Interim Energy Rates  2 2" xfId="5682"/>
    <cellStyle name="_Value Copy 11 30 05 gas 12 09 05 AURORA at 12 14 05_Sch 40 Interim Energy Rates  3" xfId="5683"/>
    <cellStyle name="_Value Copy 11 30 05 gas 12 09 05 AURORA at 12 14 05_Sch 40 Substation A&amp;G 2008" xfId="5684"/>
    <cellStyle name="_Value Copy 11 30 05 gas 12 09 05 AURORA at 12 14 05_Sch 40 Substation A&amp;G 2008 2" xfId="5685"/>
    <cellStyle name="_Value Copy 11 30 05 gas 12 09 05 AURORA at 12 14 05_Sch 40 Substation A&amp;G 2008 2 2" xfId="5686"/>
    <cellStyle name="_Value Copy 11 30 05 gas 12 09 05 AURORA at 12 14 05_Sch 40 Substation A&amp;G 2008 3" xfId="5687"/>
    <cellStyle name="_Value Copy 11 30 05 gas 12 09 05 AURORA at 12 14 05_Sch 40 Substation O&amp;M 2008" xfId="5688"/>
    <cellStyle name="_Value Copy 11 30 05 gas 12 09 05 AURORA at 12 14 05_Sch 40 Substation O&amp;M 2008 2" xfId="5689"/>
    <cellStyle name="_Value Copy 11 30 05 gas 12 09 05 AURORA at 12 14 05_Sch 40 Substation O&amp;M 2008 2 2" xfId="5690"/>
    <cellStyle name="_Value Copy 11 30 05 gas 12 09 05 AURORA at 12 14 05_Sch 40 Substation O&amp;M 2008 3" xfId="5691"/>
    <cellStyle name="_Value Copy 11 30 05 gas 12 09 05 AURORA at 12 14 05_Subs 2008" xfId="5692"/>
    <cellStyle name="_Value Copy 11 30 05 gas 12 09 05 AURORA at 12 14 05_Subs 2008 2" xfId="5693"/>
    <cellStyle name="_Value Copy 11 30 05 gas 12 09 05 AURORA at 12 14 05_Subs 2008 2 2" xfId="5694"/>
    <cellStyle name="_Value Copy 11 30 05 gas 12 09 05 AURORA at 12 14 05_Subs 2008 3" xfId="5695"/>
    <cellStyle name="_Value Copy 11 30 05 gas 12 09 05 AURORA at 12 14 05_Transmission Workbook for May BOD" xfId="5696"/>
    <cellStyle name="_Value Copy 11 30 05 gas 12 09 05 AURORA at 12 14 05_Transmission Workbook for May BOD 2" xfId="5697"/>
    <cellStyle name="_Value Copy 11 30 05 gas 12 09 05 AURORA at 12 14 05_Wind Integration 10GRC" xfId="5698"/>
    <cellStyle name="_Value Copy 11 30 05 gas 12 09 05 AURORA at 12 14 05_Wind Integration 10GRC 2" xfId="5699"/>
    <cellStyle name="_VC 2007GRC PC 10312007" xfId="5700"/>
    <cellStyle name="_VC 6.15.06 update on 06GRC power costs.xls Chart 1" xfId="5701"/>
    <cellStyle name="_VC 6.15.06 update on 06GRC power costs.xls Chart 1 2" xfId="5702"/>
    <cellStyle name="_VC 6.15.06 update on 06GRC power costs.xls Chart 1 2 2" xfId="5703"/>
    <cellStyle name="_VC 6.15.06 update on 06GRC power costs.xls Chart 1 2 2 2" xfId="5704"/>
    <cellStyle name="_VC 6.15.06 update on 06GRC power costs.xls Chart 1 2 3" xfId="5705"/>
    <cellStyle name="_VC 6.15.06 update on 06GRC power costs.xls Chart 1 3" xfId="5706"/>
    <cellStyle name="_VC 6.15.06 update on 06GRC power costs.xls Chart 1 3 2" xfId="5707"/>
    <cellStyle name="_VC 6.15.06 update on 06GRC power costs.xls Chart 1 3 2 2" xfId="5708"/>
    <cellStyle name="_VC 6.15.06 update on 06GRC power costs.xls Chart 1 3 3" xfId="5709"/>
    <cellStyle name="_VC 6.15.06 update on 06GRC power costs.xls Chart 1 3 3 2" xfId="5710"/>
    <cellStyle name="_VC 6.15.06 update on 06GRC power costs.xls Chart 1 3 4" xfId="5711"/>
    <cellStyle name="_VC 6.15.06 update on 06GRC power costs.xls Chart 1 3 4 2" xfId="5712"/>
    <cellStyle name="_VC 6.15.06 update on 06GRC power costs.xls Chart 1 4" xfId="5713"/>
    <cellStyle name="_VC 6.15.06 update on 06GRC power costs.xls Chart 1 4 2" xfId="5714"/>
    <cellStyle name="_VC 6.15.06 update on 06GRC power costs.xls Chart 1 5" xfId="5715"/>
    <cellStyle name="_VC 6.15.06 update on 06GRC power costs.xls Chart 1 6" xfId="5716"/>
    <cellStyle name="_VC 6.15.06 update on 06GRC power costs.xls Chart 1 7" xfId="5717"/>
    <cellStyle name="_VC 6.15.06 update on 06GRC power costs.xls Chart 1_04 07E Wild Horse Wind Expansion (C) (2)" xfId="5718"/>
    <cellStyle name="_VC 6.15.06 update on 06GRC power costs.xls Chart 1_04 07E Wild Horse Wind Expansion (C) (2) 2" xfId="5719"/>
    <cellStyle name="_VC 6.15.06 update on 06GRC power costs.xls Chart 1_04 07E Wild Horse Wind Expansion (C) (2) 2 2" xfId="5720"/>
    <cellStyle name="_VC 6.15.06 update on 06GRC power costs.xls Chart 1_04 07E Wild Horse Wind Expansion (C) (2) 3" xfId="5721"/>
    <cellStyle name="_VC 6.15.06 update on 06GRC power costs.xls Chart 1_04 07E Wild Horse Wind Expansion (C) (2) 4" xfId="5722"/>
    <cellStyle name="_VC 6.15.06 update on 06GRC power costs.xls Chart 1_04 07E Wild Horse Wind Expansion (C) (2)_Adj Bench DR 3 for Initial Briefs (Electric)" xfId="5723"/>
    <cellStyle name="_VC 6.15.06 update on 06GRC power costs.xls Chart 1_04 07E Wild Horse Wind Expansion (C) (2)_Adj Bench DR 3 for Initial Briefs (Electric) 2" xfId="5724"/>
    <cellStyle name="_VC 6.15.06 update on 06GRC power costs.xls Chart 1_04 07E Wild Horse Wind Expansion (C) (2)_Adj Bench DR 3 for Initial Briefs (Electric) 2 2" xfId="5725"/>
    <cellStyle name="_VC 6.15.06 update on 06GRC power costs.xls Chart 1_04 07E Wild Horse Wind Expansion (C) (2)_Adj Bench DR 3 for Initial Briefs (Electric) 3" xfId="5726"/>
    <cellStyle name="_VC 6.15.06 update on 06GRC power costs.xls Chart 1_04 07E Wild Horse Wind Expansion (C) (2)_Adj Bench DR 3 for Initial Briefs (Electric) 4" xfId="5727"/>
    <cellStyle name="_VC 6.15.06 update on 06GRC power costs.xls Chart 1_04 07E Wild Horse Wind Expansion (C) (2)_Book1" xfId="5728"/>
    <cellStyle name="_VC 6.15.06 update on 06GRC power costs.xls Chart 1_04 07E Wild Horse Wind Expansion (C) (2)_Electric Rev Req Model (2009 GRC) " xfId="5729"/>
    <cellStyle name="_VC 6.15.06 update on 06GRC power costs.xls Chart 1_04 07E Wild Horse Wind Expansion (C) (2)_Electric Rev Req Model (2009 GRC)  2" xfId="5730"/>
    <cellStyle name="_VC 6.15.06 update on 06GRC power costs.xls Chart 1_04 07E Wild Horse Wind Expansion (C) (2)_Electric Rev Req Model (2009 GRC)  2 2" xfId="5731"/>
    <cellStyle name="_VC 6.15.06 update on 06GRC power costs.xls Chart 1_04 07E Wild Horse Wind Expansion (C) (2)_Electric Rev Req Model (2009 GRC)  3" xfId="5732"/>
    <cellStyle name="_VC 6.15.06 update on 06GRC power costs.xls Chart 1_04 07E Wild Horse Wind Expansion (C) (2)_Electric Rev Req Model (2009 GRC)  4" xfId="5733"/>
    <cellStyle name="_VC 6.15.06 update on 06GRC power costs.xls Chart 1_04 07E Wild Horse Wind Expansion (C) (2)_Electric Rev Req Model (2009 GRC) Rebuttal" xfId="5734"/>
    <cellStyle name="_VC 6.15.06 update on 06GRC power costs.xls Chart 1_04 07E Wild Horse Wind Expansion (C) (2)_Electric Rev Req Model (2009 GRC) Rebuttal 2" xfId="5735"/>
    <cellStyle name="_VC 6.15.06 update on 06GRC power costs.xls Chart 1_04 07E Wild Horse Wind Expansion (C) (2)_Electric Rev Req Model (2009 GRC) Rebuttal 2 2" xfId="5736"/>
    <cellStyle name="_VC 6.15.06 update on 06GRC power costs.xls Chart 1_04 07E Wild Horse Wind Expansion (C) (2)_Electric Rev Req Model (2009 GRC) Rebuttal 3" xfId="5737"/>
    <cellStyle name="_VC 6.15.06 update on 06GRC power costs.xls Chart 1_04 07E Wild Horse Wind Expansion (C) (2)_Electric Rev Req Model (2009 GRC) Rebuttal 4" xfId="5738"/>
    <cellStyle name="_VC 6.15.06 update on 06GRC power costs.xls Chart 1_04 07E Wild Horse Wind Expansion (C) (2)_Electric Rev Req Model (2009 GRC) Rebuttal REmoval of New  WH Solar AdjustMI" xfId="5739"/>
    <cellStyle name="_VC 6.15.06 update on 06GRC power costs.xls Chart 1_04 07E Wild Horse Wind Expansion (C) (2)_Electric Rev Req Model (2009 GRC) Rebuttal REmoval of New  WH Solar AdjustMI 2" xfId="5740"/>
    <cellStyle name="_VC 6.15.06 update on 06GRC power costs.xls Chart 1_04 07E Wild Horse Wind Expansion (C) (2)_Electric Rev Req Model (2009 GRC) Rebuttal REmoval of New  WH Solar AdjustMI 2 2" xfId="5741"/>
    <cellStyle name="_VC 6.15.06 update on 06GRC power costs.xls Chart 1_04 07E Wild Horse Wind Expansion (C) (2)_Electric Rev Req Model (2009 GRC) Rebuttal REmoval of New  WH Solar AdjustMI 3" xfId="5742"/>
    <cellStyle name="_VC 6.15.06 update on 06GRC power costs.xls Chart 1_04 07E Wild Horse Wind Expansion (C) (2)_Electric Rev Req Model (2009 GRC) Rebuttal REmoval of New  WH Solar AdjustMI 4" xfId="5743"/>
    <cellStyle name="_VC 6.15.06 update on 06GRC power costs.xls Chart 1_04 07E Wild Horse Wind Expansion (C) (2)_Electric Rev Req Model (2009 GRC) Revised 01-18-2010" xfId="5744"/>
    <cellStyle name="_VC 6.15.06 update on 06GRC power costs.xls Chart 1_04 07E Wild Horse Wind Expansion (C) (2)_Electric Rev Req Model (2009 GRC) Revised 01-18-2010 2" xfId="5745"/>
    <cellStyle name="_VC 6.15.06 update on 06GRC power costs.xls Chart 1_04 07E Wild Horse Wind Expansion (C) (2)_Electric Rev Req Model (2009 GRC) Revised 01-18-2010 2 2" xfId="5746"/>
    <cellStyle name="_VC 6.15.06 update on 06GRC power costs.xls Chart 1_04 07E Wild Horse Wind Expansion (C) (2)_Electric Rev Req Model (2009 GRC) Revised 01-18-2010 3" xfId="5747"/>
    <cellStyle name="_VC 6.15.06 update on 06GRC power costs.xls Chart 1_04 07E Wild Horse Wind Expansion (C) (2)_Electric Rev Req Model (2009 GRC) Revised 01-18-2010 4" xfId="5748"/>
    <cellStyle name="_VC 6.15.06 update on 06GRC power costs.xls Chart 1_04 07E Wild Horse Wind Expansion (C) (2)_Electric Rev Req Model (2010 GRC)" xfId="5749"/>
    <cellStyle name="_VC 6.15.06 update on 06GRC power costs.xls Chart 1_04 07E Wild Horse Wind Expansion (C) (2)_Electric Rev Req Model (2010 GRC) SF" xfId="5750"/>
    <cellStyle name="_VC 6.15.06 update on 06GRC power costs.xls Chart 1_04 07E Wild Horse Wind Expansion (C) (2)_Final Order Electric EXHIBIT A-1" xfId="5751"/>
    <cellStyle name="_VC 6.15.06 update on 06GRC power costs.xls Chart 1_04 07E Wild Horse Wind Expansion (C) (2)_Final Order Electric EXHIBIT A-1 2" xfId="5752"/>
    <cellStyle name="_VC 6.15.06 update on 06GRC power costs.xls Chart 1_04 07E Wild Horse Wind Expansion (C) (2)_Final Order Electric EXHIBIT A-1 2 2" xfId="5753"/>
    <cellStyle name="_VC 6.15.06 update on 06GRC power costs.xls Chart 1_04 07E Wild Horse Wind Expansion (C) (2)_Final Order Electric EXHIBIT A-1 3" xfId="5754"/>
    <cellStyle name="_VC 6.15.06 update on 06GRC power costs.xls Chart 1_04 07E Wild Horse Wind Expansion (C) (2)_Final Order Electric EXHIBIT A-1 4" xfId="5755"/>
    <cellStyle name="_VC 6.15.06 update on 06GRC power costs.xls Chart 1_04 07E Wild Horse Wind Expansion (C) (2)_TENASKA REGULATORY ASSET" xfId="5756"/>
    <cellStyle name="_VC 6.15.06 update on 06GRC power costs.xls Chart 1_04 07E Wild Horse Wind Expansion (C) (2)_TENASKA REGULATORY ASSET 2" xfId="5757"/>
    <cellStyle name="_VC 6.15.06 update on 06GRC power costs.xls Chart 1_04 07E Wild Horse Wind Expansion (C) (2)_TENASKA REGULATORY ASSET 2 2" xfId="5758"/>
    <cellStyle name="_VC 6.15.06 update on 06GRC power costs.xls Chart 1_04 07E Wild Horse Wind Expansion (C) (2)_TENASKA REGULATORY ASSET 3" xfId="5759"/>
    <cellStyle name="_VC 6.15.06 update on 06GRC power costs.xls Chart 1_04 07E Wild Horse Wind Expansion (C) (2)_TENASKA REGULATORY ASSET 4" xfId="5760"/>
    <cellStyle name="_VC 6.15.06 update on 06GRC power costs.xls Chart 1_16.37E Wild Horse Expansion DeferralRevwrkingfile SF" xfId="5761"/>
    <cellStyle name="_VC 6.15.06 update on 06GRC power costs.xls Chart 1_16.37E Wild Horse Expansion DeferralRevwrkingfile SF 2" xfId="5762"/>
    <cellStyle name="_VC 6.15.06 update on 06GRC power costs.xls Chart 1_16.37E Wild Horse Expansion DeferralRevwrkingfile SF 2 2" xfId="5763"/>
    <cellStyle name="_VC 6.15.06 update on 06GRC power costs.xls Chart 1_16.37E Wild Horse Expansion DeferralRevwrkingfile SF 3" xfId="5764"/>
    <cellStyle name="_VC 6.15.06 update on 06GRC power costs.xls Chart 1_16.37E Wild Horse Expansion DeferralRevwrkingfile SF 4" xfId="5765"/>
    <cellStyle name="_VC 6.15.06 update on 06GRC power costs.xls Chart 1_2009 Compliance Filing PCA Exhibits for GRC" xfId="5766"/>
    <cellStyle name="_VC 6.15.06 update on 06GRC power costs.xls Chart 1_2009 Compliance Filing PCA Exhibits for GRC 2" xfId="5767"/>
    <cellStyle name="_VC 6.15.06 update on 06GRC power costs.xls Chart 1_2009 GRC Compl Filing - Exhibit D" xfId="5768"/>
    <cellStyle name="_VC 6.15.06 update on 06GRC power costs.xls Chart 1_2009 GRC Compl Filing - Exhibit D 2" xfId="5769"/>
    <cellStyle name="_VC 6.15.06 update on 06GRC power costs.xls Chart 1_2009 GRC Compl Filing - Exhibit D 3" xfId="5770"/>
    <cellStyle name="_VC 6.15.06 update on 06GRC power costs.xls Chart 1_3.01 Income Statement" xfId="5771"/>
    <cellStyle name="_VC 6.15.06 update on 06GRC power costs.xls Chart 1_4 31 Regulatory Assets and Liabilities  7 06- Exhibit D" xfId="5772"/>
    <cellStyle name="_VC 6.15.06 update on 06GRC power costs.xls Chart 1_4 31 Regulatory Assets and Liabilities  7 06- Exhibit D 2" xfId="5773"/>
    <cellStyle name="_VC 6.15.06 update on 06GRC power costs.xls Chart 1_4 31 Regulatory Assets and Liabilities  7 06- Exhibit D 2 2" xfId="5774"/>
    <cellStyle name="_VC 6.15.06 update on 06GRC power costs.xls Chart 1_4 31 Regulatory Assets and Liabilities  7 06- Exhibit D 3" xfId="5775"/>
    <cellStyle name="_VC 6.15.06 update on 06GRC power costs.xls Chart 1_4 31 Regulatory Assets and Liabilities  7 06- Exhibit D 4" xfId="5776"/>
    <cellStyle name="_VC 6.15.06 update on 06GRC power costs.xls Chart 1_4 31 Regulatory Assets and Liabilities  7 06- Exhibit D_NIM Summary" xfId="5777"/>
    <cellStyle name="_VC 6.15.06 update on 06GRC power costs.xls Chart 1_4 31 Regulatory Assets and Liabilities  7 06- Exhibit D_NIM Summary 2" xfId="5778"/>
    <cellStyle name="_VC 6.15.06 update on 06GRC power costs.xls Chart 1_4 32 Regulatory Assets and Liabilities  7 06- Exhibit D" xfId="5779"/>
    <cellStyle name="_VC 6.15.06 update on 06GRC power costs.xls Chart 1_4 32 Regulatory Assets and Liabilities  7 06- Exhibit D 2" xfId="5780"/>
    <cellStyle name="_VC 6.15.06 update on 06GRC power costs.xls Chart 1_4 32 Regulatory Assets and Liabilities  7 06- Exhibit D 2 2" xfId="5781"/>
    <cellStyle name="_VC 6.15.06 update on 06GRC power costs.xls Chart 1_4 32 Regulatory Assets and Liabilities  7 06- Exhibit D 3" xfId="5782"/>
    <cellStyle name="_VC 6.15.06 update on 06GRC power costs.xls Chart 1_4 32 Regulatory Assets and Liabilities  7 06- Exhibit D 4" xfId="5783"/>
    <cellStyle name="_VC 6.15.06 update on 06GRC power costs.xls Chart 1_4 32 Regulatory Assets and Liabilities  7 06- Exhibit D_NIM Summary" xfId="5784"/>
    <cellStyle name="_VC 6.15.06 update on 06GRC power costs.xls Chart 1_4 32 Regulatory Assets and Liabilities  7 06- Exhibit D_NIM Summary 2" xfId="5785"/>
    <cellStyle name="_VC 6.15.06 update on 06GRC power costs.xls Chart 1_ACCOUNTS" xfId="5786"/>
    <cellStyle name="_VC 6.15.06 update on 06GRC power costs.xls Chart 1_AURORA Total New" xfId="5787"/>
    <cellStyle name="_VC 6.15.06 update on 06GRC power costs.xls Chart 1_AURORA Total New 2" xfId="5788"/>
    <cellStyle name="_VC 6.15.06 update on 06GRC power costs.xls Chart 1_Book2" xfId="5789"/>
    <cellStyle name="_VC 6.15.06 update on 06GRC power costs.xls Chart 1_Book2 2" xfId="5790"/>
    <cellStyle name="_VC 6.15.06 update on 06GRC power costs.xls Chart 1_Book2 2 2" xfId="5791"/>
    <cellStyle name="_VC 6.15.06 update on 06GRC power costs.xls Chart 1_Book2 3" xfId="5792"/>
    <cellStyle name="_VC 6.15.06 update on 06GRC power costs.xls Chart 1_Book2 4" xfId="5793"/>
    <cellStyle name="_VC 6.15.06 update on 06GRC power costs.xls Chart 1_Book2_Adj Bench DR 3 for Initial Briefs (Electric)" xfId="5794"/>
    <cellStyle name="_VC 6.15.06 update on 06GRC power costs.xls Chart 1_Book2_Adj Bench DR 3 for Initial Briefs (Electric) 2" xfId="5795"/>
    <cellStyle name="_VC 6.15.06 update on 06GRC power costs.xls Chart 1_Book2_Adj Bench DR 3 for Initial Briefs (Electric) 2 2" xfId="5796"/>
    <cellStyle name="_VC 6.15.06 update on 06GRC power costs.xls Chart 1_Book2_Adj Bench DR 3 for Initial Briefs (Electric) 3" xfId="5797"/>
    <cellStyle name="_VC 6.15.06 update on 06GRC power costs.xls Chart 1_Book2_Adj Bench DR 3 for Initial Briefs (Electric) 4" xfId="5798"/>
    <cellStyle name="_VC 6.15.06 update on 06GRC power costs.xls Chart 1_Book2_Electric Rev Req Model (2009 GRC) Rebuttal" xfId="5799"/>
    <cellStyle name="_VC 6.15.06 update on 06GRC power costs.xls Chart 1_Book2_Electric Rev Req Model (2009 GRC) Rebuttal 2" xfId="5800"/>
    <cellStyle name="_VC 6.15.06 update on 06GRC power costs.xls Chart 1_Book2_Electric Rev Req Model (2009 GRC) Rebuttal 2 2" xfId="5801"/>
    <cellStyle name="_VC 6.15.06 update on 06GRC power costs.xls Chart 1_Book2_Electric Rev Req Model (2009 GRC) Rebuttal 3" xfId="5802"/>
    <cellStyle name="_VC 6.15.06 update on 06GRC power costs.xls Chart 1_Book2_Electric Rev Req Model (2009 GRC) Rebuttal 4" xfId="5803"/>
    <cellStyle name="_VC 6.15.06 update on 06GRC power costs.xls Chart 1_Book2_Electric Rev Req Model (2009 GRC) Rebuttal REmoval of New  WH Solar AdjustMI" xfId="5804"/>
    <cellStyle name="_VC 6.15.06 update on 06GRC power costs.xls Chart 1_Book2_Electric Rev Req Model (2009 GRC) Rebuttal REmoval of New  WH Solar AdjustMI 2" xfId="5805"/>
    <cellStyle name="_VC 6.15.06 update on 06GRC power costs.xls Chart 1_Book2_Electric Rev Req Model (2009 GRC) Rebuttal REmoval of New  WH Solar AdjustMI 2 2" xfId="5806"/>
    <cellStyle name="_VC 6.15.06 update on 06GRC power costs.xls Chart 1_Book2_Electric Rev Req Model (2009 GRC) Rebuttal REmoval of New  WH Solar AdjustMI 3" xfId="5807"/>
    <cellStyle name="_VC 6.15.06 update on 06GRC power costs.xls Chart 1_Book2_Electric Rev Req Model (2009 GRC) Rebuttal REmoval of New  WH Solar AdjustMI 4" xfId="5808"/>
    <cellStyle name="_VC 6.15.06 update on 06GRC power costs.xls Chart 1_Book2_Electric Rev Req Model (2009 GRC) Revised 01-18-2010" xfId="5809"/>
    <cellStyle name="_VC 6.15.06 update on 06GRC power costs.xls Chart 1_Book2_Electric Rev Req Model (2009 GRC) Revised 01-18-2010 2" xfId="5810"/>
    <cellStyle name="_VC 6.15.06 update on 06GRC power costs.xls Chart 1_Book2_Electric Rev Req Model (2009 GRC) Revised 01-18-2010 2 2" xfId="5811"/>
    <cellStyle name="_VC 6.15.06 update on 06GRC power costs.xls Chart 1_Book2_Electric Rev Req Model (2009 GRC) Revised 01-18-2010 3" xfId="5812"/>
    <cellStyle name="_VC 6.15.06 update on 06GRC power costs.xls Chart 1_Book2_Electric Rev Req Model (2009 GRC) Revised 01-18-2010 4" xfId="5813"/>
    <cellStyle name="_VC 6.15.06 update on 06GRC power costs.xls Chart 1_Book2_Final Order Electric EXHIBIT A-1" xfId="5814"/>
    <cellStyle name="_VC 6.15.06 update on 06GRC power costs.xls Chart 1_Book2_Final Order Electric EXHIBIT A-1 2" xfId="5815"/>
    <cellStyle name="_VC 6.15.06 update on 06GRC power costs.xls Chart 1_Book2_Final Order Electric EXHIBIT A-1 2 2" xfId="5816"/>
    <cellStyle name="_VC 6.15.06 update on 06GRC power costs.xls Chart 1_Book2_Final Order Electric EXHIBIT A-1 3" xfId="5817"/>
    <cellStyle name="_VC 6.15.06 update on 06GRC power costs.xls Chart 1_Book2_Final Order Electric EXHIBIT A-1 4" xfId="5818"/>
    <cellStyle name="_VC 6.15.06 update on 06GRC power costs.xls Chart 1_Book4" xfId="5819"/>
    <cellStyle name="_VC 6.15.06 update on 06GRC power costs.xls Chart 1_Book4 2" xfId="5820"/>
    <cellStyle name="_VC 6.15.06 update on 06GRC power costs.xls Chart 1_Book4 2 2" xfId="5821"/>
    <cellStyle name="_VC 6.15.06 update on 06GRC power costs.xls Chart 1_Book4 3" xfId="5822"/>
    <cellStyle name="_VC 6.15.06 update on 06GRC power costs.xls Chart 1_Book4 4" xfId="5823"/>
    <cellStyle name="_VC 6.15.06 update on 06GRC power costs.xls Chart 1_Book9" xfId="5824"/>
    <cellStyle name="_VC 6.15.06 update on 06GRC power costs.xls Chart 1_Book9 2" xfId="5825"/>
    <cellStyle name="_VC 6.15.06 update on 06GRC power costs.xls Chart 1_Book9 2 2" xfId="5826"/>
    <cellStyle name="_VC 6.15.06 update on 06GRC power costs.xls Chart 1_Book9 3" xfId="5827"/>
    <cellStyle name="_VC 6.15.06 update on 06GRC power costs.xls Chart 1_Book9 4" xfId="5828"/>
    <cellStyle name="_VC 6.15.06 update on 06GRC power costs.xls Chart 1_Chelan PUD Power Costs (8-10)" xfId="5829"/>
    <cellStyle name="_VC 6.15.06 update on 06GRC power costs.xls Chart 1_Gas Rev Req Model (2010 GRC)" xfId="5830"/>
    <cellStyle name="_VC 6.15.06 update on 06GRC power costs.xls Chart 1_INPUTS" xfId="5831"/>
    <cellStyle name="_VC 6.15.06 update on 06GRC power costs.xls Chart 1_INPUTS 2" xfId="5832"/>
    <cellStyle name="_VC 6.15.06 update on 06GRC power costs.xls Chart 1_INPUTS 2 2" xfId="5833"/>
    <cellStyle name="_VC 6.15.06 update on 06GRC power costs.xls Chart 1_INPUTS 3" xfId="5834"/>
    <cellStyle name="_VC 6.15.06 update on 06GRC power costs.xls Chart 1_NIM Summary" xfId="5835"/>
    <cellStyle name="_VC 6.15.06 update on 06GRC power costs.xls Chart 1_NIM Summary 09GRC" xfId="5836"/>
    <cellStyle name="_VC 6.15.06 update on 06GRC power costs.xls Chart 1_NIM Summary 09GRC 2" xfId="5837"/>
    <cellStyle name="_VC 6.15.06 update on 06GRC power costs.xls Chart 1_NIM Summary 2" xfId="5838"/>
    <cellStyle name="_VC 6.15.06 update on 06GRC power costs.xls Chart 1_NIM Summary 3" xfId="5839"/>
    <cellStyle name="_VC 6.15.06 update on 06GRC power costs.xls Chart 1_NIM Summary 4" xfId="5840"/>
    <cellStyle name="_VC 6.15.06 update on 06GRC power costs.xls Chart 1_NIM Summary 5" xfId="5841"/>
    <cellStyle name="_VC 6.15.06 update on 06GRC power costs.xls Chart 1_NIM Summary 6" xfId="5842"/>
    <cellStyle name="_VC 6.15.06 update on 06GRC power costs.xls Chart 1_NIM Summary 7" xfId="5843"/>
    <cellStyle name="_VC 6.15.06 update on 06GRC power costs.xls Chart 1_NIM Summary 8" xfId="5844"/>
    <cellStyle name="_VC 6.15.06 update on 06GRC power costs.xls Chart 1_NIM Summary 9" xfId="5845"/>
    <cellStyle name="_VC 6.15.06 update on 06GRC power costs.xls Chart 1_PCA 10 -  Exhibit D from A Kellogg Jan 2011" xfId="5846"/>
    <cellStyle name="_VC 6.15.06 update on 06GRC power costs.xls Chart 1_PCA 10 -  Exhibit D from A Kellogg July 2011" xfId="5847"/>
    <cellStyle name="_VC 6.15.06 update on 06GRC power costs.xls Chart 1_PCA 10 -  Exhibit D from S Free Rcv'd 12-11" xfId="5848"/>
    <cellStyle name="_VC 6.15.06 update on 06GRC power costs.xls Chart 1_PCA 9 -  Exhibit D April 2010" xfId="5849"/>
    <cellStyle name="_VC 6.15.06 update on 06GRC power costs.xls Chart 1_PCA 9 -  Exhibit D April 2010 (3)" xfId="5850"/>
    <cellStyle name="_VC 6.15.06 update on 06GRC power costs.xls Chart 1_PCA 9 -  Exhibit D April 2010 (3) 2" xfId="5851"/>
    <cellStyle name="_VC 6.15.06 update on 06GRC power costs.xls Chart 1_PCA 9 -  Exhibit D April 2010 2" xfId="5852"/>
    <cellStyle name="_VC 6.15.06 update on 06GRC power costs.xls Chart 1_PCA 9 -  Exhibit D April 2010 3" xfId="5853"/>
    <cellStyle name="_VC 6.15.06 update on 06GRC power costs.xls Chart 1_PCA 9 -  Exhibit D Nov 2010" xfId="5854"/>
    <cellStyle name="_VC 6.15.06 update on 06GRC power costs.xls Chart 1_PCA 9 -  Exhibit D Nov 2010 2" xfId="5855"/>
    <cellStyle name="_VC 6.15.06 update on 06GRC power costs.xls Chart 1_PCA 9 - Exhibit D at August 2010" xfId="5856"/>
    <cellStyle name="_VC 6.15.06 update on 06GRC power costs.xls Chart 1_PCA 9 - Exhibit D at August 2010 2" xfId="5857"/>
    <cellStyle name="_VC 6.15.06 update on 06GRC power costs.xls Chart 1_PCA 9 - Exhibit D June 2010 GRC" xfId="5858"/>
    <cellStyle name="_VC 6.15.06 update on 06GRC power costs.xls Chart 1_PCA 9 - Exhibit D June 2010 GRC 2" xfId="5859"/>
    <cellStyle name="_VC 6.15.06 update on 06GRC power costs.xls Chart 1_Power Costs - Comparison bx Rbtl-Staff-Jt-PC" xfId="5860"/>
    <cellStyle name="_VC 6.15.06 update on 06GRC power costs.xls Chart 1_Power Costs - Comparison bx Rbtl-Staff-Jt-PC 2" xfId="5861"/>
    <cellStyle name="_VC 6.15.06 update on 06GRC power costs.xls Chart 1_Power Costs - Comparison bx Rbtl-Staff-Jt-PC 2 2" xfId="5862"/>
    <cellStyle name="_VC 6.15.06 update on 06GRC power costs.xls Chart 1_Power Costs - Comparison bx Rbtl-Staff-Jt-PC 3" xfId="5863"/>
    <cellStyle name="_VC 6.15.06 update on 06GRC power costs.xls Chart 1_Power Costs - Comparison bx Rbtl-Staff-Jt-PC 4" xfId="5864"/>
    <cellStyle name="_VC 6.15.06 update on 06GRC power costs.xls Chart 1_Power Costs - Comparison bx Rbtl-Staff-Jt-PC_Adj Bench DR 3 for Initial Briefs (Electric)" xfId="5865"/>
    <cellStyle name="_VC 6.15.06 update on 06GRC power costs.xls Chart 1_Power Costs - Comparison bx Rbtl-Staff-Jt-PC_Adj Bench DR 3 for Initial Briefs (Electric) 2" xfId="5866"/>
    <cellStyle name="_VC 6.15.06 update on 06GRC power costs.xls Chart 1_Power Costs - Comparison bx Rbtl-Staff-Jt-PC_Adj Bench DR 3 for Initial Briefs (Electric) 2 2" xfId="5867"/>
    <cellStyle name="_VC 6.15.06 update on 06GRC power costs.xls Chart 1_Power Costs - Comparison bx Rbtl-Staff-Jt-PC_Adj Bench DR 3 for Initial Briefs (Electric) 3" xfId="5868"/>
    <cellStyle name="_VC 6.15.06 update on 06GRC power costs.xls Chart 1_Power Costs - Comparison bx Rbtl-Staff-Jt-PC_Adj Bench DR 3 for Initial Briefs (Electric) 4" xfId="5869"/>
    <cellStyle name="_VC 6.15.06 update on 06GRC power costs.xls Chart 1_Power Costs - Comparison bx Rbtl-Staff-Jt-PC_Electric Rev Req Model (2009 GRC) Rebuttal" xfId="5870"/>
    <cellStyle name="_VC 6.15.06 update on 06GRC power costs.xls Chart 1_Power Costs - Comparison bx Rbtl-Staff-Jt-PC_Electric Rev Req Model (2009 GRC) Rebuttal 2" xfId="5871"/>
    <cellStyle name="_VC 6.15.06 update on 06GRC power costs.xls Chart 1_Power Costs - Comparison bx Rbtl-Staff-Jt-PC_Electric Rev Req Model (2009 GRC) Rebuttal 2 2" xfId="5872"/>
    <cellStyle name="_VC 6.15.06 update on 06GRC power costs.xls Chart 1_Power Costs - Comparison bx Rbtl-Staff-Jt-PC_Electric Rev Req Model (2009 GRC) Rebuttal 3" xfId="5873"/>
    <cellStyle name="_VC 6.15.06 update on 06GRC power costs.xls Chart 1_Power Costs - Comparison bx Rbtl-Staff-Jt-PC_Electric Rev Req Model (2009 GRC) Rebuttal 4" xfId="5874"/>
    <cellStyle name="_VC 6.15.06 update on 06GRC power costs.xls Chart 1_Power Costs - Comparison bx Rbtl-Staff-Jt-PC_Electric Rev Req Model (2009 GRC) Rebuttal REmoval of New  WH Solar AdjustMI" xfId="5875"/>
    <cellStyle name="_VC 6.15.06 update on 06GRC power costs.xls Chart 1_Power Costs - Comparison bx Rbtl-Staff-Jt-PC_Electric Rev Req Model (2009 GRC) Rebuttal REmoval of New  WH Solar AdjustMI 2" xfId="5876"/>
    <cellStyle name="_VC 6.15.06 update on 06GRC power costs.xls Chart 1_Power Costs - Comparison bx Rbtl-Staff-Jt-PC_Electric Rev Req Model (2009 GRC) Rebuttal REmoval of New  WH Solar AdjustMI 2 2" xfId="5877"/>
    <cellStyle name="_VC 6.15.06 update on 06GRC power costs.xls Chart 1_Power Costs - Comparison bx Rbtl-Staff-Jt-PC_Electric Rev Req Model (2009 GRC) Rebuttal REmoval of New  WH Solar AdjustMI 3" xfId="5878"/>
    <cellStyle name="_VC 6.15.06 update on 06GRC power costs.xls Chart 1_Power Costs - Comparison bx Rbtl-Staff-Jt-PC_Electric Rev Req Model (2009 GRC) Rebuttal REmoval of New  WH Solar AdjustMI 4" xfId="5879"/>
    <cellStyle name="_VC 6.15.06 update on 06GRC power costs.xls Chart 1_Power Costs - Comparison bx Rbtl-Staff-Jt-PC_Electric Rev Req Model (2009 GRC) Revised 01-18-2010" xfId="5880"/>
    <cellStyle name="_VC 6.15.06 update on 06GRC power costs.xls Chart 1_Power Costs - Comparison bx Rbtl-Staff-Jt-PC_Electric Rev Req Model (2009 GRC) Revised 01-18-2010 2" xfId="5881"/>
    <cellStyle name="_VC 6.15.06 update on 06GRC power costs.xls Chart 1_Power Costs - Comparison bx Rbtl-Staff-Jt-PC_Electric Rev Req Model (2009 GRC) Revised 01-18-2010 2 2" xfId="5882"/>
    <cellStyle name="_VC 6.15.06 update on 06GRC power costs.xls Chart 1_Power Costs - Comparison bx Rbtl-Staff-Jt-PC_Electric Rev Req Model (2009 GRC) Revised 01-18-2010 3" xfId="5883"/>
    <cellStyle name="_VC 6.15.06 update on 06GRC power costs.xls Chart 1_Power Costs - Comparison bx Rbtl-Staff-Jt-PC_Electric Rev Req Model (2009 GRC) Revised 01-18-2010 4" xfId="5884"/>
    <cellStyle name="_VC 6.15.06 update on 06GRC power costs.xls Chart 1_Power Costs - Comparison bx Rbtl-Staff-Jt-PC_Final Order Electric EXHIBIT A-1" xfId="5885"/>
    <cellStyle name="_VC 6.15.06 update on 06GRC power costs.xls Chart 1_Power Costs - Comparison bx Rbtl-Staff-Jt-PC_Final Order Electric EXHIBIT A-1 2" xfId="5886"/>
    <cellStyle name="_VC 6.15.06 update on 06GRC power costs.xls Chart 1_Power Costs - Comparison bx Rbtl-Staff-Jt-PC_Final Order Electric EXHIBIT A-1 2 2" xfId="5887"/>
    <cellStyle name="_VC 6.15.06 update on 06GRC power costs.xls Chart 1_Power Costs - Comparison bx Rbtl-Staff-Jt-PC_Final Order Electric EXHIBIT A-1 3" xfId="5888"/>
    <cellStyle name="_VC 6.15.06 update on 06GRC power costs.xls Chart 1_Power Costs - Comparison bx Rbtl-Staff-Jt-PC_Final Order Electric EXHIBIT A-1 4" xfId="5889"/>
    <cellStyle name="_VC 6.15.06 update on 06GRC power costs.xls Chart 1_Production Adj 4.37" xfId="5890"/>
    <cellStyle name="_VC 6.15.06 update on 06GRC power costs.xls Chart 1_Production Adj 4.37 2" xfId="5891"/>
    <cellStyle name="_VC 6.15.06 update on 06GRC power costs.xls Chart 1_Production Adj 4.37 2 2" xfId="5892"/>
    <cellStyle name="_VC 6.15.06 update on 06GRC power costs.xls Chart 1_Production Adj 4.37 3" xfId="5893"/>
    <cellStyle name="_VC 6.15.06 update on 06GRC power costs.xls Chart 1_Purchased Power Adj 4.03" xfId="5894"/>
    <cellStyle name="_VC 6.15.06 update on 06GRC power costs.xls Chart 1_Purchased Power Adj 4.03 2" xfId="5895"/>
    <cellStyle name="_VC 6.15.06 update on 06GRC power costs.xls Chart 1_Purchased Power Adj 4.03 2 2" xfId="5896"/>
    <cellStyle name="_VC 6.15.06 update on 06GRC power costs.xls Chart 1_Purchased Power Adj 4.03 3" xfId="5897"/>
    <cellStyle name="_VC 6.15.06 update on 06GRC power costs.xls Chart 1_Rebuttal Power Costs" xfId="5898"/>
    <cellStyle name="_VC 6.15.06 update on 06GRC power costs.xls Chart 1_Rebuttal Power Costs 2" xfId="5899"/>
    <cellStyle name="_VC 6.15.06 update on 06GRC power costs.xls Chart 1_Rebuttal Power Costs 2 2" xfId="5900"/>
    <cellStyle name="_VC 6.15.06 update on 06GRC power costs.xls Chart 1_Rebuttal Power Costs 3" xfId="5901"/>
    <cellStyle name="_VC 6.15.06 update on 06GRC power costs.xls Chart 1_Rebuttal Power Costs 4" xfId="5902"/>
    <cellStyle name="_VC 6.15.06 update on 06GRC power costs.xls Chart 1_Rebuttal Power Costs_Adj Bench DR 3 for Initial Briefs (Electric)" xfId="5903"/>
    <cellStyle name="_VC 6.15.06 update on 06GRC power costs.xls Chart 1_Rebuttal Power Costs_Adj Bench DR 3 for Initial Briefs (Electric) 2" xfId="5904"/>
    <cellStyle name="_VC 6.15.06 update on 06GRC power costs.xls Chart 1_Rebuttal Power Costs_Adj Bench DR 3 for Initial Briefs (Electric) 2 2" xfId="5905"/>
    <cellStyle name="_VC 6.15.06 update on 06GRC power costs.xls Chart 1_Rebuttal Power Costs_Adj Bench DR 3 for Initial Briefs (Electric) 3" xfId="5906"/>
    <cellStyle name="_VC 6.15.06 update on 06GRC power costs.xls Chart 1_Rebuttal Power Costs_Adj Bench DR 3 for Initial Briefs (Electric) 4" xfId="5907"/>
    <cellStyle name="_VC 6.15.06 update on 06GRC power costs.xls Chart 1_Rebuttal Power Costs_Electric Rev Req Model (2009 GRC) Rebuttal" xfId="5908"/>
    <cellStyle name="_VC 6.15.06 update on 06GRC power costs.xls Chart 1_Rebuttal Power Costs_Electric Rev Req Model (2009 GRC) Rebuttal 2" xfId="5909"/>
    <cellStyle name="_VC 6.15.06 update on 06GRC power costs.xls Chart 1_Rebuttal Power Costs_Electric Rev Req Model (2009 GRC) Rebuttal 2 2" xfId="5910"/>
    <cellStyle name="_VC 6.15.06 update on 06GRC power costs.xls Chart 1_Rebuttal Power Costs_Electric Rev Req Model (2009 GRC) Rebuttal 3" xfId="5911"/>
    <cellStyle name="_VC 6.15.06 update on 06GRC power costs.xls Chart 1_Rebuttal Power Costs_Electric Rev Req Model (2009 GRC) Rebuttal 4" xfId="5912"/>
    <cellStyle name="_VC 6.15.06 update on 06GRC power costs.xls Chart 1_Rebuttal Power Costs_Electric Rev Req Model (2009 GRC) Rebuttal REmoval of New  WH Solar AdjustMI" xfId="5913"/>
    <cellStyle name="_VC 6.15.06 update on 06GRC power costs.xls Chart 1_Rebuttal Power Costs_Electric Rev Req Model (2009 GRC) Rebuttal REmoval of New  WH Solar AdjustMI 2" xfId="5914"/>
    <cellStyle name="_VC 6.15.06 update on 06GRC power costs.xls Chart 1_Rebuttal Power Costs_Electric Rev Req Model (2009 GRC) Rebuttal REmoval of New  WH Solar AdjustMI 2 2" xfId="5915"/>
    <cellStyle name="_VC 6.15.06 update on 06GRC power costs.xls Chart 1_Rebuttal Power Costs_Electric Rev Req Model (2009 GRC) Rebuttal REmoval of New  WH Solar AdjustMI 3" xfId="5916"/>
    <cellStyle name="_VC 6.15.06 update on 06GRC power costs.xls Chart 1_Rebuttal Power Costs_Electric Rev Req Model (2009 GRC) Rebuttal REmoval of New  WH Solar AdjustMI 4" xfId="5917"/>
    <cellStyle name="_VC 6.15.06 update on 06GRC power costs.xls Chart 1_Rebuttal Power Costs_Electric Rev Req Model (2009 GRC) Revised 01-18-2010" xfId="5918"/>
    <cellStyle name="_VC 6.15.06 update on 06GRC power costs.xls Chart 1_Rebuttal Power Costs_Electric Rev Req Model (2009 GRC) Revised 01-18-2010 2" xfId="5919"/>
    <cellStyle name="_VC 6.15.06 update on 06GRC power costs.xls Chart 1_Rebuttal Power Costs_Electric Rev Req Model (2009 GRC) Revised 01-18-2010 2 2" xfId="5920"/>
    <cellStyle name="_VC 6.15.06 update on 06GRC power costs.xls Chart 1_Rebuttal Power Costs_Electric Rev Req Model (2009 GRC) Revised 01-18-2010 3" xfId="5921"/>
    <cellStyle name="_VC 6.15.06 update on 06GRC power costs.xls Chart 1_Rebuttal Power Costs_Electric Rev Req Model (2009 GRC) Revised 01-18-2010 4" xfId="5922"/>
    <cellStyle name="_VC 6.15.06 update on 06GRC power costs.xls Chart 1_Rebuttal Power Costs_Final Order Electric EXHIBIT A-1" xfId="5923"/>
    <cellStyle name="_VC 6.15.06 update on 06GRC power costs.xls Chart 1_Rebuttal Power Costs_Final Order Electric EXHIBIT A-1 2" xfId="5924"/>
    <cellStyle name="_VC 6.15.06 update on 06GRC power costs.xls Chart 1_Rebuttal Power Costs_Final Order Electric EXHIBIT A-1 2 2" xfId="5925"/>
    <cellStyle name="_VC 6.15.06 update on 06GRC power costs.xls Chart 1_Rebuttal Power Costs_Final Order Electric EXHIBIT A-1 3" xfId="5926"/>
    <cellStyle name="_VC 6.15.06 update on 06GRC power costs.xls Chart 1_Rebuttal Power Costs_Final Order Electric EXHIBIT A-1 4" xfId="5927"/>
    <cellStyle name="_VC 6.15.06 update on 06GRC power costs.xls Chart 1_ROR &amp; CONV FACTOR" xfId="5928"/>
    <cellStyle name="_VC 6.15.06 update on 06GRC power costs.xls Chart 1_ROR &amp; CONV FACTOR 2" xfId="5929"/>
    <cellStyle name="_VC 6.15.06 update on 06GRC power costs.xls Chart 1_ROR &amp; CONV FACTOR 2 2" xfId="5930"/>
    <cellStyle name="_VC 6.15.06 update on 06GRC power costs.xls Chart 1_ROR &amp; CONV FACTOR 3" xfId="5931"/>
    <cellStyle name="_VC 6.15.06 update on 06GRC power costs.xls Chart 1_ROR 5.02" xfId="5932"/>
    <cellStyle name="_VC 6.15.06 update on 06GRC power costs.xls Chart 1_ROR 5.02 2" xfId="5933"/>
    <cellStyle name="_VC 6.15.06 update on 06GRC power costs.xls Chart 1_ROR 5.02 2 2" xfId="5934"/>
    <cellStyle name="_VC 6.15.06 update on 06GRC power costs.xls Chart 1_ROR 5.02 3" xfId="5935"/>
    <cellStyle name="_VC 6.15.06 update on 06GRC power costs.xls Chart 1_Wind Integration 10GRC" xfId="5936"/>
    <cellStyle name="_VC 6.15.06 update on 06GRC power costs.xls Chart 1_Wind Integration 10GRC 2" xfId="5937"/>
    <cellStyle name="_VC 6.15.06 update on 06GRC power costs.xls Chart 2" xfId="5938"/>
    <cellStyle name="_VC 6.15.06 update on 06GRC power costs.xls Chart 2 2" xfId="5939"/>
    <cellStyle name="_VC 6.15.06 update on 06GRC power costs.xls Chart 2 2 2" xfId="5940"/>
    <cellStyle name="_VC 6.15.06 update on 06GRC power costs.xls Chart 2 2 2 2" xfId="5941"/>
    <cellStyle name="_VC 6.15.06 update on 06GRC power costs.xls Chart 2 2 3" xfId="5942"/>
    <cellStyle name="_VC 6.15.06 update on 06GRC power costs.xls Chart 2 3" xfId="5943"/>
    <cellStyle name="_VC 6.15.06 update on 06GRC power costs.xls Chart 2 3 2" xfId="5944"/>
    <cellStyle name="_VC 6.15.06 update on 06GRC power costs.xls Chart 2 3 2 2" xfId="5945"/>
    <cellStyle name="_VC 6.15.06 update on 06GRC power costs.xls Chart 2 3 3" xfId="5946"/>
    <cellStyle name="_VC 6.15.06 update on 06GRC power costs.xls Chart 2 3 3 2" xfId="5947"/>
    <cellStyle name="_VC 6.15.06 update on 06GRC power costs.xls Chart 2 3 4" xfId="5948"/>
    <cellStyle name="_VC 6.15.06 update on 06GRC power costs.xls Chart 2 3 4 2" xfId="5949"/>
    <cellStyle name="_VC 6.15.06 update on 06GRC power costs.xls Chart 2 4" xfId="5950"/>
    <cellStyle name="_VC 6.15.06 update on 06GRC power costs.xls Chart 2 4 2" xfId="5951"/>
    <cellStyle name="_VC 6.15.06 update on 06GRC power costs.xls Chart 2 5" xfId="5952"/>
    <cellStyle name="_VC 6.15.06 update on 06GRC power costs.xls Chart 2 6" xfId="5953"/>
    <cellStyle name="_VC 6.15.06 update on 06GRC power costs.xls Chart 2 7" xfId="5954"/>
    <cellStyle name="_VC 6.15.06 update on 06GRC power costs.xls Chart 2_04 07E Wild Horse Wind Expansion (C) (2)" xfId="5955"/>
    <cellStyle name="_VC 6.15.06 update on 06GRC power costs.xls Chart 2_04 07E Wild Horse Wind Expansion (C) (2) 2" xfId="5956"/>
    <cellStyle name="_VC 6.15.06 update on 06GRC power costs.xls Chart 2_04 07E Wild Horse Wind Expansion (C) (2) 2 2" xfId="5957"/>
    <cellStyle name="_VC 6.15.06 update on 06GRC power costs.xls Chart 2_04 07E Wild Horse Wind Expansion (C) (2) 3" xfId="5958"/>
    <cellStyle name="_VC 6.15.06 update on 06GRC power costs.xls Chart 2_04 07E Wild Horse Wind Expansion (C) (2) 4" xfId="5959"/>
    <cellStyle name="_VC 6.15.06 update on 06GRC power costs.xls Chart 2_04 07E Wild Horse Wind Expansion (C) (2)_Adj Bench DR 3 for Initial Briefs (Electric)" xfId="5960"/>
    <cellStyle name="_VC 6.15.06 update on 06GRC power costs.xls Chart 2_04 07E Wild Horse Wind Expansion (C) (2)_Adj Bench DR 3 for Initial Briefs (Electric) 2" xfId="5961"/>
    <cellStyle name="_VC 6.15.06 update on 06GRC power costs.xls Chart 2_04 07E Wild Horse Wind Expansion (C) (2)_Adj Bench DR 3 for Initial Briefs (Electric) 2 2" xfId="5962"/>
    <cellStyle name="_VC 6.15.06 update on 06GRC power costs.xls Chart 2_04 07E Wild Horse Wind Expansion (C) (2)_Adj Bench DR 3 for Initial Briefs (Electric) 3" xfId="5963"/>
    <cellStyle name="_VC 6.15.06 update on 06GRC power costs.xls Chart 2_04 07E Wild Horse Wind Expansion (C) (2)_Adj Bench DR 3 for Initial Briefs (Electric) 4" xfId="5964"/>
    <cellStyle name="_VC 6.15.06 update on 06GRC power costs.xls Chart 2_04 07E Wild Horse Wind Expansion (C) (2)_Book1" xfId="5965"/>
    <cellStyle name="_VC 6.15.06 update on 06GRC power costs.xls Chart 2_04 07E Wild Horse Wind Expansion (C) (2)_Electric Rev Req Model (2009 GRC) " xfId="5966"/>
    <cellStyle name="_VC 6.15.06 update on 06GRC power costs.xls Chart 2_04 07E Wild Horse Wind Expansion (C) (2)_Electric Rev Req Model (2009 GRC)  2" xfId="5967"/>
    <cellStyle name="_VC 6.15.06 update on 06GRC power costs.xls Chart 2_04 07E Wild Horse Wind Expansion (C) (2)_Electric Rev Req Model (2009 GRC)  2 2" xfId="5968"/>
    <cellStyle name="_VC 6.15.06 update on 06GRC power costs.xls Chart 2_04 07E Wild Horse Wind Expansion (C) (2)_Electric Rev Req Model (2009 GRC)  3" xfId="5969"/>
    <cellStyle name="_VC 6.15.06 update on 06GRC power costs.xls Chart 2_04 07E Wild Horse Wind Expansion (C) (2)_Electric Rev Req Model (2009 GRC)  4" xfId="5970"/>
    <cellStyle name="_VC 6.15.06 update on 06GRC power costs.xls Chart 2_04 07E Wild Horse Wind Expansion (C) (2)_Electric Rev Req Model (2009 GRC) Rebuttal" xfId="5971"/>
    <cellStyle name="_VC 6.15.06 update on 06GRC power costs.xls Chart 2_04 07E Wild Horse Wind Expansion (C) (2)_Electric Rev Req Model (2009 GRC) Rebuttal 2" xfId="5972"/>
    <cellStyle name="_VC 6.15.06 update on 06GRC power costs.xls Chart 2_04 07E Wild Horse Wind Expansion (C) (2)_Electric Rev Req Model (2009 GRC) Rebuttal 2 2" xfId="5973"/>
    <cellStyle name="_VC 6.15.06 update on 06GRC power costs.xls Chart 2_04 07E Wild Horse Wind Expansion (C) (2)_Electric Rev Req Model (2009 GRC) Rebuttal 3" xfId="5974"/>
    <cellStyle name="_VC 6.15.06 update on 06GRC power costs.xls Chart 2_04 07E Wild Horse Wind Expansion (C) (2)_Electric Rev Req Model (2009 GRC) Rebuttal 4" xfId="5975"/>
    <cellStyle name="_VC 6.15.06 update on 06GRC power costs.xls Chart 2_04 07E Wild Horse Wind Expansion (C) (2)_Electric Rev Req Model (2009 GRC) Rebuttal REmoval of New  WH Solar AdjustMI" xfId="5976"/>
    <cellStyle name="_VC 6.15.06 update on 06GRC power costs.xls Chart 2_04 07E Wild Horse Wind Expansion (C) (2)_Electric Rev Req Model (2009 GRC) Rebuttal REmoval of New  WH Solar AdjustMI 2" xfId="5977"/>
    <cellStyle name="_VC 6.15.06 update on 06GRC power costs.xls Chart 2_04 07E Wild Horse Wind Expansion (C) (2)_Electric Rev Req Model (2009 GRC) Rebuttal REmoval of New  WH Solar AdjustMI 2 2" xfId="5978"/>
    <cellStyle name="_VC 6.15.06 update on 06GRC power costs.xls Chart 2_04 07E Wild Horse Wind Expansion (C) (2)_Electric Rev Req Model (2009 GRC) Rebuttal REmoval of New  WH Solar AdjustMI 3" xfId="5979"/>
    <cellStyle name="_VC 6.15.06 update on 06GRC power costs.xls Chart 2_04 07E Wild Horse Wind Expansion (C) (2)_Electric Rev Req Model (2009 GRC) Rebuttal REmoval of New  WH Solar AdjustMI 4" xfId="5980"/>
    <cellStyle name="_VC 6.15.06 update on 06GRC power costs.xls Chart 2_04 07E Wild Horse Wind Expansion (C) (2)_Electric Rev Req Model (2009 GRC) Revised 01-18-2010" xfId="5981"/>
    <cellStyle name="_VC 6.15.06 update on 06GRC power costs.xls Chart 2_04 07E Wild Horse Wind Expansion (C) (2)_Electric Rev Req Model (2009 GRC) Revised 01-18-2010 2" xfId="5982"/>
    <cellStyle name="_VC 6.15.06 update on 06GRC power costs.xls Chart 2_04 07E Wild Horse Wind Expansion (C) (2)_Electric Rev Req Model (2009 GRC) Revised 01-18-2010 2 2" xfId="5983"/>
    <cellStyle name="_VC 6.15.06 update on 06GRC power costs.xls Chart 2_04 07E Wild Horse Wind Expansion (C) (2)_Electric Rev Req Model (2009 GRC) Revised 01-18-2010 3" xfId="5984"/>
    <cellStyle name="_VC 6.15.06 update on 06GRC power costs.xls Chart 2_04 07E Wild Horse Wind Expansion (C) (2)_Electric Rev Req Model (2009 GRC) Revised 01-18-2010 4" xfId="5985"/>
    <cellStyle name="_VC 6.15.06 update on 06GRC power costs.xls Chart 2_04 07E Wild Horse Wind Expansion (C) (2)_Electric Rev Req Model (2010 GRC)" xfId="5986"/>
    <cellStyle name="_VC 6.15.06 update on 06GRC power costs.xls Chart 2_04 07E Wild Horse Wind Expansion (C) (2)_Electric Rev Req Model (2010 GRC) SF" xfId="5987"/>
    <cellStyle name="_VC 6.15.06 update on 06GRC power costs.xls Chart 2_04 07E Wild Horse Wind Expansion (C) (2)_Final Order Electric EXHIBIT A-1" xfId="5988"/>
    <cellStyle name="_VC 6.15.06 update on 06GRC power costs.xls Chart 2_04 07E Wild Horse Wind Expansion (C) (2)_Final Order Electric EXHIBIT A-1 2" xfId="5989"/>
    <cellStyle name="_VC 6.15.06 update on 06GRC power costs.xls Chart 2_04 07E Wild Horse Wind Expansion (C) (2)_Final Order Electric EXHIBIT A-1 2 2" xfId="5990"/>
    <cellStyle name="_VC 6.15.06 update on 06GRC power costs.xls Chart 2_04 07E Wild Horse Wind Expansion (C) (2)_Final Order Electric EXHIBIT A-1 3" xfId="5991"/>
    <cellStyle name="_VC 6.15.06 update on 06GRC power costs.xls Chart 2_04 07E Wild Horse Wind Expansion (C) (2)_Final Order Electric EXHIBIT A-1 4" xfId="5992"/>
    <cellStyle name="_VC 6.15.06 update on 06GRC power costs.xls Chart 2_04 07E Wild Horse Wind Expansion (C) (2)_TENASKA REGULATORY ASSET" xfId="5993"/>
    <cellStyle name="_VC 6.15.06 update on 06GRC power costs.xls Chart 2_04 07E Wild Horse Wind Expansion (C) (2)_TENASKA REGULATORY ASSET 2" xfId="5994"/>
    <cellStyle name="_VC 6.15.06 update on 06GRC power costs.xls Chart 2_04 07E Wild Horse Wind Expansion (C) (2)_TENASKA REGULATORY ASSET 2 2" xfId="5995"/>
    <cellStyle name="_VC 6.15.06 update on 06GRC power costs.xls Chart 2_04 07E Wild Horse Wind Expansion (C) (2)_TENASKA REGULATORY ASSET 3" xfId="5996"/>
    <cellStyle name="_VC 6.15.06 update on 06GRC power costs.xls Chart 2_04 07E Wild Horse Wind Expansion (C) (2)_TENASKA REGULATORY ASSET 4" xfId="5997"/>
    <cellStyle name="_VC 6.15.06 update on 06GRC power costs.xls Chart 2_16.37E Wild Horse Expansion DeferralRevwrkingfile SF" xfId="5998"/>
    <cellStyle name="_VC 6.15.06 update on 06GRC power costs.xls Chart 2_16.37E Wild Horse Expansion DeferralRevwrkingfile SF 2" xfId="5999"/>
    <cellStyle name="_VC 6.15.06 update on 06GRC power costs.xls Chart 2_16.37E Wild Horse Expansion DeferralRevwrkingfile SF 2 2" xfId="6000"/>
    <cellStyle name="_VC 6.15.06 update on 06GRC power costs.xls Chart 2_16.37E Wild Horse Expansion DeferralRevwrkingfile SF 3" xfId="6001"/>
    <cellStyle name="_VC 6.15.06 update on 06GRC power costs.xls Chart 2_16.37E Wild Horse Expansion DeferralRevwrkingfile SF 4" xfId="6002"/>
    <cellStyle name="_VC 6.15.06 update on 06GRC power costs.xls Chart 2_2009 Compliance Filing PCA Exhibits for GRC" xfId="6003"/>
    <cellStyle name="_VC 6.15.06 update on 06GRC power costs.xls Chart 2_2009 Compliance Filing PCA Exhibits for GRC 2" xfId="6004"/>
    <cellStyle name="_VC 6.15.06 update on 06GRC power costs.xls Chart 2_2009 GRC Compl Filing - Exhibit D" xfId="6005"/>
    <cellStyle name="_VC 6.15.06 update on 06GRC power costs.xls Chart 2_2009 GRC Compl Filing - Exhibit D 2" xfId="6006"/>
    <cellStyle name="_VC 6.15.06 update on 06GRC power costs.xls Chart 2_2009 GRC Compl Filing - Exhibit D 3" xfId="6007"/>
    <cellStyle name="_VC 6.15.06 update on 06GRC power costs.xls Chart 2_3.01 Income Statement" xfId="6008"/>
    <cellStyle name="_VC 6.15.06 update on 06GRC power costs.xls Chart 2_4 31 Regulatory Assets and Liabilities  7 06- Exhibit D" xfId="6009"/>
    <cellStyle name="_VC 6.15.06 update on 06GRC power costs.xls Chart 2_4 31 Regulatory Assets and Liabilities  7 06- Exhibit D 2" xfId="6010"/>
    <cellStyle name="_VC 6.15.06 update on 06GRC power costs.xls Chart 2_4 31 Regulatory Assets and Liabilities  7 06- Exhibit D 2 2" xfId="6011"/>
    <cellStyle name="_VC 6.15.06 update on 06GRC power costs.xls Chart 2_4 31 Regulatory Assets and Liabilities  7 06- Exhibit D 3" xfId="6012"/>
    <cellStyle name="_VC 6.15.06 update on 06GRC power costs.xls Chart 2_4 31 Regulatory Assets and Liabilities  7 06- Exhibit D 4" xfId="6013"/>
    <cellStyle name="_VC 6.15.06 update on 06GRC power costs.xls Chart 2_4 31 Regulatory Assets and Liabilities  7 06- Exhibit D_NIM Summary" xfId="6014"/>
    <cellStyle name="_VC 6.15.06 update on 06GRC power costs.xls Chart 2_4 31 Regulatory Assets and Liabilities  7 06- Exhibit D_NIM Summary 2" xfId="6015"/>
    <cellStyle name="_VC 6.15.06 update on 06GRC power costs.xls Chart 2_4 32 Regulatory Assets and Liabilities  7 06- Exhibit D" xfId="6016"/>
    <cellStyle name="_VC 6.15.06 update on 06GRC power costs.xls Chart 2_4 32 Regulatory Assets and Liabilities  7 06- Exhibit D 2" xfId="6017"/>
    <cellStyle name="_VC 6.15.06 update on 06GRC power costs.xls Chart 2_4 32 Regulatory Assets and Liabilities  7 06- Exhibit D 2 2" xfId="6018"/>
    <cellStyle name="_VC 6.15.06 update on 06GRC power costs.xls Chart 2_4 32 Regulatory Assets and Liabilities  7 06- Exhibit D 3" xfId="6019"/>
    <cellStyle name="_VC 6.15.06 update on 06GRC power costs.xls Chart 2_4 32 Regulatory Assets and Liabilities  7 06- Exhibit D 4" xfId="6020"/>
    <cellStyle name="_VC 6.15.06 update on 06GRC power costs.xls Chart 2_4 32 Regulatory Assets and Liabilities  7 06- Exhibit D_NIM Summary" xfId="6021"/>
    <cellStyle name="_VC 6.15.06 update on 06GRC power costs.xls Chart 2_4 32 Regulatory Assets and Liabilities  7 06- Exhibit D_NIM Summary 2" xfId="6022"/>
    <cellStyle name="_VC 6.15.06 update on 06GRC power costs.xls Chart 2_ACCOUNTS" xfId="6023"/>
    <cellStyle name="_VC 6.15.06 update on 06GRC power costs.xls Chart 2_AURORA Total New" xfId="6024"/>
    <cellStyle name="_VC 6.15.06 update on 06GRC power costs.xls Chart 2_AURORA Total New 2" xfId="6025"/>
    <cellStyle name="_VC 6.15.06 update on 06GRC power costs.xls Chart 2_Book2" xfId="6026"/>
    <cellStyle name="_VC 6.15.06 update on 06GRC power costs.xls Chart 2_Book2 2" xfId="6027"/>
    <cellStyle name="_VC 6.15.06 update on 06GRC power costs.xls Chart 2_Book2 2 2" xfId="6028"/>
    <cellStyle name="_VC 6.15.06 update on 06GRC power costs.xls Chart 2_Book2 3" xfId="6029"/>
    <cellStyle name="_VC 6.15.06 update on 06GRC power costs.xls Chart 2_Book2 4" xfId="6030"/>
    <cellStyle name="_VC 6.15.06 update on 06GRC power costs.xls Chart 2_Book2_Adj Bench DR 3 for Initial Briefs (Electric)" xfId="6031"/>
    <cellStyle name="_VC 6.15.06 update on 06GRC power costs.xls Chart 2_Book2_Adj Bench DR 3 for Initial Briefs (Electric) 2" xfId="6032"/>
    <cellStyle name="_VC 6.15.06 update on 06GRC power costs.xls Chart 2_Book2_Adj Bench DR 3 for Initial Briefs (Electric) 2 2" xfId="6033"/>
    <cellStyle name="_VC 6.15.06 update on 06GRC power costs.xls Chart 2_Book2_Adj Bench DR 3 for Initial Briefs (Electric) 3" xfId="6034"/>
    <cellStyle name="_VC 6.15.06 update on 06GRC power costs.xls Chart 2_Book2_Adj Bench DR 3 for Initial Briefs (Electric) 4" xfId="6035"/>
    <cellStyle name="_VC 6.15.06 update on 06GRC power costs.xls Chart 2_Book2_Electric Rev Req Model (2009 GRC) Rebuttal" xfId="6036"/>
    <cellStyle name="_VC 6.15.06 update on 06GRC power costs.xls Chart 2_Book2_Electric Rev Req Model (2009 GRC) Rebuttal 2" xfId="6037"/>
    <cellStyle name="_VC 6.15.06 update on 06GRC power costs.xls Chart 2_Book2_Electric Rev Req Model (2009 GRC) Rebuttal 2 2" xfId="6038"/>
    <cellStyle name="_VC 6.15.06 update on 06GRC power costs.xls Chart 2_Book2_Electric Rev Req Model (2009 GRC) Rebuttal 3" xfId="6039"/>
    <cellStyle name="_VC 6.15.06 update on 06GRC power costs.xls Chart 2_Book2_Electric Rev Req Model (2009 GRC) Rebuttal 4" xfId="6040"/>
    <cellStyle name="_VC 6.15.06 update on 06GRC power costs.xls Chart 2_Book2_Electric Rev Req Model (2009 GRC) Rebuttal REmoval of New  WH Solar AdjustMI" xfId="6041"/>
    <cellStyle name="_VC 6.15.06 update on 06GRC power costs.xls Chart 2_Book2_Electric Rev Req Model (2009 GRC) Rebuttal REmoval of New  WH Solar AdjustMI 2" xfId="6042"/>
    <cellStyle name="_VC 6.15.06 update on 06GRC power costs.xls Chart 2_Book2_Electric Rev Req Model (2009 GRC) Rebuttal REmoval of New  WH Solar AdjustMI 2 2" xfId="6043"/>
    <cellStyle name="_VC 6.15.06 update on 06GRC power costs.xls Chart 2_Book2_Electric Rev Req Model (2009 GRC) Rebuttal REmoval of New  WH Solar AdjustMI 3" xfId="6044"/>
    <cellStyle name="_VC 6.15.06 update on 06GRC power costs.xls Chart 2_Book2_Electric Rev Req Model (2009 GRC) Rebuttal REmoval of New  WH Solar AdjustMI 4" xfId="6045"/>
    <cellStyle name="_VC 6.15.06 update on 06GRC power costs.xls Chart 2_Book2_Electric Rev Req Model (2009 GRC) Revised 01-18-2010" xfId="6046"/>
    <cellStyle name="_VC 6.15.06 update on 06GRC power costs.xls Chart 2_Book2_Electric Rev Req Model (2009 GRC) Revised 01-18-2010 2" xfId="6047"/>
    <cellStyle name="_VC 6.15.06 update on 06GRC power costs.xls Chart 2_Book2_Electric Rev Req Model (2009 GRC) Revised 01-18-2010 2 2" xfId="6048"/>
    <cellStyle name="_VC 6.15.06 update on 06GRC power costs.xls Chart 2_Book2_Electric Rev Req Model (2009 GRC) Revised 01-18-2010 3" xfId="6049"/>
    <cellStyle name="_VC 6.15.06 update on 06GRC power costs.xls Chart 2_Book2_Electric Rev Req Model (2009 GRC) Revised 01-18-2010 4" xfId="6050"/>
    <cellStyle name="_VC 6.15.06 update on 06GRC power costs.xls Chart 2_Book2_Final Order Electric EXHIBIT A-1" xfId="6051"/>
    <cellStyle name="_VC 6.15.06 update on 06GRC power costs.xls Chart 2_Book2_Final Order Electric EXHIBIT A-1 2" xfId="6052"/>
    <cellStyle name="_VC 6.15.06 update on 06GRC power costs.xls Chart 2_Book2_Final Order Electric EXHIBIT A-1 2 2" xfId="6053"/>
    <cellStyle name="_VC 6.15.06 update on 06GRC power costs.xls Chart 2_Book2_Final Order Electric EXHIBIT A-1 3" xfId="6054"/>
    <cellStyle name="_VC 6.15.06 update on 06GRC power costs.xls Chart 2_Book2_Final Order Electric EXHIBIT A-1 4" xfId="6055"/>
    <cellStyle name="_VC 6.15.06 update on 06GRC power costs.xls Chart 2_Book4" xfId="6056"/>
    <cellStyle name="_VC 6.15.06 update on 06GRC power costs.xls Chart 2_Book4 2" xfId="6057"/>
    <cellStyle name="_VC 6.15.06 update on 06GRC power costs.xls Chart 2_Book4 2 2" xfId="6058"/>
    <cellStyle name="_VC 6.15.06 update on 06GRC power costs.xls Chart 2_Book4 3" xfId="6059"/>
    <cellStyle name="_VC 6.15.06 update on 06GRC power costs.xls Chart 2_Book4 4" xfId="6060"/>
    <cellStyle name="_VC 6.15.06 update on 06GRC power costs.xls Chart 2_Book9" xfId="6061"/>
    <cellStyle name="_VC 6.15.06 update on 06GRC power costs.xls Chart 2_Book9 2" xfId="6062"/>
    <cellStyle name="_VC 6.15.06 update on 06GRC power costs.xls Chart 2_Book9 2 2" xfId="6063"/>
    <cellStyle name="_VC 6.15.06 update on 06GRC power costs.xls Chart 2_Book9 3" xfId="6064"/>
    <cellStyle name="_VC 6.15.06 update on 06GRC power costs.xls Chart 2_Book9 4" xfId="6065"/>
    <cellStyle name="_VC 6.15.06 update on 06GRC power costs.xls Chart 2_Chelan PUD Power Costs (8-10)" xfId="6066"/>
    <cellStyle name="_VC 6.15.06 update on 06GRC power costs.xls Chart 2_Gas Rev Req Model (2010 GRC)" xfId="6067"/>
    <cellStyle name="_VC 6.15.06 update on 06GRC power costs.xls Chart 2_INPUTS" xfId="6068"/>
    <cellStyle name="_VC 6.15.06 update on 06GRC power costs.xls Chart 2_INPUTS 2" xfId="6069"/>
    <cellStyle name="_VC 6.15.06 update on 06GRC power costs.xls Chart 2_INPUTS 2 2" xfId="6070"/>
    <cellStyle name="_VC 6.15.06 update on 06GRC power costs.xls Chart 2_INPUTS 3" xfId="6071"/>
    <cellStyle name="_VC 6.15.06 update on 06GRC power costs.xls Chart 2_NIM Summary" xfId="6072"/>
    <cellStyle name="_VC 6.15.06 update on 06GRC power costs.xls Chart 2_NIM Summary 09GRC" xfId="6073"/>
    <cellStyle name="_VC 6.15.06 update on 06GRC power costs.xls Chart 2_NIM Summary 09GRC 2" xfId="6074"/>
    <cellStyle name="_VC 6.15.06 update on 06GRC power costs.xls Chart 2_NIM Summary 2" xfId="6075"/>
    <cellStyle name="_VC 6.15.06 update on 06GRC power costs.xls Chart 2_NIM Summary 3" xfId="6076"/>
    <cellStyle name="_VC 6.15.06 update on 06GRC power costs.xls Chart 2_NIM Summary 4" xfId="6077"/>
    <cellStyle name="_VC 6.15.06 update on 06GRC power costs.xls Chart 2_NIM Summary 5" xfId="6078"/>
    <cellStyle name="_VC 6.15.06 update on 06GRC power costs.xls Chart 2_NIM Summary 6" xfId="6079"/>
    <cellStyle name="_VC 6.15.06 update on 06GRC power costs.xls Chart 2_NIM Summary 7" xfId="6080"/>
    <cellStyle name="_VC 6.15.06 update on 06GRC power costs.xls Chart 2_NIM Summary 8" xfId="6081"/>
    <cellStyle name="_VC 6.15.06 update on 06GRC power costs.xls Chart 2_NIM Summary 9" xfId="6082"/>
    <cellStyle name="_VC 6.15.06 update on 06GRC power costs.xls Chart 2_PCA 10 -  Exhibit D from A Kellogg Jan 2011" xfId="6083"/>
    <cellStyle name="_VC 6.15.06 update on 06GRC power costs.xls Chart 2_PCA 10 -  Exhibit D from A Kellogg July 2011" xfId="6084"/>
    <cellStyle name="_VC 6.15.06 update on 06GRC power costs.xls Chart 2_PCA 10 -  Exhibit D from S Free Rcv'd 12-11" xfId="6085"/>
    <cellStyle name="_VC 6.15.06 update on 06GRC power costs.xls Chart 2_PCA 9 -  Exhibit D April 2010" xfId="6086"/>
    <cellStyle name="_VC 6.15.06 update on 06GRC power costs.xls Chart 2_PCA 9 -  Exhibit D April 2010 (3)" xfId="6087"/>
    <cellStyle name="_VC 6.15.06 update on 06GRC power costs.xls Chart 2_PCA 9 -  Exhibit D April 2010 (3) 2" xfId="6088"/>
    <cellStyle name="_VC 6.15.06 update on 06GRC power costs.xls Chart 2_PCA 9 -  Exhibit D April 2010 2" xfId="6089"/>
    <cellStyle name="_VC 6.15.06 update on 06GRC power costs.xls Chart 2_PCA 9 -  Exhibit D April 2010 3" xfId="6090"/>
    <cellStyle name="_VC 6.15.06 update on 06GRC power costs.xls Chart 2_PCA 9 -  Exhibit D Nov 2010" xfId="6091"/>
    <cellStyle name="_VC 6.15.06 update on 06GRC power costs.xls Chart 2_PCA 9 -  Exhibit D Nov 2010 2" xfId="6092"/>
    <cellStyle name="_VC 6.15.06 update on 06GRC power costs.xls Chart 2_PCA 9 - Exhibit D at August 2010" xfId="6093"/>
    <cellStyle name="_VC 6.15.06 update on 06GRC power costs.xls Chart 2_PCA 9 - Exhibit D at August 2010 2" xfId="6094"/>
    <cellStyle name="_VC 6.15.06 update on 06GRC power costs.xls Chart 2_PCA 9 - Exhibit D June 2010 GRC" xfId="6095"/>
    <cellStyle name="_VC 6.15.06 update on 06GRC power costs.xls Chart 2_PCA 9 - Exhibit D June 2010 GRC 2" xfId="6096"/>
    <cellStyle name="_VC 6.15.06 update on 06GRC power costs.xls Chart 2_Power Costs - Comparison bx Rbtl-Staff-Jt-PC" xfId="6097"/>
    <cellStyle name="_VC 6.15.06 update on 06GRC power costs.xls Chart 2_Power Costs - Comparison bx Rbtl-Staff-Jt-PC 2" xfId="6098"/>
    <cellStyle name="_VC 6.15.06 update on 06GRC power costs.xls Chart 2_Power Costs - Comparison bx Rbtl-Staff-Jt-PC 2 2" xfId="6099"/>
    <cellStyle name="_VC 6.15.06 update on 06GRC power costs.xls Chart 2_Power Costs - Comparison bx Rbtl-Staff-Jt-PC 3" xfId="6100"/>
    <cellStyle name="_VC 6.15.06 update on 06GRC power costs.xls Chart 2_Power Costs - Comparison bx Rbtl-Staff-Jt-PC 4" xfId="6101"/>
    <cellStyle name="_VC 6.15.06 update on 06GRC power costs.xls Chart 2_Power Costs - Comparison bx Rbtl-Staff-Jt-PC_Adj Bench DR 3 for Initial Briefs (Electric)" xfId="6102"/>
    <cellStyle name="_VC 6.15.06 update on 06GRC power costs.xls Chart 2_Power Costs - Comparison bx Rbtl-Staff-Jt-PC_Adj Bench DR 3 for Initial Briefs (Electric) 2" xfId="6103"/>
    <cellStyle name="_VC 6.15.06 update on 06GRC power costs.xls Chart 2_Power Costs - Comparison bx Rbtl-Staff-Jt-PC_Adj Bench DR 3 for Initial Briefs (Electric) 2 2" xfId="6104"/>
    <cellStyle name="_VC 6.15.06 update on 06GRC power costs.xls Chart 2_Power Costs - Comparison bx Rbtl-Staff-Jt-PC_Adj Bench DR 3 for Initial Briefs (Electric) 3" xfId="6105"/>
    <cellStyle name="_VC 6.15.06 update on 06GRC power costs.xls Chart 2_Power Costs - Comparison bx Rbtl-Staff-Jt-PC_Adj Bench DR 3 for Initial Briefs (Electric) 4" xfId="6106"/>
    <cellStyle name="_VC 6.15.06 update on 06GRC power costs.xls Chart 2_Power Costs - Comparison bx Rbtl-Staff-Jt-PC_Electric Rev Req Model (2009 GRC) Rebuttal" xfId="6107"/>
    <cellStyle name="_VC 6.15.06 update on 06GRC power costs.xls Chart 2_Power Costs - Comparison bx Rbtl-Staff-Jt-PC_Electric Rev Req Model (2009 GRC) Rebuttal 2" xfId="6108"/>
    <cellStyle name="_VC 6.15.06 update on 06GRC power costs.xls Chart 2_Power Costs - Comparison bx Rbtl-Staff-Jt-PC_Electric Rev Req Model (2009 GRC) Rebuttal 2 2" xfId="6109"/>
    <cellStyle name="_VC 6.15.06 update on 06GRC power costs.xls Chart 2_Power Costs - Comparison bx Rbtl-Staff-Jt-PC_Electric Rev Req Model (2009 GRC) Rebuttal 3" xfId="6110"/>
    <cellStyle name="_VC 6.15.06 update on 06GRC power costs.xls Chart 2_Power Costs - Comparison bx Rbtl-Staff-Jt-PC_Electric Rev Req Model (2009 GRC) Rebuttal 4" xfId="6111"/>
    <cellStyle name="_VC 6.15.06 update on 06GRC power costs.xls Chart 2_Power Costs - Comparison bx Rbtl-Staff-Jt-PC_Electric Rev Req Model (2009 GRC) Rebuttal REmoval of New  WH Solar AdjustMI" xfId="6112"/>
    <cellStyle name="_VC 6.15.06 update on 06GRC power costs.xls Chart 2_Power Costs - Comparison bx Rbtl-Staff-Jt-PC_Electric Rev Req Model (2009 GRC) Rebuttal REmoval of New  WH Solar AdjustMI 2" xfId="6113"/>
    <cellStyle name="_VC 6.15.06 update on 06GRC power costs.xls Chart 2_Power Costs - Comparison bx Rbtl-Staff-Jt-PC_Electric Rev Req Model (2009 GRC) Rebuttal REmoval of New  WH Solar AdjustMI 2 2" xfId="6114"/>
    <cellStyle name="_VC 6.15.06 update on 06GRC power costs.xls Chart 2_Power Costs - Comparison bx Rbtl-Staff-Jt-PC_Electric Rev Req Model (2009 GRC) Rebuttal REmoval of New  WH Solar AdjustMI 3" xfId="6115"/>
    <cellStyle name="_VC 6.15.06 update on 06GRC power costs.xls Chart 2_Power Costs - Comparison bx Rbtl-Staff-Jt-PC_Electric Rev Req Model (2009 GRC) Rebuttal REmoval of New  WH Solar AdjustMI 4" xfId="6116"/>
    <cellStyle name="_VC 6.15.06 update on 06GRC power costs.xls Chart 2_Power Costs - Comparison bx Rbtl-Staff-Jt-PC_Electric Rev Req Model (2009 GRC) Revised 01-18-2010" xfId="6117"/>
    <cellStyle name="_VC 6.15.06 update on 06GRC power costs.xls Chart 2_Power Costs - Comparison bx Rbtl-Staff-Jt-PC_Electric Rev Req Model (2009 GRC) Revised 01-18-2010 2" xfId="6118"/>
    <cellStyle name="_VC 6.15.06 update on 06GRC power costs.xls Chart 2_Power Costs - Comparison bx Rbtl-Staff-Jt-PC_Electric Rev Req Model (2009 GRC) Revised 01-18-2010 2 2" xfId="6119"/>
    <cellStyle name="_VC 6.15.06 update on 06GRC power costs.xls Chart 2_Power Costs - Comparison bx Rbtl-Staff-Jt-PC_Electric Rev Req Model (2009 GRC) Revised 01-18-2010 3" xfId="6120"/>
    <cellStyle name="_VC 6.15.06 update on 06GRC power costs.xls Chart 2_Power Costs - Comparison bx Rbtl-Staff-Jt-PC_Electric Rev Req Model (2009 GRC) Revised 01-18-2010 4" xfId="6121"/>
    <cellStyle name="_VC 6.15.06 update on 06GRC power costs.xls Chart 2_Power Costs - Comparison bx Rbtl-Staff-Jt-PC_Final Order Electric EXHIBIT A-1" xfId="6122"/>
    <cellStyle name="_VC 6.15.06 update on 06GRC power costs.xls Chart 2_Power Costs - Comparison bx Rbtl-Staff-Jt-PC_Final Order Electric EXHIBIT A-1 2" xfId="6123"/>
    <cellStyle name="_VC 6.15.06 update on 06GRC power costs.xls Chart 2_Power Costs - Comparison bx Rbtl-Staff-Jt-PC_Final Order Electric EXHIBIT A-1 2 2" xfId="6124"/>
    <cellStyle name="_VC 6.15.06 update on 06GRC power costs.xls Chart 2_Power Costs - Comparison bx Rbtl-Staff-Jt-PC_Final Order Electric EXHIBIT A-1 3" xfId="6125"/>
    <cellStyle name="_VC 6.15.06 update on 06GRC power costs.xls Chart 2_Power Costs - Comparison bx Rbtl-Staff-Jt-PC_Final Order Electric EXHIBIT A-1 4" xfId="6126"/>
    <cellStyle name="_VC 6.15.06 update on 06GRC power costs.xls Chart 2_Production Adj 4.37" xfId="6127"/>
    <cellStyle name="_VC 6.15.06 update on 06GRC power costs.xls Chart 2_Production Adj 4.37 2" xfId="6128"/>
    <cellStyle name="_VC 6.15.06 update on 06GRC power costs.xls Chart 2_Production Adj 4.37 2 2" xfId="6129"/>
    <cellStyle name="_VC 6.15.06 update on 06GRC power costs.xls Chart 2_Production Adj 4.37 3" xfId="6130"/>
    <cellStyle name="_VC 6.15.06 update on 06GRC power costs.xls Chart 2_Purchased Power Adj 4.03" xfId="6131"/>
    <cellStyle name="_VC 6.15.06 update on 06GRC power costs.xls Chart 2_Purchased Power Adj 4.03 2" xfId="6132"/>
    <cellStyle name="_VC 6.15.06 update on 06GRC power costs.xls Chart 2_Purchased Power Adj 4.03 2 2" xfId="6133"/>
    <cellStyle name="_VC 6.15.06 update on 06GRC power costs.xls Chart 2_Purchased Power Adj 4.03 3" xfId="6134"/>
    <cellStyle name="_VC 6.15.06 update on 06GRC power costs.xls Chart 2_Rebuttal Power Costs" xfId="6135"/>
    <cellStyle name="_VC 6.15.06 update on 06GRC power costs.xls Chart 2_Rebuttal Power Costs 2" xfId="6136"/>
    <cellStyle name="_VC 6.15.06 update on 06GRC power costs.xls Chart 2_Rebuttal Power Costs 2 2" xfId="6137"/>
    <cellStyle name="_VC 6.15.06 update on 06GRC power costs.xls Chart 2_Rebuttal Power Costs 3" xfId="6138"/>
    <cellStyle name="_VC 6.15.06 update on 06GRC power costs.xls Chart 2_Rebuttal Power Costs 4" xfId="6139"/>
    <cellStyle name="_VC 6.15.06 update on 06GRC power costs.xls Chart 2_Rebuttal Power Costs_Adj Bench DR 3 for Initial Briefs (Electric)" xfId="6140"/>
    <cellStyle name="_VC 6.15.06 update on 06GRC power costs.xls Chart 2_Rebuttal Power Costs_Adj Bench DR 3 for Initial Briefs (Electric) 2" xfId="6141"/>
    <cellStyle name="_VC 6.15.06 update on 06GRC power costs.xls Chart 2_Rebuttal Power Costs_Adj Bench DR 3 for Initial Briefs (Electric) 2 2" xfId="6142"/>
    <cellStyle name="_VC 6.15.06 update on 06GRC power costs.xls Chart 2_Rebuttal Power Costs_Adj Bench DR 3 for Initial Briefs (Electric) 3" xfId="6143"/>
    <cellStyle name="_VC 6.15.06 update on 06GRC power costs.xls Chart 2_Rebuttal Power Costs_Adj Bench DR 3 for Initial Briefs (Electric) 4" xfId="6144"/>
    <cellStyle name="_VC 6.15.06 update on 06GRC power costs.xls Chart 2_Rebuttal Power Costs_Electric Rev Req Model (2009 GRC) Rebuttal" xfId="6145"/>
    <cellStyle name="_VC 6.15.06 update on 06GRC power costs.xls Chart 2_Rebuttal Power Costs_Electric Rev Req Model (2009 GRC) Rebuttal 2" xfId="6146"/>
    <cellStyle name="_VC 6.15.06 update on 06GRC power costs.xls Chart 2_Rebuttal Power Costs_Electric Rev Req Model (2009 GRC) Rebuttal 2 2" xfId="6147"/>
    <cellStyle name="_VC 6.15.06 update on 06GRC power costs.xls Chart 2_Rebuttal Power Costs_Electric Rev Req Model (2009 GRC) Rebuttal 3" xfId="6148"/>
    <cellStyle name="_VC 6.15.06 update on 06GRC power costs.xls Chart 2_Rebuttal Power Costs_Electric Rev Req Model (2009 GRC) Rebuttal 4" xfId="6149"/>
    <cellStyle name="_VC 6.15.06 update on 06GRC power costs.xls Chart 2_Rebuttal Power Costs_Electric Rev Req Model (2009 GRC) Rebuttal REmoval of New  WH Solar AdjustMI" xfId="6150"/>
    <cellStyle name="_VC 6.15.06 update on 06GRC power costs.xls Chart 2_Rebuttal Power Costs_Electric Rev Req Model (2009 GRC) Rebuttal REmoval of New  WH Solar AdjustMI 2" xfId="6151"/>
    <cellStyle name="_VC 6.15.06 update on 06GRC power costs.xls Chart 2_Rebuttal Power Costs_Electric Rev Req Model (2009 GRC) Rebuttal REmoval of New  WH Solar AdjustMI 2 2" xfId="6152"/>
    <cellStyle name="_VC 6.15.06 update on 06GRC power costs.xls Chart 2_Rebuttal Power Costs_Electric Rev Req Model (2009 GRC) Rebuttal REmoval of New  WH Solar AdjustMI 3" xfId="6153"/>
    <cellStyle name="_VC 6.15.06 update on 06GRC power costs.xls Chart 2_Rebuttal Power Costs_Electric Rev Req Model (2009 GRC) Rebuttal REmoval of New  WH Solar AdjustMI 4" xfId="6154"/>
    <cellStyle name="_VC 6.15.06 update on 06GRC power costs.xls Chart 2_Rebuttal Power Costs_Electric Rev Req Model (2009 GRC) Revised 01-18-2010" xfId="6155"/>
    <cellStyle name="_VC 6.15.06 update on 06GRC power costs.xls Chart 2_Rebuttal Power Costs_Electric Rev Req Model (2009 GRC) Revised 01-18-2010 2" xfId="6156"/>
    <cellStyle name="_VC 6.15.06 update on 06GRC power costs.xls Chart 2_Rebuttal Power Costs_Electric Rev Req Model (2009 GRC) Revised 01-18-2010 2 2" xfId="6157"/>
    <cellStyle name="_VC 6.15.06 update on 06GRC power costs.xls Chart 2_Rebuttal Power Costs_Electric Rev Req Model (2009 GRC) Revised 01-18-2010 3" xfId="6158"/>
    <cellStyle name="_VC 6.15.06 update on 06GRC power costs.xls Chart 2_Rebuttal Power Costs_Electric Rev Req Model (2009 GRC) Revised 01-18-2010 4" xfId="6159"/>
    <cellStyle name="_VC 6.15.06 update on 06GRC power costs.xls Chart 2_Rebuttal Power Costs_Final Order Electric EXHIBIT A-1" xfId="6160"/>
    <cellStyle name="_VC 6.15.06 update on 06GRC power costs.xls Chart 2_Rebuttal Power Costs_Final Order Electric EXHIBIT A-1 2" xfId="6161"/>
    <cellStyle name="_VC 6.15.06 update on 06GRC power costs.xls Chart 2_Rebuttal Power Costs_Final Order Electric EXHIBIT A-1 2 2" xfId="6162"/>
    <cellStyle name="_VC 6.15.06 update on 06GRC power costs.xls Chart 2_Rebuttal Power Costs_Final Order Electric EXHIBIT A-1 3" xfId="6163"/>
    <cellStyle name="_VC 6.15.06 update on 06GRC power costs.xls Chart 2_Rebuttal Power Costs_Final Order Electric EXHIBIT A-1 4" xfId="6164"/>
    <cellStyle name="_VC 6.15.06 update on 06GRC power costs.xls Chart 2_ROR &amp; CONV FACTOR" xfId="6165"/>
    <cellStyle name="_VC 6.15.06 update on 06GRC power costs.xls Chart 2_ROR &amp; CONV FACTOR 2" xfId="6166"/>
    <cellStyle name="_VC 6.15.06 update on 06GRC power costs.xls Chart 2_ROR &amp; CONV FACTOR 2 2" xfId="6167"/>
    <cellStyle name="_VC 6.15.06 update on 06GRC power costs.xls Chart 2_ROR &amp; CONV FACTOR 3" xfId="6168"/>
    <cellStyle name="_VC 6.15.06 update on 06GRC power costs.xls Chart 2_ROR 5.02" xfId="6169"/>
    <cellStyle name="_VC 6.15.06 update on 06GRC power costs.xls Chart 2_ROR 5.02 2" xfId="6170"/>
    <cellStyle name="_VC 6.15.06 update on 06GRC power costs.xls Chart 2_ROR 5.02 2 2" xfId="6171"/>
    <cellStyle name="_VC 6.15.06 update on 06GRC power costs.xls Chart 2_ROR 5.02 3" xfId="6172"/>
    <cellStyle name="_VC 6.15.06 update on 06GRC power costs.xls Chart 2_Wind Integration 10GRC" xfId="6173"/>
    <cellStyle name="_VC 6.15.06 update on 06GRC power costs.xls Chart 2_Wind Integration 10GRC 2" xfId="6174"/>
    <cellStyle name="_VC 6.15.06 update on 06GRC power costs.xls Chart 3" xfId="6175"/>
    <cellStyle name="_VC 6.15.06 update on 06GRC power costs.xls Chart 3 2" xfId="6176"/>
    <cellStyle name="_VC 6.15.06 update on 06GRC power costs.xls Chart 3 2 2" xfId="6177"/>
    <cellStyle name="_VC 6.15.06 update on 06GRC power costs.xls Chart 3 2 2 2" xfId="6178"/>
    <cellStyle name="_VC 6.15.06 update on 06GRC power costs.xls Chart 3 2 3" xfId="6179"/>
    <cellStyle name="_VC 6.15.06 update on 06GRC power costs.xls Chart 3 3" xfId="6180"/>
    <cellStyle name="_VC 6.15.06 update on 06GRC power costs.xls Chart 3 3 2" xfId="6181"/>
    <cellStyle name="_VC 6.15.06 update on 06GRC power costs.xls Chart 3 3 2 2" xfId="6182"/>
    <cellStyle name="_VC 6.15.06 update on 06GRC power costs.xls Chart 3 3 3" xfId="6183"/>
    <cellStyle name="_VC 6.15.06 update on 06GRC power costs.xls Chart 3 3 3 2" xfId="6184"/>
    <cellStyle name="_VC 6.15.06 update on 06GRC power costs.xls Chart 3 3 4" xfId="6185"/>
    <cellStyle name="_VC 6.15.06 update on 06GRC power costs.xls Chart 3 3 4 2" xfId="6186"/>
    <cellStyle name="_VC 6.15.06 update on 06GRC power costs.xls Chart 3 4" xfId="6187"/>
    <cellStyle name="_VC 6.15.06 update on 06GRC power costs.xls Chart 3 4 2" xfId="6188"/>
    <cellStyle name="_VC 6.15.06 update on 06GRC power costs.xls Chart 3 5" xfId="6189"/>
    <cellStyle name="_VC 6.15.06 update on 06GRC power costs.xls Chart 3 6" xfId="6190"/>
    <cellStyle name="_VC 6.15.06 update on 06GRC power costs.xls Chart 3 7" xfId="6191"/>
    <cellStyle name="_VC 6.15.06 update on 06GRC power costs.xls Chart 3_04 07E Wild Horse Wind Expansion (C) (2)" xfId="6192"/>
    <cellStyle name="_VC 6.15.06 update on 06GRC power costs.xls Chart 3_04 07E Wild Horse Wind Expansion (C) (2) 2" xfId="6193"/>
    <cellStyle name="_VC 6.15.06 update on 06GRC power costs.xls Chart 3_04 07E Wild Horse Wind Expansion (C) (2) 2 2" xfId="6194"/>
    <cellStyle name="_VC 6.15.06 update on 06GRC power costs.xls Chart 3_04 07E Wild Horse Wind Expansion (C) (2) 3" xfId="6195"/>
    <cellStyle name="_VC 6.15.06 update on 06GRC power costs.xls Chart 3_04 07E Wild Horse Wind Expansion (C) (2) 4" xfId="6196"/>
    <cellStyle name="_VC 6.15.06 update on 06GRC power costs.xls Chart 3_04 07E Wild Horse Wind Expansion (C) (2)_Adj Bench DR 3 for Initial Briefs (Electric)" xfId="6197"/>
    <cellStyle name="_VC 6.15.06 update on 06GRC power costs.xls Chart 3_04 07E Wild Horse Wind Expansion (C) (2)_Adj Bench DR 3 for Initial Briefs (Electric) 2" xfId="6198"/>
    <cellStyle name="_VC 6.15.06 update on 06GRC power costs.xls Chart 3_04 07E Wild Horse Wind Expansion (C) (2)_Adj Bench DR 3 for Initial Briefs (Electric) 2 2" xfId="6199"/>
    <cellStyle name="_VC 6.15.06 update on 06GRC power costs.xls Chart 3_04 07E Wild Horse Wind Expansion (C) (2)_Adj Bench DR 3 for Initial Briefs (Electric) 3" xfId="6200"/>
    <cellStyle name="_VC 6.15.06 update on 06GRC power costs.xls Chart 3_04 07E Wild Horse Wind Expansion (C) (2)_Adj Bench DR 3 for Initial Briefs (Electric) 4" xfId="6201"/>
    <cellStyle name="_VC 6.15.06 update on 06GRC power costs.xls Chart 3_04 07E Wild Horse Wind Expansion (C) (2)_Book1" xfId="6202"/>
    <cellStyle name="_VC 6.15.06 update on 06GRC power costs.xls Chart 3_04 07E Wild Horse Wind Expansion (C) (2)_Electric Rev Req Model (2009 GRC) " xfId="6203"/>
    <cellStyle name="_VC 6.15.06 update on 06GRC power costs.xls Chart 3_04 07E Wild Horse Wind Expansion (C) (2)_Electric Rev Req Model (2009 GRC)  2" xfId="6204"/>
    <cellStyle name="_VC 6.15.06 update on 06GRC power costs.xls Chart 3_04 07E Wild Horse Wind Expansion (C) (2)_Electric Rev Req Model (2009 GRC)  2 2" xfId="6205"/>
    <cellStyle name="_VC 6.15.06 update on 06GRC power costs.xls Chart 3_04 07E Wild Horse Wind Expansion (C) (2)_Electric Rev Req Model (2009 GRC)  3" xfId="6206"/>
    <cellStyle name="_VC 6.15.06 update on 06GRC power costs.xls Chart 3_04 07E Wild Horse Wind Expansion (C) (2)_Electric Rev Req Model (2009 GRC)  4" xfId="6207"/>
    <cellStyle name="_VC 6.15.06 update on 06GRC power costs.xls Chart 3_04 07E Wild Horse Wind Expansion (C) (2)_Electric Rev Req Model (2009 GRC) Rebuttal" xfId="6208"/>
    <cellStyle name="_VC 6.15.06 update on 06GRC power costs.xls Chart 3_04 07E Wild Horse Wind Expansion (C) (2)_Electric Rev Req Model (2009 GRC) Rebuttal 2" xfId="6209"/>
    <cellStyle name="_VC 6.15.06 update on 06GRC power costs.xls Chart 3_04 07E Wild Horse Wind Expansion (C) (2)_Electric Rev Req Model (2009 GRC) Rebuttal 2 2" xfId="6210"/>
    <cellStyle name="_VC 6.15.06 update on 06GRC power costs.xls Chart 3_04 07E Wild Horse Wind Expansion (C) (2)_Electric Rev Req Model (2009 GRC) Rebuttal 3" xfId="6211"/>
    <cellStyle name="_VC 6.15.06 update on 06GRC power costs.xls Chart 3_04 07E Wild Horse Wind Expansion (C) (2)_Electric Rev Req Model (2009 GRC) Rebuttal 4" xfId="6212"/>
    <cellStyle name="_VC 6.15.06 update on 06GRC power costs.xls Chart 3_04 07E Wild Horse Wind Expansion (C) (2)_Electric Rev Req Model (2009 GRC) Rebuttal REmoval of New  WH Solar AdjustMI" xfId="6213"/>
    <cellStyle name="_VC 6.15.06 update on 06GRC power costs.xls Chart 3_04 07E Wild Horse Wind Expansion (C) (2)_Electric Rev Req Model (2009 GRC) Rebuttal REmoval of New  WH Solar AdjustMI 2" xfId="6214"/>
    <cellStyle name="_VC 6.15.06 update on 06GRC power costs.xls Chart 3_04 07E Wild Horse Wind Expansion (C) (2)_Electric Rev Req Model (2009 GRC) Rebuttal REmoval of New  WH Solar AdjustMI 2 2" xfId="6215"/>
    <cellStyle name="_VC 6.15.06 update on 06GRC power costs.xls Chart 3_04 07E Wild Horse Wind Expansion (C) (2)_Electric Rev Req Model (2009 GRC) Rebuttal REmoval of New  WH Solar AdjustMI 3" xfId="6216"/>
    <cellStyle name="_VC 6.15.06 update on 06GRC power costs.xls Chart 3_04 07E Wild Horse Wind Expansion (C) (2)_Electric Rev Req Model (2009 GRC) Rebuttal REmoval of New  WH Solar AdjustMI 4" xfId="6217"/>
    <cellStyle name="_VC 6.15.06 update on 06GRC power costs.xls Chart 3_04 07E Wild Horse Wind Expansion (C) (2)_Electric Rev Req Model (2009 GRC) Revised 01-18-2010" xfId="6218"/>
    <cellStyle name="_VC 6.15.06 update on 06GRC power costs.xls Chart 3_04 07E Wild Horse Wind Expansion (C) (2)_Electric Rev Req Model (2009 GRC) Revised 01-18-2010 2" xfId="6219"/>
    <cellStyle name="_VC 6.15.06 update on 06GRC power costs.xls Chart 3_04 07E Wild Horse Wind Expansion (C) (2)_Electric Rev Req Model (2009 GRC) Revised 01-18-2010 2 2" xfId="6220"/>
    <cellStyle name="_VC 6.15.06 update on 06GRC power costs.xls Chart 3_04 07E Wild Horse Wind Expansion (C) (2)_Electric Rev Req Model (2009 GRC) Revised 01-18-2010 3" xfId="6221"/>
    <cellStyle name="_VC 6.15.06 update on 06GRC power costs.xls Chart 3_04 07E Wild Horse Wind Expansion (C) (2)_Electric Rev Req Model (2009 GRC) Revised 01-18-2010 4" xfId="6222"/>
    <cellStyle name="_VC 6.15.06 update on 06GRC power costs.xls Chart 3_04 07E Wild Horse Wind Expansion (C) (2)_Electric Rev Req Model (2010 GRC)" xfId="6223"/>
    <cellStyle name="_VC 6.15.06 update on 06GRC power costs.xls Chart 3_04 07E Wild Horse Wind Expansion (C) (2)_Electric Rev Req Model (2010 GRC) SF" xfId="6224"/>
    <cellStyle name="_VC 6.15.06 update on 06GRC power costs.xls Chart 3_04 07E Wild Horse Wind Expansion (C) (2)_Final Order Electric EXHIBIT A-1" xfId="6225"/>
    <cellStyle name="_VC 6.15.06 update on 06GRC power costs.xls Chart 3_04 07E Wild Horse Wind Expansion (C) (2)_Final Order Electric EXHIBIT A-1 2" xfId="6226"/>
    <cellStyle name="_VC 6.15.06 update on 06GRC power costs.xls Chart 3_04 07E Wild Horse Wind Expansion (C) (2)_Final Order Electric EXHIBIT A-1 2 2" xfId="6227"/>
    <cellStyle name="_VC 6.15.06 update on 06GRC power costs.xls Chart 3_04 07E Wild Horse Wind Expansion (C) (2)_Final Order Electric EXHIBIT A-1 3" xfId="6228"/>
    <cellStyle name="_VC 6.15.06 update on 06GRC power costs.xls Chart 3_04 07E Wild Horse Wind Expansion (C) (2)_Final Order Electric EXHIBIT A-1 4" xfId="6229"/>
    <cellStyle name="_VC 6.15.06 update on 06GRC power costs.xls Chart 3_04 07E Wild Horse Wind Expansion (C) (2)_TENASKA REGULATORY ASSET" xfId="6230"/>
    <cellStyle name="_VC 6.15.06 update on 06GRC power costs.xls Chart 3_04 07E Wild Horse Wind Expansion (C) (2)_TENASKA REGULATORY ASSET 2" xfId="6231"/>
    <cellStyle name="_VC 6.15.06 update on 06GRC power costs.xls Chart 3_04 07E Wild Horse Wind Expansion (C) (2)_TENASKA REGULATORY ASSET 2 2" xfId="6232"/>
    <cellStyle name="_VC 6.15.06 update on 06GRC power costs.xls Chart 3_04 07E Wild Horse Wind Expansion (C) (2)_TENASKA REGULATORY ASSET 3" xfId="6233"/>
    <cellStyle name="_VC 6.15.06 update on 06GRC power costs.xls Chart 3_04 07E Wild Horse Wind Expansion (C) (2)_TENASKA REGULATORY ASSET 4" xfId="6234"/>
    <cellStyle name="_VC 6.15.06 update on 06GRC power costs.xls Chart 3_16.37E Wild Horse Expansion DeferralRevwrkingfile SF" xfId="6235"/>
    <cellStyle name="_VC 6.15.06 update on 06GRC power costs.xls Chart 3_16.37E Wild Horse Expansion DeferralRevwrkingfile SF 2" xfId="6236"/>
    <cellStyle name="_VC 6.15.06 update on 06GRC power costs.xls Chart 3_16.37E Wild Horse Expansion DeferralRevwrkingfile SF 2 2" xfId="6237"/>
    <cellStyle name="_VC 6.15.06 update on 06GRC power costs.xls Chart 3_16.37E Wild Horse Expansion DeferralRevwrkingfile SF 3" xfId="6238"/>
    <cellStyle name="_VC 6.15.06 update on 06GRC power costs.xls Chart 3_16.37E Wild Horse Expansion DeferralRevwrkingfile SF 4" xfId="6239"/>
    <cellStyle name="_VC 6.15.06 update on 06GRC power costs.xls Chart 3_2009 Compliance Filing PCA Exhibits for GRC" xfId="6240"/>
    <cellStyle name="_VC 6.15.06 update on 06GRC power costs.xls Chart 3_2009 Compliance Filing PCA Exhibits for GRC 2" xfId="6241"/>
    <cellStyle name="_VC 6.15.06 update on 06GRC power costs.xls Chart 3_2009 GRC Compl Filing - Exhibit D" xfId="6242"/>
    <cellStyle name="_VC 6.15.06 update on 06GRC power costs.xls Chart 3_2009 GRC Compl Filing - Exhibit D 2" xfId="6243"/>
    <cellStyle name="_VC 6.15.06 update on 06GRC power costs.xls Chart 3_2009 GRC Compl Filing - Exhibit D 3" xfId="6244"/>
    <cellStyle name="_VC 6.15.06 update on 06GRC power costs.xls Chart 3_3.01 Income Statement" xfId="6245"/>
    <cellStyle name="_VC 6.15.06 update on 06GRC power costs.xls Chart 3_4 31 Regulatory Assets and Liabilities  7 06- Exhibit D" xfId="6246"/>
    <cellStyle name="_VC 6.15.06 update on 06GRC power costs.xls Chart 3_4 31 Regulatory Assets and Liabilities  7 06- Exhibit D 2" xfId="6247"/>
    <cellStyle name="_VC 6.15.06 update on 06GRC power costs.xls Chart 3_4 31 Regulatory Assets and Liabilities  7 06- Exhibit D 2 2" xfId="6248"/>
    <cellStyle name="_VC 6.15.06 update on 06GRC power costs.xls Chart 3_4 31 Regulatory Assets and Liabilities  7 06- Exhibit D 3" xfId="6249"/>
    <cellStyle name="_VC 6.15.06 update on 06GRC power costs.xls Chart 3_4 31 Regulatory Assets and Liabilities  7 06- Exhibit D 4" xfId="6250"/>
    <cellStyle name="_VC 6.15.06 update on 06GRC power costs.xls Chart 3_4 31 Regulatory Assets and Liabilities  7 06- Exhibit D_NIM Summary" xfId="6251"/>
    <cellStyle name="_VC 6.15.06 update on 06GRC power costs.xls Chart 3_4 31 Regulatory Assets and Liabilities  7 06- Exhibit D_NIM Summary 2" xfId="6252"/>
    <cellStyle name="_VC 6.15.06 update on 06GRC power costs.xls Chart 3_4 32 Regulatory Assets and Liabilities  7 06- Exhibit D" xfId="6253"/>
    <cellStyle name="_VC 6.15.06 update on 06GRC power costs.xls Chart 3_4 32 Regulatory Assets and Liabilities  7 06- Exhibit D 2" xfId="6254"/>
    <cellStyle name="_VC 6.15.06 update on 06GRC power costs.xls Chart 3_4 32 Regulatory Assets and Liabilities  7 06- Exhibit D 2 2" xfId="6255"/>
    <cellStyle name="_VC 6.15.06 update on 06GRC power costs.xls Chart 3_4 32 Regulatory Assets and Liabilities  7 06- Exhibit D 3" xfId="6256"/>
    <cellStyle name="_VC 6.15.06 update on 06GRC power costs.xls Chart 3_4 32 Regulatory Assets and Liabilities  7 06- Exhibit D 4" xfId="6257"/>
    <cellStyle name="_VC 6.15.06 update on 06GRC power costs.xls Chart 3_4 32 Regulatory Assets and Liabilities  7 06- Exhibit D_NIM Summary" xfId="6258"/>
    <cellStyle name="_VC 6.15.06 update on 06GRC power costs.xls Chart 3_4 32 Regulatory Assets and Liabilities  7 06- Exhibit D_NIM Summary 2" xfId="6259"/>
    <cellStyle name="_VC 6.15.06 update on 06GRC power costs.xls Chart 3_ACCOUNTS" xfId="6260"/>
    <cellStyle name="_VC 6.15.06 update on 06GRC power costs.xls Chart 3_AURORA Total New" xfId="6261"/>
    <cellStyle name="_VC 6.15.06 update on 06GRC power costs.xls Chart 3_AURORA Total New 2" xfId="6262"/>
    <cellStyle name="_VC 6.15.06 update on 06GRC power costs.xls Chart 3_Book2" xfId="6263"/>
    <cellStyle name="_VC 6.15.06 update on 06GRC power costs.xls Chart 3_Book2 2" xfId="6264"/>
    <cellStyle name="_VC 6.15.06 update on 06GRC power costs.xls Chart 3_Book2 2 2" xfId="6265"/>
    <cellStyle name="_VC 6.15.06 update on 06GRC power costs.xls Chart 3_Book2 3" xfId="6266"/>
    <cellStyle name="_VC 6.15.06 update on 06GRC power costs.xls Chart 3_Book2 4" xfId="6267"/>
    <cellStyle name="_VC 6.15.06 update on 06GRC power costs.xls Chart 3_Book2_Adj Bench DR 3 for Initial Briefs (Electric)" xfId="6268"/>
    <cellStyle name="_VC 6.15.06 update on 06GRC power costs.xls Chart 3_Book2_Adj Bench DR 3 for Initial Briefs (Electric) 2" xfId="6269"/>
    <cellStyle name="_VC 6.15.06 update on 06GRC power costs.xls Chart 3_Book2_Adj Bench DR 3 for Initial Briefs (Electric) 2 2" xfId="6270"/>
    <cellStyle name="_VC 6.15.06 update on 06GRC power costs.xls Chart 3_Book2_Adj Bench DR 3 for Initial Briefs (Electric) 3" xfId="6271"/>
    <cellStyle name="_VC 6.15.06 update on 06GRC power costs.xls Chart 3_Book2_Adj Bench DR 3 for Initial Briefs (Electric) 4" xfId="6272"/>
    <cellStyle name="_VC 6.15.06 update on 06GRC power costs.xls Chart 3_Book2_Electric Rev Req Model (2009 GRC) Rebuttal" xfId="6273"/>
    <cellStyle name="_VC 6.15.06 update on 06GRC power costs.xls Chart 3_Book2_Electric Rev Req Model (2009 GRC) Rebuttal 2" xfId="6274"/>
    <cellStyle name="_VC 6.15.06 update on 06GRC power costs.xls Chart 3_Book2_Electric Rev Req Model (2009 GRC) Rebuttal 2 2" xfId="6275"/>
    <cellStyle name="_VC 6.15.06 update on 06GRC power costs.xls Chart 3_Book2_Electric Rev Req Model (2009 GRC) Rebuttal 3" xfId="6276"/>
    <cellStyle name="_VC 6.15.06 update on 06GRC power costs.xls Chart 3_Book2_Electric Rev Req Model (2009 GRC) Rebuttal 4" xfId="6277"/>
    <cellStyle name="_VC 6.15.06 update on 06GRC power costs.xls Chart 3_Book2_Electric Rev Req Model (2009 GRC) Rebuttal REmoval of New  WH Solar AdjustMI" xfId="6278"/>
    <cellStyle name="_VC 6.15.06 update on 06GRC power costs.xls Chart 3_Book2_Electric Rev Req Model (2009 GRC) Rebuttal REmoval of New  WH Solar AdjustMI 2" xfId="6279"/>
    <cellStyle name="_VC 6.15.06 update on 06GRC power costs.xls Chart 3_Book2_Electric Rev Req Model (2009 GRC) Rebuttal REmoval of New  WH Solar AdjustMI 2 2" xfId="6280"/>
    <cellStyle name="_VC 6.15.06 update on 06GRC power costs.xls Chart 3_Book2_Electric Rev Req Model (2009 GRC) Rebuttal REmoval of New  WH Solar AdjustMI 3" xfId="6281"/>
    <cellStyle name="_VC 6.15.06 update on 06GRC power costs.xls Chart 3_Book2_Electric Rev Req Model (2009 GRC) Rebuttal REmoval of New  WH Solar AdjustMI 4" xfId="6282"/>
    <cellStyle name="_VC 6.15.06 update on 06GRC power costs.xls Chart 3_Book2_Electric Rev Req Model (2009 GRC) Revised 01-18-2010" xfId="6283"/>
    <cellStyle name="_VC 6.15.06 update on 06GRC power costs.xls Chart 3_Book2_Electric Rev Req Model (2009 GRC) Revised 01-18-2010 2" xfId="6284"/>
    <cellStyle name="_VC 6.15.06 update on 06GRC power costs.xls Chart 3_Book2_Electric Rev Req Model (2009 GRC) Revised 01-18-2010 2 2" xfId="6285"/>
    <cellStyle name="_VC 6.15.06 update on 06GRC power costs.xls Chart 3_Book2_Electric Rev Req Model (2009 GRC) Revised 01-18-2010 3" xfId="6286"/>
    <cellStyle name="_VC 6.15.06 update on 06GRC power costs.xls Chart 3_Book2_Electric Rev Req Model (2009 GRC) Revised 01-18-2010 4" xfId="6287"/>
    <cellStyle name="_VC 6.15.06 update on 06GRC power costs.xls Chart 3_Book2_Final Order Electric EXHIBIT A-1" xfId="6288"/>
    <cellStyle name="_VC 6.15.06 update on 06GRC power costs.xls Chart 3_Book2_Final Order Electric EXHIBIT A-1 2" xfId="6289"/>
    <cellStyle name="_VC 6.15.06 update on 06GRC power costs.xls Chart 3_Book2_Final Order Electric EXHIBIT A-1 2 2" xfId="6290"/>
    <cellStyle name="_VC 6.15.06 update on 06GRC power costs.xls Chart 3_Book2_Final Order Electric EXHIBIT A-1 3" xfId="6291"/>
    <cellStyle name="_VC 6.15.06 update on 06GRC power costs.xls Chart 3_Book2_Final Order Electric EXHIBIT A-1 4" xfId="6292"/>
    <cellStyle name="_VC 6.15.06 update on 06GRC power costs.xls Chart 3_Book4" xfId="6293"/>
    <cellStyle name="_VC 6.15.06 update on 06GRC power costs.xls Chart 3_Book4 2" xfId="6294"/>
    <cellStyle name="_VC 6.15.06 update on 06GRC power costs.xls Chart 3_Book4 2 2" xfId="6295"/>
    <cellStyle name="_VC 6.15.06 update on 06GRC power costs.xls Chart 3_Book4 3" xfId="6296"/>
    <cellStyle name="_VC 6.15.06 update on 06GRC power costs.xls Chart 3_Book4 4" xfId="6297"/>
    <cellStyle name="_VC 6.15.06 update on 06GRC power costs.xls Chart 3_Book9" xfId="6298"/>
    <cellStyle name="_VC 6.15.06 update on 06GRC power costs.xls Chart 3_Book9 2" xfId="6299"/>
    <cellStyle name="_VC 6.15.06 update on 06GRC power costs.xls Chart 3_Book9 2 2" xfId="6300"/>
    <cellStyle name="_VC 6.15.06 update on 06GRC power costs.xls Chart 3_Book9 3" xfId="6301"/>
    <cellStyle name="_VC 6.15.06 update on 06GRC power costs.xls Chart 3_Book9 4" xfId="6302"/>
    <cellStyle name="_VC 6.15.06 update on 06GRC power costs.xls Chart 3_Chelan PUD Power Costs (8-10)" xfId="6303"/>
    <cellStyle name="_VC 6.15.06 update on 06GRC power costs.xls Chart 3_Gas Rev Req Model (2010 GRC)" xfId="6304"/>
    <cellStyle name="_VC 6.15.06 update on 06GRC power costs.xls Chart 3_INPUTS" xfId="6305"/>
    <cellStyle name="_VC 6.15.06 update on 06GRC power costs.xls Chart 3_INPUTS 2" xfId="6306"/>
    <cellStyle name="_VC 6.15.06 update on 06GRC power costs.xls Chart 3_INPUTS 2 2" xfId="6307"/>
    <cellStyle name="_VC 6.15.06 update on 06GRC power costs.xls Chart 3_INPUTS 3" xfId="6308"/>
    <cellStyle name="_VC 6.15.06 update on 06GRC power costs.xls Chart 3_NIM Summary" xfId="6309"/>
    <cellStyle name="_VC 6.15.06 update on 06GRC power costs.xls Chart 3_NIM Summary 09GRC" xfId="6310"/>
    <cellStyle name="_VC 6.15.06 update on 06GRC power costs.xls Chart 3_NIM Summary 09GRC 2" xfId="6311"/>
    <cellStyle name="_VC 6.15.06 update on 06GRC power costs.xls Chart 3_NIM Summary 2" xfId="6312"/>
    <cellStyle name="_VC 6.15.06 update on 06GRC power costs.xls Chart 3_NIM Summary 3" xfId="6313"/>
    <cellStyle name="_VC 6.15.06 update on 06GRC power costs.xls Chart 3_NIM Summary 4" xfId="6314"/>
    <cellStyle name="_VC 6.15.06 update on 06GRC power costs.xls Chart 3_NIM Summary 5" xfId="6315"/>
    <cellStyle name="_VC 6.15.06 update on 06GRC power costs.xls Chart 3_NIM Summary 6" xfId="6316"/>
    <cellStyle name="_VC 6.15.06 update on 06GRC power costs.xls Chart 3_NIM Summary 7" xfId="6317"/>
    <cellStyle name="_VC 6.15.06 update on 06GRC power costs.xls Chart 3_NIM Summary 8" xfId="6318"/>
    <cellStyle name="_VC 6.15.06 update on 06GRC power costs.xls Chart 3_NIM Summary 9" xfId="6319"/>
    <cellStyle name="_VC 6.15.06 update on 06GRC power costs.xls Chart 3_PCA 10 -  Exhibit D from A Kellogg Jan 2011" xfId="6320"/>
    <cellStyle name="_VC 6.15.06 update on 06GRC power costs.xls Chart 3_PCA 10 -  Exhibit D from A Kellogg July 2011" xfId="6321"/>
    <cellStyle name="_VC 6.15.06 update on 06GRC power costs.xls Chart 3_PCA 10 -  Exhibit D from S Free Rcv'd 12-11" xfId="6322"/>
    <cellStyle name="_VC 6.15.06 update on 06GRC power costs.xls Chart 3_PCA 9 -  Exhibit D April 2010" xfId="6323"/>
    <cellStyle name="_VC 6.15.06 update on 06GRC power costs.xls Chart 3_PCA 9 -  Exhibit D April 2010 (3)" xfId="6324"/>
    <cellStyle name="_VC 6.15.06 update on 06GRC power costs.xls Chart 3_PCA 9 -  Exhibit D April 2010 (3) 2" xfId="6325"/>
    <cellStyle name="_VC 6.15.06 update on 06GRC power costs.xls Chart 3_PCA 9 -  Exhibit D April 2010 2" xfId="6326"/>
    <cellStyle name="_VC 6.15.06 update on 06GRC power costs.xls Chart 3_PCA 9 -  Exhibit D April 2010 3" xfId="6327"/>
    <cellStyle name="_VC 6.15.06 update on 06GRC power costs.xls Chart 3_PCA 9 -  Exhibit D Nov 2010" xfId="6328"/>
    <cellStyle name="_VC 6.15.06 update on 06GRC power costs.xls Chart 3_PCA 9 -  Exhibit D Nov 2010 2" xfId="6329"/>
    <cellStyle name="_VC 6.15.06 update on 06GRC power costs.xls Chart 3_PCA 9 - Exhibit D at August 2010" xfId="6330"/>
    <cellStyle name="_VC 6.15.06 update on 06GRC power costs.xls Chart 3_PCA 9 - Exhibit D at August 2010 2" xfId="6331"/>
    <cellStyle name="_VC 6.15.06 update on 06GRC power costs.xls Chart 3_PCA 9 - Exhibit D June 2010 GRC" xfId="6332"/>
    <cellStyle name="_VC 6.15.06 update on 06GRC power costs.xls Chart 3_PCA 9 - Exhibit D June 2010 GRC 2" xfId="6333"/>
    <cellStyle name="_VC 6.15.06 update on 06GRC power costs.xls Chart 3_Power Costs - Comparison bx Rbtl-Staff-Jt-PC" xfId="6334"/>
    <cellStyle name="_VC 6.15.06 update on 06GRC power costs.xls Chart 3_Power Costs - Comparison bx Rbtl-Staff-Jt-PC 2" xfId="6335"/>
    <cellStyle name="_VC 6.15.06 update on 06GRC power costs.xls Chart 3_Power Costs - Comparison bx Rbtl-Staff-Jt-PC 2 2" xfId="6336"/>
    <cellStyle name="_VC 6.15.06 update on 06GRC power costs.xls Chart 3_Power Costs - Comparison bx Rbtl-Staff-Jt-PC 3" xfId="6337"/>
    <cellStyle name="_VC 6.15.06 update on 06GRC power costs.xls Chart 3_Power Costs - Comparison bx Rbtl-Staff-Jt-PC 4" xfId="6338"/>
    <cellStyle name="_VC 6.15.06 update on 06GRC power costs.xls Chart 3_Power Costs - Comparison bx Rbtl-Staff-Jt-PC_Adj Bench DR 3 for Initial Briefs (Electric)" xfId="6339"/>
    <cellStyle name="_VC 6.15.06 update on 06GRC power costs.xls Chart 3_Power Costs - Comparison bx Rbtl-Staff-Jt-PC_Adj Bench DR 3 for Initial Briefs (Electric) 2" xfId="6340"/>
    <cellStyle name="_VC 6.15.06 update on 06GRC power costs.xls Chart 3_Power Costs - Comparison bx Rbtl-Staff-Jt-PC_Adj Bench DR 3 for Initial Briefs (Electric) 2 2" xfId="6341"/>
    <cellStyle name="_VC 6.15.06 update on 06GRC power costs.xls Chart 3_Power Costs - Comparison bx Rbtl-Staff-Jt-PC_Adj Bench DR 3 for Initial Briefs (Electric) 3" xfId="6342"/>
    <cellStyle name="_VC 6.15.06 update on 06GRC power costs.xls Chart 3_Power Costs - Comparison bx Rbtl-Staff-Jt-PC_Adj Bench DR 3 for Initial Briefs (Electric) 4" xfId="6343"/>
    <cellStyle name="_VC 6.15.06 update on 06GRC power costs.xls Chart 3_Power Costs - Comparison bx Rbtl-Staff-Jt-PC_Electric Rev Req Model (2009 GRC) Rebuttal" xfId="6344"/>
    <cellStyle name="_VC 6.15.06 update on 06GRC power costs.xls Chart 3_Power Costs - Comparison bx Rbtl-Staff-Jt-PC_Electric Rev Req Model (2009 GRC) Rebuttal 2" xfId="6345"/>
    <cellStyle name="_VC 6.15.06 update on 06GRC power costs.xls Chart 3_Power Costs - Comparison bx Rbtl-Staff-Jt-PC_Electric Rev Req Model (2009 GRC) Rebuttal 2 2" xfId="6346"/>
    <cellStyle name="_VC 6.15.06 update on 06GRC power costs.xls Chart 3_Power Costs - Comparison bx Rbtl-Staff-Jt-PC_Electric Rev Req Model (2009 GRC) Rebuttal 3" xfId="6347"/>
    <cellStyle name="_VC 6.15.06 update on 06GRC power costs.xls Chart 3_Power Costs - Comparison bx Rbtl-Staff-Jt-PC_Electric Rev Req Model (2009 GRC) Rebuttal 4" xfId="6348"/>
    <cellStyle name="_VC 6.15.06 update on 06GRC power costs.xls Chart 3_Power Costs - Comparison bx Rbtl-Staff-Jt-PC_Electric Rev Req Model (2009 GRC) Rebuttal REmoval of New  WH Solar AdjustMI" xfId="6349"/>
    <cellStyle name="_VC 6.15.06 update on 06GRC power costs.xls Chart 3_Power Costs - Comparison bx Rbtl-Staff-Jt-PC_Electric Rev Req Model (2009 GRC) Rebuttal REmoval of New  WH Solar AdjustMI 2" xfId="6350"/>
    <cellStyle name="_VC 6.15.06 update on 06GRC power costs.xls Chart 3_Power Costs - Comparison bx Rbtl-Staff-Jt-PC_Electric Rev Req Model (2009 GRC) Rebuttal REmoval of New  WH Solar AdjustMI 2 2" xfId="6351"/>
    <cellStyle name="_VC 6.15.06 update on 06GRC power costs.xls Chart 3_Power Costs - Comparison bx Rbtl-Staff-Jt-PC_Electric Rev Req Model (2009 GRC) Rebuttal REmoval of New  WH Solar AdjustMI 3" xfId="6352"/>
    <cellStyle name="_VC 6.15.06 update on 06GRC power costs.xls Chart 3_Power Costs - Comparison bx Rbtl-Staff-Jt-PC_Electric Rev Req Model (2009 GRC) Rebuttal REmoval of New  WH Solar AdjustMI 4" xfId="6353"/>
    <cellStyle name="_VC 6.15.06 update on 06GRC power costs.xls Chart 3_Power Costs - Comparison bx Rbtl-Staff-Jt-PC_Electric Rev Req Model (2009 GRC) Revised 01-18-2010" xfId="6354"/>
    <cellStyle name="_VC 6.15.06 update on 06GRC power costs.xls Chart 3_Power Costs - Comparison bx Rbtl-Staff-Jt-PC_Electric Rev Req Model (2009 GRC) Revised 01-18-2010 2" xfId="6355"/>
    <cellStyle name="_VC 6.15.06 update on 06GRC power costs.xls Chart 3_Power Costs - Comparison bx Rbtl-Staff-Jt-PC_Electric Rev Req Model (2009 GRC) Revised 01-18-2010 2 2" xfId="6356"/>
    <cellStyle name="_VC 6.15.06 update on 06GRC power costs.xls Chart 3_Power Costs - Comparison bx Rbtl-Staff-Jt-PC_Electric Rev Req Model (2009 GRC) Revised 01-18-2010 3" xfId="6357"/>
    <cellStyle name="_VC 6.15.06 update on 06GRC power costs.xls Chart 3_Power Costs - Comparison bx Rbtl-Staff-Jt-PC_Electric Rev Req Model (2009 GRC) Revised 01-18-2010 4" xfId="6358"/>
    <cellStyle name="_VC 6.15.06 update on 06GRC power costs.xls Chart 3_Power Costs - Comparison bx Rbtl-Staff-Jt-PC_Final Order Electric EXHIBIT A-1" xfId="6359"/>
    <cellStyle name="_VC 6.15.06 update on 06GRC power costs.xls Chart 3_Power Costs - Comparison bx Rbtl-Staff-Jt-PC_Final Order Electric EXHIBIT A-1 2" xfId="6360"/>
    <cellStyle name="_VC 6.15.06 update on 06GRC power costs.xls Chart 3_Power Costs - Comparison bx Rbtl-Staff-Jt-PC_Final Order Electric EXHIBIT A-1 2 2" xfId="6361"/>
    <cellStyle name="_VC 6.15.06 update on 06GRC power costs.xls Chart 3_Power Costs - Comparison bx Rbtl-Staff-Jt-PC_Final Order Electric EXHIBIT A-1 3" xfId="6362"/>
    <cellStyle name="_VC 6.15.06 update on 06GRC power costs.xls Chart 3_Power Costs - Comparison bx Rbtl-Staff-Jt-PC_Final Order Electric EXHIBIT A-1 4" xfId="6363"/>
    <cellStyle name="_VC 6.15.06 update on 06GRC power costs.xls Chart 3_Production Adj 4.37" xfId="6364"/>
    <cellStyle name="_VC 6.15.06 update on 06GRC power costs.xls Chart 3_Production Adj 4.37 2" xfId="6365"/>
    <cellStyle name="_VC 6.15.06 update on 06GRC power costs.xls Chart 3_Production Adj 4.37 2 2" xfId="6366"/>
    <cellStyle name="_VC 6.15.06 update on 06GRC power costs.xls Chart 3_Production Adj 4.37 3" xfId="6367"/>
    <cellStyle name="_VC 6.15.06 update on 06GRC power costs.xls Chart 3_Purchased Power Adj 4.03" xfId="6368"/>
    <cellStyle name="_VC 6.15.06 update on 06GRC power costs.xls Chart 3_Purchased Power Adj 4.03 2" xfId="6369"/>
    <cellStyle name="_VC 6.15.06 update on 06GRC power costs.xls Chart 3_Purchased Power Adj 4.03 2 2" xfId="6370"/>
    <cellStyle name="_VC 6.15.06 update on 06GRC power costs.xls Chart 3_Purchased Power Adj 4.03 3" xfId="6371"/>
    <cellStyle name="_VC 6.15.06 update on 06GRC power costs.xls Chart 3_Rebuttal Power Costs" xfId="6372"/>
    <cellStyle name="_VC 6.15.06 update on 06GRC power costs.xls Chart 3_Rebuttal Power Costs 2" xfId="6373"/>
    <cellStyle name="_VC 6.15.06 update on 06GRC power costs.xls Chart 3_Rebuttal Power Costs 2 2" xfId="6374"/>
    <cellStyle name="_VC 6.15.06 update on 06GRC power costs.xls Chart 3_Rebuttal Power Costs 3" xfId="6375"/>
    <cellStyle name="_VC 6.15.06 update on 06GRC power costs.xls Chart 3_Rebuttal Power Costs 4" xfId="6376"/>
    <cellStyle name="_VC 6.15.06 update on 06GRC power costs.xls Chart 3_Rebuttal Power Costs_Adj Bench DR 3 for Initial Briefs (Electric)" xfId="6377"/>
    <cellStyle name="_VC 6.15.06 update on 06GRC power costs.xls Chart 3_Rebuttal Power Costs_Adj Bench DR 3 for Initial Briefs (Electric) 2" xfId="6378"/>
    <cellStyle name="_VC 6.15.06 update on 06GRC power costs.xls Chart 3_Rebuttal Power Costs_Adj Bench DR 3 for Initial Briefs (Electric) 2 2" xfId="6379"/>
    <cellStyle name="_VC 6.15.06 update on 06GRC power costs.xls Chart 3_Rebuttal Power Costs_Adj Bench DR 3 for Initial Briefs (Electric) 3" xfId="6380"/>
    <cellStyle name="_VC 6.15.06 update on 06GRC power costs.xls Chart 3_Rebuttal Power Costs_Adj Bench DR 3 for Initial Briefs (Electric) 4" xfId="6381"/>
    <cellStyle name="_VC 6.15.06 update on 06GRC power costs.xls Chart 3_Rebuttal Power Costs_Electric Rev Req Model (2009 GRC) Rebuttal" xfId="6382"/>
    <cellStyle name="_VC 6.15.06 update on 06GRC power costs.xls Chart 3_Rebuttal Power Costs_Electric Rev Req Model (2009 GRC) Rebuttal 2" xfId="6383"/>
    <cellStyle name="_VC 6.15.06 update on 06GRC power costs.xls Chart 3_Rebuttal Power Costs_Electric Rev Req Model (2009 GRC) Rebuttal 2 2" xfId="6384"/>
    <cellStyle name="_VC 6.15.06 update on 06GRC power costs.xls Chart 3_Rebuttal Power Costs_Electric Rev Req Model (2009 GRC) Rebuttal 3" xfId="6385"/>
    <cellStyle name="_VC 6.15.06 update on 06GRC power costs.xls Chart 3_Rebuttal Power Costs_Electric Rev Req Model (2009 GRC) Rebuttal 4" xfId="6386"/>
    <cellStyle name="_VC 6.15.06 update on 06GRC power costs.xls Chart 3_Rebuttal Power Costs_Electric Rev Req Model (2009 GRC) Rebuttal REmoval of New  WH Solar AdjustMI" xfId="6387"/>
    <cellStyle name="_VC 6.15.06 update on 06GRC power costs.xls Chart 3_Rebuttal Power Costs_Electric Rev Req Model (2009 GRC) Rebuttal REmoval of New  WH Solar AdjustMI 2" xfId="6388"/>
    <cellStyle name="_VC 6.15.06 update on 06GRC power costs.xls Chart 3_Rebuttal Power Costs_Electric Rev Req Model (2009 GRC) Rebuttal REmoval of New  WH Solar AdjustMI 2 2" xfId="6389"/>
    <cellStyle name="_VC 6.15.06 update on 06GRC power costs.xls Chart 3_Rebuttal Power Costs_Electric Rev Req Model (2009 GRC) Rebuttal REmoval of New  WH Solar AdjustMI 3" xfId="6390"/>
    <cellStyle name="_VC 6.15.06 update on 06GRC power costs.xls Chart 3_Rebuttal Power Costs_Electric Rev Req Model (2009 GRC) Rebuttal REmoval of New  WH Solar AdjustMI 4" xfId="6391"/>
    <cellStyle name="_VC 6.15.06 update on 06GRC power costs.xls Chart 3_Rebuttal Power Costs_Electric Rev Req Model (2009 GRC) Revised 01-18-2010" xfId="6392"/>
    <cellStyle name="_VC 6.15.06 update on 06GRC power costs.xls Chart 3_Rebuttal Power Costs_Electric Rev Req Model (2009 GRC) Revised 01-18-2010 2" xfId="6393"/>
    <cellStyle name="_VC 6.15.06 update on 06GRC power costs.xls Chart 3_Rebuttal Power Costs_Electric Rev Req Model (2009 GRC) Revised 01-18-2010 2 2" xfId="6394"/>
    <cellStyle name="_VC 6.15.06 update on 06GRC power costs.xls Chart 3_Rebuttal Power Costs_Electric Rev Req Model (2009 GRC) Revised 01-18-2010 3" xfId="6395"/>
    <cellStyle name="_VC 6.15.06 update on 06GRC power costs.xls Chart 3_Rebuttal Power Costs_Electric Rev Req Model (2009 GRC) Revised 01-18-2010 4" xfId="6396"/>
    <cellStyle name="_VC 6.15.06 update on 06GRC power costs.xls Chart 3_Rebuttal Power Costs_Final Order Electric EXHIBIT A-1" xfId="6397"/>
    <cellStyle name="_VC 6.15.06 update on 06GRC power costs.xls Chart 3_Rebuttal Power Costs_Final Order Electric EXHIBIT A-1 2" xfId="6398"/>
    <cellStyle name="_VC 6.15.06 update on 06GRC power costs.xls Chart 3_Rebuttal Power Costs_Final Order Electric EXHIBIT A-1 2 2" xfId="6399"/>
    <cellStyle name="_VC 6.15.06 update on 06GRC power costs.xls Chart 3_Rebuttal Power Costs_Final Order Electric EXHIBIT A-1 3" xfId="6400"/>
    <cellStyle name="_VC 6.15.06 update on 06GRC power costs.xls Chart 3_Rebuttal Power Costs_Final Order Electric EXHIBIT A-1 4" xfId="6401"/>
    <cellStyle name="_VC 6.15.06 update on 06GRC power costs.xls Chart 3_ROR &amp; CONV FACTOR" xfId="6402"/>
    <cellStyle name="_VC 6.15.06 update on 06GRC power costs.xls Chart 3_ROR &amp; CONV FACTOR 2" xfId="6403"/>
    <cellStyle name="_VC 6.15.06 update on 06GRC power costs.xls Chart 3_ROR &amp; CONV FACTOR 2 2" xfId="6404"/>
    <cellStyle name="_VC 6.15.06 update on 06GRC power costs.xls Chart 3_ROR &amp; CONV FACTOR 3" xfId="6405"/>
    <cellStyle name="_VC 6.15.06 update on 06GRC power costs.xls Chart 3_ROR 5.02" xfId="6406"/>
    <cellStyle name="_VC 6.15.06 update on 06GRC power costs.xls Chart 3_ROR 5.02 2" xfId="6407"/>
    <cellStyle name="_VC 6.15.06 update on 06GRC power costs.xls Chart 3_ROR 5.02 2 2" xfId="6408"/>
    <cellStyle name="_VC 6.15.06 update on 06GRC power costs.xls Chart 3_ROR 5.02 3" xfId="6409"/>
    <cellStyle name="_VC 6.15.06 update on 06GRC power costs.xls Chart 3_Wind Integration 10GRC" xfId="6410"/>
    <cellStyle name="_VC 6.15.06 update on 06GRC power costs.xls Chart 3_Wind Integration 10GRC 2" xfId="6411"/>
    <cellStyle name="_Worksheet" xfId="6412"/>
    <cellStyle name="_Worksheet 2" xfId="6413"/>
    <cellStyle name="_Worksheet_Chelan PUD Power Costs (8-10)" xfId="6414"/>
    <cellStyle name="_Worksheet_NIM Summary" xfId="6415"/>
    <cellStyle name="_Worksheet_NIM Summary 2" xfId="6416"/>
    <cellStyle name="_Worksheet_Transmission Workbook for May BOD" xfId="6417"/>
    <cellStyle name="_Worksheet_Transmission Workbook for May BOD 2" xfId="6418"/>
    <cellStyle name="_Worksheet_Wind Integration 10GRC" xfId="6419"/>
    <cellStyle name="_Worksheet_Wind Integration 10GRC 2" xfId="6420"/>
    <cellStyle name="0,0_x000d__x000a_NA_x000d__x000a_" xfId="6421"/>
    <cellStyle name="0,0_x000d__x000a_NA_x000d__x000a_ 2" xfId="6422"/>
    <cellStyle name="0000" xfId="6423"/>
    <cellStyle name="000000" xfId="6424"/>
    <cellStyle name="14BLIN - Style8" xfId="6425"/>
    <cellStyle name="14-BT - Style1" xfId="6426"/>
    <cellStyle name="20% - Accent1 2" xfId="6427"/>
    <cellStyle name="20% - Accent1 2 2" xfId="6428"/>
    <cellStyle name="20% - Accent1 2 2 2" xfId="6429"/>
    <cellStyle name="20% - Accent1 2 2 3" xfId="6430"/>
    <cellStyle name="20% - Accent1 2 3" xfId="6431"/>
    <cellStyle name="20% - Accent1 2 3 2" xfId="6432"/>
    <cellStyle name="20% - Accent1 2 4" xfId="6433"/>
    <cellStyle name="20% - Accent1 2 4 2" xfId="6434"/>
    <cellStyle name="20% - Accent1 2 5" xfId="6435"/>
    <cellStyle name="20% - Accent1 2_2009 GRC Compl Filing - Exhibit D" xfId="6436"/>
    <cellStyle name="20% - Accent1 3" xfId="6437"/>
    <cellStyle name="20% - Accent1 3 2" xfId="6438"/>
    <cellStyle name="20% - Accent1 3 3" xfId="6439"/>
    <cellStyle name="20% - Accent1 3 4" xfId="6440"/>
    <cellStyle name="20% - Accent1 4" xfId="6441"/>
    <cellStyle name="20% - Accent1 4 2" xfId="6442"/>
    <cellStyle name="20% - Accent1 4 2 2" xfId="6443"/>
    <cellStyle name="20% - Accent1 4 2 3" xfId="6444"/>
    <cellStyle name="20% - Accent1 4 2 4" xfId="6445"/>
    <cellStyle name="20% - Accent1 4 3" xfId="6446"/>
    <cellStyle name="20% - Accent1 4 3 2" xfId="6447"/>
    <cellStyle name="20% - Accent1 4 4" xfId="6448"/>
    <cellStyle name="20% - Accent1 4 5" xfId="6449"/>
    <cellStyle name="20% - Accent1 4 6" xfId="6450"/>
    <cellStyle name="20% - Accent1 4 7" xfId="6451"/>
    <cellStyle name="20% - Accent1 4 8" xfId="6452"/>
    <cellStyle name="20% - Accent1 5" xfId="6453"/>
    <cellStyle name="20% - Accent1 5 2" xfId="6454"/>
    <cellStyle name="20% - Accent1 6" xfId="6455"/>
    <cellStyle name="20% - Accent1 7" xfId="6456"/>
    <cellStyle name="20% - Accent1 8" xfId="6457"/>
    <cellStyle name="20% - Accent1 9" xfId="6458"/>
    <cellStyle name="20% - Accent2 2" xfId="6459"/>
    <cellStyle name="20% - Accent2 2 2" xfId="6460"/>
    <cellStyle name="20% - Accent2 2 2 2" xfId="6461"/>
    <cellStyle name="20% - Accent2 2 2 3" xfId="6462"/>
    <cellStyle name="20% - Accent2 2 3" xfId="6463"/>
    <cellStyle name="20% - Accent2 2 3 2" xfId="6464"/>
    <cellStyle name="20% - Accent2 2 4" xfId="6465"/>
    <cellStyle name="20% - Accent2 2 4 2" xfId="6466"/>
    <cellStyle name="20% - Accent2 2 5" xfId="6467"/>
    <cellStyle name="20% - Accent2 2_2009 GRC Compl Filing - Exhibit D" xfId="6468"/>
    <cellStyle name="20% - Accent2 3" xfId="6469"/>
    <cellStyle name="20% - Accent2 3 2" xfId="6470"/>
    <cellStyle name="20% - Accent2 3 3" xfId="6471"/>
    <cellStyle name="20% - Accent2 3 4" xfId="6472"/>
    <cellStyle name="20% - Accent2 4" xfId="6473"/>
    <cellStyle name="20% - Accent2 4 2" xfId="6474"/>
    <cellStyle name="20% - Accent2 4 2 2" xfId="6475"/>
    <cellStyle name="20% - Accent2 4 2 3" xfId="6476"/>
    <cellStyle name="20% - Accent2 4 2 4" xfId="6477"/>
    <cellStyle name="20% - Accent2 4 3" xfId="6478"/>
    <cellStyle name="20% - Accent2 4 3 2" xfId="6479"/>
    <cellStyle name="20% - Accent2 4 4" xfId="6480"/>
    <cellStyle name="20% - Accent2 4 5" xfId="6481"/>
    <cellStyle name="20% - Accent2 4 6" xfId="6482"/>
    <cellStyle name="20% - Accent2 4 7" xfId="6483"/>
    <cellStyle name="20% - Accent2 4 8" xfId="6484"/>
    <cellStyle name="20% - Accent2 5" xfId="6485"/>
    <cellStyle name="20% - Accent2 5 2" xfId="6486"/>
    <cellStyle name="20% - Accent2 6" xfId="6487"/>
    <cellStyle name="20% - Accent2 7" xfId="6488"/>
    <cellStyle name="20% - Accent2 8" xfId="6489"/>
    <cellStyle name="20% - Accent2 9" xfId="6490"/>
    <cellStyle name="20% - Accent3 2" xfId="6491"/>
    <cellStyle name="20% - Accent3 2 2" xfId="6492"/>
    <cellStyle name="20% - Accent3 2 2 2" xfId="6493"/>
    <cellStyle name="20% - Accent3 2 2 3" xfId="6494"/>
    <cellStyle name="20% - Accent3 2 3" xfId="6495"/>
    <cellStyle name="20% - Accent3 2 3 2" xfId="6496"/>
    <cellStyle name="20% - Accent3 2 4" xfId="6497"/>
    <cellStyle name="20% - Accent3 2 4 2" xfId="6498"/>
    <cellStyle name="20% - Accent3 2 5" xfId="6499"/>
    <cellStyle name="20% - Accent3 2_2009 GRC Compl Filing - Exhibit D" xfId="6500"/>
    <cellStyle name="20% - Accent3 3" xfId="6501"/>
    <cellStyle name="20% - Accent3 3 2" xfId="6502"/>
    <cellStyle name="20% - Accent3 3 3" xfId="6503"/>
    <cellStyle name="20% - Accent3 3 4" xfId="6504"/>
    <cellStyle name="20% - Accent3 4" xfId="6505"/>
    <cellStyle name="20% - Accent3 4 2" xfId="6506"/>
    <cellStyle name="20% - Accent3 4 2 2" xfId="6507"/>
    <cellStyle name="20% - Accent3 4 2 3" xfId="6508"/>
    <cellStyle name="20% - Accent3 4 2 4" xfId="6509"/>
    <cellStyle name="20% - Accent3 4 3" xfId="6510"/>
    <cellStyle name="20% - Accent3 4 3 2" xfId="6511"/>
    <cellStyle name="20% - Accent3 4 4" xfId="6512"/>
    <cellStyle name="20% - Accent3 4 5" xfId="6513"/>
    <cellStyle name="20% - Accent3 4 6" xfId="6514"/>
    <cellStyle name="20% - Accent3 4 7" xfId="6515"/>
    <cellStyle name="20% - Accent3 4 8" xfId="6516"/>
    <cellStyle name="20% - Accent3 5" xfId="6517"/>
    <cellStyle name="20% - Accent3 5 2" xfId="6518"/>
    <cellStyle name="20% - Accent3 6" xfId="6519"/>
    <cellStyle name="20% - Accent3 7" xfId="6520"/>
    <cellStyle name="20% - Accent3 8" xfId="6521"/>
    <cellStyle name="20% - Accent3 9" xfId="6522"/>
    <cellStyle name="20% - Accent4 2" xfId="6523"/>
    <cellStyle name="20% - Accent4 2 2" xfId="6524"/>
    <cellStyle name="20% - Accent4 2 2 2" xfId="6525"/>
    <cellStyle name="20% - Accent4 2 2 3" xfId="6526"/>
    <cellStyle name="20% - Accent4 2 3" xfId="6527"/>
    <cellStyle name="20% - Accent4 2 3 2" xfId="6528"/>
    <cellStyle name="20% - Accent4 2 4" xfId="6529"/>
    <cellStyle name="20% - Accent4 2 4 2" xfId="6530"/>
    <cellStyle name="20% - Accent4 2 5" xfId="6531"/>
    <cellStyle name="20% - Accent4 2_2009 GRC Compl Filing - Exhibit D" xfId="6532"/>
    <cellStyle name="20% - Accent4 3" xfId="6533"/>
    <cellStyle name="20% - Accent4 3 2" xfId="6534"/>
    <cellStyle name="20% - Accent4 3 3" xfId="6535"/>
    <cellStyle name="20% - Accent4 3 4" xfId="6536"/>
    <cellStyle name="20% - Accent4 4" xfId="6537"/>
    <cellStyle name="20% - Accent4 4 2" xfId="6538"/>
    <cellStyle name="20% - Accent4 4 2 2" xfId="6539"/>
    <cellStyle name="20% - Accent4 4 2 3" xfId="6540"/>
    <cellStyle name="20% - Accent4 4 2 4" xfId="6541"/>
    <cellStyle name="20% - Accent4 4 3" xfId="6542"/>
    <cellStyle name="20% - Accent4 4 3 2" xfId="6543"/>
    <cellStyle name="20% - Accent4 4 4" xfId="6544"/>
    <cellStyle name="20% - Accent4 4 5" xfId="6545"/>
    <cellStyle name="20% - Accent4 4 6" xfId="6546"/>
    <cellStyle name="20% - Accent4 4 7" xfId="6547"/>
    <cellStyle name="20% - Accent4 4 8" xfId="6548"/>
    <cellStyle name="20% - Accent4 5" xfId="6549"/>
    <cellStyle name="20% - Accent4 5 2" xfId="6550"/>
    <cellStyle name="20% - Accent4 6" xfId="6551"/>
    <cellStyle name="20% - Accent4 7" xfId="6552"/>
    <cellStyle name="20% - Accent4 8" xfId="6553"/>
    <cellStyle name="20% - Accent4 9" xfId="6554"/>
    <cellStyle name="20% - Accent5 2" xfId="6555"/>
    <cellStyle name="20% - Accent5 2 2" xfId="6556"/>
    <cellStyle name="20% - Accent5 2 2 2" xfId="6557"/>
    <cellStyle name="20% - Accent5 2 2 3" xfId="6558"/>
    <cellStyle name="20% - Accent5 2 3" xfId="6559"/>
    <cellStyle name="20% - Accent5 2 3 2" xfId="6560"/>
    <cellStyle name="20% - Accent5 2 4" xfId="6561"/>
    <cellStyle name="20% - Accent5 2_2009 GRC Compl Filing - Exhibit D" xfId="6562"/>
    <cellStyle name="20% - Accent5 3" xfId="6563"/>
    <cellStyle name="20% - Accent5 3 2" xfId="6564"/>
    <cellStyle name="20% - Accent5 3 3" xfId="6565"/>
    <cellStyle name="20% - Accent5 3 4" xfId="6566"/>
    <cellStyle name="20% - Accent5 4" xfId="6567"/>
    <cellStyle name="20% - Accent5 4 2" xfId="6568"/>
    <cellStyle name="20% - Accent5 4 3" xfId="6569"/>
    <cellStyle name="20% - Accent5 4 4" xfId="6570"/>
    <cellStyle name="20% - Accent5 5" xfId="6571"/>
    <cellStyle name="20% - Accent5 5 2" xfId="6572"/>
    <cellStyle name="20% - Accent5 6" xfId="6573"/>
    <cellStyle name="20% - Accent5 6 2" xfId="6574"/>
    <cellStyle name="20% - Accent5 7" xfId="6575"/>
    <cellStyle name="20% - Accent5 8" xfId="6576"/>
    <cellStyle name="20% - Accent5 9" xfId="6577"/>
    <cellStyle name="20% - Accent6 2" xfId="6578"/>
    <cellStyle name="20% - Accent6 2 2" xfId="6579"/>
    <cellStyle name="20% - Accent6 2 2 2" xfId="6580"/>
    <cellStyle name="20% - Accent6 2 2 3" xfId="6581"/>
    <cellStyle name="20% - Accent6 2 3" xfId="6582"/>
    <cellStyle name="20% - Accent6 2 3 2" xfId="6583"/>
    <cellStyle name="20% - Accent6 2 4" xfId="6584"/>
    <cellStyle name="20% - Accent6 2 4 2" xfId="6585"/>
    <cellStyle name="20% - Accent6 2 5" xfId="6586"/>
    <cellStyle name="20% - Accent6 2_2009 GRC Compl Filing - Exhibit D" xfId="6587"/>
    <cellStyle name="20% - Accent6 3" xfId="6588"/>
    <cellStyle name="20% - Accent6 3 2" xfId="6589"/>
    <cellStyle name="20% - Accent6 3 3" xfId="6590"/>
    <cellStyle name="20% - Accent6 3 4" xfId="6591"/>
    <cellStyle name="20% - Accent6 4" xfId="6592"/>
    <cellStyle name="20% - Accent6 4 2" xfId="6593"/>
    <cellStyle name="20% - Accent6 4 2 2" xfId="6594"/>
    <cellStyle name="20% - Accent6 4 2 3" xfId="6595"/>
    <cellStyle name="20% - Accent6 4 2 4" xfId="6596"/>
    <cellStyle name="20% - Accent6 4 3" xfId="6597"/>
    <cellStyle name="20% - Accent6 4 3 2" xfId="6598"/>
    <cellStyle name="20% - Accent6 4 4" xfId="6599"/>
    <cellStyle name="20% - Accent6 4 5" xfId="6600"/>
    <cellStyle name="20% - Accent6 4 6" xfId="6601"/>
    <cellStyle name="20% - Accent6 4 7" xfId="6602"/>
    <cellStyle name="20% - Accent6 4 8" xfId="6603"/>
    <cellStyle name="20% - Accent6 5" xfId="6604"/>
    <cellStyle name="20% - Accent6 5 2" xfId="6605"/>
    <cellStyle name="20% - Accent6 6" xfId="6606"/>
    <cellStyle name="20% - Accent6 7" xfId="6607"/>
    <cellStyle name="20% - Accent6 8" xfId="6608"/>
    <cellStyle name="20% - Accent6 9" xfId="6609"/>
    <cellStyle name="40% - Accent1 2" xfId="6610"/>
    <cellStyle name="40% - Accent1 2 2" xfId="6611"/>
    <cellStyle name="40% - Accent1 2 2 2" xfId="6612"/>
    <cellStyle name="40% - Accent1 2 2 3" xfId="6613"/>
    <cellStyle name="40% - Accent1 2 3" xfId="6614"/>
    <cellStyle name="40% - Accent1 2 3 2" xfId="6615"/>
    <cellStyle name="40% - Accent1 2 4" xfId="6616"/>
    <cellStyle name="40% - Accent1 2 4 2" xfId="6617"/>
    <cellStyle name="40% - Accent1 2 5" xfId="6618"/>
    <cellStyle name="40% - Accent1 2_2009 GRC Compl Filing - Exhibit D" xfId="6619"/>
    <cellStyle name="40% - Accent1 3" xfId="6620"/>
    <cellStyle name="40% - Accent1 3 2" xfId="6621"/>
    <cellStyle name="40% - Accent1 3 3" xfId="6622"/>
    <cellStyle name="40% - Accent1 3 4" xfId="6623"/>
    <cellStyle name="40% - Accent1 4" xfId="6624"/>
    <cellStyle name="40% - Accent1 4 2" xfId="6625"/>
    <cellStyle name="40% - Accent1 4 2 2" xfId="6626"/>
    <cellStyle name="40% - Accent1 4 2 3" xfId="6627"/>
    <cellStyle name="40% - Accent1 4 2 4" xfId="6628"/>
    <cellStyle name="40% - Accent1 4 3" xfId="6629"/>
    <cellStyle name="40% - Accent1 4 3 2" xfId="6630"/>
    <cellStyle name="40% - Accent1 4 4" xfId="6631"/>
    <cellStyle name="40% - Accent1 4 5" xfId="6632"/>
    <cellStyle name="40% - Accent1 4 6" xfId="6633"/>
    <cellStyle name="40% - Accent1 4 7" xfId="6634"/>
    <cellStyle name="40% - Accent1 4 8" xfId="6635"/>
    <cellStyle name="40% - Accent1 5" xfId="6636"/>
    <cellStyle name="40% - Accent1 5 2" xfId="6637"/>
    <cellStyle name="40% - Accent1 6" xfId="6638"/>
    <cellStyle name="40% - Accent1 7" xfId="6639"/>
    <cellStyle name="40% - Accent1 8" xfId="6640"/>
    <cellStyle name="40% - Accent1 9" xfId="6641"/>
    <cellStyle name="40% - Accent2 2" xfId="6642"/>
    <cellStyle name="40% - Accent2 2 2" xfId="6643"/>
    <cellStyle name="40% - Accent2 2 2 2" xfId="6644"/>
    <cellStyle name="40% - Accent2 2 2 3" xfId="6645"/>
    <cellStyle name="40% - Accent2 2 3" xfId="6646"/>
    <cellStyle name="40% - Accent2 2 3 2" xfId="6647"/>
    <cellStyle name="40% - Accent2 2 4" xfId="6648"/>
    <cellStyle name="40% - Accent2 2_2009 GRC Compl Filing - Exhibit D" xfId="6649"/>
    <cellStyle name="40% - Accent2 3" xfId="6650"/>
    <cellStyle name="40% - Accent2 3 2" xfId="6651"/>
    <cellStyle name="40% - Accent2 3 3" xfId="6652"/>
    <cellStyle name="40% - Accent2 3 4" xfId="6653"/>
    <cellStyle name="40% - Accent2 4" xfId="6654"/>
    <cellStyle name="40% - Accent2 4 2" xfId="6655"/>
    <cellStyle name="40% - Accent2 4 3" xfId="6656"/>
    <cellStyle name="40% - Accent2 4 4" xfId="6657"/>
    <cellStyle name="40% - Accent2 5" xfId="6658"/>
    <cellStyle name="40% - Accent2 5 2" xfId="6659"/>
    <cellStyle name="40% - Accent2 6" xfId="6660"/>
    <cellStyle name="40% - Accent2 6 2" xfId="6661"/>
    <cellStyle name="40% - Accent2 7" xfId="6662"/>
    <cellStyle name="40% - Accent2 8" xfId="6663"/>
    <cellStyle name="40% - Accent2 9" xfId="6664"/>
    <cellStyle name="40% - Accent3 2" xfId="6665"/>
    <cellStyle name="40% - Accent3 2 2" xfId="6666"/>
    <cellStyle name="40% - Accent3 2 2 2" xfId="6667"/>
    <cellStyle name="40% - Accent3 2 2 3" xfId="6668"/>
    <cellStyle name="40% - Accent3 2 3" xfId="6669"/>
    <cellStyle name="40% - Accent3 2 3 2" xfId="6670"/>
    <cellStyle name="40% - Accent3 2 4" xfId="6671"/>
    <cellStyle name="40% - Accent3 2 4 2" xfId="6672"/>
    <cellStyle name="40% - Accent3 2 5" xfId="6673"/>
    <cellStyle name="40% - Accent3 2_2009 GRC Compl Filing - Exhibit D" xfId="6674"/>
    <cellStyle name="40% - Accent3 3" xfId="6675"/>
    <cellStyle name="40% - Accent3 3 2" xfId="6676"/>
    <cellStyle name="40% - Accent3 3 3" xfId="6677"/>
    <cellStyle name="40% - Accent3 3 4" xfId="6678"/>
    <cellStyle name="40% - Accent3 4" xfId="6679"/>
    <cellStyle name="40% - Accent3 4 2" xfId="6680"/>
    <cellStyle name="40% - Accent3 4 2 2" xfId="6681"/>
    <cellStyle name="40% - Accent3 4 2 3" xfId="6682"/>
    <cellStyle name="40% - Accent3 4 2 4" xfId="6683"/>
    <cellStyle name="40% - Accent3 4 3" xfId="6684"/>
    <cellStyle name="40% - Accent3 4 3 2" xfId="6685"/>
    <cellStyle name="40% - Accent3 4 4" xfId="6686"/>
    <cellStyle name="40% - Accent3 4 5" xfId="6687"/>
    <cellStyle name="40% - Accent3 4 6" xfId="6688"/>
    <cellStyle name="40% - Accent3 4 7" xfId="6689"/>
    <cellStyle name="40% - Accent3 4 8" xfId="6690"/>
    <cellStyle name="40% - Accent3 5" xfId="6691"/>
    <cellStyle name="40% - Accent3 5 2" xfId="6692"/>
    <cellStyle name="40% - Accent3 6" xfId="6693"/>
    <cellStyle name="40% - Accent3 7" xfId="6694"/>
    <cellStyle name="40% - Accent3 8" xfId="6695"/>
    <cellStyle name="40% - Accent3 9" xfId="6696"/>
    <cellStyle name="40% - Accent4 2" xfId="6697"/>
    <cellStyle name="40% - Accent4 2 2" xfId="6698"/>
    <cellStyle name="40% - Accent4 2 2 2" xfId="6699"/>
    <cellStyle name="40% - Accent4 2 2 3" xfId="6700"/>
    <cellStyle name="40% - Accent4 2 3" xfId="6701"/>
    <cellStyle name="40% - Accent4 2 3 2" xfId="6702"/>
    <cellStyle name="40% - Accent4 2 4" xfId="6703"/>
    <cellStyle name="40% - Accent4 2 4 2" xfId="6704"/>
    <cellStyle name="40% - Accent4 2 5" xfId="6705"/>
    <cellStyle name="40% - Accent4 2_2009 GRC Compl Filing - Exhibit D" xfId="6706"/>
    <cellStyle name="40% - Accent4 3" xfId="6707"/>
    <cellStyle name="40% - Accent4 3 2" xfId="6708"/>
    <cellStyle name="40% - Accent4 3 3" xfId="6709"/>
    <cellStyle name="40% - Accent4 3 4" xfId="6710"/>
    <cellStyle name="40% - Accent4 4" xfId="6711"/>
    <cellStyle name="40% - Accent4 4 2" xfId="6712"/>
    <cellStyle name="40% - Accent4 4 2 2" xfId="6713"/>
    <cellStyle name="40% - Accent4 4 2 3" xfId="6714"/>
    <cellStyle name="40% - Accent4 4 2 4" xfId="6715"/>
    <cellStyle name="40% - Accent4 4 3" xfId="6716"/>
    <cellStyle name="40% - Accent4 4 3 2" xfId="6717"/>
    <cellStyle name="40% - Accent4 4 4" xfId="6718"/>
    <cellStyle name="40% - Accent4 4 5" xfId="6719"/>
    <cellStyle name="40% - Accent4 4 6" xfId="6720"/>
    <cellStyle name="40% - Accent4 4 7" xfId="6721"/>
    <cellStyle name="40% - Accent4 4 8" xfId="6722"/>
    <cellStyle name="40% - Accent4 5" xfId="6723"/>
    <cellStyle name="40% - Accent4 5 2" xfId="6724"/>
    <cellStyle name="40% - Accent4 6" xfId="6725"/>
    <cellStyle name="40% - Accent4 7" xfId="6726"/>
    <cellStyle name="40% - Accent4 8" xfId="6727"/>
    <cellStyle name="40% - Accent4 9" xfId="6728"/>
    <cellStyle name="40% - Accent5 2" xfId="6729"/>
    <cellStyle name="40% - Accent5 2 2" xfId="6730"/>
    <cellStyle name="40% - Accent5 2 2 2" xfId="6731"/>
    <cellStyle name="40% - Accent5 2 2 3" xfId="6732"/>
    <cellStyle name="40% - Accent5 2 3" xfId="6733"/>
    <cellStyle name="40% - Accent5 2 3 2" xfId="6734"/>
    <cellStyle name="40% - Accent5 2 4" xfId="6735"/>
    <cellStyle name="40% - Accent5 2 4 2" xfId="6736"/>
    <cellStyle name="40% - Accent5 2 5" xfId="6737"/>
    <cellStyle name="40% - Accent5 2_2009 GRC Compl Filing - Exhibit D" xfId="6738"/>
    <cellStyle name="40% - Accent5 3" xfId="6739"/>
    <cellStyle name="40% - Accent5 3 2" xfId="6740"/>
    <cellStyle name="40% - Accent5 3 3" xfId="6741"/>
    <cellStyle name="40% - Accent5 3 4" xfId="6742"/>
    <cellStyle name="40% - Accent5 4" xfId="6743"/>
    <cellStyle name="40% - Accent5 4 2" xfId="6744"/>
    <cellStyle name="40% - Accent5 4 2 2" xfId="6745"/>
    <cellStyle name="40% - Accent5 4 2 3" xfId="6746"/>
    <cellStyle name="40% - Accent5 4 2 4" xfId="6747"/>
    <cellStyle name="40% - Accent5 4 3" xfId="6748"/>
    <cellStyle name="40% - Accent5 4 3 2" xfId="6749"/>
    <cellStyle name="40% - Accent5 4 4" xfId="6750"/>
    <cellStyle name="40% - Accent5 4 5" xfId="6751"/>
    <cellStyle name="40% - Accent5 4 6" xfId="6752"/>
    <cellStyle name="40% - Accent5 4 7" xfId="6753"/>
    <cellStyle name="40% - Accent5 4 8" xfId="6754"/>
    <cellStyle name="40% - Accent5 5" xfId="6755"/>
    <cellStyle name="40% - Accent5 5 2" xfId="6756"/>
    <cellStyle name="40% - Accent5 6" xfId="6757"/>
    <cellStyle name="40% - Accent5 7" xfId="6758"/>
    <cellStyle name="40% - Accent5 8" xfId="6759"/>
    <cellStyle name="40% - Accent5 9" xfId="6760"/>
    <cellStyle name="40% - Accent6 2" xfId="6761"/>
    <cellStyle name="40% - Accent6 2 2" xfId="6762"/>
    <cellStyle name="40% - Accent6 2 2 2" xfId="6763"/>
    <cellStyle name="40% - Accent6 2 2 3" xfId="6764"/>
    <cellStyle name="40% - Accent6 2 3" xfId="6765"/>
    <cellStyle name="40% - Accent6 2 3 2" xfId="6766"/>
    <cellStyle name="40% - Accent6 2 4" xfId="6767"/>
    <cellStyle name="40% - Accent6 2 4 2" xfId="6768"/>
    <cellStyle name="40% - Accent6 2 5" xfId="6769"/>
    <cellStyle name="40% - Accent6 2_2009 GRC Compl Filing - Exhibit D" xfId="6770"/>
    <cellStyle name="40% - Accent6 3" xfId="6771"/>
    <cellStyle name="40% - Accent6 3 2" xfId="6772"/>
    <cellStyle name="40% - Accent6 3 3" xfId="6773"/>
    <cellStyle name="40% - Accent6 3 4" xfId="6774"/>
    <cellStyle name="40% - Accent6 4" xfId="6775"/>
    <cellStyle name="40% - Accent6 4 2" xfId="6776"/>
    <cellStyle name="40% - Accent6 4 2 2" xfId="6777"/>
    <cellStyle name="40% - Accent6 4 2 3" xfId="6778"/>
    <cellStyle name="40% - Accent6 4 2 4" xfId="6779"/>
    <cellStyle name="40% - Accent6 4 3" xfId="6780"/>
    <cellStyle name="40% - Accent6 4 3 2" xfId="6781"/>
    <cellStyle name="40% - Accent6 4 4" xfId="6782"/>
    <cellStyle name="40% - Accent6 4 5" xfId="6783"/>
    <cellStyle name="40% - Accent6 4 6" xfId="6784"/>
    <cellStyle name="40% - Accent6 4 7" xfId="6785"/>
    <cellStyle name="40% - Accent6 4 8" xfId="6786"/>
    <cellStyle name="40% - Accent6 5" xfId="6787"/>
    <cellStyle name="40% - Accent6 5 2" xfId="6788"/>
    <cellStyle name="40% - Accent6 6" xfId="6789"/>
    <cellStyle name="40% - Accent6 7" xfId="6790"/>
    <cellStyle name="40% - Accent6 8" xfId="6791"/>
    <cellStyle name="40% - Accent6 9" xfId="6792"/>
    <cellStyle name="60% - Accent1 2" xfId="6793"/>
    <cellStyle name="60% - Accent1 2 2" xfId="6794"/>
    <cellStyle name="60% - Accent1 2 2 2" xfId="6795"/>
    <cellStyle name="60% - Accent1 2 3" xfId="6796"/>
    <cellStyle name="60% - Accent1 3" xfId="6797"/>
    <cellStyle name="60% - Accent1 3 2" xfId="6798"/>
    <cellStyle name="60% - Accent1 3 3" xfId="6799"/>
    <cellStyle name="60% - Accent1 3 4" xfId="6800"/>
    <cellStyle name="60% - Accent1 4" xfId="6801"/>
    <cellStyle name="60% - Accent1 5" xfId="6802"/>
    <cellStyle name="60% - Accent1 6" xfId="6803"/>
    <cellStyle name="60% - Accent2 2" xfId="6804"/>
    <cellStyle name="60% - Accent2 2 2" xfId="6805"/>
    <cellStyle name="60% - Accent2 2 2 2" xfId="6806"/>
    <cellStyle name="60% - Accent2 2 3" xfId="6807"/>
    <cellStyle name="60% - Accent2 3" xfId="6808"/>
    <cellStyle name="60% - Accent2 3 2" xfId="6809"/>
    <cellStyle name="60% - Accent2 3 3" xfId="6810"/>
    <cellStyle name="60% - Accent2 3 4" xfId="6811"/>
    <cellStyle name="60% - Accent2 4" xfId="6812"/>
    <cellStyle name="60% - Accent2 5" xfId="6813"/>
    <cellStyle name="60% - Accent2 6" xfId="6814"/>
    <cellStyle name="60% - Accent3 2" xfId="6815"/>
    <cellStyle name="60% - Accent3 2 2" xfId="6816"/>
    <cellStyle name="60% - Accent3 2 2 2" xfId="6817"/>
    <cellStyle name="60% - Accent3 2 3" xfId="6818"/>
    <cellStyle name="60% - Accent3 3" xfId="6819"/>
    <cellStyle name="60% - Accent3 3 2" xfId="6820"/>
    <cellStyle name="60% - Accent3 3 3" xfId="6821"/>
    <cellStyle name="60% - Accent3 3 4" xfId="6822"/>
    <cellStyle name="60% - Accent3 4" xfId="6823"/>
    <cellStyle name="60% - Accent3 5" xfId="6824"/>
    <cellStyle name="60% - Accent3 6" xfId="6825"/>
    <cellStyle name="60% - Accent4 2" xfId="6826"/>
    <cellStyle name="60% - Accent4 2 2" xfId="6827"/>
    <cellStyle name="60% - Accent4 2 2 2" xfId="6828"/>
    <cellStyle name="60% - Accent4 2 3" xfId="6829"/>
    <cellStyle name="60% - Accent4 3" xfId="6830"/>
    <cellStyle name="60% - Accent4 3 2" xfId="6831"/>
    <cellStyle name="60% - Accent4 3 3" xfId="6832"/>
    <cellStyle name="60% - Accent4 3 4" xfId="6833"/>
    <cellStyle name="60% - Accent4 4" xfId="6834"/>
    <cellStyle name="60% - Accent4 5" xfId="6835"/>
    <cellStyle name="60% - Accent4 6" xfId="6836"/>
    <cellStyle name="60% - Accent5 2" xfId="6837"/>
    <cellStyle name="60% - Accent5 2 2" xfId="6838"/>
    <cellStyle name="60% - Accent5 2 2 2" xfId="6839"/>
    <cellStyle name="60% - Accent5 2 3" xfId="6840"/>
    <cellStyle name="60% - Accent5 3" xfId="6841"/>
    <cellStyle name="60% - Accent5 3 2" xfId="6842"/>
    <cellStyle name="60% - Accent5 3 3" xfId="6843"/>
    <cellStyle name="60% - Accent5 3 4" xfId="6844"/>
    <cellStyle name="60% - Accent5 4" xfId="6845"/>
    <cellStyle name="60% - Accent5 5" xfId="6846"/>
    <cellStyle name="60% - Accent5 6" xfId="6847"/>
    <cellStyle name="60% - Accent6 2" xfId="6848"/>
    <cellStyle name="60% - Accent6 2 2" xfId="6849"/>
    <cellStyle name="60% - Accent6 2 2 2" xfId="6850"/>
    <cellStyle name="60% - Accent6 2 3" xfId="6851"/>
    <cellStyle name="60% - Accent6 3" xfId="6852"/>
    <cellStyle name="60% - Accent6 3 2" xfId="6853"/>
    <cellStyle name="60% - Accent6 3 3" xfId="6854"/>
    <cellStyle name="60% - Accent6 3 4" xfId="6855"/>
    <cellStyle name="60% - Accent6 4" xfId="6856"/>
    <cellStyle name="60% - Accent6 5" xfId="6857"/>
    <cellStyle name="60% - Accent6 6" xfId="6858"/>
    <cellStyle name="Accent1 - 20%" xfId="6859"/>
    <cellStyle name="Accent1 - 20% 2" xfId="6860"/>
    <cellStyle name="Accent1 - 40%" xfId="6861"/>
    <cellStyle name="Accent1 - 40% 2" xfId="6862"/>
    <cellStyle name="Accent1 - 60%" xfId="6863"/>
    <cellStyle name="Accent1 10" xfId="6864"/>
    <cellStyle name="Accent1 11" xfId="6865"/>
    <cellStyle name="Accent1 2" xfId="6866"/>
    <cellStyle name="Accent1 2 2" xfId="6867"/>
    <cellStyle name="Accent1 2 2 2" xfId="6868"/>
    <cellStyle name="Accent1 2 3" xfId="6869"/>
    <cellStyle name="Accent1 3" xfId="6870"/>
    <cellStyle name="Accent1 3 2" xfId="6871"/>
    <cellStyle name="Accent1 3 3" xfId="6872"/>
    <cellStyle name="Accent1 3 4" xfId="6873"/>
    <cellStyle name="Accent1 4" xfId="6874"/>
    <cellStyle name="Accent1 4 2" xfId="6875"/>
    <cellStyle name="Accent1 4 3" xfId="6876"/>
    <cellStyle name="Accent1 5" xfId="6877"/>
    <cellStyle name="Accent1 6" xfId="6878"/>
    <cellStyle name="Accent1 7" xfId="6879"/>
    <cellStyle name="Accent1 8" xfId="6880"/>
    <cellStyle name="Accent1 9" xfId="6881"/>
    <cellStyle name="Accent2 - 20%" xfId="6882"/>
    <cellStyle name="Accent2 - 20% 2" xfId="6883"/>
    <cellStyle name="Accent2 - 40%" xfId="6884"/>
    <cellStyle name="Accent2 - 40% 2" xfId="6885"/>
    <cellStyle name="Accent2 - 60%" xfId="6886"/>
    <cellStyle name="Accent2 10" xfId="6887"/>
    <cellStyle name="Accent2 11" xfId="6888"/>
    <cellStyle name="Accent2 2" xfId="6889"/>
    <cellStyle name="Accent2 2 2" xfId="6890"/>
    <cellStyle name="Accent2 2 2 2" xfId="6891"/>
    <cellStyle name="Accent2 2 3" xfId="6892"/>
    <cellStyle name="Accent2 3" xfId="6893"/>
    <cellStyle name="Accent2 3 2" xfId="6894"/>
    <cellStyle name="Accent2 3 3" xfId="6895"/>
    <cellStyle name="Accent2 3 4" xfId="6896"/>
    <cellStyle name="Accent2 4" xfId="6897"/>
    <cellStyle name="Accent2 4 2" xfId="6898"/>
    <cellStyle name="Accent2 4 3" xfId="6899"/>
    <cellStyle name="Accent2 5" xfId="6900"/>
    <cellStyle name="Accent2 6" xfId="6901"/>
    <cellStyle name="Accent2 7" xfId="6902"/>
    <cellStyle name="Accent2 8" xfId="6903"/>
    <cellStyle name="Accent2 9" xfId="6904"/>
    <cellStyle name="Accent3 - 20%" xfId="6905"/>
    <cellStyle name="Accent3 - 20% 2" xfId="6906"/>
    <cellStyle name="Accent3 - 40%" xfId="6907"/>
    <cellStyle name="Accent3 - 40% 2" xfId="6908"/>
    <cellStyle name="Accent3 - 60%" xfId="6909"/>
    <cellStyle name="Accent3 10" xfId="6910"/>
    <cellStyle name="Accent3 11" xfId="6911"/>
    <cellStyle name="Accent3 2" xfId="6912"/>
    <cellStyle name="Accent3 2 2" xfId="6913"/>
    <cellStyle name="Accent3 2 2 2" xfId="6914"/>
    <cellStyle name="Accent3 2 3" xfId="6915"/>
    <cellStyle name="Accent3 3" xfId="6916"/>
    <cellStyle name="Accent3 3 2" xfId="6917"/>
    <cellStyle name="Accent3 3 3" xfId="6918"/>
    <cellStyle name="Accent3 3 4" xfId="6919"/>
    <cellStyle name="Accent3 4" xfId="6920"/>
    <cellStyle name="Accent3 4 2" xfId="6921"/>
    <cellStyle name="Accent3 4 3" xfId="6922"/>
    <cellStyle name="Accent3 5" xfId="6923"/>
    <cellStyle name="Accent3 6" xfId="6924"/>
    <cellStyle name="Accent3 7" xfId="6925"/>
    <cellStyle name="Accent3 8" xfId="6926"/>
    <cellStyle name="Accent3 9" xfId="6927"/>
    <cellStyle name="Accent4 - 20%" xfId="6928"/>
    <cellStyle name="Accent4 - 20% 2" xfId="6929"/>
    <cellStyle name="Accent4 - 40%" xfId="6930"/>
    <cellStyle name="Accent4 - 40% 2" xfId="6931"/>
    <cellStyle name="Accent4 - 60%" xfId="6932"/>
    <cellStyle name="Accent4 10" xfId="6933"/>
    <cellStyle name="Accent4 11" xfId="6934"/>
    <cellStyle name="Accent4 2" xfId="6935"/>
    <cellStyle name="Accent4 2 2" xfId="6936"/>
    <cellStyle name="Accent4 2 2 2" xfId="6937"/>
    <cellStyle name="Accent4 2 3" xfId="6938"/>
    <cellStyle name="Accent4 3" xfId="6939"/>
    <cellStyle name="Accent4 3 2" xfId="6940"/>
    <cellStyle name="Accent4 3 3" xfId="6941"/>
    <cellStyle name="Accent4 3 4" xfId="6942"/>
    <cellStyle name="Accent4 4" xfId="6943"/>
    <cellStyle name="Accent4 4 2" xfId="6944"/>
    <cellStyle name="Accent4 4 3" xfId="6945"/>
    <cellStyle name="Accent4 5" xfId="6946"/>
    <cellStyle name="Accent4 6" xfId="6947"/>
    <cellStyle name="Accent4 7" xfId="6948"/>
    <cellStyle name="Accent4 8" xfId="6949"/>
    <cellStyle name="Accent4 9" xfId="6950"/>
    <cellStyle name="Accent5 - 20%" xfId="6951"/>
    <cellStyle name="Accent5 - 20% 2" xfId="6952"/>
    <cellStyle name="Accent5 - 40%" xfId="6953"/>
    <cellStyle name="Accent5 - 40% 2" xfId="6954"/>
    <cellStyle name="Accent5 - 60%" xfId="6955"/>
    <cellStyle name="Accent5 10" xfId="6956"/>
    <cellStyle name="Accent5 11" xfId="6957"/>
    <cellStyle name="Accent5 12" xfId="6958"/>
    <cellStyle name="Accent5 13" xfId="6959"/>
    <cellStyle name="Accent5 14" xfId="6960"/>
    <cellStyle name="Accent5 15" xfId="6961"/>
    <cellStyle name="Accent5 16" xfId="6962"/>
    <cellStyle name="Accent5 17" xfId="6963"/>
    <cellStyle name="Accent5 18" xfId="6964"/>
    <cellStyle name="Accent5 19" xfId="6965"/>
    <cellStyle name="Accent5 2" xfId="6966"/>
    <cellStyle name="Accent5 2 2" xfId="6967"/>
    <cellStyle name="Accent5 2 2 2" xfId="6968"/>
    <cellStyle name="Accent5 2 3" xfId="6969"/>
    <cellStyle name="Accent5 20" xfId="6970"/>
    <cellStyle name="Accent5 21" xfId="6971"/>
    <cellStyle name="Accent5 22" xfId="6972"/>
    <cellStyle name="Accent5 23" xfId="6973"/>
    <cellStyle name="Accent5 24" xfId="6974"/>
    <cellStyle name="Accent5 25" xfId="6975"/>
    <cellStyle name="Accent5 26" xfId="6976"/>
    <cellStyle name="Accent5 27" xfId="6977"/>
    <cellStyle name="Accent5 28" xfId="6978"/>
    <cellStyle name="Accent5 29" xfId="6979"/>
    <cellStyle name="Accent5 3" xfId="6980"/>
    <cellStyle name="Accent5 3 2" xfId="6981"/>
    <cellStyle name="Accent5 3 3" xfId="6982"/>
    <cellStyle name="Accent5 30" xfId="6983"/>
    <cellStyle name="Accent5 31" xfId="6984"/>
    <cellStyle name="Accent5 32" xfId="6985"/>
    <cellStyle name="Accent5 4" xfId="6986"/>
    <cellStyle name="Accent5 5" xfId="6987"/>
    <cellStyle name="Accent5 6" xfId="6988"/>
    <cellStyle name="Accent5 7" xfId="6989"/>
    <cellStyle name="Accent5 8" xfId="6990"/>
    <cellStyle name="Accent5 9" xfId="6991"/>
    <cellStyle name="Accent6 - 20%" xfId="6992"/>
    <cellStyle name="Accent6 - 20% 2" xfId="6993"/>
    <cellStyle name="Accent6 - 40%" xfId="6994"/>
    <cellStyle name="Accent6 - 40% 2" xfId="6995"/>
    <cellStyle name="Accent6 - 60%" xfId="6996"/>
    <cellStyle name="Accent6 10" xfId="6997"/>
    <cellStyle name="Accent6 11" xfId="6998"/>
    <cellStyle name="Accent6 2" xfId="6999"/>
    <cellStyle name="Accent6 2 2" xfId="7000"/>
    <cellStyle name="Accent6 2 2 2" xfId="7001"/>
    <cellStyle name="Accent6 2 3" xfId="7002"/>
    <cellStyle name="Accent6 3" xfId="7003"/>
    <cellStyle name="Accent6 3 2" xfId="7004"/>
    <cellStyle name="Accent6 3 3" xfId="7005"/>
    <cellStyle name="Accent6 3 4" xfId="7006"/>
    <cellStyle name="Accent6 4" xfId="7007"/>
    <cellStyle name="Accent6 4 2" xfId="7008"/>
    <cellStyle name="Accent6 4 3" xfId="7009"/>
    <cellStyle name="Accent6 5" xfId="7010"/>
    <cellStyle name="Accent6 6" xfId="7011"/>
    <cellStyle name="Accent6 7" xfId="7012"/>
    <cellStyle name="Accent6 8" xfId="7013"/>
    <cellStyle name="Accent6 9" xfId="7014"/>
    <cellStyle name="Bad 2" xfId="7015"/>
    <cellStyle name="Bad 2 2" xfId="7016"/>
    <cellStyle name="Bad 2 2 2" xfId="7017"/>
    <cellStyle name="Bad 2 3" xfId="7018"/>
    <cellStyle name="Bad 3" xfId="7019"/>
    <cellStyle name="Bad 3 2" xfId="7020"/>
    <cellStyle name="Bad 3 3" xfId="7021"/>
    <cellStyle name="Bad 3 4" xfId="7022"/>
    <cellStyle name="Bad 4" xfId="7023"/>
    <cellStyle name="Bad 5" xfId="7024"/>
    <cellStyle name="Bad 6" xfId="7025"/>
    <cellStyle name="blank" xfId="7026"/>
    <cellStyle name="bld-li - Style4" xfId="7027"/>
    <cellStyle name="Calc Currency (0)" xfId="7028"/>
    <cellStyle name="Calc Currency (0) 2" xfId="7029"/>
    <cellStyle name="Calc Currency (0) 2 2" xfId="7030"/>
    <cellStyle name="Calc Currency (0) 3" xfId="7031"/>
    <cellStyle name="Calc Currency (0) 4" xfId="7032"/>
    <cellStyle name="Calculation 2" xfId="7033"/>
    <cellStyle name="Calculation 2 2" xfId="7034"/>
    <cellStyle name="Calculation 2 2 2" xfId="7035"/>
    <cellStyle name="Calculation 2 2 3" xfId="7036"/>
    <cellStyle name="Calculation 2 3" xfId="7037"/>
    <cellStyle name="Calculation 2 3 2" xfId="7038"/>
    <cellStyle name="Calculation 2 3 3" xfId="7039"/>
    <cellStyle name="Calculation 2 3 4" xfId="7040"/>
    <cellStyle name="Calculation 2 4" xfId="7041"/>
    <cellStyle name="Calculation 2 4 2" xfId="7042"/>
    <cellStyle name="Calculation 2 5" xfId="7043"/>
    <cellStyle name="Calculation 3" xfId="7044"/>
    <cellStyle name="Calculation 3 2" xfId="7045"/>
    <cellStyle name="Calculation 3 3" xfId="7046"/>
    <cellStyle name="Calculation 3 4" xfId="7047"/>
    <cellStyle name="Calculation 4" xfId="7048"/>
    <cellStyle name="Calculation 4 2" xfId="7049"/>
    <cellStyle name="Calculation 4 2 2" xfId="7050"/>
    <cellStyle name="Calculation 4 3" xfId="7051"/>
    <cellStyle name="Calculation 4 3 2" xfId="7052"/>
    <cellStyle name="Calculation 4 4" xfId="7053"/>
    <cellStyle name="Calculation 4 4 2" xfId="7054"/>
    <cellStyle name="Calculation 5" xfId="7055"/>
    <cellStyle name="Calculation 5 2" xfId="7056"/>
    <cellStyle name="Calculation 6" xfId="7057"/>
    <cellStyle name="Calculation 7" xfId="7058"/>
    <cellStyle name="Calculation 8" xfId="7059"/>
    <cellStyle name="Calculation 9" xfId="7060"/>
    <cellStyle name="Calculation 9 2" xfId="7061"/>
    <cellStyle name="Check Cell 2" xfId="7062"/>
    <cellStyle name="Check Cell 2 2" xfId="7063"/>
    <cellStyle name="Check Cell 2 2 2" xfId="7064"/>
    <cellStyle name="Check Cell 2 2 3" xfId="7065"/>
    <cellStyle name="Check Cell 2 3" xfId="7066"/>
    <cellStyle name="Check Cell 3" xfId="7067"/>
    <cellStyle name="Check Cell 4" xfId="7068"/>
    <cellStyle name="CheckCell" xfId="7069"/>
    <cellStyle name="CheckCell 2" xfId="7070"/>
    <cellStyle name="CheckCell 2 2" xfId="7071"/>
    <cellStyle name="CheckCell 3" xfId="7072"/>
    <cellStyle name="CheckCell 4" xfId="7073"/>
    <cellStyle name="CheckCell_Electric Rev Req Model (2009 GRC) Rebuttal" xfId="7074"/>
    <cellStyle name="Comma" xfId="1" builtinId="3"/>
    <cellStyle name="Comma [0] 2" xfId="9533"/>
    <cellStyle name="Comma 10" xfId="7075"/>
    <cellStyle name="Comma 10 2" xfId="7076"/>
    <cellStyle name="Comma 10 2 2" xfId="7077"/>
    <cellStyle name="Comma 10 2 3" xfId="7078"/>
    <cellStyle name="Comma 10 3" xfId="7079"/>
    <cellStyle name="Comma 10 4" xfId="7080"/>
    <cellStyle name="Comma 11" xfId="7081"/>
    <cellStyle name="Comma 11 2" xfId="7082"/>
    <cellStyle name="Comma 11 2 2" xfId="7083"/>
    <cellStyle name="Comma 11 3" xfId="7084"/>
    <cellStyle name="Comma 11 4" xfId="7085"/>
    <cellStyle name="Comma 12" xfId="7086"/>
    <cellStyle name="Comma 12 2" xfId="7087"/>
    <cellStyle name="Comma 12 2 2" xfId="7088"/>
    <cellStyle name="Comma 12 3" xfId="7089"/>
    <cellStyle name="Comma 12 4" xfId="7090"/>
    <cellStyle name="Comma 13" xfId="7091"/>
    <cellStyle name="Comma 13 2" xfId="7092"/>
    <cellStyle name="Comma 13 2 2" xfId="7093"/>
    <cellStyle name="Comma 13 3" xfId="7094"/>
    <cellStyle name="Comma 13 4" xfId="7095"/>
    <cellStyle name="Comma 14" xfId="7096"/>
    <cellStyle name="Comma 14 2" xfId="7097"/>
    <cellStyle name="Comma 14 2 2" xfId="7098"/>
    <cellStyle name="Comma 14 3" xfId="7099"/>
    <cellStyle name="Comma 14 4" xfId="7100"/>
    <cellStyle name="Comma 15" xfId="7101"/>
    <cellStyle name="Comma 15 2" xfId="7102"/>
    <cellStyle name="Comma 15 2 2" xfId="7103"/>
    <cellStyle name="Comma 15 3" xfId="7104"/>
    <cellStyle name="Comma 16" xfId="7105"/>
    <cellStyle name="Comma 16 2" xfId="7106"/>
    <cellStyle name="Comma 16 3" xfId="7107"/>
    <cellStyle name="Comma 17" xfId="7108"/>
    <cellStyle name="Comma 17 2" xfId="7109"/>
    <cellStyle name="Comma 17 2 2" xfId="7110"/>
    <cellStyle name="Comma 17 3" xfId="7111"/>
    <cellStyle name="Comma 17 3 2" xfId="7112"/>
    <cellStyle name="Comma 17 4" xfId="7113"/>
    <cellStyle name="Comma 17 4 2" xfId="7114"/>
    <cellStyle name="Comma 17 5" xfId="7115"/>
    <cellStyle name="Comma 18" xfId="7116"/>
    <cellStyle name="Comma 18 2" xfId="7117"/>
    <cellStyle name="Comma 18 3" xfId="7118"/>
    <cellStyle name="Comma 18 4" xfId="7119"/>
    <cellStyle name="Comma 19" xfId="7120"/>
    <cellStyle name="Comma 19 2" xfId="7121"/>
    <cellStyle name="Comma 19 3" xfId="7122"/>
    <cellStyle name="Comma 2" xfId="6"/>
    <cellStyle name="Comma 2 10" xfId="7123"/>
    <cellStyle name="Comma 2 2" xfId="7124"/>
    <cellStyle name="Comma 2 2 2" xfId="7125"/>
    <cellStyle name="Comma 2 2 2 2" xfId="7126"/>
    <cellStyle name="Comma 2 2 2 3" xfId="7127"/>
    <cellStyle name="Comma 2 2 3" xfId="7128"/>
    <cellStyle name="Comma 2 2 3 2" xfId="7129"/>
    <cellStyle name="Comma 2 2 4" xfId="7130"/>
    <cellStyle name="Comma 2 2 5" xfId="7131"/>
    <cellStyle name="Comma 2 3" xfId="7132"/>
    <cellStyle name="Comma 2 3 2" xfId="7133"/>
    <cellStyle name="Comma 2 3 3" xfId="7134"/>
    <cellStyle name="Comma 2 4" xfId="7135"/>
    <cellStyle name="Comma 2 4 2" xfId="7136"/>
    <cellStyle name="Comma 2 5" xfId="7137"/>
    <cellStyle name="Comma 2 5 2" xfId="7138"/>
    <cellStyle name="Comma 2 6" xfId="7139"/>
    <cellStyle name="Comma 2 6 2" xfId="7140"/>
    <cellStyle name="Comma 2 7" xfId="7141"/>
    <cellStyle name="Comma 2 7 2" xfId="7142"/>
    <cellStyle name="Comma 2 8" xfId="7143"/>
    <cellStyle name="Comma 2 8 2" xfId="7144"/>
    <cellStyle name="Comma 2 9" xfId="7145"/>
    <cellStyle name="Comma 2_Chelan PUD Power Costs (8-10)" xfId="7146"/>
    <cellStyle name="Comma 20" xfId="7147"/>
    <cellStyle name="Comma 20 2" xfId="7148"/>
    <cellStyle name="Comma 21" xfId="7149"/>
    <cellStyle name="Comma 22" xfId="7150"/>
    <cellStyle name="Comma 23" xfId="7151"/>
    <cellStyle name="Comma 24" xfId="7152"/>
    <cellStyle name="Comma 24 2" xfId="7153"/>
    <cellStyle name="Comma 24 3" xfId="7154"/>
    <cellStyle name="Comma 25" xfId="7155"/>
    <cellStyle name="Comma 25 2" xfId="7156"/>
    <cellStyle name="Comma 26" xfId="7157"/>
    <cellStyle name="Comma 26 2" xfId="7158"/>
    <cellStyle name="Comma 27" xfId="7159"/>
    <cellStyle name="Comma 27 2" xfId="7160"/>
    <cellStyle name="Comma 28" xfId="7161"/>
    <cellStyle name="Comma 28 2" xfId="7162"/>
    <cellStyle name="Comma 29" xfId="7163"/>
    <cellStyle name="Comma 3" xfId="7164"/>
    <cellStyle name="Comma 3 2" xfId="7165"/>
    <cellStyle name="Comma 3 2 2" xfId="7166"/>
    <cellStyle name="Comma 3 2 2 2" xfId="7167"/>
    <cellStyle name="Comma 3 2 3" xfId="7168"/>
    <cellStyle name="Comma 3 2 4" xfId="9532"/>
    <cellStyle name="Comma 3 3" xfId="7169"/>
    <cellStyle name="Comma 3 3 2" xfId="7170"/>
    <cellStyle name="Comma 3 4" xfId="7171"/>
    <cellStyle name="Comma 3 4 2" xfId="7172"/>
    <cellStyle name="Comma 3 5" xfId="7173"/>
    <cellStyle name="Comma 3 6" xfId="7174"/>
    <cellStyle name="Comma 30" xfId="7175"/>
    <cellStyle name="Comma 31" xfId="7176"/>
    <cellStyle name="Comma 31 2" xfId="7177"/>
    <cellStyle name="Comma 31 3" xfId="7178"/>
    <cellStyle name="Comma 32" xfId="7179"/>
    <cellStyle name="Comma 32 2" xfId="7180"/>
    <cellStyle name="Comma 33" xfId="7181"/>
    <cellStyle name="Comma 34" xfId="7182"/>
    <cellStyle name="Comma 35" xfId="7183"/>
    <cellStyle name="Comma 36" xfId="7184"/>
    <cellStyle name="Comma 37" xfId="7185"/>
    <cellStyle name="Comma 38" xfId="7186"/>
    <cellStyle name="Comma 39" xfId="7187"/>
    <cellStyle name="Comma 4" xfId="7188"/>
    <cellStyle name="Comma 4 2" xfId="7189"/>
    <cellStyle name="Comma 4 2 2" xfId="7190"/>
    <cellStyle name="Comma 4 2 3" xfId="7191"/>
    <cellStyle name="Comma 4 3" xfId="7192"/>
    <cellStyle name="Comma 4 3 2" xfId="7193"/>
    <cellStyle name="Comma 4 4" xfId="7194"/>
    <cellStyle name="Comma 4 5" xfId="7195"/>
    <cellStyle name="Comma 4 6" xfId="7196"/>
    <cellStyle name="Comma 40" xfId="7197"/>
    <cellStyle name="Comma 41" xfId="7198"/>
    <cellStyle name="Comma 42" xfId="7199"/>
    <cellStyle name="Comma 43" xfId="7200"/>
    <cellStyle name="Comma 44" xfId="7201"/>
    <cellStyle name="Comma 45" xfId="7202"/>
    <cellStyle name="Comma 46" xfId="7203"/>
    <cellStyle name="Comma 47" xfId="7204"/>
    <cellStyle name="Comma 48" xfId="7205"/>
    <cellStyle name="Comma 49" xfId="7206"/>
    <cellStyle name="Comma 5" xfId="7207"/>
    <cellStyle name="Comma 5 2" xfId="7208"/>
    <cellStyle name="Comma 5 2 2" xfId="7209"/>
    <cellStyle name="Comma 5 3" xfId="7210"/>
    <cellStyle name="Comma 5 4" xfId="7211"/>
    <cellStyle name="Comma 5 5" xfId="7212"/>
    <cellStyle name="Comma 5 6" xfId="7213"/>
    <cellStyle name="Comma 50" xfId="7214"/>
    <cellStyle name="Comma 51" xfId="7215"/>
    <cellStyle name="Comma 51 2" xfId="7216"/>
    <cellStyle name="Comma 52" xfId="7217"/>
    <cellStyle name="Comma 53" xfId="7218"/>
    <cellStyle name="Comma 54" xfId="7219"/>
    <cellStyle name="Comma 55" xfId="7220"/>
    <cellStyle name="Comma 56" xfId="7221"/>
    <cellStyle name="Comma 57" xfId="7222"/>
    <cellStyle name="Comma 58" xfId="7223"/>
    <cellStyle name="Comma 59" xfId="7224"/>
    <cellStyle name="Comma 6" xfId="7225"/>
    <cellStyle name="Comma 6 2" xfId="7226"/>
    <cellStyle name="Comma 6 2 2" xfId="7227"/>
    <cellStyle name="Comma 6 2 2 2" xfId="7228"/>
    <cellStyle name="Comma 6 2 3" xfId="7229"/>
    <cellStyle name="Comma 6 3" xfId="7230"/>
    <cellStyle name="Comma 6 3 2" xfId="7231"/>
    <cellStyle name="Comma 6 4" xfId="7232"/>
    <cellStyle name="Comma 60" xfId="7233"/>
    <cellStyle name="Comma 61" xfId="7234"/>
    <cellStyle name="Comma 62" xfId="7235"/>
    <cellStyle name="Comma 63" xfId="7236"/>
    <cellStyle name="Comma 64" xfId="7237"/>
    <cellStyle name="Comma 65" xfId="7238"/>
    <cellStyle name="Comma 66" xfId="9535"/>
    <cellStyle name="Comma 67" xfId="9514"/>
    <cellStyle name="Comma 68" xfId="9510"/>
    <cellStyle name="Comma 69" xfId="9507"/>
    <cellStyle name="Comma 7" xfId="7239"/>
    <cellStyle name="Comma 7 2" xfId="7240"/>
    <cellStyle name="Comma 7 2 2" xfId="7241"/>
    <cellStyle name="Comma 7 3" xfId="7242"/>
    <cellStyle name="Comma 7 4" xfId="7243"/>
    <cellStyle name="Comma 70" xfId="9537"/>
    <cellStyle name="Comma 8" xfId="7244"/>
    <cellStyle name="Comma 8 2" xfId="7245"/>
    <cellStyle name="Comma 8 2 2" xfId="7246"/>
    <cellStyle name="Comma 8 2 2 2" xfId="7247"/>
    <cellStyle name="Comma 8 2 3" xfId="7248"/>
    <cellStyle name="Comma 8 3" xfId="7249"/>
    <cellStyle name="Comma 8 3 2" xfId="7250"/>
    <cellStyle name="Comma 8 4" xfId="7251"/>
    <cellStyle name="Comma 8 5" xfId="7252"/>
    <cellStyle name="Comma 9" xfId="7253"/>
    <cellStyle name="Comma 9 2" xfId="7254"/>
    <cellStyle name="Comma 9 2 2" xfId="7255"/>
    <cellStyle name="Comma 9 2 2 2" xfId="7256"/>
    <cellStyle name="Comma 9 2 3" xfId="7257"/>
    <cellStyle name="Comma 9 3" xfId="7258"/>
    <cellStyle name="Comma 9 3 2" xfId="7259"/>
    <cellStyle name="Comma 9 3 3" xfId="7260"/>
    <cellStyle name="Comma 9 3 4" xfId="7261"/>
    <cellStyle name="Comma 9 4" xfId="7262"/>
    <cellStyle name="Comma 9 4 2" xfId="7263"/>
    <cellStyle name="Comma 9 5" xfId="7264"/>
    <cellStyle name="Comma 9 5 2" xfId="7265"/>
    <cellStyle name="Comma 9 6" xfId="7266"/>
    <cellStyle name="Comma 9 7" xfId="7267"/>
    <cellStyle name="Comma 9 8" xfId="7268"/>
    <cellStyle name="Comma 9 9" xfId="7269"/>
    <cellStyle name="Comma0" xfId="7270"/>
    <cellStyle name="Comma0 - Style2" xfId="7271"/>
    <cellStyle name="Comma0 - Style2 2" xfId="7272"/>
    <cellStyle name="Comma0 - Style4" xfId="7273"/>
    <cellStyle name="Comma0 - Style4 2" xfId="7274"/>
    <cellStyle name="Comma0 - Style4 3" xfId="7275"/>
    <cellStyle name="Comma0 - Style5" xfId="7276"/>
    <cellStyle name="Comma0 - Style5 2" xfId="7277"/>
    <cellStyle name="Comma0 - Style5 2 2" xfId="7278"/>
    <cellStyle name="Comma0 - Style5 3" xfId="7279"/>
    <cellStyle name="Comma0 - Style5_ACCOUNTS" xfId="7280"/>
    <cellStyle name="Comma0 10" xfId="7281"/>
    <cellStyle name="Comma0 11" xfId="7282"/>
    <cellStyle name="Comma0 12" xfId="7283"/>
    <cellStyle name="Comma0 13" xfId="7284"/>
    <cellStyle name="Comma0 14" xfId="7285"/>
    <cellStyle name="Comma0 15" xfId="7286"/>
    <cellStyle name="Comma0 16" xfId="7287"/>
    <cellStyle name="Comma0 17" xfId="7288"/>
    <cellStyle name="Comma0 18" xfId="7289"/>
    <cellStyle name="Comma0 19" xfId="7290"/>
    <cellStyle name="Comma0 2" xfId="7291"/>
    <cellStyle name="Comma0 2 2" xfId="7292"/>
    <cellStyle name="Comma0 2 3" xfId="7293"/>
    <cellStyle name="Comma0 20" xfId="7294"/>
    <cellStyle name="Comma0 21" xfId="7295"/>
    <cellStyle name="Comma0 22" xfId="7296"/>
    <cellStyle name="Comma0 23" xfId="7297"/>
    <cellStyle name="Comma0 24" xfId="7298"/>
    <cellStyle name="Comma0 25" xfId="7299"/>
    <cellStyle name="Comma0 26" xfId="7300"/>
    <cellStyle name="Comma0 27" xfId="7301"/>
    <cellStyle name="Comma0 28" xfId="7302"/>
    <cellStyle name="Comma0 29" xfId="7303"/>
    <cellStyle name="Comma0 3" xfId="7304"/>
    <cellStyle name="Comma0 3 2" xfId="7305"/>
    <cellStyle name="Comma0 3 3" xfId="7306"/>
    <cellStyle name="Comma0 30" xfId="7307"/>
    <cellStyle name="Comma0 31" xfId="7308"/>
    <cellStyle name="Comma0 32" xfId="7309"/>
    <cellStyle name="Comma0 33" xfId="7310"/>
    <cellStyle name="Comma0 34" xfId="7311"/>
    <cellStyle name="Comma0 35" xfId="7312"/>
    <cellStyle name="Comma0 36" xfId="7313"/>
    <cellStyle name="Comma0 37" xfId="7314"/>
    <cellStyle name="Comma0 38" xfId="7315"/>
    <cellStyle name="Comma0 39" xfId="7316"/>
    <cellStyle name="Comma0 4" xfId="7317"/>
    <cellStyle name="Comma0 4 2" xfId="7318"/>
    <cellStyle name="Comma0 40" xfId="7319"/>
    <cellStyle name="Comma0 41" xfId="7320"/>
    <cellStyle name="Comma0 42" xfId="7321"/>
    <cellStyle name="Comma0 43" xfId="7322"/>
    <cellStyle name="Comma0 44" xfId="7323"/>
    <cellStyle name="Comma0 45" xfId="7324"/>
    <cellStyle name="Comma0 46" xfId="7325"/>
    <cellStyle name="Comma0 47" xfId="7326"/>
    <cellStyle name="Comma0 5" xfId="7327"/>
    <cellStyle name="Comma0 5 2" xfId="7328"/>
    <cellStyle name="Comma0 5 3" xfId="7329"/>
    <cellStyle name="Comma0 6" xfId="7330"/>
    <cellStyle name="Comma0 7" xfId="7331"/>
    <cellStyle name="Comma0 8" xfId="7332"/>
    <cellStyle name="Comma0 9" xfId="7333"/>
    <cellStyle name="Comma0_00COS Ind Allocators" xfId="7334"/>
    <cellStyle name="Comma1 - Style1" xfId="7335"/>
    <cellStyle name="Comma1 - Style1 2" xfId="7336"/>
    <cellStyle name="Comma1 - Style1 2 2" xfId="7337"/>
    <cellStyle name="Comma1 - Style1 3" xfId="7338"/>
    <cellStyle name="Comma1 - Style1 4" xfId="7339"/>
    <cellStyle name="Comma1 - Style1_ACCOUNTS" xfId="7340"/>
    <cellStyle name="Copied" xfId="7341"/>
    <cellStyle name="Copied 2" xfId="7342"/>
    <cellStyle name="Copied 2 2" xfId="7343"/>
    <cellStyle name="Copied 3" xfId="7344"/>
    <cellStyle name="Copied 4" xfId="7345"/>
    <cellStyle name="COST1" xfId="7346"/>
    <cellStyle name="COST1 2" xfId="7347"/>
    <cellStyle name="COST1 2 2" xfId="7348"/>
    <cellStyle name="COST1 3" xfId="7349"/>
    <cellStyle name="COST1 4" xfId="7350"/>
    <cellStyle name="Curren - Style1" xfId="7351"/>
    <cellStyle name="Curren - Style1 2" xfId="7352"/>
    <cellStyle name="Curren - Style2" xfId="7353"/>
    <cellStyle name="Curren - Style2 2" xfId="7354"/>
    <cellStyle name="Curren - Style2 2 2" xfId="7355"/>
    <cellStyle name="Curren - Style2 3" xfId="7356"/>
    <cellStyle name="Curren - Style2 4" xfId="7357"/>
    <cellStyle name="Curren - Style2_ACCOUNTS" xfId="7358"/>
    <cellStyle name="Curren - Style5" xfId="7359"/>
    <cellStyle name="Curren - Style5 2" xfId="7360"/>
    <cellStyle name="Curren - Style6" xfId="7361"/>
    <cellStyle name="Curren - Style6 2" xfId="7362"/>
    <cellStyle name="Curren - Style6 2 2" xfId="7363"/>
    <cellStyle name="Curren - Style6 3" xfId="7364"/>
    <cellStyle name="Curren - Style6_ACCOUNTS" xfId="7365"/>
    <cellStyle name="Currency" xfId="2" builtinId="4"/>
    <cellStyle name="Currency 10" xfId="7366"/>
    <cellStyle name="Currency 10 2" xfId="7367"/>
    <cellStyle name="Currency 10 2 2" xfId="7368"/>
    <cellStyle name="Currency 10 3" xfId="7369"/>
    <cellStyle name="Currency 10 4" xfId="7370"/>
    <cellStyle name="Currency 11" xfId="7371"/>
    <cellStyle name="Currency 11 2" xfId="7372"/>
    <cellStyle name="Currency 11 2 2" xfId="7373"/>
    <cellStyle name="Currency 11 3" xfId="7374"/>
    <cellStyle name="Currency 11 4" xfId="7375"/>
    <cellStyle name="Currency 12" xfId="7376"/>
    <cellStyle name="Currency 12 2" xfId="7377"/>
    <cellStyle name="Currency 12 2 2" xfId="7378"/>
    <cellStyle name="Currency 12 3" xfId="7379"/>
    <cellStyle name="Currency 12 3 2" xfId="7380"/>
    <cellStyle name="Currency 12 4" xfId="7381"/>
    <cellStyle name="Currency 12 4 2" xfId="7382"/>
    <cellStyle name="Currency 12 5" xfId="7383"/>
    <cellStyle name="Currency 12 6" xfId="7384"/>
    <cellStyle name="Currency 13" xfId="7385"/>
    <cellStyle name="Currency 13 2" xfId="7386"/>
    <cellStyle name="Currency 13 3" xfId="7387"/>
    <cellStyle name="Currency 14" xfId="7388"/>
    <cellStyle name="Currency 14 2" xfId="7389"/>
    <cellStyle name="Currency 14 2 2" xfId="7390"/>
    <cellStyle name="Currency 14 3" xfId="7391"/>
    <cellStyle name="Currency 14 3 2" xfId="7392"/>
    <cellStyle name="Currency 14 4" xfId="7393"/>
    <cellStyle name="Currency 14 4 2" xfId="7394"/>
    <cellStyle name="Currency 15" xfId="7395"/>
    <cellStyle name="Currency 15 2" xfId="7396"/>
    <cellStyle name="Currency 15 3" xfId="7397"/>
    <cellStyle name="Currency 15 4" xfId="7398"/>
    <cellStyle name="Currency 16" xfId="7399"/>
    <cellStyle name="Currency 16 2" xfId="7400"/>
    <cellStyle name="Currency 16 3" xfId="7401"/>
    <cellStyle name="Currency 16 4" xfId="7402"/>
    <cellStyle name="Currency 17" xfId="7403"/>
    <cellStyle name="Currency 18" xfId="7404"/>
    <cellStyle name="Currency 18 2" xfId="7405"/>
    <cellStyle name="Currency 19" xfId="7406"/>
    <cellStyle name="Currency 19 2" xfId="7407"/>
    <cellStyle name="Currency 2" xfId="5"/>
    <cellStyle name="Currency 2 2" xfId="7408"/>
    <cellStyle name="Currency 2 2 2" xfId="7409"/>
    <cellStyle name="Currency 2 2 2 2" xfId="7410"/>
    <cellStyle name="Currency 2 2 2 3" xfId="7411"/>
    <cellStyle name="Currency 2 2 3" xfId="7412"/>
    <cellStyle name="Currency 2 2 4" xfId="7413"/>
    <cellStyle name="Currency 2 3" xfId="7414"/>
    <cellStyle name="Currency 2 3 2" xfId="7415"/>
    <cellStyle name="Currency 2 3 3" xfId="7416"/>
    <cellStyle name="Currency 2 4" xfId="7417"/>
    <cellStyle name="Currency 2 4 2" xfId="7418"/>
    <cellStyle name="Currency 2 5" xfId="7419"/>
    <cellStyle name="Currency 2 5 2" xfId="7420"/>
    <cellStyle name="Currency 2 6" xfId="7421"/>
    <cellStyle name="Currency 2 6 2" xfId="7422"/>
    <cellStyle name="Currency 2 7" xfId="7423"/>
    <cellStyle name="Currency 2 7 2" xfId="7424"/>
    <cellStyle name="Currency 2 8" xfId="7425"/>
    <cellStyle name="Currency 2 8 2" xfId="7426"/>
    <cellStyle name="Currency 2 9" xfId="7427"/>
    <cellStyle name="Currency 20" xfId="7428"/>
    <cellStyle name="Currency 21" xfId="7429"/>
    <cellStyle name="Currency 22" xfId="7430"/>
    <cellStyle name="Currency 23" xfId="7431"/>
    <cellStyle name="Currency 24" xfId="7432"/>
    <cellStyle name="Currency 24 2" xfId="7433"/>
    <cellStyle name="Currency 25" xfId="7434"/>
    <cellStyle name="Currency 25 2" xfId="7435"/>
    <cellStyle name="Currency 25 3" xfId="7436"/>
    <cellStyle name="Currency 26" xfId="7437"/>
    <cellStyle name="Currency 27" xfId="7438"/>
    <cellStyle name="Currency 27 2" xfId="7439"/>
    <cellStyle name="Currency 3" xfId="7440"/>
    <cellStyle name="Currency 3 2" xfId="7441"/>
    <cellStyle name="Currency 3 2 2" xfId="7442"/>
    <cellStyle name="Currency 3 2 2 2" xfId="7443"/>
    <cellStyle name="Currency 3 2 3" xfId="7444"/>
    <cellStyle name="Currency 3 2 4" xfId="9531"/>
    <cellStyle name="Currency 3 3" xfId="7445"/>
    <cellStyle name="Currency 3 3 2" xfId="7446"/>
    <cellStyle name="Currency 3 4" xfId="7447"/>
    <cellStyle name="Currency 3 5" xfId="7448"/>
    <cellStyle name="Currency 4" xfId="7449"/>
    <cellStyle name="Currency 4 2" xfId="7450"/>
    <cellStyle name="Currency 4 2 2" xfId="7451"/>
    <cellStyle name="Currency 4 2 2 2" xfId="7452"/>
    <cellStyle name="Currency 4 2 3" xfId="7453"/>
    <cellStyle name="Currency 4 2 4" xfId="7454"/>
    <cellStyle name="Currency 4 3" xfId="7455"/>
    <cellStyle name="Currency 4 3 2" xfId="7456"/>
    <cellStyle name="Currency 4 3 2 2" xfId="7457"/>
    <cellStyle name="Currency 4 3 3" xfId="7458"/>
    <cellStyle name="Currency 4 3 3 2" xfId="7459"/>
    <cellStyle name="Currency 4 3 4" xfId="7460"/>
    <cellStyle name="Currency 4 3 4 2" xfId="7461"/>
    <cellStyle name="Currency 4 4" xfId="7462"/>
    <cellStyle name="Currency 4 4 2" xfId="7463"/>
    <cellStyle name="Currency 4 5" xfId="7464"/>
    <cellStyle name="Currency 4 6" xfId="7465"/>
    <cellStyle name="Currency 4 7" xfId="9530"/>
    <cellStyle name="Currency 4_2009 GRC Compliance Filing (Electric) for Exh A-1" xfId="7466"/>
    <cellStyle name="Currency 5" xfId="7467"/>
    <cellStyle name="Currency 5 2" xfId="7468"/>
    <cellStyle name="Currency 5 2 2" xfId="7469"/>
    <cellStyle name="Currency 5 3" xfId="7470"/>
    <cellStyle name="Currency 5 4" xfId="7471"/>
    <cellStyle name="Currency 6" xfId="7472"/>
    <cellStyle name="Currency 6 2" xfId="7473"/>
    <cellStyle name="Currency 6 2 2" xfId="7474"/>
    <cellStyle name="Currency 6 3" xfId="7475"/>
    <cellStyle name="Currency 6 4" xfId="7476"/>
    <cellStyle name="Currency 7" xfId="7477"/>
    <cellStyle name="Currency 7 2" xfId="7478"/>
    <cellStyle name="Currency 7 2 2" xfId="7479"/>
    <cellStyle name="Currency 7 3" xfId="7480"/>
    <cellStyle name="Currency 7 4" xfId="7481"/>
    <cellStyle name="Currency 8" xfId="7482"/>
    <cellStyle name="Currency 8 2" xfId="7483"/>
    <cellStyle name="Currency 8 2 2" xfId="7484"/>
    <cellStyle name="Currency 8 2 2 2" xfId="7485"/>
    <cellStyle name="Currency 8 2 2 3" xfId="7486"/>
    <cellStyle name="Currency 8 2 2 4" xfId="7487"/>
    <cellStyle name="Currency 8 2 3" xfId="7488"/>
    <cellStyle name="Currency 8 2 3 2" xfId="7489"/>
    <cellStyle name="Currency 8 2 4" xfId="7490"/>
    <cellStyle name="Currency 8 2 5" xfId="7491"/>
    <cellStyle name="Currency 8 2 6" xfId="7492"/>
    <cellStyle name="Currency 8 3" xfId="7493"/>
    <cellStyle name="Currency 8 3 2" xfId="7494"/>
    <cellStyle name="Currency 8 4" xfId="7495"/>
    <cellStyle name="Currency 8 4 2" xfId="7496"/>
    <cellStyle name="Currency 8 5" xfId="7497"/>
    <cellStyle name="Currency 8 6" xfId="7498"/>
    <cellStyle name="Currency 9" xfId="7499"/>
    <cellStyle name="Currency 9 2" xfId="7500"/>
    <cellStyle name="Currency 9 2 2" xfId="7501"/>
    <cellStyle name="Currency 9 2 2 2" xfId="7502"/>
    <cellStyle name="Currency 9 2 3" xfId="7503"/>
    <cellStyle name="Currency 9 3" xfId="7504"/>
    <cellStyle name="Currency 9 3 2" xfId="7505"/>
    <cellStyle name="Currency 9 3 3" xfId="7506"/>
    <cellStyle name="Currency 9 3 4" xfId="7507"/>
    <cellStyle name="Currency 9 4" xfId="7508"/>
    <cellStyle name="Currency 9 4 2" xfId="7509"/>
    <cellStyle name="Currency 9 5" xfId="7510"/>
    <cellStyle name="Currency 9 5 2" xfId="7511"/>
    <cellStyle name="Currency 9 6" xfId="7512"/>
    <cellStyle name="Currency 9 7" xfId="7513"/>
    <cellStyle name="Currency 9 8" xfId="7514"/>
    <cellStyle name="Currency 9 9" xfId="7515"/>
    <cellStyle name="Currency0" xfId="7516"/>
    <cellStyle name="Currency0 2" xfId="7517"/>
    <cellStyle name="Currency0 2 2" xfId="7518"/>
    <cellStyle name="Currency0 2 2 2" xfId="7519"/>
    <cellStyle name="Currency0 2 3" xfId="7520"/>
    <cellStyle name="Currency0 3" xfId="7521"/>
    <cellStyle name="Currency0 3 2" xfId="7522"/>
    <cellStyle name="Currency0 3 3" xfId="7523"/>
    <cellStyle name="Currency0 4" xfId="7524"/>
    <cellStyle name="Currency0 4 2" xfId="7525"/>
    <cellStyle name="Currency0 4 3" xfId="7526"/>
    <cellStyle name="Currency0 5" xfId="7527"/>
    <cellStyle name="Currency0 6" xfId="7528"/>
    <cellStyle name="Currency0 7" xfId="7529"/>
    <cellStyle name="Currency0_ACCOUNTS" xfId="7530"/>
    <cellStyle name="Date" xfId="7531"/>
    <cellStyle name="Date 2" xfId="7532"/>
    <cellStyle name="Date 2 2" xfId="7533"/>
    <cellStyle name="Date 2 3" xfId="7534"/>
    <cellStyle name="Date 3" xfId="7535"/>
    <cellStyle name="Date 3 2" xfId="7536"/>
    <cellStyle name="Date 3 3" xfId="7537"/>
    <cellStyle name="Date 4" xfId="7538"/>
    <cellStyle name="Date 4 2" xfId="7539"/>
    <cellStyle name="Date 5" xfId="7540"/>
    <cellStyle name="Date 5 2" xfId="7541"/>
    <cellStyle name="Date 5 3" xfId="7542"/>
    <cellStyle name="Date 6" xfId="7543"/>
    <cellStyle name="Date 7" xfId="7544"/>
    <cellStyle name="Date 8" xfId="7545"/>
    <cellStyle name="Date_903 SAP 2-6-09" xfId="7546"/>
    <cellStyle name="drp-sh - Style2" xfId="7547"/>
    <cellStyle name="Emphasis 1" xfId="7548"/>
    <cellStyle name="Emphasis 1 2" xfId="7549"/>
    <cellStyle name="Emphasis 2" xfId="7550"/>
    <cellStyle name="Emphasis 2 2" xfId="7551"/>
    <cellStyle name="Emphasis 3" xfId="7552"/>
    <cellStyle name="Emphasis 3 2" xfId="7553"/>
    <cellStyle name="Entered" xfId="7554"/>
    <cellStyle name="Entered 2" xfId="7555"/>
    <cellStyle name="Entered 2 2" xfId="7556"/>
    <cellStyle name="Entered 2 2 2" xfId="7557"/>
    <cellStyle name="Entered 2 3" xfId="7558"/>
    <cellStyle name="Entered 3" xfId="7559"/>
    <cellStyle name="Entered 3 2" xfId="7560"/>
    <cellStyle name="Entered 3 2 2" xfId="7561"/>
    <cellStyle name="Entered 3 3" xfId="7562"/>
    <cellStyle name="Entered 3 3 2" xfId="7563"/>
    <cellStyle name="Entered 3 4" xfId="7564"/>
    <cellStyle name="Entered 3 4 2" xfId="7565"/>
    <cellStyle name="Entered 4" xfId="7566"/>
    <cellStyle name="Entered 4 2" xfId="7567"/>
    <cellStyle name="Entered 5" xfId="7568"/>
    <cellStyle name="Entered 5 2" xfId="7569"/>
    <cellStyle name="Entered 6" xfId="7570"/>
    <cellStyle name="Entered 7" xfId="7571"/>
    <cellStyle name="Entered 8" xfId="7572"/>
    <cellStyle name="Entered_4.32E Depreciation Study Robs file" xfId="7573"/>
    <cellStyle name="Euro" xfId="7574"/>
    <cellStyle name="Euro 2" xfId="7575"/>
    <cellStyle name="Euro 2 2" xfId="7576"/>
    <cellStyle name="Euro 2 2 2" xfId="7577"/>
    <cellStyle name="Euro 2 3" xfId="7578"/>
    <cellStyle name="Euro 3" xfId="7579"/>
    <cellStyle name="Euro 3 2" xfId="7580"/>
    <cellStyle name="Euro 4" xfId="7581"/>
    <cellStyle name="Euro 5" xfId="7582"/>
    <cellStyle name="Explanatory Text 2" xfId="7583"/>
    <cellStyle name="Explanatory Text 2 2" xfId="7584"/>
    <cellStyle name="Explanatory Text 2 2 2" xfId="7585"/>
    <cellStyle name="Explanatory Text 2 3" xfId="7586"/>
    <cellStyle name="Explanatory Text 3" xfId="7587"/>
    <cellStyle name="Explanatory Text 4" xfId="7588"/>
    <cellStyle name="Fixed" xfId="7589"/>
    <cellStyle name="Fixed 2" xfId="7590"/>
    <cellStyle name="Fixed 2 2" xfId="7591"/>
    <cellStyle name="Fixed 3" xfId="7592"/>
    <cellStyle name="Fixed 4" xfId="7593"/>
    <cellStyle name="Fixed 5" xfId="7594"/>
    <cellStyle name="Fixed 6" xfId="7595"/>
    <cellStyle name="Fixed 7" xfId="7596"/>
    <cellStyle name="Fixed_ACCOUNTS" xfId="7597"/>
    <cellStyle name="Fixed3 - Style3" xfId="7598"/>
    <cellStyle name="Fixed3 - Style3 2" xfId="7599"/>
    <cellStyle name="Followed Hyperlink" xfId="9538" builtinId="9" customBuiltin="1"/>
    <cellStyle name="Followed Hyperlink 2" xfId="9544"/>
    <cellStyle name="Good 2" xfId="7600"/>
    <cellStyle name="Good 2 2" xfId="7601"/>
    <cellStyle name="Good 2 2 2" xfId="7602"/>
    <cellStyle name="Good 2 3" xfId="7603"/>
    <cellStyle name="Good 3" xfId="7604"/>
    <cellStyle name="Good 3 2" xfId="7605"/>
    <cellStyle name="Good 3 3" xfId="7606"/>
    <cellStyle name="Good 3 4" xfId="7607"/>
    <cellStyle name="Good 4" xfId="7608"/>
    <cellStyle name="Good 5" xfId="7609"/>
    <cellStyle name="Good 6" xfId="7610"/>
    <cellStyle name="Grey" xfId="7611"/>
    <cellStyle name="Grey 2" xfId="7612"/>
    <cellStyle name="Grey 2 2" xfId="7613"/>
    <cellStyle name="Grey 2 3" xfId="7614"/>
    <cellStyle name="Grey 2 4" xfId="7615"/>
    <cellStyle name="Grey 3" xfId="7616"/>
    <cellStyle name="Grey 3 2" xfId="7617"/>
    <cellStyle name="Grey 3 3" xfId="7618"/>
    <cellStyle name="Grey 3 4" xfId="7619"/>
    <cellStyle name="Grey 4" xfId="7620"/>
    <cellStyle name="Grey 4 2" xfId="7621"/>
    <cellStyle name="Grey 4 3" xfId="7622"/>
    <cellStyle name="Grey 4 4" xfId="7623"/>
    <cellStyle name="Grey 5" xfId="7624"/>
    <cellStyle name="Grey 5 2" xfId="7625"/>
    <cellStyle name="Grey 6" xfId="7626"/>
    <cellStyle name="Grey 6 2" xfId="7627"/>
    <cellStyle name="Grey 7" xfId="7628"/>
    <cellStyle name="Grey 8" xfId="7629"/>
    <cellStyle name="Grey_(C) WHE Proforma with ITC cash grant 10 Yr Amort_for deferral_102809" xfId="7630"/>
    <cellStyle name="g-tota - Style7" xfId="7631"/>
    <cellStyle name="Header" xfId="7632"/>
    <cellStyle name="Header1" xfId="7633"/>
    <cellStyle name="Header1 2" xfId="7634"/>
    <cellStyle name="Header1 3" xfId="7635"/>
    <cellStyle name="Header1 3 2" xfId="7636"/>
    <cellStyle name="Header1 4" xfId="7637"/>
    <cellStyle name="Header1_AURORA Total New" xfId="7638"/>
    <cellStyle name="Header2" xfId="7639"/>
    <cellStyle name="Header2 2" xfId="7640"/>
    <cellStyle name="Header2 3" xfId="7641"/>
    <cellStyle name="Header2 3 2" xfId="7642"/>
    <cellStyle name="Header2 4" xfId="7643"/>
    <cellStyle name="Header2 5" xfId="7644"/>
    <cellStyle name="Header2 6" xfId="7645"/>
    <cellStyle name="Header2_AURORA Total New" xfId="7646"/>
    <cellStyle name="Heading" xfId="7647"/>
    <cellStyle name="Heading 1 2" xfId="7648"/>
    <cellStyle name="Heading 1 2 2" xfId="7649"/>
    <cellStyle name="Heading 1 2 2 2" xfId="7650"/>
    <cellStyle name="Heading 1 2 3" xfId="7651"/>
    <cellStyle name="Heading 1 2 3 2" xfId="7652"/>
    <cellStyle name="Heading 1 2 3 3" xfId="7653"/>
    <cellStyle name="Heading 1 2 3 4" xfId="7654"/>
    <cellStyle name="Heading 1 2 4" xfId="7655"/>
    <cellStyle name="Heading 1 3" xfId="7656"/>
    <cellStyle name="Heading 1 3 2" xfId="7657"/>
    <cellStyle name="Heading 1 3 3" xfId="7658"/>
    <cellStyle name="Heading 1 3 4" xfId="7659"/>
    <cellStyle name="Heading 1 4" xfId="7660"/>
    <cellStyle name="Heading 1 4 2" xfId="7661"/>
    <cellStyle name="Heading 1 5" xfId="7662"/>
    <cellStyle name="Heading 1 6" xfId="7663"/>
    <cellStyle name="Heading 1 9" xfId="7664"/>
    <cellStyle name="Heading 1 9 2" xfId="7665"/>
    <cellStyle name="Heading 2 2" xfId="7666"/>
    <cellStyle name="Heading 2 2 2" xfId="7667"/>
    <cellStyle name="Heading 2 2 2 2" xfId="7668"/>
    <cellStyle name="Heading 2 2 3" xfId="7669"/>
    <cellStyle name="Heading 2 2 3 2" xfId="7670"/>
    <cellStyle name="Heading 2 2 3 3" xfId="7671"/>
    <cellStyle name="Heading 2 2 3 4" xfId="7672"/>
    <cellStyle name="Heading 2 2 4" xfId="7673"/>
    <cellStyle name="Heading 2 3" xfId="7674"/>
    <cellStyle name="Heading 2 3 2" xfId="7675"/>
    <cellStyle name="Heading 2 3 3" xfId="7676"/>
    <cellStyle name="Heading 2 3 4" xfId="7677"/>
    <cellStyle name="Heading 2 4" xfId="7678"/>
    <cellStyle name="Heading 2 4 2" xfId="7679"/>
    <cellStyle name="Heading 2 5" xfId="7680"/>
    <cellStyle name="Heading 2 6" xfId="7681"/>
    <cellStyle name="Heading 2 9" xfId="7682"/>
    <cellStyle name="Heading 2 9 2" xfId="7683"/>
    <cellStyle name="Heading 3 2" xfId="7684"/>
    <cellStyle name="Heading 3 2 2" xfId="7685"/>
    <cellStyle name="Heading 3 2 2 2" xfId="7686"/>
    <cellStyle name="Heading 3 2 3" xfId="7687"/>
    <cellStyle name="Heading 3 3" xfId="7688"/>
    <cellStyle name="Heading 3 3 2" xfId="7689"/>
    <cellStyle name="Heading 3 3 3" xfId="7690"/>
    <cellStyle name="Heading 3 3 4" xfId="7691"/>
    <cellStyle name="Heading 3 4" xfId="7692"/>
    <cellStyle name="Heading 3 5" xfId="7693"/>
    <cellStyle name="Heading 3 6" xfId="7694"/>
    <cellStyle name="Heading 4 2" xfId="7695"/>
    <cellStyle name="Heading 4 2 2" xfId="7696"/>
    <cellStyle name="Heading 4 2 2 2" xfId="7697"/>
    <cellStyle name="Heading 4 2 3" xfId="7698"/>
    <cellStyle name="Heading 4 3" xfId="7699"/>
    <cellStyle name="Heading 4 3 2" xfId="7700"/>
    <cellStyle name="Heading 4 3 3" xfId="7701"/>
    <cellStyle name="Heading 4 3 4" xfId="7702"/>
    <cellStyle name="Heading 4 4" xfId="7703"/>
    <cellStyle name="Heading 4 5" xfId="7704"/>
    <cellStyle name="Heading 4 6" xfId="7705"/>
    <cellStyle name="Heading1" xfId="7706"/>
    <cellStyle name="Heading1 2" xfId="7707"/>
    <cellStyle name="Heading1 2 2" xfId="7708"/>
    <cellStyle name="Heading1 3" xfId="7709"/>
    <cellStyle name="Heading1 3 2" xfId="7710"/>
    <cellStyle name="Heading1 4" xfId="7711"/>
    <cellStyle name="Heading1 5" xfId="7712"/>
    <cellStyle name="Heading1 6" xfId="7713"/>
    <cellStyle name="Heading1 7" xfId="7714"/>
    <cellStyle name="Heading1 8" xfId="7715"/>
    <cellStyle name="Heading1_4.32E Depreciation Study Robs file" xfId="7716"/>
    <cellStyle name="Heading2" xfId="7717"/>
    <cellStyle name="Heading2 2" xfId="7718"/>
    <cellStyle name="Heading2 2 2" xfId="7719"/>
    <cellStyle name="Heading2 3" xfId="7720"/>
    <cellStyle name="Heading2 3 2" xfId="7721"/>
    <cellStyle name="Heading2 4" xfId="7722"/>
    <cellStyle name="Heading2 5" xfId="7723"/>
    <cellStyle name="Heading2 6" xfId="7724"/>
    <cellStyle name="Heading2 7" xfId="7725"/>
    <cellStyle name="Heading2 8" xfId="7726"/>
    <cellStyle name="Heading2_4.32E Depreciation Study Robs file" xfId="7727"/>
    <cellStyle name="Hyperlink" xfId="9539" builtinId="8" customBuiltin="1"/>
    <cellStyle name="Hyperlink 2" xfId="7728"/>
    <cellStyle name="Hyperlink 2 2" xfId="9545"/>
    <cellStyle name="Hyperlink 3" xfId="7729"/>
    <cellStyle name="Input [yellow]" xfId="7730"/>
    <cellStyle name="Input [yellow] 2" xfId="7731"/>
    <cellStyle name="Input [yellow] 2 2" xfId="7732"/>
    <cellStyle name="Input [yellow] 2 3" xfId="7733"/>
    <cellStyle name="Input [yellow] 2 4" xfId="7734"/>
    <cellStyle name="Input [yellow] 2 5" xfId="7735"/>
    <cellStyle name="Input [yellow] 3" xfId="7736"/>
    <cellStyle name="Input [yellow] 3 2" xfId="7737"/>
    <cellStyle name="Input [yellow] 3 3" xfId="7738"/>
    <cellStyle name="Input [yellow] 3 4" xfId="7739"/>
    <cellStyle name="Input [yellow] 3 5" xfId="7740"/>
    <cellStyle name="Input [yellow] 4" xfId="7741"/>
    <cellStyle name="Input [yellow] 4 2" xfId="7742"/>
    <cellStyle name="Input [yellow] 4 3" xfId="7743"/>
    <cellStyle name="Input [yellow] 4 4" xfId="7744"/>
    <cellStyle name="Input [yellow] 4 5" xfId="7745"/>
    <cellStyle name="Input [yellow] 5" xfId="7746"/>
    <cellStyle name="Input [yellow] 5 2" xfId="7747"/>
    <cellStyle name="Input [yellow] 6" xfId="7748"/>
    <cellStyle name="Input [yellow] 7" xfId="7749"/>
    <cellStyle name="Input [yellow] 8" xfId="7750"/>
    <cellStyle name="Input [yellow] 9" xfId="7751"/>
    <cellStyle name="Input [yellow]_(C) WHE Proforma with ITC cash grant 10 Yr Amort_for deferral_102809" xfId="7752"/>
    <cellStyle name="Input 10" xfId="7753"/>
    <cellStyle name="Input 11" xfId="7754"/>
    <cellStyle name="Input 12" xfId="7755"/>
    <cellStyle name="Input 13" xfId="7756"/>
    <cellStyle name="Input 14" xfId="7757"/>
    <cellStyle name="Input 15" xfId="7758"/>
    <cellStyle name="Input 16" xfId="7759"/>
    <cellStyle name="Input 17" xfId="7760"/>
    <cellStyle name="Input 18" xfId="7761"/>
    <cellStyle name="Input 19" xfId="7762"/>
    <cellStyle name="Input 2" xfId="7763"/>
    <cellStyle name="Input 2 2" xfId="7764"/>
    <cellStyle name="Input 2 2 2" xfId="7765"/>
    <cellStyle name="Input 2 2 3" xfId="7766"/>
    <cellStyle name="Input 2 3" xfId="7767"/>
    <cellStyle name="Input 3" xfId="7768"/>
    <cellStyle name="Input 3 2" xfId="7769"/>
    <cellStyle name="Input 3 3" xfId="7770"/>
    <cellStyle name="Input 3 4" xfId="7771"/>
    <cellStyle name="Input 3 5" xfId="7772"/>
    <cellStyle name="Input 4" xfId="7773"/>
    <cellStyle name="Input 4 2" xfId="7774"/>
    <cellStyle name="Input 4 3" xfId="7775"/>
    <cellStyle name="Input 4 4" xfId="7776"/>
    <cellStyle name="Input 5" xfId="7777"/>
    <cellStyle name="Input 6" xfId="7778"/>
    <cellStyle name="Input 7" xfId="7779"/>
    <cellStyle name="Input 8" xfId="7780"/>
    <cellStyle name="Input 9" xfId="7781"/>
    <cellStyle name="Input Cells" xfId="7782"/>
    <cellStyle name="Input Cells 2" xfId="7783"/>
    <cellStyle name="Input Cells 3" xfId="7784"/>
    <cellStyle name="Input Cells Percent" xfId="7785"/>
    <cellStyle name="Input Cells Percent 2" xfId="7786"/>
    <cellStyle name="Input Cells Percent 3" xfId="7787"/>
    <cellStyle name="Input Cells Percent_AURORA Total New" xfId="7788"/>
    <cellStyle name="Input Cells_4.34E Mint Farm Deferral" xfId="7789"/>
    <cellStyle name="line b - Style6" xfId="7790"/>
    <cellStyle name="Lines" xfId="7791"/>
    <cellStyle name="Lines 2" xfId="7792"/>
    <cellStyle name="Lines 3" xfId="7793"/>
    <cellStyle name="Lines 4" xfId="7794"/>
    <cellStyle name="Lines_Electric Rev Req Model (2009 GRC) Rebuttal" xfId="7795"/>
    <cellStyle name="LINKED" xfId="7796"/>
    <cellStyle name="LINKED 2" xfId="7797"/>
    <cellStyle name="LINKED 2 2" xfId="7798"/>
    <cellStyle name="LINKED 3" xfId="7799"/>
    <cellStyle name="LINKED 4" xfId="7800"/>
    <cellStyle name="Linked Cell 2" xfId="7801"/>
    <cellStyle name="Linked Cell 2 2" xfId="7802"/>
    <cellStyle name="Linked Cell 2 2 2" xfId="7803"/>
    <cellStyle name="Linked Cell 2 3" xfId="7804"/>
    <cellStyle name="Linked Cell 3" xfId="7805"/>
    <cellStyle name="Linked Cell 3 2" xfId="7806"/>
    <cellStyle name="Linked Cell 3 3" xfId="7807"/>
    <cellStyle name="Linked Cell 3 4" xfId="7808"/>
    <cellStyle name="Linked Cell 4" xfId="7809"/>
    <cellStyle name="Linked Cell 5" xfId="7810"/>
    <cellStyle name="Linked Cell 6" xfId="7811"/>
    <cellStyle name="Manual-Input" xfId="9543"/>
    <cellStyle name="Millares [0]_2AV_M_M " xfId="7812"/>
    <cellStyle name="Millares_2AV_M_M " xfId="7813"/>
    <cellStyle name="modified border" xfId="7814"/>
    <cellStyle name="modified border 2" xfId="7815"/>
    <cellStyle name="modified border 2 2" xfId="7816"/>
    <cellStyle name="modified border 2 3" xfId="7817"/>
    <cellStyle name="modified border 3" xfId="7818"/>
    <cellStyle name="modified border 3 2" xfId="7819"/>
    <cellStyle name="modified border 3 3" xfId="7820"/>
    <cellStyle name="modified border 4" xfId="7821"/>
    <cellStyle name="modified border 4 2" xfId="7822"/>
    <cellStyle name="modified border 4 3" xfId="7823"/>
    <cellStyle name="modified border 5" xfId="7824"/>
    <cellStyle name="modified border 5 2" xfId="7825"/>
    <cellStyle name="modified border 6" xfId="7826"/>
    <cellStyle name="modified border 7" xfId="7827"/>
    <cellStyle name="modified border 8" xfId="7828"/>
    <cellStyle name="modified border_4.34E Mint Farm Deferral" xfId="7829"/>
    <cellStyle name="modified border1" xfId="7830"/>
    <cellStyle name="modified border1 2" xfId="7831"/>
    <cellStyle name="modified border1 2 2" xfId="7832"/>
    <cellStyle name="modified border1 2 3" xfId="7833"/>
    <cellStyle name="modified border1 3" xfId="7834"/>
    <cellStyle name="modified border1 3 2" xfId="7835"/>
    <cellStyle name="modified border1 3 3" xfId="7836"/>
    <cellStyle name="modified border1 4" xfId="7837"/>
    <cellStyle name="modified border1 4 2" xfId="7838"/>
    <cellStyle name="modified border1 4 3" xfId="7839"/>
    <cellStyle name="modified border1 5" xfId="7840"/>
    <cellStyle name="modified border1 5 2" xfId="7841"/>
    <cellStyle name="modified border1 6" xfId="7842"/>
    <cellStyle name="modified border1 7" xfId="7843"/>
    <cellStyle name="modified border1 8" xfId="7844"/>
    <cellStyle name="modified border1_4.34E Mint Farm Deferral" xfId="7845"/>
    <cellStyle name="Moneda [0]_2AV_M_M " xfId="7846"/>
    <cellStyle name="Moneda_2AV_M_M " xfId="7847"/>
    <cellStyle name="Neutral 2" xfId="7848"/>
    <cellStyle name="Neutral 2 2" xfId="7849"/>
    <cellStyle name="Neutral 2 2 2" xfId="7850"/>
    <cellStyle name="Neutral 2 3" xfId="7851"/>
    <cellStyle name="Neutral 3" xfId="7852"/>
    <cellStyle name="Neutral 3 2" xfId="7853"/>
    <cellStyle name="Neutral 3 3" xfId="7854"/>
    <cellStyle name="Neutral 3 4" xfId="7855"/>
    <cellStyle name="Neutral 4" xfId="7856"/>
    <cellStyle name="Neutral 5" xfId="7857"/>
    <cellStyle name="Neutral 6" xfId="7858"/>
    <cellStyle name="no dec" xfId="7859"/>
    <cellStyle name="no dec 2" xfId="7860"/>
    <cellStyle name="no dec 2 2" xfId="7861"/>
    <cellStyle name="no dec 3" xfId="7862"/>
    <cellStyle name="no dec 4" xfId="7863"/>
    <cellStyle name="Normal" xfId="0" builtinId="0"/>
    <cellStyle name="Normal - Style1" xfId="7864"/>
    <cellStyle name="Normal - Style1 2" xfId="7865"/>
    <cellStyle name="Normal - Style1 2 2" xfId="7866"/>
    <cellStyle name="Normal - Style1 2 2 2" xfId="7867"/>
    <cellStyle name="Normal - Style1 2 3" xfId="7868"/>
    <cellStyle name="Normal - Style1 2 4" xfId="7869"/>
    <cellStyle name="Normal - Style1 3" xfId="7870"/>
    <cellStyle name="Normal - Style1 3 2" xfId="7871"/>
    <cellStyle name="Normal - Style1 3 2 2" xfId="7872"/>
    <cellStyle name="Normal - Style1 3 3" xfId="7873"/>
    <cellStyle name="Normal - Style1 3 4" xfId="7874"/>
    <cellStyle name="Normal - Style1 4" xfId="7875"/>
    <cellStyle name="Normal - Style1 4 2" xfId="7876"/>
    <cellStyle name="Normal - Style1 4 2 2" xfId="7877"/>
    <cellStyle name="Normal - Style1 4 3" xfId="7878"/>
    <cellStyle name="Normal - Style1 4 4" xfId="7879"/>
    <cellStyle name="Normal - Style1 5" xfId="7880"/>
    <cellStyle name="Normal - Style1 5 2" xfId="7881"/>
    <cellStyle name="Normal - Style1 5 3" xfId="7882"/>
    <cellStyle name="Normal - Style1 5 4" xfId="7883"/>
    <cellStyle name="Normal - Style1 6" xfId="7884"/>
    <cellStyle name="Normal - Style1 6 2" xfId="7885"/>
    <cellStyle name="Normal - Style1 6 2 2" xfId="7886"/>
    <cellStyle name="Normal - Style1 6 3" xfId="7887"/>
    <cellStyle name="Normal - Style1 6 4" xfId="7888"/>
    <cellStyle name="Normal - Style1 7" xfId="7889"/>
    <cellStyle name="Normal - Style1 8" xfId="7890"/>
    <cellStyle name="Normal - Style1_(C) WHE Proforma with ITC cash grant 10 Yr Amort_for deferral_102809" xfId="7891"/>
    <cellStyle name="Normal 1" xfId="7892"/>
    <cellStyle name="Normal 1 2" xfId="7893"/>
    <cellStyle name="Normal 10" xfId="7894"/>
    <cellStyle name="Normal 10 2" xfId="7895"/>
    <cellStyle name="Normal 10 2 2" xfId="7896"/>
    <cellStyle name="Normal 10 2 2 2" xfId="7897"/>
    <cellStyle name="Normal 10 2 2 3" xfId="7898"/>
    <cellStyle name="Normal 10 2 3" xfId="7899"/>
    <cellStyle name="Normal 10 2 4" xfId="7900"/>
    <cellStyle name="Normal 10 3" xfId="7901"/>
    <cellStyle name="Normal 10 3 2" xfId="7902"/>
    <cellStyle name="Normal 10 3 2 2" xfId="7903"/>
    <cellStyle name="Normal 10 3 3" xfId="7904"/>
    <cellStyle name="Normal 10 3 4" xfId="7905"/>
    <cellStyle name="Normal 10 4" xfId="7906"/>
    <cellStyle name="Normal 10 4 2" xfId="7907"/>
    <cellStyle name="Normal 10 4 2 2" xfId="7908"/>
    <cellStyle name="Normal 10 4 3" xfId="7909"/>
    <cellStyle name="Normal 10 5" xfId="7910"/>
    <cellStyle name="Normal 10 5 2" xfId="7911"/>
    <cellStyle name="Normal 10 5 3" xfId="7912"/>
    <cellStyle name="Normal 10 6" xfId="7913"/>
    <cellStyle name="Normal 10 6 2" xfId="7914"/>
    <cellStyle name="Normal 10 7" xfId="7915"/>
    <cellStyle name="Normal 10 8" xfId="7916"/>
    <cellStyle name="Normal 10 9" xfId="7917"/>
    <cellStyle name="Normal 10_ Price Inputs" xfId="7918"/>
    <cellStyle name="Normal 100" xfId="7919"/>
    <cellStyle name="Normal 101" xfId="7920"/>
    <cellStyle name="Normal 102" xfId="7921"/>
    <cellStyle name="Normal 103" xfId="7922"/>
    <cellStyle name="Normal 104" xfId="7923"/>
    <cellStyle name="Normal 105" xfId="7924"/>
    <cellStyle name="Normal 106" xfId="7925"/>
    <cellStyle name="Normal 107" xfId="7926"/>
    <cellStyle name="Normal 108" xfId="7927"/>
    <cellStyle name="Normal 109" xfId="7928"/>
    <cellStyle name="Normal 11" xfId="7929"/>
    <cellStyle name="Normal 11 2" xfId="7930"/>
    <cellStyle name="Normal 11 2 2" xfId="7931"/>
    <cellStyle name="Normal 11 2 2 2" xfId="7932"/>
    <cellStyle name="Normal 11 2 3" xfId="7933"/>
    <cellStyle name="Normal 11 3" xfId="7934"/>
    <cellStyle name="Normal 11 3 2" xfId="7935"/>
    <cellStyle name="Normal 11 3 3" xfId="7936"/>
    <cellStyle name="Normal 11 4" xfId="7937"/>
    <cellStyle name="Normal 11 4 2" xfId="7938"/>
    <cellStyle name="Normal 11 5" xfId="7939"/>
    <cellStyle name="Normal 11 6" xfId="7940"/>
    <cellStyle name="Normal 11 7" xfId="7941"/>
    <cellStyle name="Normal 11_16.37E Wild Horse Expansion DeferralRevwrkingfile SF" xfId="7942"/>
    <cellStyle name="Normal 110" xfId="7943"/>
    <cellStyle name="Normal 111" xfId="7944"/>
    <cellStyle name="Normal 112" xfId="7945"/>
    <cellStyle name="Normal 112 2" xfId="7946"/>
    <cellStyle name="Normal 113" xfId="7947"/>
    <cellStyle name="Normal 114" xfId="7948"/>
    <cellStyle name="Normal 115" xfId="7949"/>
    <cellStyle name="Normal 116" xfId="7950"/>
    <cellStyle name="Normal 116 2" xfId="7951"/>
    <cellStyle name="Normal 117" xfId="7952"/>
    <cellStyle name="Normal 118" xfId="7953"/>
    <cellStyle name="Normal 119" xfId="7954"/>
    <cellStyle name="Normal 12" xfId="7955"/>
    <cellStyle name="Normal 12 2" xfId="7956"/>
    <cellStyle name="Normal 12 2 2" xfId="7957"/>
    <cellStyle name="Normal 12 2 2 2" xfId="7958"/>
    <cellStyle name="Normal 12 2 3" xfId="7959"/>
    <cellStyle name="Normal 12 3" xfId="7960"/>
    <cellStyle name="Normal 12 3 2" xfId="7961"/>
    <cellStyle name="Normal 12 3 3" xfId="7962"/>
    <cellStyle name="Normal 12 4" xfId="7963"/>
    <cellStyle name="Normal 12 4 2" xfId="7964"/>
    <cellStyle name="Normal 12 5" xfId="7965"/>
    <cellStyle name="Normal 12 6" xfId="7966"/>
    <cellStyle name="Normal 12 7" xfId="7967"/>
    <cellStyle name="Normal 12_2011 CBR Rev Calc by schedule" xfId="7968"/>
    <cellStyle name="Normal 120" xfId="7969"/>
    <cellStyle name="Normal 121" xfId="7970"/>
    <cellStyle name="Normal 122" xfId="7971"/>
    <cellStyle name="Normal 123" xfId="7972"/>
    <cellStyle name="Normal 124" xfId="7973"/>
    <cellStyle name="Normal 125" xfId="7974"/>
    <cellStyle name="Normal 126" xfId="7975"/>
    <cellStyle name="Normal 127" xfId="7976"/>
    <cellStyle name="Normal 128" xfId="7977"/>
    <cellStyle name="Normal 129" xfId="7978"/>
    <cellStyle name="Normal 13" xfId="7979"/>
    <cellStyle name="Normal 13 2" xfId="7980"/>
    <cellStyle name="Normal 13 2 2" xfId="7981"/>
    <cellStyle name="Normal 13 2 2 2" xfId="7982"/>
    <cellStyle name="Normal 13 2 3" xfId="7983"/>
    <cellStyle name="Normal 13 3" xfId="7984"/>
    <cellStyle name="Normal 13 3 2" xfId="7985"/>
    <cellStyle name="Normal 13 3 3" xfId="7986"/>
    <cellStyle name="Normal 13 4" xfId="7987"/>
    <cellStyle name="Normal 13 4 2" xfId="7988"/>
    <cellStyle name="Normal 13 5" xfId="7989"/>
    <cellStyle name="Normal 13 6" xfId="7990"/>
    <cellStyle name="Normal 13 7" xfId="7991"/>
    <cellStyle name="Normal 13_2011 CBR Rev Calc by schedule" xfId="7992"/>
    <cellStyle name="Normal 130" xfId="7993"/>
    <cellStyle name="Normal 131" xfId="7994"/>
    <cellStyle name="Normal 132" xfId="7995"/>
    <cellStyle name="Normal 133" xfId="7996"/>
    <cellStyle name="Normal 134" xfId="7997"/>
    <cellStyle name="Normal 135" xfId="7998"/>
    <cellStyle name="Normal 136" xfId="7999"/>
    <cellStyle name="Normal 137" xfId="8000"/>
    <cellStyle name="Normal 138" xfId="8001"/>
    <cellStyle name="Normal 139" xfId="8002"/>
    <cellStyle name="Normal 14" xfId="8003"/>
    <cellStyle name="Normal 14 2" xfId="8004"/>
    <cellStyle name="Normal 14 2 2" xfId="8005"/>
    <cellStyle name="Normal 14 3" xfId="8006"/>
    <cellStyle name="Normal 14 4" xfId="8007"/>
    <cellStyle name="Normal 14_2011 CBR Rev Calc by schedule" xfId="8008"/>
    <cellStyle name="Normal 140" xfId="8009"/>
    <cellStyle name="Normal 141" xfId="8010"/>
    <cellStyle name="Normal 142" xfId="8011"/>
    <cellStyle name="Normal 143" xfId="8012"/>
    <cellStyle name="Normal 144" xfId="8013"/>
    <cellStyle name="Normal 145" xfId="8014"/>
    <cellStyle name="Normal 146" xfId="8015"/>
    <cellStyle name="Normal 147" xfId="8016"/>
    <cellStyle name="Normal 148" xfId="8017"/>
    <cellStyle name="Normal 149" xfId="8018"/>
    <cellStyle name="Normal 15" xfId="8019"/>
    <cellStyle name="Normal 15 2" xfId="8020"/>
    <cellStyle name="Normal 15 3" xfId="8021"/>
    <cellStyle name="Normal 15 3 2" xfId="8022"/>
    <cellStyle name="Normal 15 3 3" xfId="8023"/>
    <cellStyle name="Normal 15 4" xfId="8024"/>
    <cellStyle name="Normal 15 4 2" xfId="8025"/>
    <cellStyle name="Normal 15 5" xfId="8026"/>
    <cellStyle name="Normal 15 6" xfId="8027"/>
    <cellStyle name="Normal 15 7" xfId="8028"/>
    <cellStyle name="Normal 15_2011 CBR Rev Calc by schedule" xfId="8029"/>
    <cellStyle name="Normal 150" xfId="8030"/>
    <cellStyle name="Normal 151" xfId="8031"/>
    <cellStyle name="Normal 152" xfId="9513"/>
    <cellStyle name="Normal 152 2" xfId="9551"/>
    <cellStyle name="Normal 152 3" xfId="9549"/>
    <cellStyle name="Normal 153" xfId="9520"/>
    <cellStyle name="Normal 153 2" xfId="9552"/>
    <cellStyle name="Normal 153 3" xfId="9550"/>
    <cellStyle name="Normal 154" xfId="9512"/>
    <cellStyle name="Normal 154 2" xfId="9553"/>
    <cellStyle name="Normal 154 3" xfId="9548"/>
    <cellStyle name="Normal 155" xfId="9506"/>
    <cellStyle name="Normal 155 2" xfId="9554"/>
    <cellStyle name="Normal 155 3" xfId="9547"/>
    <cellStyle name="Normal 156" xfId="9536"/>
    <cellStyle name="Normal 16" xfId="8032"/>
    <cellStyle name="Normal 16 2" xfId="8033"/>
    <cellStyle name="Normal 16 3" xfId="8034"/>
    <cellStyle name="Normal 16 3 2" xfId="8035"/>
    <cellStyle name="Normal 16 3 3" xfId="8036"/>
    <cellStyle name="Normal 16 4" xfId="8037"/>
    <cellStyle name="Normal 16 4 2" xfId="8038"/>
    <cellStyle name="Normal 16 5" xfId="8039"/>
    <cellStyle name="Normal 16 6" xfId="8040"/>
    <cellStyle name="Normal 16 7" xfId="8041"/>
    <cellStyle name="Normal 16_2011 CBR Rev Calc by schedule" xfId="8042"/>
    <cellStyle name="Normal 17" xfId="8043"/>
    <cellStyle name="Normal 17 2" xfId="8044"/>
    <cellStyle name="Normal 17 3" xfId="8045"/>
    <cellStyle name="Normal 17 3 2" xfId="8046"/>
    <cellStyle name="Normal 17 4" xfId="8047"/>
    <cellStyle name="Normal 17 5" xfId="8048"/>
    <cellStyle name="Normal 18" xfId="8049"/>
    <cellStyle name="Normal 18 2" xfId="8050"/>
    <cellStyle name="Normal 18 3" xfId="8051"/>
    <cellStyle name="Normal 18 3 2" xfId="8052"/>
    <cellStyle name="Normal 18 4" xfId="8053"/>
    <cellStyle name="Normal 18 5" xfId="8054"/>
    <cellStyle name="Normal 19" xfId="8055"/>
    <cellStyle name="Normal 19 2" xfId="8056"/>
    <cellStyle name="Normal 19 3" xfId="8057"/>
    <cellStyle name="Normal 19 3 2" xfId="8058"/>
    <cellStyle name="Normal 19 4" xfId="8059"/>
    <cellStyle name="Normal 2" xfId="4"/>
    <cellStyle name="Normal 2 10" xfId="8060"/>
    <cellStyle name="Normal 2 10 2" xfId="8061"/>
    <cellStyle name="Normal 2 10 2 2" xfId="8062"/>
    <cellStyle name="Normal 2 10 3" xfId="8063"/>
    <cellStyle name="Normal 2 11" xfId="8064"/>
    <cellStyle name="Normal 2 11 2" xfId="8065"/>
    <cellStyle name="Normal 2 12" xfId="8066"/>
    <cellStyle name="Normal 2 13" xfId="9542"/>
    <cellStyle name="Normal 2 2" xfId="8067"/>
    <cellStyle name="Normal 2 2 10" xfId="8068"/>
    <cellStyle name="Normal 2 2 11" xfId="8069"/>
    <cellStyle name="Normal 2 2 2" xfId="8070"/>
    <cellStyle name="Normal 2 2 2 2" xfId="8071"/>
    <cellStyle name="Normal 2 2 2 2 2" xfId="8072"/>
    <cellStyle name="Normal 2 2 2 3" xfId="8073"/>
    <cellStyle name="Normal 2 2 2 3 2" xfId="8074"/>
    <cellStyle name="Normal 2 2 2 4" xfId="8075"/>
    <cellStyle name="Normal 2 2 2 5" xfId="8076"/>
    <cellStyle name="Normal 2 2 2 6" xfId="8077"/>
    <cellStyle name="Normal 2 2 2 7" xfId="8078"/>
    <cellStyle name="Normal 2 2 2_Chelan PUD Power Costs (8-10)" xfId="8079"/>
    <cellStyle name="Normal 2 2 3" xfId="8080"/>
    <cellStyle name="Normal 2 2 3 2" xfId="8081"/>
    <cellStyle name="Normal 2 2 3 3" xfId="8082"/>
    <cellStyle name="Normal 2 2 4" xfId="8083"/>
    <cellStyle name="Normal 2 2 4 2" xfId="8084"/>
    <cellStyle name="Normal 2 2 5" xfId="8085"/>
    <cellStyle name="Normal 2 2 6" xfId="8086"/>
    <cellStyle name="Normal 2 2 7" xfId="8087"/>
    <cellStyle name="Normal 2 2 8" xfId="8088"/>
    <cellStyle name="Normal 2 2 9" xfId="8089"/>
    <cellStyle name="Normal 2 2_ Price Inputs" xfId="8090"/>
    <cellStyle name="Normal 2 23" xfId="9546"/>
    <cellStyle name="Normal 2 3" xfId="8091"/>
    <cellStyle name="Normal 2 3 2" xfId="8092"/>
    <cellStyle name="Normal 2 3 3" xfId="8093"/>
    <cellStyle name="Normal 2 3 4" xfId="8094"/>
    <cellStyle name="Normal 2 3 5" xfId="9540"/>
    <cellStyle name="Normal 2 4" xfId="8095"/>
    <cellStyle name="Normal 2 4 2" xfId="8096"/>
    <cellStyle name="Normal 2 4 3" xfId="8097"/>
    <cellStyle name="Normal 2 5" xfId="8098"/>
    <cellStyle name="Normal 2 5 2" xfId="8099"/>
    <cellStyle name="Normal 2 5 3" xfId="8100"/>
    <cellStyle name="Normal 2 6" xfId="8101"/>
    <cellStyle name="Normal 2 6 2" xfId="8102"/>
    <cellStyle name="Normal 2 6 2 2" xfId="8103"/>
    <cellStyle name="Normal 2 6 3" xfId="8104"/>
    <cellStyle name="Normal 2 6 4" xfId="8105"/>
    <cellStyle name="Normal 2 6 5" xfId="8106"/>
    <cellStyle name="Normal 2 6 6" xfId="8107"/>
    <cellStyle name="Normal 2 7" xfId="8108"/>
    <cellStyle name="Normal 2 7 2" xfId="8109"/>
    <cellStyle name="Normal 2 7 2 2" xfId="8110"/>
    <cellStyle name="Normal 2 7 3" xfId="8111"/>
    <cellStyle name="Normal 2 7 4" xfId="8112"/>
    <cellStyle name="Normal 2 8" xfId="8113"/>
    <cellStyle name="Normal 2 8 2" xfId="8114"/>
    <cellStyle name="Normal 2 8 2 2" xfId="8115"/>
    <cellStyle name="Normal 2 8 2 2 2" xfId="8116"/>
    <cellStyle name="Normal 2 8 2 3" xfId="8117"/>
    <cellStyle name="Normal 2 8 3" xfId="8118"/>
    <cellStyle name="Normal 2 8 3 2" xfId="8119"/>
    <cellStyle name="Normal 2 8 4" xfId="8120"/>
    <cellStyle name="Normal 2 8 5" xfId="8121"/>
    <cellStyle name="Normal 2 9" xfId="8122"/>
    <cellStyle name="Normal 2 9 2" xfId="8123"/>
    <cellStyle name="Normal 2 9 2 2" xfId="8124"/>
    <cellStyle name="Normal 2 9 3" xfId="8125"/>
    <cellStyle name="Normal 2 9 4" xfId="8126"/>
    <cellStyle name="Normal 2_16.37E Wild Horse Expansion DeferralRevwrkingfile SF" xfId="8127"/>
    <cellStyle name="Normal 20" xfId="8128"/>
    <cellStyle name="Normal 20 2" xfId="8129"/>
    <cellStyle name="Normal 20 2 2" xfId="8130"/>
    <cellStyle name="Normal 20 3" xfId="8131"/>
    <cellStyle name="Normal 20 3 2" xfId="8132"/>
    <cellStyle name="Normal 20 4" xfId="8133"/>
    <cellStyle name="Normal 20 4 2" xfId="8134"/>
    <cellStyle name="Normal 20 5" xfId="8135"/>
    <cellStyle name="Normal 20 6" xfId="8136"/>
    <cellStyle name="Normal 21" xfId="8137"/>
    <cellStyle name="Normal 21 2" xfId="8138"/>
    <cellStyle name="Normal 21 2 2" xfId="8139"/>
    <cellStyle name="Normal 21 2 3" xfId="8140"/>
    <cellStyle name="Normal 21 3" xfId="8141"/>
    <cellStyle name="Normal 21 3 2" xfId="8142"/>
    <cellStyle name="Normal 21 4" xfId="8143"/>
    <cellStyle name="Normal 21 5" xfId="8144"/>
    <cellStyle name="Normal 21 6" xfId="8145"/>
    <cellStyle name="Normal 22" xfId="8146"/>
    <cellStyle name="Normal 22 2" xfId="8147"/>
    <cellStyle name="Normal 22 2 2" xfId="8148"/>
    <cellStyle name="Normal 22 2 3" xfId="8149"/>
    <cellStyle name="Normal 22 3" xfId="8150"/>
    <cellStyle name="Normal 22 3 2" xfId="8151"/>
    <cellStyle name="Normal 22 4" xfId="8152"/>
    <cellStyle name="Normal 22 5" xfId="8153"/>
    <cellStyle name="Normal 22 6" xfId="8154"/>
    <cellStyle name="Normal 23" xfId="8155"/>
    <cellStyle name="Normal 23 2" xfId="8156"/>
    <cellStyle name="Normal 23 2 2" xfId="8157"/>
    <cellStyle name="Normal 23 2 3" xfId="8158"/>
    <cellStyle name="Normal 23 3" xfId="8159"/>
    <cellStyle name="Normal 23 3 2" xfId="8160"/>
    <cellStyle name="Normal 23 4" xfId="8161"/>
    <cellStyle name="Normal 23 5" xfId="8162"/>
    <cellStyle name="Normal 23 6" xfId="8163"/>
    <cellStyle name="Normal 24" xfId="8164"/>
    <cellStyle name="Normal 24 2" xfId="8165"/>
    <cellStyle name="Normal 24 2 2" xfId="8166"/>
    <cellStyle name="Normal 24 2 3" xfId="8167"/>
    <cellStyle name="Normal 24 3" xfId="8168"/>
    <cellStyle name="Normal 24 3 2" xfId="8169"/>
    <cellStyle name="Normal 24 4" xfId="8170"/>
    <cellStyle name="Normal 24 5" xfId="8171"/>
    <cellStyle name="Normal 25" xfId="8172"/>
    <cellStyle name="Normal 25 2" xfId="8173"/>
    <cellStyle name="Normal 25 2 2" xfId="8174"/>
    <cellStyle name="Normal 25 2 3" xfId="8175"/>
    <cellStyle name="Normal 25 3" xfId="8176"/>
    <cellStyle name="Normal 25 3 2" xfId="8177"/>
    <cellStyle name="Normal 25 4" xfId="8178"/>
    <cellStyle name="Normal 25 5" xfId="8179"/>
    <cellStyle name="Normal 26" xfId="8180"/>
    <cellStyle name="Normal 26 2" xfId="8181"/>
    <cellStyle name="Normal 26 2 2" xfId="8182"/>
    <cellStyle name="Normal 26 2 3" xfId="8183"/>
    <cellStyle name="Normal 26 3" xfId="8184"/>
    <cellStyle name="Normal 26 3 2" xfId="8185"/>
    <cellStyle name="Normal 26 4" xfId="8186"/>
    <cellStyle name="Normal 26 5" xfId="8187"/>
    <cellStyle name="Normal 27" xfId="8188"/>
    <cellStyle name="Normal 27 2" xfId="8189"/>
    <cellStyle name="Normal 27 2 2" xfId="8190"/>
    <cellStyle name="Normal 27 2 3" xfId="8191"/>
    <cellStyle name="Normal 27 3" xfId="8192"/>
    <cellStyle name="Normal 27 3 2" xfId="8193"/>
    <cellStyle name="Normal 27 4" xfId="8194"/>
    <cellStyle name="Normal 27 5" xfId="8195"/>
    <cellStyle name="Normal 28" xfId="8196"/>
    <cellStyle name="Normal 28 2" xfId="8197"/>
    <cellStyle name="Normal 28 2 2" xfId="8198"/>
    <cellStyle name="Normal 28 2 3" xfId="8199"/>
    <cellStyle name="Normal 28 3" xfId="8200"/>
    <cellStyle name="Normal 28 3 2" xfId="8201"/>
    <cellStyle name="Normal 28 4" xfId="8202"/>
    <cellStyle name="Normal 28 5" xfId="8203"/>
    <cellStyle name="Normal 29" xfId="8204"/>
    <cellStyle name="Normal 29 2" xfId="8205"/>
    <cellStyle name="Normal 29 2 2" xfId="8206"/>
    <cellStyle name="Normal 29 2 3" xfId="8207"/>
    <cellStyle name="Normal 29 3" xfId="8208"/>
    <cellStyle name="Normal 29 3 2" xfId="8209"/>
    <cellStyle name="Normal 29 4" xfId="8210"/>
    <cellStyle name="Normal 29 5" xfId="8211"/>
    <cellStyle name="Normal 3" xfId="8212"/>
    <cellStyle name="Normal 3 10" xfId="8213"/>
    <cellStyle name="Normal 3 11" xfId="9515"/>
    <cellStyle name="Normal 3 2" xfId="8214"/>
    <cellStyle name="Normal 3 2 2" xfId="8215"/>
    <cellStyle name="Normal 3 2 2 2" xfId="8216"/>
    <cellStyle name="Normal 3 2 3" xfId="8217"/>
    <cellStyle name="Normal 3 2 4" xfId="8218"/>
    <cellStyle name="Normal 3 2 5" xfId="8219"/>
    <cellStyle name="Normal 3 2 6" xfId="8220"/>
    <cellStyle name="Normal 3 2 7" xfId="9529"/>
    <cellStyle name="Normal 3 2_Chelan PUD Power Costs (8-10)" xfId="8221"/>
    <cellStyle name="Normal 3 3" xfId="8222"/>
    <cellStyle name="Normal 3 3 2" xfId="8223"/>
    <cellStyle name="Normal 3 3 2 2" xfId="8224"/>
    <cellStyle name="Normal 3 3 2 3" xfId="8225"/>
    <cellStyle name="Normal 3 3 3" xfId="8226"/>
    <cellStyle name="Normal 3 3 4" xfId="8227"/>
    <cellStyle name="Normal 3 3 5" xfId="8228"/>
    <cellStyle name="Normal 3 3 6" xfId="8229"/>
    <cellStyle name="Normal 3 4" xfId="8230"/>
    <cellStyle name="Normal 3 4 2" xfId="8231"/>
    <cellStyle name="Normal 3 4 2 2" xfId="8232"/>
    <cellStyle name="Normal 3 4 3" xfId="8233"/>
    <cellStyle name="Normal 3 4 3 2" xfId="8234"/>
    <cellStyle name="Normal 3 4 4" xfId="8235"/>
    <cellStyle name="Normal 3 4 4 2" xfId="8236"/>
    <cellStyle name="Normal 3 4 5" xfId="8237"/>
    <cellStyle name="Normal 3 5" xfId="8238"/>
    <cellStyle name="Normal 3 5 2" xfId="8239"/>
    <cellStyle name="Normal 3 6" xfId="8240"/>
    <cellStyle name="Normal 3 6 2" xfId="8241"/>
    <cellStyle name="Normal 3 7" xfId="8242"/>
    <cellStyle name="Normal 3 8" xfId="8243"/>
    <cellStyle name="Normal 3 9" xfId="8244"/>
    <cellStyle name="Normal 3_ Price Inputs" xfId="8245"/>
    <cellStyle name="Normal 30" xfId="8246"/>
    <cellStyle name="Normal 30 2" xfId="8247"/>
    <cellStyle name="Normal 30 2 2" xfId="8248"/>
    <cellStyle name="Normal 30 2 3" xfId="8249"/>
    <cellStyle name="Normal 30 3" xfId="8250"/>
    <cellStyle name="Normal 30 3 2" xfId="8251"/>
    <cellStyle name="Normal 30 4" xfId="8252"/>
    <cellStyle name="Normal 30 5" xfId="8253"/>
    <cellStyle name="Normal 31" xfId="8254"/>
    <cellStyle name="Normal 31 2" xfId="8255"/>
    <cellStyle name="Normal 31 2 2" xfId="8256"/>
    <cellStyle name="Normal 31 2 3" xfId="8257"/>
    <cellStyle name="Normal 31 3" xfId="8258"/>
    <cellStyle name="Normal 31 3 2" xfId="8259"/>
    <cellStyle name="Normal 31 4" xfId="8260"/>
    <cellStyle name="Normal 31 5" xfId="8261"/>
    <cellStyle name="Normal 32" xfId="8262"/>
    <cellStyle name="Normal 32 2" xfId="8263"/>
    <cellStyle name="Normal 32 2 2" xfId="8264"/>
    <cellStyle name="Normal 32 2 3" xfId="8265"/>
    <cellStyle name="Normal 32 3" xfId="8266"/>
    <cellStyle name="Normal 32 3 2" xfId="8267"/>
    <cellStyle name="Normal 32 4" xfId="8268"/>
    <cellStyle name="Normal 32 5" xfId="8269"/>
    <cellStyle name="Normal 33" xfId="8270"/>
    <cellStyle name="Normal 33 2" xfId="8271"/>
    <cellStyle name="Normal 33 2 2" xfId="8272"/>
    <cellStyle name="Normal 33 2 3" xfId="8273"/>
    <cellStyle name="Normal 33 3" xfId="8274"/>
    <cellStyle name="Normal 33 3 2" xfId="8275"/>
    <cellStyle name="Normal 33 4" xfId="8276"/>
    <cellStyle name="Normal 33 5" xfId="8277"/>
    <cellStyle name="Normal 34" xfId="8278"/>
    <cellStyle name="Normal 34 2" xfId="8279"/>
    <cellStyle name="Normal 34 2 2" xfId="8280"/>
    <cellStyle name="Normal 34 2 3" xfId="8281"/>
    <cellStyle name="Normal 34 3" xfId="8282"/>
    <cellStyle name="Normal 34 3 2" xfId="8283"/>
    <cellStyle name="Normal 34 4" xfId="8284"/>
    <cellStyle name="Normal 34 5" xfId="8285"/>
    <cellStyle name="Normal 35" xfId="8286"/>
    <cellStyle name="Normal 35 2" xfId="8287"/>
    <cellStyle name="Normal 35 2 2" xfId="8288"/>
    <cellStyle name="Normal 35 2 3" xfId="8289"/>
    <cellStyle name="Normal 35 3" xfId="8290"/>
    <cellStyle name="Normal 35 3 2" xfId="8291"/>
    <cellStyle name="Normal 35 4" xfId="8292"/>
    <cellStyle name="Normal 35 5" xfId="8293"/>
    <cellStyle name="Normal 36" xfId="8294"/>
    <cellStyle name="Normal 36 2" xfId="8295"/>
    <cellStyle name="Normal 36 2 2" xfId="8296"/>
    <cellStyle name="Normal 36 2 3" xfId="8297"/>
    <cellStyle name="Normal 36 3" xfId="8298"/>
    <cellStyle name="Normal 36 3 2" xfId="8299"/>
    <cellStyle name="Normal 36 4" xfId="8300"/>
    <cellStyle name="Normal 36 5" xfId="8301"/>
    <cellStyle name="Normal 37" xfId="8302"/>
    <cellStyle name="Normal 37 2" xfId="8303"/>
    <cellStyle name="Normal 37 2 2" xfId="8304"/>
    <cellStyle name="Normal 37 2 3" xfId="8305"/>
    <cellStyle name="Normal 37 3" xfId="8306"/>
    <cellStyle name="Normal 37 3 2" xfId="8307"/>
    <cellStyle name="Normal 37 4" xfId="8308"/>
    <cellStyle name="Normal 37 5" xfId="8309"/>
    <cellStyle name="Normal 38" xfId="8310"/>
    <cellStyle name="Normal 38 2" xfId="8311"/>
    <cellStyle name="Normal 38 2 2" xfId="8312"/>
    <cellStyle name="Normal 38 2 3" xfId="8313"/>
    <cellStyle name="Normal 38 3" xfId="8314"/>
    <cellStyle name="Normal 38 3 2" xfId="8315"/>
    <cellStyle name="Normal 38 4" xfId="8316"/>
    <cellStyle name="Normal 38 5" xfId="8317"/>
    <cellStyle name="Normal 39" xfId="8318"/>
    <cellStyle name="Normal 39 2" xfId="8319"/>
    <cellStyle name="Normal 39 2 2" xfId="8320"/>
    <cellStyle name="Normal 39 2 3" xfId="8321"/>
    <cellStyle name="Normal 39 3" xfId="8322"/>
    <cellStyle name="Normal 39 3 2" xfId="8323"/>
    <cellStyle name="Normal 39 4" xfId="8324"/>
    <cellStyle name="Normal 39 5" xfId="8325"/>
    <cellStyle name="Normal 4" xfId="8326"/>
    <cellStyle name="Normal 4 2" xfId="8327"/>
    <cellStyle name="Normal 4 2 2" xfId="8328"/>
    <cellStyle name="Normal 4 2 2 2" xfId="8329"/>
    <cellStyle name="Normal 4 2 2 3" xfId="8330"/>
    <cellStyle name="Normal 4 2 3" xfId="8331"/>
    <cellStyle name="Normal 4 2 3 2" xfId="8332"/>
    <cellStyle name="Normal 4 2 4" xfId="8333"/>
    <cellStyle name="Normal 4 2 5" xfId="8334"/>
    <cellStyle name="Normal 4 2 6" xfId="8335"/>
    <cellStyle name="Normal 4 3" xfId="8336"/>
    <cellStyle name="Normal 4 3 2" xfId="8337"/>
    <cellStyle name="Normal 4 4" xfId="8338"/>
    <cellStyle name="Normal 4 4 2" xfId="8339"/>
    <cellStyle name="Normal 4 5" xfId="8340"/>
    <cellStyle name="Normal 4 5 2" xfId="8341"/>
    <cellStyle name="Normal 4 6" xfId="8342"/>
    <cellStyle name="Normal 4 7" xfId="8343"/>
    <cellStyle name="Normal 4 8" xfId="9534"/>
    <cellStyle name="Normal 4_ Price Inputs" xfId="8344"/>
    <cellStyle name="Normal 40" xfId="8345"/>
    <cellStyle name="Normal 40 2" xfId="8346"/>
    <cellStyle name="Normal 41" xfId="8347"/>
    <cellStyle name="Normal 41 2" xfId="8348"/>
    <cellStyle name="Normal 41 2 2" xfId="8349"/>
    <cellStyle name="Normal 41 3" xfId="8350"/>
    <cellStyle name="Normal 41 3 2" xfId="8351"/>
    <cellStyle name="Normal 41 4" xfId="8352"/>
    <cellStyle name="Normal 41 4 2" xfId="8353"/>
    <cellStyle name="Normal 42" xfId="8354"/>
    <cellStyle name="Normal 42 2" xfId="8355"/>
    <cellStyle name="Normal 42 2 2" xfId="8356"/>
    <cellStyle name="Normal 42 2 2 2" xfId="8357"/>
    <cellStyle name="Normal 42 2 3" xfId="8358"/>
    <cellStyle name="Normal 42 3" xfId="8359"/>
    <cellStyle name="Normal 42 3 2" xfId="8360"/>
    <cellStyle name="Normal 42 4" xfId="8361"/>
    <cellStyle name="Normal 42 4 2" xfId="8362"/>
    <cellStyle name="Normal 42 5" xfId="8363"/>
    <cellStyle name="Normal 42 5 2" xfId="8364"/>
    <cellStyle name="Normal 43" xfId="8365"/>
    <cellStyle name="Normal 43 2" xfId="8366"/>
    <cellStyle name="Normal 43 3" xfId="8367"/>
    <cellStyle name="Normal 43 3 2" xfId="8368"/>
    <cellStyle name="Normal 44" xfId="8369"/>
    <cellStyle name="Normal 44 2" xfId="8370"/>
    <cellStyle name="Normal 44 2 2" xfId="8371"/>
    <cellStyle name="Normal 44 2 2 2" xfId="8372"/>
    <cellStyle name="Normal 44 2 3" xfId="8373"/>
    <cellStyle name="Normal 44 2 4" xfId="8374"/>
    <cellStyle name="Normal 44 3" xfId="8375"/>
    <cellStyle name="Normal 44 3 2" xfId="8376"/>
    <cellStyle name="Normal 44 3 3" xfId="8377"/>
    <cellStyle name="Normal 44 4" xfId="8378"/>
    <cellStyle name="Normal 44 4 2" xfId="8379"/>
    <cellStyle name="Normal 44 5" xfId="8380"/>
    <cellStyle name="Normal 44 5 2" xfId="8381"/>
    <cellStyle name="Normal 44 6" xfId="8382"/>
    <cellStyle name="Normal 44 7" xfId="8383"/>
    <cellStyle name="Normal 45" xfId="8384"/>
    <cellStyle name="Normal 45 2" xfId="8385"/>
    <cellStyle name="Normal 45 2 2" xfId="8386"/>
    <cellStyle name="Normal 45 3" xfId="8387"/>
    <cellStyle name="Normal 45 4" xfId="8388"/>
    <cellStyle name="Normal 45 5" xfId="8389"/>
    <cellStyle name="Normal 45 6" xfId="8390"/>
    <cellStyle name="Normal 46" xfId="8391"/>
    <cellStyle name="Normal 46 2" xfId="8392"/>
    <cellStyle name="Normal 46 2 2" xfId="8393"/>
    <cellStyle name="Normal 46 2 3" xfId="8394"/>
    <cellStyle name="Normal 46 3" xfId="8395"/>
    <cellStyle name="Normal 46 4" xfId="8396"/>
    <cellStyle name="Normal 46 5" xfId="8397"/>
    <cellStyle name="Normal 46 6" xfId="8398"/>
    <cellStyle name="Normal 47" xfId="8399"/>
    <cellStyle name="Normal 47 2" xfId="8400"/>
    <cellStyle name="Normal 47 2 2" xfId="8401"/>
    <cellStyle name="Normal 47 3" xfId="8402"/>
    <cellStyle name="Normal 47 3 2" xfId="8403"/>
    <cellStyle name="Normal 47 4" xfId="8404"/>
    <cellStyle name="Normal 47 4 2" xfId="8405"/>
    <cellStyle name="Normal 47 5" xfId="8406"/>
    <cellStyle name="Normal 48" xfId="8407"/>
    <cellStyle name="Normal 48 2" xfId="8408"/>
    <cellStyle name="Normal 48 2 2" xfId="8409"/>
    <cellStyle name="Normal 48 3" xfId="8410"/>
    <cellStyle name="Normal 48 3 2" xfId="8411"/>
    <cellStyle name="Normal 48 4" xfId="8412"/>
    <cellStyle name="Normal 48 4 2" xfId="8413"/>
    <cellStyle name="Normal 49" xfId="8414"/>
    <cellStyle name="Normal 49 2" xfId="8415"/>
    <cellStyle name="Normal 49 2 2" xfId="8416"/>
    <cellStyle name="Normal 49 3" xfId="8417"/>
    <cellStyle name="Normal 49 3 2" xfId="8418"/>
    <cellStyle name="Normal 49 4" xfId="8419"/>
    <cellStyle name="Normal 49 4 2" xfId="8420"/>
    <cellStyle name="Normal 5" xfId="8421"/>
    <cellStyle name="Normal 5 2" xfId="8422"/>
    <cellStyle name="Normal 5 2 2" xfId="8423"/>
    <cellStyle name="Normal 5 2 3" xfId="8424"/>
    <cellStyle name="Normal 5 2 4" xfId="9527"/>
    <cellStyle name="Normal 5 3" xfId="8425"/>
    <cellStyle name="Normal 5 3 2" xfId="8426"/>
    <cellStyle name="Normal 5 4" xfId="8427"/>
    <cellStyle name="Normal 5 4 2" xfId="8428"/>
    <cellStyle name="Normal 5 5" xfId="8429"/>
    <cellStyle name="Normal 5 5 2" xfId="8430"/>
    <cellStyle name="Normal 5 6" xfId="8431"/>
    <cellStyle name="Normal 5 7" xfId="9528"/>
    <cellStyle name="Normal 5_2011 CBR Rev Calc by schedule" xfId="8432"/>
    <cellStyle name="Normal 50" xfId="8433"/>
    <cellStyle name="Normal 50 2" xfId="8434"/>
    <cellStyle name="Normal 50 2 2" xfId="8435"/>
    <cellStyle name="Normal 50 3" xfId="8436"/>
    <cellStyle name="Normal 50 3 2" xfId="8437"/>
    <cellStyle name="Normal 50 4" xfId="8438"/>
    <cellStyle name="Normal 50 4 2" xfId="8439"/>
    <cellStyle name="Normal 51" xfId="8440"/>
    <cellStyle name="Normal 51 2" xfId="8441"/>
    <cellStyle name="Normal 51 2 2" xfId="8442"/>
    <cellStyle name="Normal 51 2 3" xfId="8443"/>
    <cellStyle name="Normal 51 3" xfId="8444"/>
    <cellStyle name="Normal 51 4" xfId="8445"/>
    <cellStyle name="Normal 51 5" xfId="8446"/>
    <cellStyle name="Normal 51 6" xfId="8447"/>
    <cellStyle name="Normal 52" xfId="8448"/>
    <cellStyle name="Normal 53" xfId="8449"/>
    <cellStyle name="Normal 53 2" xfId="8450"/>
    <cellStyle name="Normal 53 3" xfId="8451"/>
    <cellStyle name="Normal 53 3 2" xfId="8452"/>
    <cellStyle name="Normal 53 4" xfId="8453"/>
    <cellStyle name="Normal 54" xfId="8454"/>
    <cellStyle name="Normal 54 2" xfId="8455"/>
    <cellStyle name="Normal 54 3" xfId="8456"/>
    <cellStyle name="Normal 54 3 2" xfId="8457"/>
    <cellStyle name="Normal 54 4" xfId="8458"/>
    <cellStyle name="Normal 55" xfId="8459"/>
    <cellStyle name="Normal 55 2" xfId="8460"/>
    <cellStyle name="Normal 55 2 2" xfId="8461"/>
    <cellStyle name="Normal 55 3" xfId="8462"/>
    <cellStyle name="Normal 56" xfId="8463"/>
    <cellStyle name="Normal 56 2" xfId="8464"/>
    <cellStyle name="Normal 56 2 2" xfId="8465"/>
    <cellStyle name="Normal 56 3" xfId="8466"/>
    <cellStyle name="Normal 57" xfId="8467"/>
    <cellStyle name="Normal 57 2" xfId="8468"/>
    <cellStyle name="Normal 58" xfId="8469"/>
    <cellStyle name="Normal 58 2" xfId="8470"/>
    <cellStyle name="Normal 59" xfId="8471"/>
    <cellStyle name="Normal 59 2" xfId="8472"/>
    <cellStyle name="Normal 6" xfId="8473"/>
    <cellStyle name="Normal 6 2" xfId="8474"/>
    <cellStyle name="Normal 6 2 2" xfId="8475"/>
    <cellStyle name="Normal 6 2 2 2" xfId="8476"/>
    <cellStyle name="Normal 6 2 3" xfId="8477"/>
    <cellStyle name="Normal 6 2 4" xfId="8478"/>
    <cellStyle name="Normal 6 3" xfId="8479"/>
    <cellStyle name="Normal 6 3 2" xfId="8480"/>
    <cellStyle name="Normal 6 4" xfId="8481"/>
    <cellStyle name="Normal 6 5" xfId="8482"/>
    <cellStyle name="Normal 6 5 2" xfId="8483"/>
    <cellStyle name="Normal 6 6" xfId="8484"/>
    <cellStyle name="Normal 6 7" xfId="9519"/>
    <cellStyle name="Normal 6_Scenario 1 REC vs PTC Offset" xfId="8485"/>
    <cellStyle name="Normal 60" xfId="8486"/>
    <cellStyle name="Normal 60 2" xfId="8487"/>
    <cellStyle name="Normal 61" xfId="8488"/>
    <cellStyle name="Normal 61 2" xfId="8489"/>
    <cellStyle name="Normal 62" xfId="8490"/>
    <cellStyle name="Normal 62 2" xfId="8491"/>
    <cellStyle name="Normal 63" xfId="8492"/>
    <cellStyle name="Normal 63 2" xfId="8493"/>
    <cellStyle name="Normal 64" xfId="8494"/>
    <cellStyle name="Normal 64 2" xfId="8495"/>
    <cellStyle name="Normal 65" xfId="8496"/>
    <cellStyle name="Normal 65 2" xfId="8497"/>
    <cellStyle name="Normal 66" xfId="8498"/>
    <cellStyle name="Normal 66 2" xfId="8499"/>
    <cellStyle name="Normal 67" xfId="8500"/>
    <cellStyle name="Normal 67 2" xfId="8501"/>
    <cellStyle name="Normal 68" xfId="8502"/>
    <cellStyle name="Normal 68 2" xfId="8503"/>
    <cellStyle name="Normal 69" xfId="8504"/>
    <cellStyle name="Normal 69 2" xfId="8505"/>
    <cellStyle name="Normal 7" xfId="8506"/>
    <cellStyle name="Normal 7 2" xfId="8507"/>
    <cellStyle name="Normal 7 2 2" xfId="8508"/>
    <cellStyle name="Normal 7 2 2 2" xfId="8509"/>
    <cellStyle name="Normal 7 2 3" xfId="8510"/>
    <cellStyle name="Normal 7 3" xfId="8511"/>
    <cellStyle name="Normal 7 4" xfId="8512"/>
    <cellStyle name="Normal 7 4 2" xfId="8513"/>
    <cellStyle name="Normal 7 5" xfId="8514"/>
    <cellStyle name="Normal 70" xfId="8515"/>
    <cellStyle name="Normal 70 2" xfId="8516"/>
    <cellStyle name="Normal 71" xfId="8517"/>
    <cellStyle name="Normal 71 2" xfId="8518"/>
    <cellStyle name="Normal 72" xfId="8519"/>
    <cellStyle name="Normal 72 2" xfId="8520"/>
    <cellStyle name="Normal 73" xfId="8521"/>
    <cellStyle name="Normal 73 2" xfId="8522"/>
    <cellStyle name="Normal 74" xfId="8523"/>
    <cellStyle name="Normal 75" xfId="8524"/>
    <cellStyle name="Normal 76" xfId="8525"/>
    <cellStyle name="Normal 77" xfId="8526"/>
    <cellStyle name="Normal 78" xfId="8527"/>
    <cellStyle name="Normal 79" xfId="8528"/>
    <cellStyle name="Normal 8" xfId="8529"/>
    <cellStyle name="Normal 8 2" xfId="8530"/>
    <cellStyle name="Normal 8 2 2" xfId="8531"/>
    <cellStyle name="Normal 8 2 2 2" xfId="8532"/>
    <cellStyle name="Normal 8 2 3" xfId="8533"/>
    <cellStyle name="Normal 8 2 4" xfId="8534"/>
    <cellStyle name="Normal 8 3" xfId="8535"/>
    <cellStyle name="Normal 8 4" xfId="8536"/>
    <cellStyle name="Normal 8 4 2" xfId="8537"/>
    <cellStyle name="Normal 8 5" xfId="8538"/>
    <cellStyle name="Normal 8 6" xfId="8539"/>
    <cellStyle name="Normal 8 7" xfId="9526"/>
    <cellStyle name="Normal 80" xfId="8540"/>
    <cellStyle name="Normal 81" xfId="8541"/>
    <cellStyle name="Normal 82" xfId="8542"/>
    <cellStyle name="Normal 83" xfId="8543"/>
    <cellStyle name="Normal 84" xfId="8544"/>
    <cellStyle name="Normal 85" xfId="8545"/>
    <cellStyle name="Normal 86" xfId="8546"/>
    <cellStyle name="Normal 87" xfId="8547"/>
    <cellStyle name="Normal 88" xfId="8548"/>
    <cellStyle name="Normal 89" xfId="8549"/>
    <cellStyle name="Normal 9" xfId="8550"/>
    <cellStyle name="Normal 9 2" xfId="8551"/>
    <cellStyle name="Normal 9 2 2" xfId="8552"/>
    <cellStyle name="Normal 9 2 2 2" xfId="8553"/>
    <cellStyle name="Normal 9 2 3" xfId="8554"/>
    <cellStyle name="Normal 9 3" xfId="8555"/>
    <cellStyle name="Normal 9 3 2" xfId="8556"/>
    <cellStyle name="Normal 9 4" xfId="8557"/>
    <cellStyle name="Normal 90" xfId="8558"/>
    <cellStyle name="Normal 91" xfId="8559"/>
    <cellStyle name="Normal 92" xfId="8560"/>
    <cellStyle name="Normal 93" xfId="8561"/>
    <cellStyle name="Normal 94" xfId="8562"/>
    <cellStyle name="Normal 95" xfId="8563"/>
    <cellStyle name="Normal 96" xfId="8564"/>
    <cellStyle name="Normal 96 2" xfId="8565"/>
    <cellStyle name="Normal 97" xfId="8566"/>
    <cellStyle name="Normal 98" xfId="8567"/>
    <cellStyle name="Normal 99" xfId="8568"/>
    <cellStyle name="Note 10" xfId="8569"/>
    <cellStyle name="Note 10 2" xfId="8570"/>
    <cellStyle name="Note 10 2 2" xfId="8571"/>
    <cellStyle name="Note 10 3" xfId="8572"/>
    <cellStyle name="Note 11" xfId="8573"/>
    <cellStyle name="Note 11 2" xfId="8574"/>
    <cellStyle name="Note 11 2 2" xfId="8575"/>
    <cellStyle name="Note 11 3" xfId="8576"/>
    <cellStyle name="Note 12" xfId="8577"/>
    <cellStyle name="Note 12 2" xfId="8578"/>
    <cellStyle name="Note 12 2 2" xfId="8579"/>
    <cellStyle name="Note 12 3" xfId="8580"/>
    <cellStyle name="Note 12 3 2" xfId="8581"/>
    <cellStyle name="Note 12 4" xfId="8582"/>
    <cellStyle name="Note 13" xfId="8583"/>
    <cellStyle name="Note 13 2" xfId="8584"/>
    <cellStyle name="Note 14" xfId="8585"/>
    <cellStyle name="Note 2" xfId="8586"/>
    <cellStyle name="Note 2 2" xfId="8587"/>
    <cellStyle name="Note 2 2 2" xfId="8588"/>
    <cellStyle name="Note 2 2 3" xfId="8589"/>
    <cellStyle name="Note 2 2 4" xfId="8590"/>
    <cellStyle name="Note 2 3" xfId="8591"/>
    <cellStyle name="Note 2 3 2" xfId="8592"/>
    <cellStyle name="Note 2 4" xfId="8593"/>
    <cellStyle name="Note 2 4 2" xfId="8594"/>
    <cellStyle name="Note 2 5" xfId="8595"/>
    <cellStyle name="Note 2_AURORA Total New" xfId="8596"/>
    <cellStyle name="Note 3" xfId="8597"/>
    <cellStyle name="Note 3 2" xfId="8598"/>
    <cellStyle name="Note 3 2 2" xfId="8599"/>
    <cellStyle name="Note 3 3" xfId="8600"/>
    <cellStyle name="Note 3 4" xfId="8601"/>
    <cellStyle name="Note 4" xfId="8602"/>
    <cellStyle name="Note 4 2" xfId="8603"/>
    <cellStyle name="Note 4 2 2" xfId="8604"/>
    <cellStyle name="Note 4 3" xfId="8605"/>
    <cellStyle name="Note 4 4" xfId="8606"/>
    <cellStyle name="Note 5" xfId="8607"/>
    <cellStyle name="Note 5 2" xfId="8608"/>
    <cellStyle name="Note 5 2 2" xfId="8609"/>
    <cellStyle name="Note 5 3" xfId="8610"/>
    <cellStyle name="Note 5 4" xfId="8611"/>
    <cellStyle name="Note 6" xfId="8612"/>
    <cellStyle name="Note 6 2" xfId="8613"/>
    <cellStyle name="Note 6 2 2" xfId="8614"/>
    <cellStyle name="Note 6 3" xfId="8615"/>
    <cellStyle name="Note 6 4" xfId="8616"/>
    <cellStyle name="Note 7" xfId="8617"/>
    <cellStyle name="Note 7 2" xfId="8618"/>
    <cellStyle name="Note 7 2 2" xfId="8619"/>
    <cellStyle name="Note 7 3" xfId="8620"/>
    <cellStyle name="Note 7 4" xfId="8621"/>
    <cellStyle name="Note 8" xfId="8622"/>
    <cellStyle name="Note 8 2" xfId="8623"/>
    <cellStyle name="Note 8 2 2" xfId="8624"/>
    <cellStyle name="Note 8 3" xfId="8625"/>
    <cellStyle name="Note 8 4" xfId="8626"/>
    <cellStyle name="Note 9" xfId="8627"/>
    <cellStyle name="Note 9 2" xfId="8628"/>
    <cellStyle name="Note 9 2 2" xfId="8629"/>
    <cellStyle name="Note 9 3" xfId="8630"/>
    <cellStyle name="Note 9 4" xfId="8631"/>
    <cellStyle name="Output 2" xfId="8632"/>
    <cellStyle name="Output 2 2" xfId="8633"/>
    <cellStyle name="Output 2 2 2" xfId="8634"/>
    <cellStyle name="Output 2 2 3" xfId="8635"/>
    <cellStyle name="Output 2 3" xfId="8636"/>
    <cellStyle name="Output 2 4" xfId="8637"/>
    <cellStyle name="Output 3" xfId="8638"/>
    <cellStyle name="Output 3 2" xfId="8639"/>
    <cellStyle name="Output 3 3" xfId="8640"/>
    <cellStyle name="Output 3 4" xfId="8641"/>
    <cellStyle name="Output 4" xfId="8642"/>
    <cellStyle name="Output 5" xfId="8643"/>
    <cellStyle name="Output 6" xfId="8644"/>
    <cellStyle name="Percen - Style1" xfId="8645"/>
    <cellStyle name="Percen - Style1 2" xfId="8646"/>
    <cellStyle name="Percen - Style2" xfId="8647"/>
    <cellStyle name="Percen - Style2 2" xfId="8648"/>
    <cellStyle name="Percen - Style2 3" xfId="8649"/>
    <cellStyle name="Percen - Style3" xfId="8650"/>
    <cellStyle name="Percen - Style3 2" xfId="8651"/>
    <cellStyle name="Percen - Style3 2 2" xfId="8652"/>
    <cellStyle name="Percen - Style3 3" xfId="8653"/>
    <cellStyle name="Percen - Style3 4" xfId="8654"/>
    <cellStyle name="Percen - Style3_ACCOUNTS" xfId="8655"/>
    <cellStyle name="Percent" xfId="3" builtinId="5"/>
    <cellStyle name="Percent (0)" xfId="8656"/>
    <cellStyle name="Percent [2]" xfId="8657"/>
    <cellStyle name="Percent [2] 2" xfId="8658"/>
    <cellStyle name="Percent [2] 2 2" xfId="8659"/>
    <cellStyle name="Percent [2] 2 2 2" xfId="8660"/>
    <cellStyle name="Percent [2] 2 3" xfId="8661"/>
    <cellStyle name="Percent [2] 3" xfId="8662"/>
    <cellStyle name="Percent [2] 3 2" xfId="8663"/>
    <cellStyle name="Percent [2] 3 2 2" xfId="8664"/>
    <cellStyle name="Percent [2] 3 3" xfId="8665"/>
    <cellStyle name="Percent [2] 3 3 2" xfId="8666"/>
    <cellStyle name="Percent [2] 3 4" xfId="8667"/>
    <cellStyle name="Percent [2] 3 4 2" xfId="8668"/>
    <cellStyle name="Percent [2] 4" xfId="8669"/>
    <cellStyle name="Percent [2] 4 2" xfId="8670"/>
    <cellStyle name="Percent [2] 5" xfId="8671"/>
    <cellStyle name="Percent [2] 6" xfId="8672"/>
    <cellStyle name="Percent [2] 7" xfId="8673"/>
    <cellStyle name="Percent 10" xfId="8674"/>
    <cellStyle name="Percent 10 2" xfId="8675"/>
    <cellStyle name="Percent 10 3" xfId="8676"/>
    <cellStyle name="Percent 10 3 2" xfId="8677"/>
    <cellStyle name="Percent 10 4" xfId="8678"/>
    <cellStyle name="Percent 100" xfId="8679"/>
    <cellStyle name="Percent 101" xfId="8680"/>
    <cellStyle name="Percent 102" xfId="8681"/>
    <cellStyle name="Percent 103" xfId="8682"/>
    <cellStyle name="Percent 104" xfId="8683"/>
    <cellStyle name="Percent 105" xfId="8684"/>
    <cellStyle name="Percent 106" xfId="8685"/>
    <cellStyle name="Percent 107" xfId="8686"/>
    <cellStyle name="Percent 108" xfId="8687"/>
    <cellStyle name="Percent 109" xfId="8688"/>
    <cellStyle name="Percent 11" xfId="8689"/>
    <cellStyle name="Percent 11 2" xfId="8690"/>
    <cellStyle name="Percent 11 2 2" xfId="8691"/>
    <cellStyle name="Percent 11 3" xfId="8692"/>
    <cellStyle name="Percent 11 3 2" xfId="8693"/>
    <cellStyle name="Percent 11 4" xfId="8694"/>
    <cellStyle name="Percent 11 4 2" xfId="8695"/>
    <cellStyle name="Percent 11 5" xfId="8696"/>
    <cellStyle name="Percent 110" xfId="8697"/>
    <cellStyle name="Percent 111" xfId="8698"/>
    <cellStyle name="Percent 112" xfId="8699"/>
    <cellStyle name="Percent 113" xfId="8700"/>
    <cellStyle name="Percent 114" xfId="8701"/>
    <cellStyle name="Percent 115" xfId="8702"/>
    <cellStyle name="Percent 116" xfId="8703"/>
    <cellStyle name="Percent 117" xfId="8704"/>
    <cellStyle name="Percent 118" xfId="8705"/>
    <cellStyle name="Percent 119" xfId="8706"/>
    <cellStyle name="Percent 12" xfId="8707"/>
    <cellStyle name="Percent 12 2" xfId="8708"/>
    <cellStyle name="Percent 12 2 2" xfId="8709"/>
    <cellStyle name="Percent 12 2 2 2" xfId="8710"/>
    <cellStyle name="Percent 12 2 3" xfId="8711"/>
    <cellStyle name="Percent 12 3" xfId="8712"/>
    <cellStyle name="Percent 12 3 2" xfId="8713"/>
    <cellStyle name="Percent 12 4" xfId="8714"/>
    <cellStyle name="Percent 12 4 2" xfId="8715"/>
    <cellStyle name="Percent 12 5" xfId="8716"/>
    <cellStyle name="Percent 12 5 2" xfId="8717"/>
    <cellStyle name="Percent 120" xfId="8718"/>
    <cellStyle name="Percent 121" xfId="9516"/>
    <cellStyle name="Percent 122" xfId="9511"/>
    <cellStyle name="Percent 123" xfId="9508"/>
    <cellStyle name="Percent 124" xfId="9509"/>
    <cellStyle name="Percent 125" xfId="9541"/>
    <cellStyle name="Percent 13" xfId="8719"/>
    <cellStyle name="Percent 13 2" xfId="8720"/>
    <cellStyle name="Percent 13 2 2" xfId="8721"/>
    <cellStyle name="Percent 13 2 3" xfId="8722"/>
    <cellStyle name="Percent 13 3" xfId="8723"/>
    <cellStyle name="Percent 13 3 2" xfId="8724"/>
    <cellStyle name="Percent 13 4" xfId="8725"/>
    <cellStyle name="Percent 13 5" xfId="8726"/>
    <cellStyle name="Percent 13 6" xfId="8727"/>
    <cellStyle name="Percent 14" xfId="8728"/>
    <cellStyle name="Percent 14 2" xfId="8729"/>
    <cellStyle name="Percent 14 2 2" xfId="8730"/>
    <cellStyle name="Percent 14 3" xfId="8731"/>
    <cellStyle name="Percent 14 4" xfId="8732"/>
    <cellStyle name="Percent 14 4 2" xfId="8733"/>
    <cellStyle name="Percent 14 5" xfId="8734"/>
    <cellStyle name="Percent 15" xfId="8735"/>
    <cellStyle name="Percent 15 2" xfId="8736"/>
    <cellStyle name="Percent 15 2 2" xfId="8737"/>
    <cellStyle name="Percent 15 2 3" xfId="8738"/>
    <cellStyle name="Percent 15 2 4" xfId="8739"/>
    <cellStyle name="Percent 15 3" xfId="8740"/>
    <cellStyle name="Percent 15 3 2" xfId="8741"/>
    <cellStyle name="Percent 15 4" xfId="8742"/>
    <cellStyle name="Percent 15 4 2" xfId="8743"/>
    <cellStyle name="Percent 15 5" xfId="8744"/>
    <cellStyle name="Percent 15 6" xfId="8745"/>
    <cellStyle name="Percent 16" xfId="8746"/>
    <cellStyle name="Percent 16 2" xfId="8747"/>
    <cellStyle name="Percent 16 2 2" xfId="8748"/>
    <cellStyle name="Percent 16 3" xfId="8749"/>
    <cellStyle name="Percent 16 3 2" xfId="8750"/>
    <cellStyle name="Percent 16 4" xfId="8751"/>
    <cellStyle name="Percent 16 4 2" xfId="8752"/>
    <cellStyle name="Percent 17" xfId="8753"/>
    <cellStyle name="Percent 17 2" xfId="8754"/>
    <cellStyle name="Percent 17 2 2" xfId="8755"/>
    <cellStyle name="Percent 17 2 3" xfId="8756"/>
    <cellStyle name="Percent 17 3" xfId="8757"/>
    <cellStyle name="Percent 17 3 2" xfId="8758"/>
    <cellStyle name="Percent 17 4" xfId="8759"/>
    <cellStyle name="Percent 17 4 2" xfId="8760"/>
    <cellStyle name="Percent 18" xfId="8761"/>
    <cellStyle name="Percent 18 2" xfId="8762"/>
    <cellStyle name="Percent 18 2 2" xfId="8763"/>
    <cellStyle name="Percent 18 3" xfId="8764"/>
    <cellStyle name="Percent 18 3 2" xfId="8765"/>
    <cellStyle name="Percent 18 4" xfId="8766"/>
    <cellStyle name="Percent 18 4 2" xfId="8767"/>
    <cellStyle name="Percent 18 5" xfId="8768"/>
    <cellStyle name="Percent 19" xfId="8769"/>
    <cellStyle name="Percent 19 2" xfId="8770"/>
    <cellStyle name="Percent 19 2 2" xfId="8771"/>
    <cellStyle name="Percent 19 3" xfId="8772"/>
    <cellStyle name="Percent 19 3 2" xfId="8773"/>
    <cellStyle name="Percent 19 4" xfId="8774"/>
    <cellStyle name="Percent 19 4 2" xfId="8775"/>
    <cellStyle name="Percent 2" xfId="8776"/>
    <cellStyle name="Percent 2 2" xfId="8777"/>
    <cellStyle name="Percent 2 2 2" xfId="8778"/>
    <cellStyle name="Percent 2 2 2 2" xfId="8779"/>
    <cellStyle name="Percent 2 2 3" xfId="8780"/>
    <cellStyle name="Percent 2 2 4" xfId="8781"/>
    <cellStyle name="Percent 2 2 5" xfId="9525"/>
    <cellStyle name="Percent 2 3" xfId="8782"/>
    <cellStyle name="Percent 2 3 2" xfId="8783"/>
    <cellStyle name="Percent 2 3 3" xfId="8784"/>
    <cellStyle name="Percent 2 3 4" xfId="8785"/>
    <cellStyle name="Percent 2 4" xfId="8786"/>
    <cellStyle name="Percent 2 4 2" xfId="8787"/>
    <cellStyle name="Percent 2 5" xfId="8788"/>
    <cellStyle name="Percent 2 6" xfId="8789"/>
    <cellStyle name="Percent 20" xfId="8790"/>
    <cellStyle name="Percent 20 2" xfId="8791"/>
    <cellStyle name="Percent 20 2 2" xfId="8792"/>
    <cellStyle name="Percent 20 2 3" xfId="8793"/>
    <cellStyle name="Percent 20 2 4" xfId="8794"/>
    <cellStyle name="Percent 20 3" xfId="8795"/>
    <cellStyle name="Percent 20 4" xfId="8796"/>
    <cellStyle name="Percent 20 5" xfId="8797"/>
    <cellStyle name="Percent 21" xfId="8798"/>
    <cellStyle name="Percent 21 2" xfId="8799"/>
    <cellStyle name="Percent 21 3" xfId="8800"/>
    <cellStyle name="Percent 22" xfId="8801"/>
    <cellStyle name="Percent 22 2" xfId="8802"/>
    <cellStyle name="Percent 22 3" xfId="8803"/>
    <cellStyle name="Percent 22 3 2" xfId="8804"/>
    <cellStyle name="Percent 22 4" xfId="8805"/>
    <cellStyle name="Percent 23" xfId="8806"/>
    <cellStyle name="Percent 23 2" xfId="8807"/>
    <cellStyle name="Percent 23 3" xfId="8808"/>
    <cellStyle name="Percent 23 3 2" xfId="8809"/>
    <cellStyle name="Percent 23 4" xfId="8810"/>
    <cellStyle name="Percent 24" xfId="8811"/>
    <cellStyle name="Percent 24 2" xfId="8812"/>
    <cellStyle name="Percent 24 2 2" xfId="8813"/>
    <cellStyle name="Percent 24 3" xfId="8814"/>
    <cellStyle name="Percent 24 3 2" xfId="8815"/>
    <cellStyle name="Percent 24 4" xfId="8816"/>
    <cellStyle name="Percent 24 4 2" xfId="8817"/>
    <cellStyle name="Percent 24 5" xfId="8818"/>
    <cellStyle name="Percent 25" xfId="8819"/>
    <cellStyle name="Percent 25 2" xfId="8820"/>
    <cellStyle name="Percent 25 2 2" xfId="8821"/>
    <cellStyle name="Percent 25 3" xfId="8822"/>
    <cellStyle name="Percent 26" xfId="8823"/>
    <cellStyle name="Percent 26 2" xfId="8824"/>
    <cellStyle name="Percent 27" xfId="8825"/>
    <cellStyle name="Percent 27 2" xfId="8826"/>
    <cellStyle name="Percent 28" xfId="8827"/>
    <cellStyle name="Percent 28 2" xfId="8828"/>
    <cellStyle name="Percent 29" xfId="8829"/>
    <cellStyle name="Percent 29 2" xfId="8830"/>
    <cellStyle name="Percent 3" xfId="8831"/>
    <cellStyle name="Percent 3 2" xfId="8832"/>
    <cellStyle name="Percent 3 2 2" xfId="8833"/>
    <cellStyle name="Percent 3 2 2 2" xfId="8834"/>
    <cellStyle name="Percent 3 2 3" xfId="8835"/>
    <cellStyle name="Percent 3 2 4" xfId="9524"/>
    <cellStyle name="Percent 3 3" xfId="8836"/>
    <cellStyle name="Percent 3 3 2" xfId="8837"/>
    <cellStyle name="Percent 3 3 3" xfId="9523"/>
    <cellStyle name="Percent 3 4" xfId="8838"/>
    <cellStyle name="Percent 3 5" xfId="8839"/>
    <cellStyle name="Percent 30" xfId="8840"/>
    <cellStyle name="Percent 30 2" xfId="8841"/>
    <cellStyle name="Percent 31" xfId="8842"/>
    <cellStyle name="Percent 31 2" xfId="8843"/>
    <cellStyle name="Percent 32" xfId="8844"/>
    <cellStyle name="Percent 32 2" xfId="8845"/>
    <cellStyle name="Percent 33" xfId="8846"/>
    <cellStyle name="Percent 33 2" xfId="8847"/>
    <cellStyle name="Percent 34" xfId="8848"/>
    <cellStyle name="Percent 34 2" xfId="8849"/>
    <cellStyle name="Percent 35" xfId="8850"/>
    <cellStyle name="Percent 35 2" xfId="8851"/>
    <cellStyle name="Percent 36" xfId="8852"/>
    <cellStyle name="Percent 36 2" xfId="8853"/>
    <cellStyle name="Percent 37" xfId="8854"/>
    <cellStyle name="Percent 37 2" xfId="8855"/>
    <cellStyle name="Percent 38" xfId="8856"/>
    <cellStyle name="Percent 38 2" xfId="8857"/>
    <cellStyle name="Percent 39" xfId="8858"/>
    <cellStyle name="Percent 39 2" xfId="8859"/>
    <cellStyle name="Percent 4" xfId="8860"/>
    <cellStyle name="Percent 4 2" xfId="8861"/>
    <cellStyle name="Percent 4 2 2" xfId="8862"/>
    <cellStyle name="Percent 4 2 3" xfId="8863"/>
    <cellStyle name="Percent 4 2 3 2" xfId="8864"/>
    <cellStyle name="Percent 4 2 4" xfId="8865"/>
    <cellStyle name="Percent 4 2 5" xfId="8866"/>
    <cellStyle name="Percent 4 3" xfId="8867"/>
    <cellStyle name="Percent 4 3 2" xfId="8868"/>
    <cellStyle name="Percent 4 4" xfId="8869"/>
    <cellStyle name="Percent 4 5" xfId="8870"/>
    <cellStyle name="Percent 40" xfId="8871"/>
    <cellStyle name="Percent 40 2" xfId="8872"/>
    <cellStyle name="Percent 41" xfId="8873"/>
    <cellStyle name="Percent 41 2" xfId="8874"/>
    <cellStyle name="Percent 42" xfId="8875"/>
    <cellStyle name="Percent 42 2" xfId="8876"/>
    <cellStyle name="Percent 43" xfId="8877"/>
    <cellStyle name="Percent 43 2" xfId="8878"/>
    <cellStyle name="Percent 44" xfId="8879"/>
    <cellStyle name="Percent 44 2" xfId="8880"/>
    <cellStyle name="Percent 45" xfId="8881"/>
    <cellStyle name="Percent 45 2" xfId="8882"/>
    <cellStyle name="Percent 46" xfId="8883"/>
    <cellStyle name="Percent 47" xfId="8884"/>
    <cellStyle name="Percent 48" xfId="8885"/>
    <cellStyle name="Percent 49" xfId="8886"/>
    <cellStyle name="Percent 5" xfId="8887"/>
    <cellStyle name="Percent 5 2" xfId="8888"/>
    <cellStyle name="Percent 5 2 2" xfId="8889"/>
    <cellStyle name="Percent 5 3" xfId="8890"/>
    <cellStyle name="Percent 5 4" xfId="8891"/>
    <cellStyle name="Percent 5 5" xfId="9522"/>
    <cellStyle name="Percent 50" xfId="8892"/>
    <cellStyle name="Percent 51" xfId="8893"/>
    <cellStyle name="Percent 52" xfId="8894"/>
    <cellStyle name="Percent 53" xfId="8895"/>
    <cellStyle name="Percent 54" xfId="8896"/>
    <cellStyle name="Percent 55" xfId="8897"/>
    <cellStyle name="Percent 56" xfId="8898"/>
    <cellStyle name="Percent 57" xfId="8899"/>
    <cellStyle name="Percent 58" xfId="8900"/>
    <cellStyle name="Percent 59" xfId="8901"/>
    <cellStyle name="Percent 6" xfId="8902"/>
    <cellStyle name="Percent 6 2" xfId="8903"/>
    <cellStyle name="Percent 6 2 2" xfId="8904"/>
    <cellStyle name="Percent 6 2 2 2" xfId="8905"/>
    <cellStyle name="Percent 6 2 3" xfId="8906"/>
    <cellStyle name="Percent 6 3" xfId="8907"/>
    <cellStyle name="Percent 6 3 2" xfId="8908"/>
    <cellStyle name="Percent 6 4" xfId="8909"/>
    <cellStyle name="Percent 6 5" xfId="8910"/>
    <cellStyle name="Percent 60" xfId="8911"/>
    <cellStyle name="Percent 61" xfId="8912"/>
    <cellStyle name="Percent 62" xfId="8913"/>
    <cellStyle name="Percent 63" xfId="8914"/>
    <cellStyle name="Percent 64" xfId="8915"/>
    <cellStyle name="Percent 65" xfId="8916"/>
    <cellStyle name="Percent 66" xfId="8917"/>
    <cellStyle name="Percent 67" xfId="8918"/>
    <cellStyle name="Percent 68" xfId="8919"/>
    <cellStyle name="Percent 69" xfId="8920"/>
    <cellStyle name="Percent 7" xfId="8921"/>
    <cellStyle name="Percent 7 2" xfId="8922"/>
    <cellStyle name="Percent 7 2 2" xfId="8923"/>
    <cellStyle name="Percent 7 2 3" xfId="8924"/>
    <cellStyle name="Percent 7 3" xfId="8925"/>
    <cellStyle name="Percent 7 3 2" xfId="8926"/>
    <cellStyle name="Percent 7 3 3" xfId="8927"/>
    <cellStyle name="Percent 7 3 4" xfId="8928"/>
    <cellStyle name="Percent 7 4" xfId="8929"/>
    <cellStyle name="Percent 7 4 2" xfId="8930"/>
    <cellStyle name="Percent 7 5" xfId="8931"/>
    <cellStyle name="Percent 7 5 2" xfId="8932"/>
    <cellStyle name="Percent 7 6" xfId="8933"/>
    <cellStyle name="Percent 7 7" xfId="8934"/>
    <cellStyle name="Percent 7 8" xfId="8935"/>
    <cellStyle name="Percent 7 9" xfId="8936"/>
    <cellStyle name="Percent 70" xfId="8937"/>
    <cellStyle name="Percent 71" xfId="8938"/>
    <cellStyle name="Percent 72" xfId="8939"/>
    <cellStyle name="Percent 73" xfId="8940"/>
    <cellStyle name="Percent 74" xfId="8941"/>
    <cellStyle name="Percent 75" xfId="8942"/>
    <cellStyle name="Percent 76" xfId="8943"/>
    <cellStyle name="Percent 77" xfId="8944"/>
    <cellStyle name="Percent 78" xfId="8945"/>
    <cellStyle name="Percent 79" xfId="8946"/>
    <cellStyle name="Percent 8" xfId="8947"/>
    <cellStyle name="Percent 8 2" xfId="8948"/>
    <cellStyle name="Percent 8 2 2" xfId="8949"/>
    <cellStyle name="Percent 8 3" xfId="8950"/>
    <cellStyle name="Percent 80" xfId="8951"/>
    <cellStyle name="Percent 81" xfId="8952"/>
    <cellStyle name="Percent 82" xfId="8953"/>
    <cellStyle name="Percent 83" xfId="8954"/>
    <cellStyle name="Percent 84" xfId="8955"/>
    <cellStyle name="Percent 85" xfId="8956"/>
    <cellStyle name="Percent 86" xfId="8957"/>
    <cellStyle name="Percent 87" xfId="8958"/>
    <cellStyle name="Percent 88" xfId="8959"/>
    <cellStyle name="Percent 89" xfId="8960"/>
    <cellStyle name="Percent 9" xfId="8961"/>
    <cellStyle name="Percent 9 2" xfId="8962"/>
    <cellStyle name="Percent 9 2 2" xfId="8963"/>
    <cellStyle name="Percent 9 2 3" xfId="8964"/>
    <cellStyle name="Percent 9 3" xfId="8965"/>
    <cellStyle name="Percent 9 4" xfId="8966"/>
    <cellStyle name="Percent 90" xfId="8967"/>
    <cellStyle name="Percent 91" xfId="8968"/>
    <cellStyle name="Percent 92" xfId="8969"/>
    <cellStyle name="Percent 93" xfId="8970"/>
    <cellStyle name="Percent 94" xfId="8971"/>
    <cellStyle name="Percent 95" xfId="8972"/>
    <cellStyle name="Percent 96" xfId="8973"/>
    <cellStyle name="Percent 97" xfId="8974"/>
    <cellStyle name="Percent 98" xfId="8975"/>
    <cellStyle name="Percent 99" xfId="8976"/>
    <cellStyle name="Processing" xfId="8977"/>
    <cellStyle name="Processing 2" xfId="8978"/>
    <cellStyle name="Processing 2 2" xfId="8979"/>
    <cellStyle name="Processing 3" xfId="8980"/>
    <cellStyle name="Processing 4" xfId="8981"/>
    <cellStyle name="Processing_AURORA Total New" xfId="8982"/>
    <cellStyle name="PS_Comma" xfId="9521"/>
    <cellStyle name="PSChar" xfId="8983"/>
    <cellStyle name="PSChar 2" xfId="8984"/>
    <cellStyle name="PSChar 2 2" xfId="8985"/>
    <cellStyle name="PSChar 3" xfId="8986"/>
    <cellStyle name="PSChar 4" xfId="8987"/>
    <cellStyle name="PSDate" xfId="8988"/>
    <cellStyle name="PSDate 2" xfId="8989"/>
    <cellStyle name="PSDate 2 2" xfId="8990"/>
    <cellStyle name="PSDate 3" xfId="8991"/>
    <cellStyle name="PSDate 4" xfId="8992"/>
    <cellStyle name="PSDec" xfId="8993"/>
    <cellStyle name="PSDec 2" xfId="8994"/>
    <cellStyle name="PSDec 2 2" xfId="8995"/>
    <cellStyle name="PSDec 3" xfId="8996"/>
    <cellStyle name="PSDec 4" xfId="8997"/>
    <cellStyle name="PSHeading" xfId="8998"/>
    <cellStyle name="PSHeading 2" xfId="8999"/>
    <cellStyle name="PSHeading 2 2" xfId="9000"/>
    <cellStyle name="PSHeading 3" xfId="9001"/>
    <cellStyle name="PSHeading 4" xfId="9002"/>
    <cellStyle name="PSInt" xfId="9003"/>
    <cellStyle name="PSInt 2" xfId="9004"/>
    <cellStyle name="PSInt 2 2" xfId="9005"/>
    <cellStyle name="PSInt 3" xfId="9006"/>
    <cellStyle name="PSInt 4" xfId="9007"/>
    <cellStyle name="PSSpacer" xfId="9008"/>
    <cellStyle name="PSSpacer 2" xfId="9009"/>
    <cellStyle name="PSSpacer 2 2" xfId="9010"/>
    <cellStyle name="PSSpacer 3" xfId="9011"/>
    <cellStyle name="PSSpacer 4" xfId="9012"/>
    <cellStyle name="purple - Style8" xfId="9013"/>
    <cellStyle name="purple - Style8 2" xfId="9014"/>
    <cellStyle name="purple - Style8 2 2" xfId="9015"/>
    <cellStyle name="purple - Style8 3" xfId="9016"/>
    <cellStyle name="purple - Style8_ACCOUNTS" xfId="9017"/>
    <cellStyle name="RED" xfId="9018"/>
    <cellStyle name="Red - Style7" xfId="9019"/>
    <cellStyle name="Red - Style7 2" xfId="9020"/>
    <cellStyle name="Red - Style7 2 2" xfId="9021"/>
    <cellStyle name="Red - Style7 3" xfId="9022"/>
    <cellStyle name="Red - Style7_ACCOUNTS" xfId="9023"/>
    <cellStyle name="RED 10" xfId="9024"/>
    <cellStyle name="RED 11" xfId="9025"/>
    <cellStyle name="RED 12" xfId="9026"/>
    <cellStyle name="RED 13" xfId="9027"/>
    <cellStyle name="RED 14" xfId="9028"/>
    <cellStyle name="RED 15" xfId="9029"/>
    <cellStyle name="RED 16" xfId="9030"/>
    <cellStyle name="RED 17" xfId="9031"/>
    <cellStyle name="RED 18" xfId="9032"/>
    <cellStyle name="RED 19" xfId="9033"/>
    <cellStyle name="RED 2" xfId="9034"/>
    <cellStyle name="RED 2 2" xfId="9035"/>
    <cellStyle name="RED 20" xfId="9036"/>
    <cellStyle name="RED 21" xfId="9037"/>
    <cellStyle name="RED 22" xfId="9038"/>
    <cellStyle name="RED 23" xfId="9039"/>
    <cellStyle name="RED 24" xfId="9040"/>
    <cellStyle name="RED 3" xfId="9041"/>
    <cellStyle name="RED 4" xfId="9042"/>
    <cellStyle name="RED 5" xfId="9043"/>
    <cellStyle name="RED 6" xfId="9044"/>
    <cellStyle name="RED 7" xfId="9045"/>
    <cellStyle name="RED 8" xfId="9046"/>
    <cellStyle name="RED 9" xfId="9047"/>
    <cellStyle name="RED_04 07E Wild Horse Wind Expansion (C) (2)" xfId="9048"/>
    <cellStyle name="Report" xfId="9049"/>
    <cellStyle name="Report - Style5" xfId="9050"/>
    <cellStyle name="Report - Style6" xfId="9051"/>
    <cellStyle name="Report - Style7" xfId="9052"/>
    <cellStyle name="Report - Style8" xfId="9053"/>
    <cellStyle name="Report 2" xfId="9054"/>
    <cellStyle name="Report 2 2" xfId="9055"/>
    <cellStyle name="Report 3" xfId="9056"/>
    <cellStyle name="Report 4" xfId="9057"/>
    <cellStyle name="Report 5" xfId="9058"/>
    <cellStyle name="Report 6" xfId="9059"/>
    <cellStyle name="Report Bar" xfId="9060"/>
    <cellStyle name="Report Bar 2" xfId="9061"/>
    <cellStyle name="Report Bar 2 2" xfId="9062"/>
    <cellStyle name="Report Bar 3" xfId="9063"/>
    <cellStyle name="Report Bar 4" xfId="9064"/>
    <cellStyle name="Report Bar 5" xfId="9065"/>
    <cellStyle name="Report Bar_AURORA Total New" xfId="9066"/>
    <cellStyle name="Report Heading" xfId="9067"/>
    <cellStyle name="Report Heading 2" xfId="9068"/>
    <cellStyle name="Report Heading 3" xfId="9069"/>
    <cellStyle name="Report Heading 3 2" xfId="9505"/>
    <cellStyle name="Report Heading_Electric Rev Req Model (2009 GRC) Rebuttal" xfId="9070"/>
    <cellStyle name="Report Percent" xfId="9071"/>
    <cellStyle name="Report Percent 2" xfId="9072"/>
    <cellStyle name="Report Percent 2 2" xfId="9073"/>
    <cellStyle name="Report Percent 2 2 2" xfId="9074"/>
    <cellStyle name="Report Percent 2 3" xfId="9075"/>
    <cellStyle name="Report Percent 3" xfId="9076"/>
    <cellStyle name="Report Percent 3 2" xfId="9077"/>
    <cellStyle name="Report Percent 3 2 2" xfId="9078"/>
    <cellStyle name="Report Percent 3 3" xfId="9079"/>
    <cellStyle name="Report Percent 3 3 2" xfId="9080"/>
    <cellStyle name="Report Percent 3 4" xfId="9081"/>
    <cellStyle name="Report Percent 3 4 2" xfId="9082"/>
    <cellStyle name="Report Percent 4" xfId="9083"/>
    <cellStyle name="Report Percent 4 2" xfId="9084"/>
    <cellStyle name="Report Percent 5" xfId="9085"/>
    <cellStyle name="Report Percent 6" xfId="9086"/>
    <cellStyle name="Report Percent 7" xfId="9087"/>
    <cellStyle name="Report Percent_ACCOUNTS" xfId="9088"/>
    <cellStyle name="Report Unit Cost" xfId="9089"/>
    <cellStyle name="Report Unit Cost 2" xfId="9090"/>
    <cellStyle name="Report Unit Cost 2 2" xfId="9091"/>
    <cellStyle name="Report Unit Cost 2 2 2" xfId="9092"/>
    <cellStyle name="Report Unit Cost 2 3" xfId="9093"/>
    <cellStyle name="Report Unit Cost 3" xfId="9094"/>
    <cellStyle name="Report Unit Cost 3 2" xfId="9095"/>
    <cellStyle name="Report Unit Cost 3 2 2" xfId="9096"/>
    <cellStyle name="Report Unit Cost 3 3" xfId="9097"/>
    <cellStyle name="Report Unit Cost 3 3 2" xfId="9098"/>
    <cellStyle name="Report Unit Cost 3 4" xfId="9099"/>
    <cellStyle name="Report Unit Cost 3 4 2" xfId="9100"/>
    <cellStyle name="Report Unit Cost 4" xfId="9101"/>
    <cellStyle name="Report Unit Cost 4 2" xfId="9102"/>
    <cellStyle name="Report Unit Cost 5" xfId="9103"/>
    <cellStyle name="Report Unit Cost 6" xfId="9104"/>
    <cellStyle name="Report Unit Cost 7" xfId="9105"/>
    <cellStyle name="Report Unit Cost_ACCOUNTS" xfId="9106"/>
    <cellStyle name="Report_Adj Bench DR 3 for Initial Briefs (Electric)" xfId="9107"/>
    <cellStyle name="Reports" xfId="9108"/>
    <cellStyle name="Reports 2" xfId="9109"/>
    <cellStyle name="Reports 3" xfId="9110"/>
    <cellStyle name="Reports Total" xfId="9111"/>
    <cellStyle name="Reports Total 2" xfId="9112"/>
    <cellStyle name="Reports Total 2 2" xfId="9113"/>
    <cellStyle name="Reports Total 3" xfId="9114"/>
    <cellStyle name="Reports Total 4" xfId="9115"/>
    <cellStyle name="Reports Total 5" xfId="9116"/>
    <cellStyle name="Reports Total_AURORA Total New" xfId="9117"/>
    <cellStyle name="Reports Unit Cost Total" xfId="9118"/>
    <cellStyle name="Reports Unit Cost Total 2" xfId="9119"/>
    <cellStyle name="Reports Unit Cost Total 3" xfId="9120"/>
    <cellStyle name="Reports_14.21G &amp; 16.28E Incentive Pay" xfId="9121"/>
    <cellStyle name="RevList" xfId="9122"/>
    <cellStyle name="RevList 2" xfId="9123"/>
    <cellStyle name="round100" xfId="9124"/>
    <cellStyle name="round100 2" xfId="9125"/>
    <cellStyle name="round100 2 2" xfId="9126"/>
    <cellStyle name="round100 2 2 2" xfId="9127"/>
    <cellStyle name="round100 2 3" xfId="9128"/>
    <cellStyle name="round100 3" xfId="9129"/>
    <cellStyle name="round100 3 2" xfId="9130"/>
    <cellStyle name="round100 3 2 2" xfId="9131"/>
    <cellStyle name="round100 3 3" xfId="9132"/>
    <cellStyle name="round100 3 3 2" xfId="9133"/>
    <cellStyle name="round100 3 4" xfId="9134"/>
    <cellStyle name="round100 3 4 2" xfId="9135"/>
    <cellStyle name="round100 4" xfId="9136"/>
    <cellStyle name="round100 4 2" xfId="9137"/>
    <cellStyle name="round100 5" xfId="9138"/>
    <cellStyle name="round100 6" xfId="9139"/>
    <cellStyle name="round100 7" xfId="9140"/>
    <cellStyle name="SAPBEXaggData" xfId="9141"/>
    <cellStyle name="SAPBEXaggData 2" xfId="9142"/>
    <cellStyle name="SAPBEXaggData 3" xfId="9143"/>
    <cellStyle name="SAPBEXaggDataEmph" xfId="9144"/>
    <cellStyle name="SAPBEXaggDataEmph 2" xfId="9145"/>
    <cellStyle name="SAPBEXaggDataEmph 3" xfId="9146"/>
    <cellStyle name="SAPBEXaggItem" xfId="9147"/>
    <cellStyle name="SAPBEXaggItem 2" xfId="9148"/>
    <cellStyle name="SAPBEXaggItem 3" xfId="9149"/>
    <cellStyle name="SAPBEXaggItemX" xfId="9150"/>
    <cellStyle name="SAPBEXaggItemX 2" xfId="9151"/>
    <cellStyle name="SAPBEXaggItemX 3" xfId="9152"/>
    <cellStyle name="SAPBEXchaText" xfId="9153"/>
    <cellStyle name="SAPBEXchaText 2" xfId="9154"/>
    <cellStyle name="SAPBEXchaText 2 2" xfId="9155"/>
    <cellStyle name="SAPBEXchaText 2 2 2" xfId="9156"/>
    <cellStyle name="SAPBEXchaText 2 3" xfId="9157"/>
    <cellStyle name="SAPBEXchaText 3" xfId="9158"/>
    <cellStyle name="SAPBEXchaText 3 2" xfId="9159"/>
    <cellStyle name="SAPBEXchaText 3 2 2" xfId="9160"/>
    <cellStyle name="SAPBEXchaText 3 3" xfId="9161"/>
    <cellStyle name="SAPBEXchaText 3 3 2" xfId="9162"/>
    <cellStyle name="SAPBEXchaText 3 4" xfId="9163"/>
    <cellStyle name="SAPBEXchaText 3 4 2" xfId="9164"/>
    <cellStyle name="SAPBEXchaText 4" xfId="9165"/>
    <cellStyle name="SAPBEXchaText 4 2" xfId="9166"/>
    <cellStyle name="SAPBEXchaText 5" xfId="9167"/>
    <cellStyle name="SAPBEXchaText 6" xfId="9168"/>
    <cellStyle name="SAPBEXchaText 7" xfId="9169"/>
    <cellStyle name="SAPBEXchaText 8" xfId="9170"/>
    <cellStyle name="SAPBEXchaText 9" xfId="9171"/>
    <cellStyle name="SAPBEXexcBad7" xfId="9172"/>
    <cellStyle name="SAPBEXexcBad7 2" xfId="9173"/>
    <cellStyle name="SAPBEXexcBad7 3" xfId="9174"/>
    <cellStyle name="SAPBEXexcBad8" xfId="9175"/>
    <cellStyle name="SAPBEXexcBad8 2" xfId="9176"/>
    <cellStyle name="SAPBEXexcBad8 3" xfId="9177"/>
    <cellStyle name="SAPBEXexcBad9" xfId="9178"/>
    <cellStyle name="SAPBEXexcBad9 2" xfId="9179"/>
    <cellStyle name="SAPBEXexcBad9 3" xfId="9180"/>
    <cellStyle name="SAPBEXexcCritical4" xfId="9181"/>
    <cellStyle name="SAPBEXexcCritical4 2" xfId="9182"/>
    <cellStyle name="SAPBEXexcCritical4 3" xfId="9183"/>
    <cellStyle name="SAPBEXexcCritical5" xfId="9184"/>
    <cellStyle name="SAPBEXexcCritical5 2" xfId="9185"/>
    <cellStyle name="SAPBEXexcCritical5 3" xfId="9186"/>
    <cellStyle name="SAPBEXexcCritical6" xfId="9187"/>
    <cellStyle name="SAPBEXexcCritical6 2" xfId="9188"/>
    <cellStyle name="SAPBEXexcCritical6 3" xfId="9189"/>
    <cellStyle name="SAPBEXexcGood1" xfId="9190"/>
    <cellStyle name="SAPBEXexcGood1 2" xfId="9191"/>
    <cellStyle name="SAPBEXexcGood1 3" xfId="9192"/>
    <cellStyle name="SAPBEXexcGood2" xfId="9193"/>
    <cellStyle name="SAPBEXexcGood2 2" xfId="9194"/>
    <cellStyle name="SAPBEXexcGood2 3" xfId="9195"/>
    <cellStyle name="SAPBEXexcGood3" xfId="9196"/>
    <cellStyle name="SAPBEXexcGood3 2" xfId="9197"/>
    <cellStyle name="SAPBEXexcGood3 3" xfId="9198"/>
    <cellStyle name="SAPBEXfilterDrill" xfId="9199"/>
    <cellStyle name="SAPBEXfilterDrill 2" xfId="9200"/>
    <cellStyle name="SAPBEXfilterDrill 3" xfId="9201"/>
    <cellStyle name="SAPBEXfilterDrill 4" xfId="9202"/>
    <cellStyle name="SAPBEXfilterItem" xfId="9203"/>
    <cellStyle name="SAPBEXfilterItem 2" xfId="9204"/>
    <cellStyle name="SAPBEXfilterItem 3" xfId="9205"/>
    <cellStyle name="SAPBEXfilterText" xfId="9206"/>
    <cellStyle name="SAPBEXfilterText 2" xfId="9207"/>
    <cellStyle name="SAPBEXfilterText 3" xfId="9208"/>
    <cellStyle name="SAPBEXformats" xfId="9209"/>
    <cellStyle name="SAPBEXformats 2" xfId="9210"/>
    <cellStyle name="SAPBEXformats 2 2" xfId="9211"/>
    <cellStyle name="SAPBEXformats 3" xfId="9212"/>
    <cellStyle name="SAPBEXformats 4" xfId="9213"/>
    <cellStyle name="SAPBEXheaderItem" xfId="9214"/>
    <cellStyle name="SAPBEXheaderItem 2" xfId="9215"/>
    <cellStyle name="SAPBEXheaderItem 3" xfId="9216"/>
    <cellStyle name="SAPBEXheaderItem 4" xfId="9217"/>
    <cellStyle name="SAPBEXheaderText" xfId="9218"/>
    <cellStyle name="SAPBEXheaderText 2" xfId="9219"/>
    <cellStyle name="SAPBEXheaderText 3" xfId="9220"/>
    <cellStyle name="SAPBEXheaderText 4" xfId="9221"/>
    <cellStyle name="SAPBEXHLevel0" xfId="9222"/>
    <cellStyle name="SAPBEXHLevel0 2" xfId="9223"/>
    <cellStyle name="SAPBEXHLevel0 2 2" xfId="9224"/>
    <cellStyle name="SAPBEXHLevel0 3" xfId="9225"/>
    <cellStyle name="SAPBEXHLevel0 4" xfId="9226"/>
    <cellStyle name="SAPBEXHLevel0X" xfId="9227"/>
    <cellStyle name="SAPBEXHLevel0X 2" xfId="9228"/>
    <cellStyle name="SAPBEXHLevel0X 2 2" xfId="9229"/>
    <cellStyle name="SAPBEXHLevel0X 2 2 2" xfId="9230"/>
    <cellStyle name="SAPBEXHLevel0X 2 3" xfId="9231"/>
    <cellStyle name="SAPBEXHLevel0X 3" xfId="9232"/>
    <cellStyle name="SAPBEXHLevel0X 3 2" xfId="9233"/>
    <cellStyle name="SAPBEXHLevel0X 3 2 2" xfId="9234"/>
    <cellStyle name="SAPBEXHLevel0X 3 3" xfId="9235"/>
    <cellStyle name="SAPBEXHLevel0X 3 3 2" xfId="9236"/>
    <cellStyle name="SAPBEXHLevel0X 3 4" xfId="9237"/>
    <cellStyle name="SAPBEXHLevel0X 3 4 2" xfId="9238"/>
    <cellStyle name="SAPBEXHLevel0X 4" xfId="9239"/>
    <cellStyle name="SAPBEXHLevel0X 4 2" xfId="9240"/>
    <cellStyle name="SAPBEXHLevel0X 5" xfId="9241"/>
    <cellStyle name="SAPBEXHLevel0X 6" xfId="9242"/>
    <cellStyle name="SAPBEXHLevel0X 7" xfId="9243"/>
    <cellStyle name="SAPBEXHLevel0X 8" xfId="9244"/>
    <cellStyle name="SAPBEXHLevel1" xfId="9245"/>
    <cellStyle name="SAPBEXHLevel1 2" xfId="9246"/>
    <cellStyle name="SAPBEXHLevel1 2 2" xfId="9247"/>
    <cellStyle name="SAPBEXHLevel1 3" xfId="9248"/>
    <cellStyle name="SAPBEXHLevel1 4" xfId="9249"/>
    <cellStyle name="SAPBEXHLevel1X" xfId="9250"/>
    <cellStyle name="SAPBEXHLevel1X 2" xfId="9251"/>
    <cellStyle name="SAPBEXHLevel1X 2 2" xfId="9252"/>
    <cellStyle name="SAPBEXHLevel1X 3" xfId="9253"/>
    <cellStyle name="SAPBEXHLevel1X 4" xfId="9254"/>
    <cellStyle name="SAPBEXHLevel2" xfId="9255"/>
    <cellStyle name="SAPBEXHLevel2 2" xfId="9256"/>
    <cellStyle name="SAPBEXHLevel2 2 2" xfId="9257"/>
    <cellStyle name="SAPBEXHLevel2 3" xfId="9258"/>
    <cellStyle name="SAPBEXHLevel2 4" xfId="9259"/>
    <cellStyle name="SAPBEXHLevel2X" xfId="9260"/>
    <cellStyle name="SAPBEXHLevel2X 2" xfId="9261"/>
    <cellStyle name="SAPBEXHLevel2X 2 2" xfId="9262"/>
    <cellStyle name="SAPBEXHLevel2X 3" xfId="9263"/>
    <cellStyle name="SAPBEXHLevel2X 4" xfId="9264"/>
    <cellStyle name="SAPBEXHLevel3" xfId="9265"/>
    <cellStyle name="SAPBEXHLevel3 2" xfId="9266"/>
    <cellStyle name="SAPBEXHLevel3 2 2" xfId="9267"/>
    <cellStyle name="SAPBEXHLevel3 3" xfId="9268"/>
    <cellStyle name="SAPBEXHLevel3 4" xfId="9269"/>
    <cellStyle name="SAPBEXHLevel3X" xfId="9270"/>
    <cellStyle name="SAPBEXHLevel3X 2" xfId="9271"/>
    <cellStyle name="SAPBEXHLevel3X 2 2" xfId="9272"/>
    <cellStyle name="SAPBEXHLevel3X 3" xfId="9273"/>
    <cellStyle name="SAPBEXHLevel3X 4" xfId="9274"/>
    <cellStyle name="SAPBEXinputData" xfId="9275"/>
    <cellStyle name="SAPBEXinputData 2" xfId="9276"/>
    <cellStyle name="SAPBEXinputData 2 2" xfId="9277"/>
    <cellStyle name="SAPBEXinputData 3" xfId="9278"/>
    <cellStyle name="SAPBEXItemHeader" xfId="9279"/>
    <cellStyle name="SAPBEXresData" xfId="9280"/>
    <cellStyle name="SAPBEXresData 2" xfId="9281"/>
    <cellStyle name="SAPBEXresData 3" xfId="9282"/>
    <cellStyle name="SAPBEXresDataEmph" xfId="9283"/>
    <cellStyle name="SAPBEXresDataEmph 2" xfId="9284"/>
    <cellStyle name="SAPBEXresDataEmph 3" xfId="9285"/>
    <cellStyle name="SAPBEXresItem" xfId="9286"/>
    <cellStyle name="SAPBEXresItem 2" xfId="9287"/>
    <cellStyle name="SAPBEXresItem 3" xfId="9288"/>
    <cellStyle name="SAPBEXresItemX" xfId="9289"/>
    <cellStyle name="SAPBEXresItemX 2" xfId="9290"/>
    <cellStyle name="SAPBEXresItemX 3" xfId="9291"/>
    <cellStyle name="SAPBEXstdData" xfId="9292"/>
    <cellStyle name="SAPBEXstdData 2" xfId="9293"/>
    <cellStyle name="SAPBEXstdData 3" xfId="9294"/>
    <cellStyle name="SAPBEXstdData 4" xfId="9295"/>
    <cellStyle name="SAPBEXstdDataEmph" xfId="9296"/>
    <cellStyle name="SAPBEXstdDataEmph 2" xfId="9297"/>
    <cellStyle name="SAPBEXstdDataEmph 3" xfId="9298"/>
    <cellStyle name="SAPBEXstdItem" xfId="9299"/>
    <cellStyle name="SAPBEXstdItem 2" xfId="9300"/>
    <cellStyle name="SAPBEXstdItem 2 2" xfId="9301"/>
    <cellStyle name="SAPBEXstdItem 2 2 2" xfId="9302"/>
    <cellStyle name="SAPBEXstdItem 2 3" xfId="9303"/>
    <cellStyle name="SAPBEXstdItem 3" xfId="9304"/>
    <cellStyle name="SAPBEXstdItem 3 2" xfId="9305"/>
    <cellStyle name="SAPBEXstdItem 3 2 2" xfId="9306"/>
    <cellStyle name="SAPBEXstdItem 3 3" xfId="9307"/>
    <cellStyle name="SAPBEXstdItem 3 3 2" xfId="9308"/>
    <cellStyle name="SAPBEXstdItem 3 4" xfId="9309"/>
    <cellStyle name="SAPBEXstdItem 3 4 2" xfId="9310"/>
    <cellStyle name="SAPBEXstdItem 4" xfId="9311"/>
    <cellStyle name="SAPBEXstdItem 4 2" xfId="9312"/>
    <cellStyle name="SAPBEXstdItem 5" xfId="9313"/>
    <cellStyle name="SAPBEXstdItem 6" xfId="9314"/>
    <cellStyle name="SAPBEXstdItem 7" xfId="9315"/>
    <cellStyle name="SAPBEXstdItem 8" xfId="9316"/>
    <cellStyle name="SAPBEXstdItemX" xfId="9317"/>
    <cellStyle name="SAPBEXstdItemX 2" xfId="9318"/>
    <cellStyle name="SAPBEXstdItemX 2 2" xfId="9319"/>
    <cellStyle name="SAPBEXstdItemX 2 2 2" xfId="9320"/>
    <cellStyle name="SAPBEXstdItemX 2 3" xfId="9321"/>
    <cellStyle name="SAPBEXstdItemX 3" xfId="9322"/>
    <cellStyle name="SAPBEXstdItemX 3 2" xfId="9323"/>
    <cellStyle name="SAPBEXstdItemX 3 2 2" xfId="9324"/>
    <cellStyle name="SAPBEXstdItemX 3 3" xfId="9325"/>
    <cellStyle name="SAPBEXstdItemX 3 3 2" xfId="9326"/>
    <cellStyle name="SAPBEXstdItemX 3 4" xfId="9327"/>
    <cellStyle name="SAPBEXstdItemX 3 4 2" xfId="9328"/>
    <cellStyle name="SAPBEXstdItemX 4" xfId="9329"/>
    <cellStyle name="SAPBEXstdItemX 4 2" xfId="9330"/>
    <cellStyle name="SAPBEXstdItemX 5" xfId="9331"/>
    <cellStyle name="SAPBEXstdItemX 6" xfId="9332"/>
    <cellStyle name="SAPBEXstdItemX 7" xfId="9333"/>
    <cellStyle name="SAPBEXstdItemX 8" xfId="9334"/>
    <cellStyle name="SAPBEXtitle" xfId="9335"/>
    <cellStyle name="SAPBEXtitle 2" xfId="9336"/>
    <cellStyle name="SAPBEXtitle 3" xfId="9337"/>
    <cellStyle name="SAPBEXunassignedItem" xfId="9338"/>
    <cellStyle name="SAPBEXundefined" xfId="9339"/>
    <cellStyle name="SAPBEXundefined 2" xfId="9340"/>
    <cellStyle name="SAPBEXundefined 3" xfId="9341"/>
    <cellStyle name="shade" xfId="9342"/>
    <cellStyle name="shade 2" xfId="9343"/>
    <cellStyle name="shade 2 2" xfId="9344"/>
    <cellStyle name="shade 2 2 2" xfId="9345"/>
    <cellStyle name="shade 2 3" xfId="9346"/>
    <cellStyle name="shade 3" xfId="9347"/>
    <cellStyle name="shade 3 2" xfId="9348"/>
    <cellStyle name="shade 3 2 2" xfId="9349"/>
    <cellStyle name="shade 3 3" xfId="9350"/>
    <cellStyle name="shade 3 3 2" xfId="9351"/>
    <cellStyle name="shade 3 4" xfId="9352"/>
    <cellStyle name="shade 3 4 2" xfId="9353"/>
    <cellStyle name="shade 4" xfId="9354"/>
    <cellStyle name="shade 4 2" xfId="9355"/>
    <cellStyle name="shade 5" xfId="9356"/>
    <cellStyle name="shade 6" xfId="9357"/>
    <cellStyle name="shade 7" xfId="9358"/>
    <cellStyle name="shade_ACCOUNTS" xfId="9359"/>
    <cellStyle name="Sheet Title" xfId="9360"/>
    <cellStyle name="StmtTtl1" xfId="9361"/>
    <cellStyle name="StmtTtl1 2" xfId="9362"/>
    <cellStyle name="StmtTtl1 2 2" xfId="9363"/>
    <cellStyle name="StmtTtl1 2 3" xfId="9364"/>
    <cellStyle name="StmtTtl1 2 4" xfId="9365"/>
    <cellStyle name="StmtTtl1 3" xfId="9366"/>
    <cellStyle name="StmtTtl1 3 2" xfId="9367"/>
    <cellStyle name="StmtTtl1 3 3" xfId="9368"/>
    <cellStyle name="StmtTtl1 3 4" xfId="9369"/>
    <cellStyle name="StmtTtl1 4" xfId="9370"/>
    <cellStyle name="StmtTtl1 4 2" xfId="9371"/>
    <cellStyle name="StmtTtl1 4 3" xfId="9372"/>
    <cellStyle name="StmtTtl1 4 4" xfId="9373"/>
    <cellStyle name="StmtTtl1 5" xfId="9374"/>
    <cellStyle name="StmtTtl1 5 2" xfId="9375"/>
    <cellStyle name="StmtTtl1 6" xfId="9376"/>
    <cellStyle name="StmtTtl1 6 2" xfId="9377"/>
    <cellStyle name="StmtTtl1 7" xfId="9378"/>
    <cellStyle name="StmtTtl1 8" xfId="9379"/>
    <cellStyle name="StmtTtl1_(C) WHE Proforma with ITC cash grant 10 Yr Amort_for deferral_102809" xfId="9380"/>
    <cellStyle name="StmtTtl2" xfId="9381"/>
    <cellStyle name="StmtTtl2 2" xfId="9382"/>
    <cellStyle name="StmtTtl2 2 2" xfId="9383"/>
    <cellStyle name="StmtTtl2 3" xfId="9384"/>
    <cellStyle name="StmtTtl2 3 2" xfId="9385"/>
    <cellStyle name="StmtTtl2 4" xfId="9386"/>
    <cellStyle name="StmtTtl2 5" xfId="9387"/>
    <cellStyle name="StmtTtl2 6" xfId="9388"/>
    <cellStyle name="StmtTtl2 7" xfId="9389"/>
    <cellStyle name="StmtTtl2 8" xfId="9390"/>
    <cellStyle name="StmtTtl2 9" xfId="9391"/>
    <cellStyle name="StmtTtl2_4.32E Depreciation Study Robs file" xfId="9392"/>
    <cellStyle name="STYL1 - Style1" xfId="9393"/>
    <cellStyle name="STYL1 - Style1 2" xfId="9394"/>
    <cellStyle name="Style 1" xfId="9395"/>
    <cellStyle name="Style 1 10" xfId="9396"/>
    <cellStyle name="Style 1 11" xfId="9397"/>
    <cellStyle name="Style 1 2" xfId="9398"/>
    <cellStyle name="Style 1 2 2" xfId="9399"/>
    <cellStyle name="Style 1 2 2 2" xfId="9400"/>
    <cellStyle name="Style 1 2 3" xfId="9401"/>
    <cellStyle name="Style 1 2 4" xfId="9402"/>
    <cellStyle name="Style 1 2 5" xfId="9403"/>
    <cellStyle name="Style 1 2 6" xfId="9404"/>
    <cellStyle name="Style 1 2_Chelan PUD Power Costs (8-10)" xfId="9405"/>
    <cellStyle name="Style 1 3" xfId="9406"/>
    <cellStyle name="Style 1 3 2" xfId="9407"/>
    <cellStyle name="Style 1 3 2 2" xfId="9408"/>
    <cellStyle name="Style 1 3 2 3" xfId="9409"/>
    <cellStyle name="Style 1 3 3" xfId="9410"/>
    <cellStyle name="Style 1 3 3 2" xfId="9411"/>
    <cellStyle name="Style 1 3 4" xfId="9412"/>
    <cellStyle name="Style 1 3 5" xfId="9413"/>
    <cellStyle name="Style 1 4" xfId="9414"/>
    <cellStyle name="Style 1 4 2" xfId="9415"/>
    <cellStyle name="Style 1 4 2 2" xfId="9416"/>
    <cellStyle name="Style 1 4 3" xfId="9417"/>
    <cellStyle name="Style 1 4 4" xfId="9418"/>
    <cellStyle name="Style 1 5" xfId="9419"/>
    <cellStyle name="Style 1 5 2" xfId="9420"/>
    <cellStyle name="Style 1 5 2 2" xfId="9421"/>
    <cellStyle name="Style 1 5 3" xfId="9422"/>
    <cellStyle name="Style 1 5 4" xfId="9423"/>
    <cellStyle name="Style 1 6" xfId="9424"/>
    <cellStyle name="Style 1 6 2" xfId="9425"/>
    <cellStyle name="Style 1 6 2 2" xfId="9426"/>
    <cellStyle name="Style 1 6 2 3" xfId="9427"/>
    <cellStyle name="Style 1 6 3" xfId="9428"/>
    <cellStyle name="Style 1 6 3 2" xfId="9429"/>
    <cellStyle name="Style 1 6 4" xfId="9430"/>
    <cellStyle name="Style 1 6 4 2" xfId="9431"/>
    <cellStyle name="Style 1 6 5" xfId="9432"/>
    <cellStyle name="Style 1 6 5 2" xfId="9433"/>
    <cellStyle name="Style 1 6 6" xfId="9434"/>
    <cellStyle name="Style 1 7" xfId="9435"/>
    <cellStyle name="Style 1 8" xfId="9436"/>
    <cellStyle name="Style 1 9" xfId="9437"/>
    <cellStyle name="Style 1_ Price Inputs" xfId="9438"/>
    <cellStyle name="STYLE1" xfId="9439"/>
    <cellStyle name="STYLE2" xfId="9440"/>
    <cellStyle name="STYLE3" xfId="9441"/>
    <cellStyle name="sub-tl - Style3" xfId="9442"/>
    <cellStyle name="subtot - Style5" xfId="9443"/>
    <cellStyle name="Subtotal" xfId="9444"/>
    <cellStyle name="Sub-total" xfId="9445"/>
    <cellStyle name="Subtotal 2" xfId="9446"/>
    <cellStyle name="Sub-total 2" xfId="9447"/>
    <cellStyle name="Subtotal 3" xfId="9448"/>
    <cellStyle name="Sub-total 3" xfId="9449"/>
    <cellStyle name="taples Plaza" xfId="9450"/>
    <cellStyle name="Test" xfId="9451"/>
    <cellStyle name="Tickmark" xfId="9452"/>
    <cellStyle name="Title 2" xfId="9453"/>
    <cellStyle name="Title 2 2" xfId="9454"/>
    <cellStyle name="Title 2 2 2" xfId="9455"/>
    <cellStyle name="Title 2 3" xfId="9456"/>
    <cellStyle name="Title 3" xfId="9457"/>
    <cellStyle name="Title 3 2" xfId="9458"/>
    <cellStyle name="Title 3 3" xfId="9459"/>
    <cellStyle name="Title 3 4" xfId="9460"/>
    <cellStyle name="Title 4" xfId="9461"/>
    <cellStyle name="Title 5" xfId="9462"/>
    <cellStyle name="Title 6" xfId="9463"/>
    <cellStyle name="Title: - Style3" xfId="9464"/>
    <cellStyle name="Title: - Style4" xfId="9465"/>
    <cellStyle name="Title: Major" xfId="9466"/>
    <cellStyle name="Title: Major 2" xfId="9467"/>
    <cellStyle name="Title: Major 3" xfId="9468"/>
    <cellStyle name="Title: Minor" xfId="9469"/>
    <cellStyle name="Title: Minor 2" xfId="9470"/>
    <cellStyle name="Title: Minor 3" xfId="9471"/>
    <cellStyle name="Title: Minor_Electric Rev Req Model (2009 GRC) Rebuttal" xfId="9472"/>
    <cellStyle name="Title: Worksheet" xfId="9473"/>
    <cellStyle name="Title: Worksheet 2" xfId="9474"/>
    <cellStyle name="Total 2" xfId="9475"/>
    <cellStyle name="Total 2 2" xfId="9476"/>
    <cellStyle name="Total 2 2 2" xfId="9477"/>
    <cellStyle name="Total 2 2 3" xfId="9478"/>
    <cellStyle name="Total 2 3" xfId="9479"/>
    <cellStyle name="Total 2 3 2" xfId="9480"/>
    <cellStyle name="Total 2 3 3" xfId="9481"/>
    <cellStyle name="Total 2 3 4" xfId="9482"/>
    <cellStyle name="Total 2 4" xfId="9483"/>
    <cellStyle name="Total 3" xfId="9484"/>
    <cellStyle name="Total 3 2" xfId="9485"/>
    <cellStyle name="Total 3 3" xfId="9486"/>
    <cellStyle name="Total 3 4" xfId="9487"/>
    <cellStyle name="Total 4" xfId="9488"/>
    <cellStyle name="Total 4 2" xfId="9489"/>
    <cellStyle name="Total 5" xfId="9490"/>
    <cellStyle name="Total 6" xfId="9491"/>
    <cellStyle name="Total 9" xfId="9492"/>
    <cellStyle name="Total 9 2" xfId="9493"/>
    <cellStyle name="Total4 - Style4" xfId="9494"/>
    <cellStyle name="Total4 - Style4 2" xfId="9495"/>
    <cellStyle name="Total4 - Style4 2 2" xfId="9496"/>
    <cellStyle name="Total4 - Style4 3" xfId="9497"/>
    <cellStyle name="Total4 - Style4_ACCOUNTS" xfId="9498"/>
    <cellStyle name="Warning Text 2" xfId="9499"/>
    <cellStyle name="Warning Text 2 2" xfId="9500"/>
    <cellStyle name="Warning Text 2 2 2" xfId="9501"/>
    <cellStyle name="Warning Text 2 3" xfId="9502"/>
    <cellStyle name="Warning Text 3" xfId="9503"/>
    <cellStyle name="Warning Text 4" xfId="9504"/>
    <cellStyle name="WM_STANDARD" xfId="9518"/>
    <cellStyle name="WMI_Standard" xfId="9517"/>
  </cellStyles>
  <dxfs count="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9"/>
  <sheetViews>
    <sheetView topLeftCell="U1" workbookViewId="0">
      <selection activeCell="AU60" sqref="AU60"/>
    </sheetView>
  </sheetViews>
  <sheetFormatPr defaultRowHeight="14.4"/>
  <cols>
    <col min="1" max="1" width="5.33203125" customWidth="1"/>
    <col min="3" max="3" width="22.5546875" customWidth="1"/>
    <col min="4" max="4" width="17.33203125" customWidth="1"/>
    <col min="5" max="5" width="17.6640625" customWidth="1"/>
    <col min="6" max="6" width="16.88671875" customWidth="1"/>
    <col min="7" max="7" width="17.6640625" customWidth="1"/>
    <col min="8" max="8" width="16.33203125" customWidth="1"/>
    <col min="9" max="10" width="17.33203125" customWidth="1"/>
    <col min="11" max="11" width="16.5546875" customWidth="1"/>
    <col min="12" max="12" width="3.33203125" style="247" customWidth="1"/>
    <col min="13" max="13" width="6" customWidth="1"/>
    <col min="14" max="14" width="38" customWidth="1"/>
    <col min="15" max="15" width="19.33203125" customWidth="1"/>
    <col min="16" max="16" width="16.88671875" bestFit="1" customWidth="1"/>
    <col min="17" max="17" width="16.33203125" customWidth="1"/>
    <col min="18" max="18" width="3.33203125" style="247" customWidth="1"/>
    <col min="19" max="19" width="5.6640625" customWidth="1"/>
    <col min="20" max="20" width="26.33203125" customWidth="1"/>
    <col min="21" max="21" width="16.88671875" customWidth="1"/>
    <col min="22" max="22" width="12.5546875" customWidth="1"/>
    <col min="23" max="23" width="12.6640625" customWidth="1"/>
    <col min="24" max="24" width="12.5546875" customWidth="1"/>
    <col min="25" max="25" width="12.33203125" customWidth="1"/>
    <col min="26" max="27" width="12.5546875" customWidth="1"/>
    <col min="28" max="28" width="12.33203125" customWidth="1"/>
    <col min="29" max="29" width="12.6640625" customWidth="1"/>
    <col min="30" max="30" width="12.5546875" customWidth="1"/>
    <col min="31" max="31" width="12.33203125" customWidth="1"/>
    <col min="32" max="32" width="12.109375" customWidth="1"/>
    <col min="33" max="33" width="12.33203125" customWidth="1"/>
    <col min="34" max="34" width="13.88671875" customWidth="1"/>
    <col min="35" max="35" width="3.6640625" style="247" customWidth="1"/>
    <col min="36" max="36" width="2.44140625" customWidth="1"/>
    <col min="37" max="37" width="22.6640625" customWidth="1"/>
    <col min="39" max="50" width="12.5546875" bestFit="1" customWidth="1"/>
    <col min="51" max="51" width="14.33203125" bestFit="1" customWidth="1"/>
    <col min="52" max="52" width="4.5546875" style="247" customWidth="1"/>
    <col min="54" max="54" width="3" customWidth="1"/>
    <col min="55" max="55" width="30.6640625" customWidth="1"/>
    <col min="56" max="56" width="3.33203125" customWidth="1"/>
  </cols>
  <sheetData>
    <row r="1" spans="1:57" ht="17.399999999999999">
      <c r="A1" s="386" t="s">
        <v>20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M1" s="2"/>
      <c r="N1" s="2"/>
      <c r="O1" s="2"/>
      <c r="P1" s="2"/>
      <c r="Q1" s="2"/>
      <c r="S1" s="384" t="s">
        <v>20</v>
      </c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J1" s="151" t="s">
        <v>305</v>
      </c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BA1" s="123" t="s">
        <v>155</v>
      </c>
      <c r="BB1" s="237"/>
      <c r="BC1" s="237"/>
      <c r="BD1" s="237"/>
      <c r="BE1" s="240"/>
    </row>
    <row r="2" spans="1:57" ht="17.399999999999999">
      <c r="A2" s="386" t="s">
        <v>52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M2" s="386" t="s">
        <v>20</v>
      </c>
      <c r="N2" s="386"/>
      <c r="O2" s="386"/>
      <c r="P2" s="386"/>
      <c r="Q2" s="386"/>
      <c r="S2" s="384" t="str">
        <f>M3</f>
        <v xml:space="preserve"> Electric Decoupling Mechanism</v>
      </c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J2" s="151" t="s">
        <v>80</v>
      </c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BA2" s="388" t="s">
        <v>156</v>
      </c>
      <c r="BB2" s="388"/>
      <c r="BC2" s="388"/>
      <c r="BD2" s="388"/>
      <c r="BE2" s="388"/>
    </row>
    <row r="3" spans="1:57" ht="17.399999999999999">
      <c r="A3" s="387" t="s">
        <v>76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M3" s="386" t="s">
        <v>52</v>
      </c>
      <c r="N3" s="386"/>
      <c r="O3" s="386"/>
      <c r="P3" s="386"/>
      <c r="Q3" s="386"/>
      <c r="S3" s="385" t="s">
        <v>75</v>
      </c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384"/>
      <c r="AG3" s="384"/>
      <c r="AH3" s="384"/>
      <c r="AJ3" s="151" t="s">
        <v>306</v>
      </c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BA3" s="388" t="s">
        <v>157</v>
      </c>
      <c r="BB3" s="388"/>
      <c r="BC3" s="388"/>
      <c r="BD3" s="388"/>
      <c r="BE3" s="388"/>
    </row>
    <row r="4" spans="1:57" ht="15.6">
      <c r="A4" s="7"/>
      <c r="B4" s="8"/>
      <c r="C4" s="8"/>
      <c r="D4" s="8"/>
      <c r="E4" s="8"/>
      <c r="F4" s="8"/>
      <c r="G4" s="8"/>
      <c r="H4" s="8"/>
      <c r="I4" s="8"/>
      <c r="J4" s="8"/>
      <c r="K4" s="8"/>
      <c r="M4" s="387" t="s">
        <v>73</v>
      </c>
      <c r="N4" s="387"/>
      <c r="O4" s="387"/>
      <c r="P4" s="387"/>
      <c r="Q4" s="387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  <c r="AF4" s="386"/>
      <c r="AG4" s="386"/>
      <c r="AH4" s="386"/>
      <c r="AJ4" s="151" t="s">
        <v>81</v>
      </c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BA4" s="383" t="s">
        <v>308</v>
      </c>
      <c r="BB4" s="383"/>
      <c r="BC4" s="383"/>
      <c r="BD4" s="383"/>
      <c r="BE4" s="383"/>
    </row>
    <row r="5" spans="1:57" ht="26.4">
      <c r="A5" s="7"/>
      <c r="B5" s="8"/>
      <c r="C5" s="8"/>
      <c r="D5" s="8"/>
      <c r="E5" s="8"/>
      <c r="F5" s="8"/>
      <c r="G5" s="8"/>
      <c r="H5" s="8"/>
      <c r="I5" s="8"/>
      <c r="J5" s="8"/>
      <c r="K5" s="8"/>
      <c r="M5" s="24"/>
      <c r="N5" s="24"/>
      <c r="O5" s="24"/>
      <c r="P5" s="24"/>
      <c r="Q5" s="24"/>
      <c r="S5" s="251" t="s">
        <v>17</v>
      </c>
      <c r="T5" s="252"/>
      <c r="U5" s="253" t="s">
        <v>16</v>
      </c>
      <c r="V5" s="254" t="s">
        <v>35</v>
      </c>
      <c r="W5" s="254" t="s">
        <v>36</v>
      </c>
      <c r="X5" s="254" t="s">
        <v>37</v>
      </c>
      <c r="Y5" s="254" t="s">
        <v>38</v>
      </c>
      <c r="Z5" s="254" t="s">
        <v>39</v>
      </c>
      <c r="AA5" s="254" t="s">
        <v>40</v>
      </c>
      <c r="AB5" s="254" t="s">
        <v>41</v>
      </c>
      <c r="AC5" s="254" t="s">
        <v>42</v>
      </c>
      <c r="AD5" s="254" t="s">
        <v>43</v>
      </c>
      <c r="AE5" s="254" t="s">
        <v>44</v>
      </c>
      <c r="AF5" s="254" t="s">
        <v>45</v>
      </c>
      <c r="AG5" s="254" t="s">
        <v>46</v>
      </c>
      <c r="AH5" s="251" t="s">
        <v>28</v>
      </c>
      <c r="AJ5" s="151"/>
      <c r="AK5" s="151"/>
      <c r="AL5" s="151"/>
      <c r="AM5" s="151" t="s">
        <v>293</v>
      </c>
      <c r="AN5" s="151" t="s">
        <v>294</v>
      </c>
      <c r="AO5" s="151" t="s">
        <v>82</v>
      </c>
      <c r="AP5" s="151" t="s">
        <v>83</v>
      </c>
      <c r="AQ5" s="151" t="s">
        <v>39</v>
      </c>
      <c r="AR5" s="151" t="s">
        <v>295</v>
      </c>
      <c r="AS5" s="151" t="s">
        <v>296</v>
      </c>
      <c r="AT5" s="151" t="s">
        <v>297</v>
      </c>
      <c r="AU5" s="151" t="s">
        <v>298</v>
      </c>
      <c r="AV5" s="151" t="s">
        <v>299</v>
      </c>
      <c r="AW5" s="151" t="s">
        <v>300</v>
      </c>
      <c r="AX5" s="151" t="s">
        <v>301</v>
      </c>
      <c r="AY5" s="151" t="s">
        <v>66</v>
      </c>
      <c r="BA5" s="126"/>
      <c r="BB5" s="126"/>
      <c r="BC5" s="126"/>
      <c r="BD5" s="126"/>
      <c r="BE5" s="127"/>
    </row>
    <row r="6" spans="1:57" ht="15.6">
      <c r="A6" s="7"/>
      <c r="B6" s="8"/>
      <c r="C6" s="8"/>
      <c r="D6" s="8"/>
      <c r="E6" s="9" t="s">
        <v>21</v>
      </c>
      <c r="F6" s="9" t="s">
        <v>22</v>
      </c>
      <c r="G6" s="9" t="s">
        <v>23</v>
      </c>
      <c r="H6" s="9" t="s">
        <v>24</v>
      </c>
      <c r="I6" s="9" t="s">
        <v>26</v>
      </c>
      <c r="J6" s="102" t="s">
        <v>25</v>
      </c>
      <c r="K6" s="9" t="s">
        <v>27</v>
      </c>
      <c r="M6" s="391" t="s">
        <v>17</v>
      </c>
      <c r="N6" s="24"/>
      <c r="O6" s="24"/>
      <c r="P6" s="391" t="s">
        <v>19</v>
      </c>
      <c r="Q6" s="391" t="s">
        <v>18</v>
      </c>
      <c r="S6" s="20"/>
      <c r="T6" s="21" t="s">
        <v>14</v>
      </c>
      <c r="U6" s="21" t="s">
        <v>13</v>
      </c>
      <c r="V6" s="21" t="s">
        <v>12</v>
      </c>
      <c r="W6" s="21" t="s">
        <v>11</v>
      </c>
      <c r="X6" s="21" t="s">
        <v>10</v>
      </c>
      <c r="Y6" s="21" t="s">
        <v>9</v>
      </c>
      <c r="Z6" s="21" t="s">
        <v>8</v>
      </c>
      <c r="AA6" s="21" t="s">
        <v>7</v>
      </c>
      <c r="AB6" s="21" t="s">
        <v>6</v>
      </c>
      <c r="AC6" s="21" t="s">
        <v>5</v>
      </c>
      <c r="AD6" s="21" t="s">
        <v>4</v>
      </c>
      <c r="AE6" s="21" t="s">
        <v>3</v>
      </c>
      <c r="AF6" s="21" t="s">
        <v>2</v>
      </c>
      <c r="AG6" s="21" t="s">
        <v>1</v>
      </c>
      <c r="AH6" s="21" t="s">
        <v>0</v>
      </c>
      <c r="AJ6" s="151" t="s">
        <v>84</v>
      </c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BA6" s="237" t="s">
        <v>158</v>
      </c>
      <c r="BB6" s="237"/>
      <c r="BC6" s="237"/>
      <c r="BD6" s="237"/>
      <c r="BE6" s="129"/>
    </row>
    <row r="7" spans="1:57" ht="17.399999999999999" customHeight="1">
      <c r="A7" s="7"/>
      <c r="B7" s="8"/>
      <c r="C7" s="8"/>
      <c r="D7" s="8"/>
      <c r="E7" s="238" t="s">
        <v>28</v>
      </c>
      <c r="F7" s="238" t="s">
        <v>288</v>
      </c>
      <c r="G7" s="238" t="s">
        <v>29</v>
      </c>
      <c r="H7" s="238" t="s">
        <v>30</v>
      </c>
      <c r="I7" s="238" t="s">
        <v>32</v>
      </c>
      <c r="J7" s="103" t="s">
        <v>31</v>
      </c>
      <c r="K7" s="238" t="s">
        <v>33</v>
      </c>
      <c r="M7" s="392"/>
      <c r="N7" s="249"/>
      <c r="O7" s="248" t="s">
        <v>16</v>
      </c>
      <c r="P7" s="392"/>
      <c r="Q7" s="392"/>
      <c r="S7" s="21">
        <v>1</v>
      </c>
      <c r="T7" s="32" t="s">
        <v>47</v>
      </c>
      <c r="U7" s="21"/>
      <c r="V7" s="20"/>
      <c r="W7" s="20"/>
      <c r="X7" s="20"/>
      <c r="Y7" s="20"/>
      <c r="Z7" s="22"/>
      <c r="AA7" s="22"/>
      <c r="AB7" s="20"/>
      <c r="AC7" s="20"/>
      <c r="AD7" s="20"/>
      <c r="AE7" s="20"/>
      <c r="AF7" s="20"/>
      <c r="AG7" s="20"/>
      <c r="AH7" s="33"/>
      <c r="AJ7" s="151"/>
      <c r="AK7" s="151" t="s">
        <v>302</v>
      </c>
      <c r="AL7" s="151"/>
      <c r="AM7" s="50">
        <v>289886480</v>
      </c>
      <c r="AN7" s="50">
        <v>265521283</v>
      </c>
      <c r="AO7" s="50">
        <v>243798239</v>
      </c>
      <c r="AP7" s="50">
        <v>186717371</v>
      </c>
      <c r="AQ7" s="50">
        <v>166632949</v>
      </c>
      <c r="AR7" s="50">
        <v>143928993</v>
      </c>
      <c r="AS7" s="50">
        <v>156298537</v>
      </c>
      <c r="AT7" s="50">
        <v>190162484</v>
      </c>
      <c r="AU7" s="50">
        <v>183763954</v>
      </c>
      <c r="AV7" s="50">
        <v>172515690</v>
      </c>
      <c r="AW7" s="50">
        <v>182389214</v>
      </c>
      <c r="AX7" s="50">
        <v>262077988</v>
      </c>
      <c r="AY7" s="50">
        <f t="shared" ref="AY7:AY12" si="0">SUM(AM7:AX7)</f>
        <v>2443693182</v>
      </c>
      <c r="BA7" s="255" t="s">
        <v>159</v>
      </c>
      <c r="BB7" s="237"/>
      <c r="BC7" s="255" t="s">
        <v>160</v>
      </c>
      <c r="BD7" s="131"/>
      <c r="BE7" s="256" t="s">
        <v>161</v>
      </c>
    </row>
    <row r="8" spans="1:57" ht="15.6">
      <c r="A8" s="7"/>
      <c r="B8" s="8"/>
      <c r="C8" s="8"/>
      <c r="D8" s="8"/>
      <c r="E8" s="8"/>
      <c r="F8" s="8"/>
      <c r="G8" s="8"/>
      <c r="H8" s="8"/>
      <c r="I8" s="8"/>
      <c r="J8" s="104"/>
      <c r="K8" s="105"/>
      <c r="M8" s="24"/>
      <c r="N8" s="25" t="s">
        <v>14</v>
      </c>
      <c r="O8" s="25" t="s">
        <v>13</v>
      </c>
      <c r="P8" s="25" t="s">
        <v>12</v>
      </c>
      <c r="Q8" s="25" t="s">
        <v>11</v>
      </c>
      <c r="S8" s="21">
        <f>S7+1</f>
        <v>2</v>
      </c>
      <c r="T8" s="34" t="s">
        <v>19</v>
      </c>
      <c r="U8" s="21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33"/>
      <c r="AJ8" s="151"/>
      <c r="AK8" s="151" t="s">
        <v>85</v>
      </c>
      <c r="AL8" s="151"/>
      <c r="AM8" s="50">
        <v>59897515</v>
      </c>
      <c r="AN8" s="50">
        <v>57189947</v>
      </c>
      <c r="AO8" s="50">
        <v>53416031</v>
      </c>
      <c r="AP8" s="50">
        <v>45515376</v>
      </c>
      <c r="AQ8" s="50">
        <v>44349209</v>
      </c>
      <c r="AR8" s="50">
        <v>40552190</v>
      </c>
      <c r="AS8" s="50">
        <v>43982858</v>
      </c>
      <c r="AT8" s="50">
        <v>50216491</v>
      </c>
      <c r="AU8" s="50">
        <v>52391286</v>
      </c>
      <c r="AV8" s="50">
        <v>48027262</v>
      </c>
      <c r="AW8" s="50">
        <v>44565871</v>
      </c>
      <c r="AX8" s="50">
        <v>56546224</v>
      </c>
      <c r="AY8" s="50">
        <f t="shared" si="0"/>
        <v>596650260</v>
      </c>
      <c r="BA8" s="126"/>
      <c r="BB8" s="126"/>
      <c r="BC8" s="126"/>
      <c r="BD8" s="126"/>
      <c r="BE8" s="127"/>
    </row>
    <row r="9" spans="1:57" ht="16.2">
      <c r="A9" s="7">
        <v>1</v>
      </c>
      <c r="B9" s="8" t="s">
        <v>289</v>
      </c>
      <c r="C9" s="8"/>
      <c r="D9" s="8"/>
      <c r="E9" s="10">
        <f>SUM(F9:K9)</f>
        <v>499982000</v>
      </c>
      <c r="F9" s="55">
        <v>214841000</v>
      </c>
      <c r="G9" s="55">
        <v>71304000</v>
      </c>
      <c r="H9" s="55">
        <v>130152000</v>
      </c>
      <c r="I9" s="55">
        <v>11471000</v>
      </c>
      <c r="J9" s="106">
        <v>65194000</v>
      </c>
      <c r="K9" s="107">
        <v>7020000</v>
      </c>
      <c r="M9" s="25"/>
      <c r="N9" s="26"/>
      <c r="O9" s="25"/>
      <c r="P9" s="25"/>
      <c r="Q9" s="25"/>
      <c r="S9" s="21">
        <f>S8+1</f>
        <v>3</v>
      </c>
      <c r="T9" s="23" t="s">
        <v>48</v>
      </c>
      <c r="U9" s="21" t="s">
        <v>77</v>
      </c>
      <c r="V9" s="45">
        <f>AM50</f>
        <v>284675925</v>
      </c>
      <c r="W9" s="45">
        <f t="shared" ref="W9:AG9" si="1">AN50</f>
        <v>232597855</v>
      </c>
      <c r="X9" s="45">
        <f t="shared" si="1"/>
        <v>228752581</v>
      </c>
      <c r="Y9" s="45">
        <f t="shared" si="1"/>
        <v>172322869</v>
      </c>
      <c r="Z9" s="45">
        <f t="shared" si="1"/>
        <v>166632549</v>
      </c>
      <c r="AA9" s="45">
        <f t="shared" si="1"/>
        <v>148170954</v>
      </c>
      <c r="AB9" s="45">
        <f t="shared" si="1"/>
        <v>153360033</v>
      </c>
      <c r="AC9" s="45">
        <f t="shared" si="1"/>
        <v>181322317</v>
      </c>
      <c r="AD9" s="45">
        <f t="shared" si="1"/>
        <v>146560541</v>
      </c>
      <c r="AE9" s="45">
        <f t="shared" si="1"/>
        <v>174054557</v>
      </c>
      <c r="AF9" s="45">
        <f t="shared" si="1"/>
        <v>212665464</v>
      </c>
      <c r="AG9" s="45">
        <f t="shared" si="1"/>
        <v>277362386</v>
      </c>
      <c r="AH9" s="35">
        <f>SUM(V9:AG9)</f>
        <v>2378478031</v>
      </c>
      <c r="AJ9" s="151"/>
      <c r="AK9" s="151" t="s">
        <v>86</v>
      </c>
      <c r="AL9" s="151"/>
      <c r="AM9" s="50">
        <v>124987510</v>
      </c>
      <c r="AN9" s="50">
        <v>121599193</v>
      </c>
      <c r="AO9" s="50">
        <v>116342928</v>
      </c>
      <c r="AP9" s="50">
        <v>108793173</v>
      </c>
      <c r="AQ9" s="50">
        <v>113179392</v>
      </c>
      <c r="AR9" s="50">
        <v>112320632</v>
      </c>
      <c r="AS9" s="50">
        <v>115086097</v>
      </c>
      <c r="AT9" s="50">
        <v>125217488</v>
      </c>
      <c r="AU9" s="50">
        <v>132529218</v>
      </c>
      <c r="AV9" s="50">
        <v>122102098</v>
      </c>
      <c r="AW9" s="50">
        <v>110516653</v>
      </c>
      <c r="AX9" s="50">
        <v>126020571</v>
      </c>
      <c r="AY9" s="50">
        <f t="shared" si="0"/>
        <v>1428694953</v>
      </c>
      <c r="BA9" s="133">
        <v>1</v>
      </c>
      <c r="BB9" s="126"/>
      <c r="BC9" s="134" t="s">
        <v>69</v>
      </c>
      <c r="BD9" s="126"/>
      <c r="BE9" s="135">
        <v>1</v>
      </c>
    </row>
    <row r="10" spans="1:57" ht="15.6">
      <c r="A10" s="7">
        <v>2</v>
      </c>
      <c r="B10" s="8" t="s">
        <v>143</v>
      </c>
      <c r="C10" s="8"/>
      <c r="D10" s="8"/>
      <c r="E10" s="10">
        <f>SUM(F10:K10)</f>
        <v>-8110000</v>
      </c>
      <c r="F10" s="55">
        <v>-3478000</v>
      </c>
      <c r="G10" s="55">
        <v>-1159000</v>
      </c>
      <c r="H10" s="55">
        <v>-2118000</v>
      </c>
      <c r="I10" s="55">
        <v>-187000</v>
      </c>
      <c r="J10" s="106">
        <v>-1056000</v>
      </c>
      <c r="K10" s="107">
        <v>-112000</v>
      </c>
      <c r="M10" s="25">
        <v>1</v>
      </c>
      <c r="N10" s="24" t="s">
        <v>67</v>
      </c>
      <c r="O10" s="25" t="s">
        <v>151</v>
      </c>
      <c r="P10" s="27">
        <f>F23</f>
        <v>151404606.01129001</v>
      </c>
      <c r="Q10" s="27">
        <f>SUM(G23:I23)</f>
        <v>155123079.99809</v>
      </c>
      <c r="S10" s="21">
        <f>S9+1</f>
        <v>4</v>
      </c>
      <c r="T10" s="20" t="s">
        <v>49</v>
      </c>
      <c r="U10" s="36" t="s">
        <v>53</v>
      </c>
      <c r="V10" s="37">
        <f>V9/$AH9</f>
        <v>0.11968827178122463</v>
      </c>
      <c r="W10" s="37">
        <f t="shared" ref="W10:AG10" si="2">W9/$AH9</f>
        <v>9.7792727941324431E-2</v>
      </c>
      <c r="X10" s="37">
        <f t="shared" si="2"/>
        <v>9.6176032748061149E-2</v>
      </c>
      <c r="Y10" s="37">
        <f t="shared" si="2"/>
        <v>7.2450897907831047E-2</v>
      </c>
      <c r="Z10" s="37">
        <f t="shared" si="2"/>
        <v>7.0058477239725234E-2</v>
      </c>
      <c r="AA10" s="37">
        <f t="shared" si="2"/>
        <v>6.2296540926091069E-2</v>
      </c>
      <c r="AB10" s="37">
        <f t="shared" si="2"/>
        <v>6.4478221367267274E-2</v>
      </c>
      <c r="AC10" s="37">
        <f t="shared" si="2"/>
        <v>7.6234598191249808E-2</v>
      </c>
      <c r="AD10" s="37">
        <f t="shared" si="2"/>
        <v>6.1619463829304548E-2</v>
      </c>
      <c r="AE10" s="37">
        <f t="shared" si="2"/>
        <v>7.3178963493230595E-2</v>
      </c>
      <c r="AF10" s="37">
        <f t="shared" si="2"/>
        <v>8.9412414673675833E-2</v>
      </c>
      <c r="AG10" s="37">
        <f t="shared" si="2"/>
        <v>0.1166133899010144</v>
      </c>
      <c r="AH10" s="37">
        <f>SUM(V10:AG10)</f>
        <v>1</v>
      </c>
      <c r="AJ10" s="151"/>
      <c r="AK10" s="151" t="s">
        <v>303</v>
      </c>
      <c r="AL10" s="151"/>
      <c r="AM10" s="50">
        <v>91489298</v>
      </c>
      <c r="AN10" s="50">
        <v>94615706</v>
      </c>
      <c r="AO10" s="50">
        <v>86450358</v>
      </c>
      <c r="AP10" s="50">
        <v>94974601</v>
      </c>
      <c r="AQ10" s="50">
        <v>91311649</v>
      </c>
      <c r="AR10" s="50">
        <v>91684982</v>
      </c>
      <c r="AS10" s="50">
        <v>87883840</v>
      </c>
      <c r="AT10" s="50">
        <v>94835244</v>
      </c>
      <c r="AU10" s="50">
        <v>98265527</v>
      </c>
      <c r="AV10" s="50">
        <v>90540039</v>
      </c>
      <c r="AW10" s="50">
        <v>89392627</v>
      </c>
      <c r="AX10" s="50">
        <v>90598623</v>
      </c>
      <c r="AY10" s="50">
        <f t="shared" si="0"/>
        <v>1102042494</v>
      </c>
      <c r="BA10" s="133"/>
      <c r="BB10" s="126"/>
      <c r="BC10" s="126"/>
      <c r="BD10" s="126"/>
      <c r="BE10" s="135"/>
    </row>
    <row r="11" spans="1:57" ht="15.6">
      <c r="A11" s="7">
        <v>3</v>
      </c>
      <c r="B11" s="8" t="s">
        <v>290</v>
      </c>
      <c r="C11" s="8"/>
      <c r="D11" s="8"/>
      <c r="E11" s="10">
        <f>SUM(F11:K11)</f>
        <v>491872000</v>
      </c>
      <c r="F11" s="10">
        <f t="shared" ref="F11:K11" si="3">F9+F10</f>
        <v>211363000</v>
      </c>
      <c r="G11" s="10">
        <f t="shared" si="3"/>
        <v>70145000</v>
      </c>
      <c r="H11" s="10">
        <f t="shared" si="3"/>
        <v>128034000</v>
      </c>
      <c r="I11" s="10">
        <f t="shared" si="3"/>
        <v>11284000</v>
      </c>
      <c r="J11" s="108">
        <f>J9+J10</f>
        <v>64138000</v>
      </c>
      <c r="K11" s="109">
        <f t="shared" si="3"/>
        <v>6908000</v>
      </c>
      <c r="M11" s="25"/>
      <c r="N11" s="24"/>
      <c r="O11" s="24"/>
      <c r="P11" s="24"/>
      <c r="Q11" s="24"/>
      <c r="S11" s="21"/>
      <c r="T11" s="20"/>
      <c r="U11" s="38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J11" s="151"/>
      <c r="AK11" s="151" t="s">
        <v>304</v>
      </c>
      <c r="AL11" s="151"/>
      <c r="AM11" s="50">
        <v>4672648</v>
      </c>
      <c r="AN11" s="50">
        <v>4692329</v>
      </c>
      <c r="AO11" s="50">
        <v>4018427</v>
      </c>
      <c r="AP11" s="50">
        <v>5516677</v>
      </c>
      <c r="AQ11" s="50">
        <v>10758607</v>
      </c>
      <c r="AR11" s="50">
        <v>19067966</v>
      </c>
      <c r="AS11" s="50">
        <v>22113559</v>
      </c>
      <c r="AT11" s="50">
        <v>23803945</v>
      </c>
      <c r="AU11" s="50">
        <v>22699934</v>
      </c>
      <c r="AV11" s="50">
        <v>10534589</v>
      </c>
      <c r="AW11" s="50">
        <v>4961688</v>
      </c>
      <c r="AX11" s="50">
        <v>4285935</v>
      </c>
      <c r="AY11" s="50">
        <f t="shared" si="0"/>
        <v>137126304</v>
      </c>
      <c r="BA11" s="133"/>
      <c r="BB11" s="126"/>
      <c r="BC11" s="136" t="s">
        <v>162</v>
      </c>
      <c r="BD11" s="137"/>
      <c r="BE11" s="135"/>
    </row>
    <row r="12" spans="1:57" ht="15.6">
      <c r="A12" s="7"/>
      <c r="B12" s="8"/>
      <c r="C12" s="8"/>
      <c r="D12" s="8"/>
      <c r="E12" s="10"/>
      <c r="F12" s="10"/>
      <c r="G12" s="10"/>
      <c r="H12" s="10"/>
      <c r="I12" s="10"/>
      <c r="J12" s="108"/>
      <c r="K12" s="109"/>
      <c r="M12" s="25">
        <v>2</v>
      </c>
      <c r="N12" s="24" t="s">
        <v>79</v>
      </c>
      <c r="O12" s="25" t="s">
        <v>56</v>
      </c>
      <c r="P12" s="28">
        <f>F19/12</f>
        <v>205172.25</v>
      </c>
      <c r="Q12" s="28">
        <f>SUM(G19:I19)/12</f>
        <v>34823.166666666664</v>
      </c>
      <c r="S12" s="21">
        <v>5</v>
      </c>
      <c r="T12" s="34" t="s">
        <v>50</v>
      </c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J12" s="151"/>
      <c r="AK12" s="151" t="s">
        <v>87</v>
      </c>
      <c r="AL12" s="151"/>
      <c r="AM12" s="50">
        <v>2098291</v>
      </c>
      <c r="AN12" s="50">
        <v>2097748</v>
      </c>
      <c r="AO12" s="50">
        <v>2097084</v>
      </c>
      <c r="AP12" s="50">
        <v>2092917</v>
      </c>
      <c r="AQ12" s="50">
        <v>2080667</v>
      </c>
      <c r="AR12" s="50">
        <v>2071670</v>
      </c>
      <c r="AS12" s="50">
        <v>2091912</v>
      </c>
      <c r="AT12" s="50">
        <v>2091315</v>
      </c>
      <c r="AU12" s="50">
        <v>2086444</v>
      </c>
      <c r="AV12" s="50">
        <v>2114106</v>
      </c>
      <c r="AW12" s="50">
        <v>2103410</v>
      </c>
      <c r="AX12" s="50">
        <v>2102201</v>
      </c>
      <c r="AY12" s="50">
        <f t="shared" si="0"/>
        <v>25127765</v>
      </c>
      <c r="BA12" s="133">
        <v>2</v>
      </c>
      <c r="BB12" s="126"/>
      <c r="BC12" s="137" t="s">
        <v>163</v>
      </c>
      <c r="BD12" s="137"/>
      <c r="BE12" s="137">
        <v>5.3530000000000001E-3</v>
      </c>
    </row>
    <row r="13" spans="1:57" ht="15.6">
      <c r="A13" s="7">
        <v>4</v>
      </c>
      <c r="B13" s="8" t="s">
        <v>291</v>
      </c>
      <c r="C13" s="8"/>
      <c r="D13" s="8"/>
      <c r="E13" s="11">
        <f>SUM(F13:K13)</f>
        <v>5653834483</v>
      </c>
      <c r="F13" s="12">
        <v>2378478031</v>
      </c>
      <c r="G13" s="12">
        <v>588401236</v>
      </c>
      <c r="H13" s="12">
        <v>1419228271</v>
      </c>
      <c r="I13" s="12">
        <v>137227044</v>
      </c>
      <c r="J13" s="110">
        <v>1105372136</v>
      </c>
      <c r="K13" s="111">
        <v>25127765</v>
      </c>
      <c r="M13" s="25"/>
      <c r="N13" s="24"/>
      <c r="O13" s="24"/>
      <c r="P13" s="28"/>
      <c r="Q13" s="28"/>
      <c r="S13" s="21">
        <v>6</v>
      </c>
      <c r="T13" s="23" t="s">
        <v>48</v>
      </c>
      <c r="U13" s="21" t="s">
        <v>77</v>
      </c>
      <c r="V13" s="45">
        <f>AM53</f>
        <v>174546983</v>
      </c>
      <c r="W13" s="45">
        <f t="shared" ref="W13:AG13" si="4">AN53</f>
        <v>177500854</v>
      </c>
      <c r="X13" s="45">
        <f t="shared" si="4"/>
        <v>166289029</v>
      </c>
      <c r="Y13" s="45">
        <f t="shared" si="4"/>
        <v>165417455</v>
      </c>
      <c r="Z13" s="45">
        <f t="shared" si="4"/>
        <v>178108889</v>
      </c>
      <c r="AA13" s="45">
        <f t="shared" si="4"/>
        <v>185503197</v>
      </c>
      <c r="AB13" s="45">
        <f t="shared" si="4"/>
        <v>200737081</v>
      </c>
      <c r="AC13" s="45">
        <f t="shared" si="4"/>
        <v>187588012</v>
      </c>
      <c r="AD13" s="45">
        <f t="shared" si="4"/>
        <v>179420897</v>
      </c>
      <c r="AE13" s="45">
        <f t="shared" si="4"/>
        <v>183203251</v>
      </c>
      <c r="AF13" s="45">
        <f t="shared" si="4"/>
        <v>168530619</v>
      </c>
      <c r="AG13" s="45">
        <f t="shared" si="4"/>
        <v>178010284</v>
      </c>
      <c r="AH13" s="35">
        <f>SUM(V13:AG13)</f>
        <v>2144856551</v>
      </c>
      <c r="AJ13" s="151" t="s">
        <v>88</v>
      </c>
      <c r="AK13" s="151"/>
      <c r="AL13" s="151"/>
      <c r="AM13" s="51">
        <f>SUM(AM7:AM12)</f>
        <v>573031742</v>
      </c>
      <c r="AN13" s="51">
        <f t="shared" ref="AN13:AY13" si="5">SUM(AN7:AN12)</f>
        <v>545716206</v>
      </c>
      <c r="AO13" s="51">
        <f t="shared" si="5"/>
        <v>506123067</v>
      </c>
      <c r="AP13" s="51">
        <f t="shared" si="5"/>
        <v>443610115</v>
      </c>
      <c r="AQ13" s="51">
        <f t="shared" si="5"/>
        <v>428312473</v>
      </c>
      <c r="AR13" s="51">
        <f t="shared" si="5"/>
        <v>409626433</v>
      </c>
      <c r="AS13" s="51">
        <f t="shared" si="5"/>
        <v>427456803</v>
      </c>
      <c r="AT13" s="51">
        <f t="shared" si="5"/>
        <v>486326967</v>
      </c>
      <c r="AU13" s="51">
        <f t="shared" si="5"/>
        <v>491736363</v>
      </c>
      <c r="AV13" s="51">
        <f t="shared" si="5"/>
        <v>445833784</v>
      </c>
      <c r="AW13" s="51">
        <f t="shared" si="5"/>
        <v>433929463</v>
      </c>
      <c r="AX13" s="51">
        <f t="shared" si="5"/>
        <v>541631542</v>
      </c>
      <c r="AY13" s="51">
        <f t="shared" si="5"/>
        <v>5733334958</v>
      </c>
      <c r="BA13" s="133"/>
      <c r="BB13" s="126"/>
      <c r="BC13" s="137"/>
      <c r="BD13" s="137"/>
      <c r="BE13" s="137"/>
    </row>
    <row r="14" spans="1:57" ht="15.6">
      <c r="A14" s="7">
        <v>5</v>
      </c>
      <c r="B14" s="8" t="s">
        <v>144</v>
      </c>
      <c r="C14" s="8"/>
      <c r="D14" s="13"/>
      <c r="E14" s="13">
        <f t="shared" ref="E14:K14" si="6">$E$27</f>
        <v>1.6410000000000001E-2</v>
      </c>
      <c r="F14" s="13">
        <f t="shared" si="6"/>
        <v>1.6410000000000001E-2</v>
      </c>
      <c r="G14" s="13">
        <f t="shared" si="6"/>
        <v>1.6410000000000001E-2</v>
      </c>
      <c r="H14" s="13">
        <f t="shared" si="6"/>
        <v>1.6410000000000001E-2</v>
      </c>
      <c r="I14" s="13">
        <f t="shared" si="6"/>
        <v>1.6410000000000001E-2</v>
      </c>
      <c r="J14" s="112">
        <f t="shared" si="6"/>
        <v>1.6410000000000001E-2</v>
      </c>
      <c r="K14" s="113">
        <f t="shared" si="6"/>
        <v>1.6410000000000001E-2</v>
      </c>
      <c r="M14" s="25">
        <v>3</v>
      </c>
      <c r="N14" s="24" t="s">
        <v>68</v>
      </c>
      <c r="O14" s="25" t="str">
        <f>"("&amp;M10&amp;") / ("&amp;M12&amp;")"</f>
        <v>(1) / (2)</v>
      </c>
      <c r="P14" s="29">
        <f>ROUND(P10/P12,2)</f>
        <v>737.94</v>
      </c>
      <c r="Q14" s="29">
        <f>ROUND(Q10/Q12,2)</f>
        <v>4454.59</v>
      </c>
      <c r="S14" s="21">
        <v>7</v>
      </c>
      <c r="T14" s="20" t="s">
        <v>49</v>
      </c>
      <c r="U14" s="36" t="s">
        <v>53</v>
      </c>
      <c r="V14" s="40">
        <f>V13/$AH13</f>
        <v>8.1379327171609991E-2</v>
      </c>
      <c r="W14" s="40">
        <f t="shared" ref="W14:AG14" si="7">W13/$AH13</f>
        <v>8.2756515309727122E-2</v>
      </c>
      <c r="X14" s="40">
        <f t="shared" si="7"/>
        <v>7.7529207686393195E-2</v>
      </c>
      <c r="Y14" s="40">
        <f t="shared" si="7"/>
        <v>7.7122852305846354E-2</v>
      </c>
      <c r="Z14" s="40">
        <f t="shared" si="7"/>
        <v>8.3040000468544151E-2</v>
      </c>
      <c r="AA14" s="40">
        <f t="shared" si="7"/>
        <v>8.6487460857702828E-2</v>
      </c>
      <c r="AB14" s="40">
        <f t="shared" si="7"/>
        <v>9.3589979668528431E-2</v>
      </c>
      <c r="AC14" s="40">
        <f t="shared" si="7"/>
        <v>8.7459467586557496E-2</v>
      </c>
      <c r="AD14" s="40">
        <f t="shared" si="7"/>
        <v>8.3651700117822941E-2</v>
      </c>
      <c r="AE14" s="40">
        <f t="shared" si="7"/>
        <v>8.5415153248633274E-2</v>
      </c>
      <c r="AF14" s="40">
        <f t="shared" si="7"/>
        <v>7.8574307881534411E-2</v>
      </c>
      <c r="AG14" s="40">
        <f t="shared" si="7"/>
        <v>8.299402769709982E-2</v>
      </c>
      <c r="AH14" s="40">
        <f>SUM(V14:AG14)</f>
        <v>1</v>
      </c>
      <c r="AJ14" s="151"/>
      <c r="AK14" s="151"/>
      <c r="AL14" s="151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BA14" s="133">
        <v>3</v>
      </c>
      <c r="BB14" s="126"/>
      <c r="BC14" s="137" t="s">
        <v>164</v>
      </c>
      <c r="BD14" s="137"/>
      <c r="BE14" s="137">
        <v>2E-3</v>
      </c>
    </row>
    <row r="15" spans="1:57" ht="15.6">
      <c r="A15" s="7">
        <v>6</v>
      </c>
      <c r="B15" s="8" t="s">
        <v>58</v>
      </c>
      <c r="C15" s="8"/>
      <c r="D15" s="13"/>
      <c r="E15" s="10">
        <f>SUM(F15:K15)</f>
        <v>92779423.866030008</v>
      </c>
      <c r="F15" s="10">
        <f t="shared" ref="F15:K15" si="8">F14*F13</f>
        <v>39030824.488710001</v>
      </c>
      <c r="G15" s="10">
        <f t="shared" si="8"/>
        <v>9655664.2827599999</v>
      </c>
      <c r="H15" s="10">
        <f t="shared" si="8"/>
        <v>23289535.927110001</v>
      </c>
      <c r="I15" s="10">
        <f t="shared" si="8"/>
        <v>2251895.7920400002</v>
      </c>
      <c r="J15" s="108">
        <f t="shared" si="8"/>
        <v>18139156.751760002</v>
      </c>
      <c r="K15" s="109">
        <f t="shared" si="8"/>
        <v>412346.62365000002</v>
      </c>
      <c r="M15" s="25"/>
      <c r="N15" s="24"/>
      <c r="O15" s="24"/>
      <c r="P15" s="30"/>
      <c r="Q15" s="30"/>
      <c r="S15" s="21"/>
      <c r="T15" s="20"/>
      <c r="U15" s="41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J15" s="151" t="s">
        <v>89</v>
      </c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BA15" s="133"/>
      <c r="BB15" s="126"/>
      <c r="BC15" s="137"/>
      <c r="BD15" s="137"/>
      <c r="BE15" s="137"/>
    </row>
    <row r="16" spans="1:57" ht="15.6">
      <c r="A16" s="7"/>
      <c r="B16" s="8"/>
      <c r="C16" s="8"/>
      <c r="D16" s="8"/>
      <c r="E16" s="10"/>
      <c r="F16" s="10"/>
      <c r="G16" s="10"/>
      <c r="H16" s="10"/>
      <c r="I16" s="10"/>
      <c r="J16" s="108"/>
      <c r="K16" s="109"/>
      <c r="M16" s="25"/>
      <c r="N16" s="31" t="s">
        <v>51</v>
      </c>
      <c r="O16" s="24"/>
      <c r="P16" s="24"/>
      <c r="Q16" s="24"/>
      <c r="S16" s="21"/>
      <c r="T16" s="34"/>
      <c r="U16" s="21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33"/>
      <c r="AJ16" s="151"/>
      <c r="AK16" s="151" t="s">
        <v>302</v>
      </c>
      <c r="AL16" s="151"/>
      <c r="AM16" s="50">
        <v>-8629013</v>
      </c>
      <c r="AN16" s="50">
        <v>-13249697</v>
      </c>
      <c r="AO16" s="50">
        <v>-15167724</v>
      </c>
      <c r="AP16" s="50">
        <v>-15020391</v>
      </c>
      <c r="AQ16" s="50">
        <v>-8320850</v>
      </c>
      <c r="AR16" s="50">
        <v>-6289455</v>
      </c>
      <c r="AS16" s="50">
        <v>32359748</v>
      </c>
      <c r="AT16" s="50">
        <v>7875571</v>
      </c>
      <c r="AU16" s="50">
        <v>-35572443</v>
      </c>
      <c r="AV16" s="50">
        <v>5552393</v>
      </c>
      <c r="AW16" s="50">
        <v>31259449</v>
      </c>
      <c r="AX16" s="50">
        <v>21876369</v>
      </c>
      <c r="AY16" s="50">
        <f t="shared" ref="AY16:AY21" si="9">SUM(AM16:AX16)</f>
        <v>-3326043</v>
      </c>
      <c r="BA16" s="133">
        <v>4</v>
      </c>
      <c r="BB16" s="126"/>
      <c r="BC16" s="137" t="s">
        <v>165</v>
      </c>
      <c r="BD16" s="137"/>
      <c r="BE16" s="137">
        <v>3.8526999999999999E-2</v>
      </c>
    </row>
    <row r="17" spans="1:57" ht="15.6">
      <c r="A17" s="7">
        <v>7</v>
      </c>
      <c r="B17" s="8" t="s">
        <v>61</v>
      </c>
      <c r="C17" s="8"/>
      <c r="D17" s="8"/>
      <c r="E17" s="10">
        <f>SUM(F17:K17)</f>
        <v>346598079.50938004</v>
      </c>
      <c r="F17" s="14">
        <f>F11-F15</f>
        <v>172332175.51129001</v>
      </c>
      <c r="G17" s="14">
        <f>G11-G15</f>
        <v>60489335.717239998</v>
      </c>
      <c r="H17" s="14">
        <f>H11-H15</f>
        <v>104744464.07289</v>
      </c>
      <c r="I17" s="14">
        <f>I11-I15</f>
        <v>9032104.2079600003</v>
      </c>
      <c r="J17" s="104"/>
      <c r="K17" s="105"/>
      <c r="M17" s="2"/>
      <c r="N17" s="2"/>
      <c r="O17" s="2"/>
      <c r="P17" s="2"/>
      <c r="Q17" s="2"/>
      <c r="S17" s="21"/>
      <c r="T17" s="23"/>
      <c r="U17" s="21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35"/>
      <c r="AJ17" s="151"/>
      <c r="AK17" s="151" t="s">
        <v>85</v>
      </c>
      <c r="AL17" s="151"/>
      <c r="AM17" s="50">
        <v>-3303565</v>
      </c>
      <c r="AN17" s="50">
        <v>-1535906</v>
      </c>
      <c r="AO17" s="50">
        <v>-2730463</v>
      </c>
      <c r="AP17" s="50">
        <v>-359642</v>
      </c>
      <c r="AQ17" s="50">
        <v>330134</v>
      </c>
      <c r="AR17" s="50">
        <v>-8117</v>
      </c>
      <c r="AS17" s="50">
        <v>8770260</v>
      </c>
      <c r="AT17" s="50">
        <v>-66022</v>
      </c>
      <c r="AU17" s="50">
        <v>-7064268</v>
      </c>
      <c r="AV17" s="50">
        <v>1915402</v>
      </c>
      <c r="AW17" s="50">
        <v>3710756</v>
      </c>
      <c r="AX17" s="50">
        <v>571774</v>
      </c>
      <c r="AY17" s="50">
        <f t="shared" si="9"/>
        <v>230343</v>
      </c>
      <c r="BA17" s="133"/>
      <c r="BB17" s="126"/>
      <c r="BC17" s="137"/>
      <c r="BD17" s="137"/>
      <c r="BE17" s="137"/>
    </row>
    <row r="18" spans="1:57" ht="15.6">
      <c r="A18" s="7"/>
      <c r="B18" s="8"/>
      <c r="C18" s="8"/>
      <c r="D18" s="8"/>
      <c r="E18" s="8"/>
      <c r="F18" s="8"/>
      <c r="G18" s="8"/>
      <c r="H18" s="8"/>
      <c r="I18" s="8"/>
      <c r="J18" s="104"/>
      <c r="K18" s="105"/>
      <c r="M18" s="2"/>
      <c r="N18" s="52" t="s">
        <v>69</v>
      </c>
      <c r="O18" s="2"/>
      <c r="P18" s="2"/>
      <c r="Q18" s="2"/>
      <c r="S18" s="21"/>
      <c r="T18" s="20"/>
      <c r="U18" s="36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J18" s="151"/>
      <c r="AK18" s="151" t="s">
        <v>86</v>
      </c>
      <c r="AL18" s="151"/>
      <c r="AM18" s="50">
        <v>-12112408</v>
      </c>
      <c r="AN18" s="50">
        <v>-1842619</v>
      </c>
      <c r="AO18" s="50">
        <v>-4416151</v>
      </c>
      <c r="AP18" s="50">
        <v>5108117</v>
      </c>
      <c r="AQ18" s="50">
        <v>5506971</v>
      </c>
      <c r="AR18" s="50">
        <v>6019940</v>
      </c>
      <c r="AS18" s="50">
        <v>19264215</v>
      </c>
      <c r="AT18" s="50">
        <v>-5195728</v>
      </c>
      <c r="AU18" s="50">
        <v>-16717293</v>
      </c>
      <c r="AV18" s="50">
        <v>5029228</v>
      </c>
      <c r="AW18" s="50">
        <v>7159702</v>
      </c>
      <c r="AX18" s="50">
        <v>-7595920</v>
      </c>
      <c r="AY18" s="50">
        <f t="shared" si="9"/>
        <v>208054</v>
      </c>
      <c r="BA18" s="133">
        <v>5</v>
      </c>
      <c r="BB18" s="126"/>
      <c r="BC18" s="137" t="s">
        <v>166</v>
      </c>
      <c r="BD18" s="137"/>
      <c r="BE18" s="138">
        <f>SUM(BE12:BE16)</f>
        <v>4.5879999999999997E-2</v>
      </c>
    </row>
    <row r="19" spans="1:57" ht="15.6">
      <c r="A19" s="7">
        <v>8</v>
      </c>
      <c r="B19" s="8" t="s">
        <v>292</v>
      </c>
      <c r="C19" s="8"/>
      <c r="D19" s="8"/>
      <c r="E19" s="11">
        <f>SUM(F19:K19)</f>
        <v>2879945</v>
      </c>
      <c r="F19" s="15">
        <v>2462067</v>
      </c>
      <c r="G19" s="15">
        <v>364552</v>
      </c>
      <c r="H19" s="15">
        <v>24110</v>
      </c>
      <c r="I19" s="15">
        <v>29216</v>
      </c>
      <c r="J19" s="104"/>
      <c r="K19" s="105"/>
      <c r="M19" s="2"/>
      <c r="N19" s="52" t="s">
        <v>70</v>
      </c>
      <c r="O19" s="2"/>
      <c r="P19" s="27">
        <f>P12*P14</f>
        <v>151404810.16500002</v>
      </c>
      <c r="Q19" s="27">
        <f>Q12*Q14</f>
        <v>155122930.00166667</v>
      </c>
      <c r="S19" s="21"/>
      <c r="T19" s="20"/>
      <c r="U19" s="21"/>
      <c r="V19" s="40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J19" s="151"/>
      <c r="AK19" s="151" t="s">
        <v>303</v>
      </c>
      <c r="AL19" s="151"/>
      <c r="AM19" s="50">
        <v>2241859</v>
      </c>
      <c r="AN19" s="50">
        <v>-8070452</v>
      </c>
      <c r="AO19" s="50">
        <v>8650454</v>
      </c>
      <c r="AP19" s="50">
        <v>-3806069</v>
      </c>
      <c r="AQ19" s="50">
        <v>364651</v>
      </c>
      <c r="AR19" s="50">
        <v>-3831904</v>
      </c>
      <c r="AS19" s="50">
        <v>7018703</v>
      </c>
      <c r="AT19" s="50">
        <v>3501763</v>
      </c>
      <c r="AU19" s="50">
        <v>-4414487</v>
      </c>
      <c r="AV19" s="50">
        <v>1351394</v>
      </c>
      <c r="AW19" s="50">
        <v>-1068952</v>
      </c>
      <c r="AX19" s="50">
        <v>1470945</v>
      </c>
      <c r="AY19" s="50">
        <f t="shared" si="9"/>
        <v>3407905</v>
      </c>
      <c r="BA19" s="133"/>
      <c r="BB19" s="126"/>
      <c r="BC19" s="137"/>
      <c r="BD19" s="137"/>
      <c r="BE19" s="139"/>
    </row>
    <row r="20" spans="1:57" ht="15.6">
      <c r="A20" s="7">
        <v>9</v>
      </c>
      <c r="B20" s="8" t="s">
        <v>145</v>
      </c>
      <c r="C20" s="8"/>
      <c r="D20" s="8"/>
      <c r="E20" s="10"/>
      <c r="F20" s="54">
        <v>8.5</v>
      </c>
      <c r="G20" s="54">
        <v>18</v>
      </c>
      <c r="H20" s="54">
        <v>500</v>
      </c>
      <c r="I20" s="54">
        <v>18</v>
      </c>
      <c r="J20" s="104"/>
      <c r="K20" s="105"/>
      <c r="M20" s="2"/>
      <c r="N20" s="52" t="s">
        <v>72</v>
      </c>
      <c r="O20" s="2"/>
      <c r="P20" s="27">
        <f>F32</f>
        <v>20927569.5</v>
      </c>
      <c r="Q20" s="27">
        <f>G32</f>
        <v>19142824</v>
      </c>
      <c r="S20" s="21">
        <v>8</v>
      </c>
      <c r="T20" s="32" t="s">
        <v>74</v>
      </c>
      <c r="U20" s="21"/>
      <c r="V20" s="40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J20" s="151"/>
      <c r="AK20" s="151" t="s">
        <v>304</v>
      </c>
      <c r="AL20" s="151"/>
      <c r="AM20" s="50">
        <v>-43021</v>
      </c>
      <c r="AN20" s="50">
        <v>-25142</v>
      </c>
      <c r="AO20" s="50">
        <v>-357896</v>
      </c>
      <c r="AP20" s="50">
        <v>812155</v>
      </c>
      <c r="AQ20" s="50">
        <v>2291358</v>
      </c>
      <c r="AR20" s="50">
        <v>4650004</v>
      </c>
      <c r="AS20" s="50">
        <v>4465624</v>
      </c>
      <c r="AT20" s="50">
        <v>-265677</v>
      </c>
      <c r="AU20" s="50">
        <v>-3821209</v>
      </c>
      <c r="AV20" s="50">
        <v>-4323417</v>
      </c>
      <c r="AW20" s="50">
        <v>-2327262</v>
      </c>
      <c r="AX20" s="50">
        <v>-954777</v>
      </c>
      <c r="AY20" s="50">
        <f t="shared" si="9"/>
        <v>100740</v>
      </c>
      <c r="BA20" s="133">
        <v>6</v>
      </c>
      <c r="BB20" s="126"/>
      <c r="BC20" s="137" t="s">
        <v>167</v>
      </c>
      <c r="BD20" s="137"/>
      <c r="BE20" s="139">
        <f>BE9-BE18</f>
        <v>0.95411999999999997</v>
      </c>
    </row>
    <row r="21" spans="1:57" ht="15.6">
      <c r="A21" s="7">
        <v>10</v>
      </c>
      <c r="B21" s="8" t="s">
        <v>59</v>
      </c>
      <c r="C21" s="8"/>
      <c r="D21" s="8"/>
      <c r="E21" s="10">
        <f>SUM(F21:K21)</f>
        <v>40070393.5</v>
      </c>
      <c r="F21" s="16">
        <f>F20*F19</f>
        <v>20927569.5</v>
      </c>
      <c r="G21" s="16">
        <f>G20*G19</f>
        <v>6561936</v>
      </c>
      <c r="H21" s="16">
        <f>H20*H19</f>
        <v>12055000</v>
      </c>
      <c r="I21" s="16">
        <f>I20*I19</f>
        <v>525888</v>
      </c>
      <c r="J21" s="104"/>
      <c r="K21" s="105"/>
      <c r="M21" s="2"/>
      <c r="N21" s="52" t="s">
        <v>71</v>
      </c>
      <c r="O21" s="2"/>
      <c r="P21" s="27">
        <f>F15</f>
        <v>39030824.488710001</v>
      </c>
      <c r="Q21" s="27">
        <f>SUM(G15:I15)</f>
        <v>35197096.001910001</v>
      </c>
      <c r="S21" s="21">
        <f>S20+1</f>
        <v>9</v>
      </c>
      <c r="T21" s="34" t="s">
        <v>19</v>
      </c>
      <c r="U21" s="21"/>
      <c r="V21" s="4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J21" s="151"/>
      <c r="AK21" s="151" t="s">
        <v>87</v>
      </c>
      <c r="AL21" s="151"/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f t="shared" si="9"/>
        <v>0</v>
      </c>
      <c r="BA21" s="126"/>
      <c r="BB21" s="126"/>
      <c r="BC21" s="137"/>
      <c r="BD21" s="137"/>
      <c r="BE21" s="139"/>
    </row>
    <row r="22" spans="1:57" ht="15.6">
      <c r="A22" s="7"/>
      <c r="B22" s="8"/>
      <c r="C22" s="8"/>
      <c r="D22" s="8"/>
      <c r="E22" s="10"/>
      <c r="F22" s="16"/>
      <c r="G22" s="16"/>
      <c r="H22" s="16"/>
      <c r="I22" s="16"/>
      <c r="J22" s="389" t="s">
        <v>78</v>
      </c>
      <c r="K22" s="390"/>
      <c r="M22" s="2"/>
      <c r="N22" s="52" t="s">
        <v>15</v>
      </c>
      <c r="O22" s="2"/>
      <c r="P22" s="53">
        <f>SUM(P19:P21)</f>
        <v>211363204.15371001</v>
      </c>
      <c r="Q22" s="53">
        <f>SUM(Q19:Q21)</f>
        <v>209462850.00357667</v>
      </c>
      <c r="S22" s="21">
        <f>S21+1</f>
        <v>10</v>
      </c>
      <c r="T22" s="20" t="s">
        <v>152</v>
      </c>
      <c r="U22" s="21" t="s">
        <v>153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42">
        <f>P14</f>
        <v>737.94</v>
      </c>
      <c r="AJ22" s="151" t="s">
        <v>90</v>
      </c>
      <c r="AK22" s="151"/>
      <c r="AL22" s="151"/>
      <c r="AM22" s="51">
        <f>SUM(AM16:AM21)</f>
        <v>-21846148</v>
      </c>
      <c r="AN22" s="51">
        <f t="shared" ref="AN22:AY22" si="10">SUM(AN16:AN21)</f>
        <v>-24723816</v>
      </c>
      <c r="AO22" s="51">
        <f t="shared" si="10"/>
        <v>-14021780</v>
      </c>
      <c r="AP22" s="51">
        <f t="shared" si="10"/>
        <v>-13265830</v>
      </c>
      <c r="AQ22" s="51">
        <f t="shared" si="10"/>
        <v>172264</v>
      </c>
      <c r="AR22" s="51">
        <f t="shared" si="10"/>
        <v>540468</v>
      </c>
      <c r="AS22" s="51">
        <f t="shared" si="10"/>
        <v>71878550</v>
      </c>
      <c r="AT22" s="51">
        <f t="shared" si="10"/>
        <v>5849907</v>
      </c>
      <c r="AU22" s="51">
        <f t="shared" si="10"/>
        <v>-67589700</v>
      </c>
      <c r="AV22" s="51">
        <f t="shared" si="10"/>
        <v>9525000</v>
      </c>
      <c r="AW22" s="51">
        <f t="shared" si="10"/>
        <v>38733693</v>
      </c>
      <c r="AX22" s="51">
        <f t="shared" si="10"/>
        <v>15368391</v>
      </c>
      <c r="AY22" s="51">
        <f t="shared" si="10"/>
        <v>620999</v>
      </c>
      <c r="BA22" s="133">
        <v>7</v>
      </c>
      <c r="BB22" s="126"/>
      <c r="BC22" s="137" t="s">
        <v>168</v>
      </c>
      <c r="BD22" s="140"/>
      <c r="BE22" s="257">
        <f>ROUND(BE20*0.35,6)</f>
        <v>0.33394200000000002</v>
      </c>
    </row>
    <row r="23" spans="1:57" ht="15.6">
      <c r="A23" s="7">
        <v>11</v>
      </c>
      <c r="B23" s="8" t="s">
        <v>60</v>
      </c>
      <c r="C23" s="8"/>
      <c r="D23" s="8"/>
      <c r="E23" s="10">
        <f>SUM(F23:K23)</f>
        <v>306527686.00938004</v>
      </c>
      <c r="F23" s="14">
        <f>F17-F21</f>
        <v>151404606.01129001</v>
      </c>
      <c r="G23" s="14">
        <f>G17-G21</f>
        <v>53927399.717239998</v>
      </c>
      <c r="H23" s="14">
        <f>H17-H21</f>
        <v>92689464.072889999</v>
      </c>
      <c r="I23" s="14">
        <f>I17-I21</f>
        <v>8506216.2079600003</v>
      </c>
      <c r="J23" s="389"/>
      <c r="K23" s="390"/>
      <c r="M23" s="2"/>
      <c r="N23" s="2"/>
      <c r="O23" s="2"/>
      <c r="P23" s="2"/>
      <c r="Q23" s="2"/>
      <c r="S23" s="21">
        <f>S22+1</f>
        <v>11</v>
      </c>
      <c r="T23" s="20" t="s">
        <v>154</v>
      </c>
      <c r="U23" s="21" t="str">
        <f>"("&amp;S$10&amp;") x ("&amp;S22&amp;")"</f>
        <v>(4) x (10)</v>
      </c>
      <c r="V23" s="43">
        <f>$AH22*V$10</f>
        <v>88.322763278236906</v>
      </c>
      <c r="W23" s="43">
        <f t="shared" ref="W23:AG23" si="11">$AH22*W$10</f>
        <v>72.16516565702095</v>
      </c>
      <c r="X23" s="43">
        <f t="shared" si="11"/>
        <v>70.972141606104245</v>
      </c>
      <c r="Y23" s="43">
        <f t="shared" si="11"/>
        <v>53.464415602104843</v>
      </c>
      <c r="Z23" s="43">
        <f t="shared" si="11"/>
        <v>51.698952694282845</v>
      </c>
      <c r="AA23" s="43">
        <f t="shared" si="11"/>
        <v>45.971109410999645</v>
      </c>
      <c r="AB23" s="43">
        <f t="shared" si="11"/>
        <v>47.581058675761213</v>
      </c>
      <c r="AC23" s="43">
        <f t="shared" si="11"/>
        <v>56.256559389250889</v>
      </c>
      <c r="AD23" s="43">
        <f t="shared" si="11"/>
        <v>45.471467138196999</v>
      </c>
      <c r="AE23" s="43">
        <f t="shared" si="11"/>
        <v>54.001684320194592</v>
      </c>
      <c r="AF23" s="43">
        <f t="shared" si="11"/>
        <v>65.980997284292343</v>
      </c>
      <c r="AG23" s="43">
        <f t="shared" si="11"/>
        <v>86.053684943554572</v>
      </c>
      <c r="AH23" s="42">
        <f>SUM(V23:AG23)</f>
        <v>737.94</v>
      </c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BA23" s="126"/>
      <c r="BB23" s="126"/>
      <c r="BC23" s="137"/>
      <c r="BD23" s="137"/>
      <c r="BE23" s="139"/>
    </row>
    <row r="24" spans="1:57" ht="16.2" thickBot="1">
      <c r="A24" s="7"/>
      <c r="B24" s="8"/>
      <c r="C24" s="8"/>
      <c r="D24" s="8"/>
      <c r="E24" s="8"/>
      <c r="F24" s="11"/>
      <c r="G24" s="8"/>
      <c r="H24" s="8"/>
      <c r="I24" s="8"/>
      <c r="J24" s="8"/>
      <c r="K24" s="8"/>
      <c r="M24" s="250" t="s">
        <v>285</v>
      </c>
      <c r="S24" s="21"/>
      <c r="T24" s="20"/>
      <c r="U24" s="21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2"/>
      <c r="AJ24" s="151" t="s">
        <v>91</v>
      </c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BA24" s="133">
        <v>8</v>
      </c>
      <c r="BB24" s="126"/>
      <c r="BC24" s="136" t="s">
        <v>169</v>
      </c>
      <c r="BD24" s="137"/>
      <c r="BE24" s="142">
        <f>ROUND(BE20-BE22,5)</f>
        <v>0.62017999999999995</v>
      </c>
    </row>
    <row r="25" spans="1:57" ht="16.2" thickTop="1">
      <c r="A25" s="7">
        <v>12</v>
      </c>
      <c r="B25" s="8" t="s">
        <v>146</v>
      </c>
      <c r="C25" s="8"/>
      <c r="D25" s="8"/>
      <c r="E25" s="114">
        <v>1.566E-2</v>
      </c>
      <c r="F25" s="8"/>
      <c r="G25" s="8"/>
      <c r="H25" s="8"/>
      <c r="I25" s="8"/>
      <c r="J25" s="8"/>
      <c r="K25" s="8"/>
      <c r="S25" s="21">
        <f>S23+1</f>
        <v>12</v>
      </c>
      <c r="T25" s="34" t="s">
        <v>50</v>
      </c>
      <c r="U25" s="44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42"/>
      <c r="AJ25" s="151"/>
      <c r="AK25" s="151" t="s">
        <v>85</v>
      </c>
      <c r="AL25" s="151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>
        <v>0</v>
      </c>
      <c r="BA25" s="151"/>
      <c r="BB25" s="151"/>
      <c r="BC25" s="151"/>
      <c r="BD25" s="151"/>
      <c r="BE25" s="151"/>
    </row>
    <row r="26" spans="1:57" ht="15.6">
      <c r="A26" s="7">
        <v>13</v>
      </c>
      <c r="B26" s="8" t="s">
        <v>55</v>
      </c>
      <c r="C26" s="8"/>
      <c r="D26" s="8"/>
      <c r="E26" s="258">
        <f>1/BE20</f>
        <v>1.0480861946086446</v>
      </c>
      <c r="F26" s="19"/>
      <c r="G26" s="8"/>
      <c r="H26" s="19"/>
      <c r="I26" s="8"/>
      <c r="J26" s="8"/>
      <c r="K26" s="8"/>
      <c r="S26" s="21">
        <f>S25+1</f>
        <v>13</v>
      </c>
      <c r="T26" s="20" t="s">
        <v>152</v>
      </c>
      <c r="U26" s="21" t="s">
        <v>153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42">
        <f>Q14</f>
        <v>4454.59</v>
      </c>
      <c r="AJ26" s="151"/>
      <c r="AK26" s="151" t="s">
        <v>86</v>
      </c>
      <c r="AL26" s="151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>
        <v>0</v>
      </c>
      <c r="BA26" s="151"/>
      <c r="BB26" s="151"/>
      <c r="BC26" s="151"/>
      <c r="BD26" s="151"/>
      <c r="BE26" s="151"/>
    </row>
    <row r="27" spans="1:57" ht="15.6">
      <c r="A27" s="7">
        <v>14</v>
      </c>
      <c r="B27" s="8" t="s">
        <v>147</v>
      </c>
      <c r="C27" s="8"/>
      <c r="D27" s="8"/>
      <c r="E27" s="17">
        <f>ROUND(E25*E26,5)</f>
        <v>1.6410000000000001E-2</v>
      </c>
      <c r="F27" s="19"/>
      <c r="G27" s="8"/>
      <c r="H27" s="19"/>
      <c r="I27" s="8"/>
      <c r="J27" s="8"/>
      <c r="K27" s="8"/>
      <c r="S27" s="21">
        <f>S26+1</f>
        <v>14</v>
      </c>
      <c r="T27" s="20" t="s">
        <v>154</v>
      </c>
      <c r="U27" s="21" t="str">
        <f>"("&amp;S$14&amp;") x ("&amp;S26&amp;")"</f>
        <v>(7) x (13)</v>
      </c>
      <c r="V27" s="43">
        <f>$AH26*V$14</f>
        <v>362.51153702538215</v>
      </c>
      <c r="W27" s="43">
        <f t="shared" ref="W27:AG27" si="12">$AH26*W$14</f>
        <v>368.64634553355734</v>
      </c>
      <c r="X27" s="43">
        <f t="shared" si="12"/>
        <v>345.3608332677303</v>
      </c>
      <c r="Y27" s="43">
        <f t="shared" si="12"/>
        <v>343.55068665310012</v>
      </c>
      <c r="Z27" s="43">
        <f t="shared" si="12"/>
        <v>369.90915568717207</v>
      </c>
      <c r="AA27" s="43">
        <f t="shared" si="12"/>
        <v>385.26617826211447</v>
      </c>
      <c r="AB27" s="43">
        <f t="shared" si="12"/>
        <v>416.90498753163007</v>
      </c>
      <c r="AC27" s="43">
        <f t="shared" si="12"/>
        <v>389.59606971640318</v>
      </c>
      <c r="AD27" s="43">
        <f t="shared" si="12"/>
        <v>372.63402682785289</v>
      </c>
      <c r="AE27" s="43">
        <f t="shared" si="12"/>
        <v>380.4894875098293</v>
      </c>
      <c r="AF27" s="43">
        <f t="shared" si="12"/>
        <v>350.01632614600436</v>
      </c>
      <c r="AG27" s="43">
        <f t="shared" si="12"/>
        <v>369.7043658392239</v>
      </c>
      <c r="AH27" s="42">
        <f>SUM(V27:AG27)</f>
        <v>4454.59</v>
      </c>
      <c r="AJ27" s="151" t="s">
        <v>91</v>
      </c>
      <c r="AK27" s="151"/>
      <c r="AL27" s="151"/>
      <c r="AM27" s="50">
        <v>0</v>
      </c>
      <c r="AN27" s="50">
        <v>0</v>
      </c>
      <c r="AO27" s="50">
        <v>0</v>
      </c>
      <c r="AP27" s="50">
        <v>0</v>
      </c>
      <c r="AQ27" s="50">
        <v>0</v>
      </c>
      <c r="AR27" s="50">
        <v>0</v>
      </c>
      <c r="AS27" s="50">
        <v>0</v>
      </c>
      <c r="AT27" s="50">
        <v>0</v>
      </c>
      <c r="AU27" s="50">
        <v>0</v>
      </c>
      <c r="AV27" s="50">
        <v>0</v>
      </c>
      <c r="AW27" s="50">
        <v>0</v>
      </c>
      <c r="AX27" s="50">
        <v>0</v>
      </c>
      <c r="AY27" s="50">
        <v>0</v>
      </c>
      <c r="BA27" s="250" t="s">
        <v>252</v>
      </c>
      <c r="BB27" s="151"/>
      <c r="BC27" s="151"/>
      <c r="BD27" s="151"/>
      <c r="BE27" s="151"/>
    </row>
    <row r="28" spans="1:57" ht="15.6">
      <c r="A28" s="3"/>
      <c r="B28" s="2"/>
      <c r="C28" s="2"/>
      <c r="D28" s="2"/>
      <c r="E28" s="2"/>
      <c r="F28" s="4"/>
      <c r="G28" s="2"/>
      <c r="H28" s="2"/>
      <c r="I28" s="2"/>
      <c r="J28" s="2"/>
      <c r="K28" s="2"/>
      <c r="S28" s="21"/>
      <c r="T28" s="20"/>
      <c r="U28" s="21"/>
      <c r="V28" s="43"/>
      <c r="W28" s="43"/>
      <c r="X28" s="43"/>
      <c r="Y28" s="43"/>
      <c r="Z28" s="1"/>
      <c r="AA28" s="43"/>
      <c r="AB28" s="43"/>
      <c r="AC28" s="43"/>
      <c r="AD28" s="43"/>
      <c r="AE28" s="43"/>
      <c r="AF28" s="43"/>
      <c r="AG28" s="43"/>
      <c r="AH28" s="42"/>
      <c r="AJ28" s="151"/>
      <c r="AK28" s="151"/>
      <c r="AL28" s="151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BA28" s="126"/>
      <c r="BB28" s="126"/>
      <c r="BC28" s="126"/>
      <c r="BD28" s="126"/>
      <c r="BE28" s="127"/>
    </row>
    <row r="29" spans="1:57" ht="15.6">
      <c r="A29" s="3"/>
      <c r="B29" s="2"/>
      <c r="C29" s="2"/>
      <c r="D29" s="2"/>
      <c r="E29" s="2"/>
      <c r="F29" s="6" t="s">
        <v>19</v>
      </c>
      <c r="G29" s="2" t="s">
        <v>57</v>
      </c>
      <c r="H29" s="6"/>
      <c r="I29" s="2"/>
      <c r="J29" s="2"/>
      <c r="K29" s="2"/>
      <c r="S29" s="21"/>
      <c r="T29" s="34"/>
      <c r="U29" s="44"/>
      <c r="V29" s="20"/>
      <c r="W29" s="20"/>
      <c r="X29" s="20"/>
      <c r="Y29" s="20"/>
      <c r="Z29" s="20"/>
      <c r="AA29" s="43"/>
      <c r="AB29" s="20"/>
      <c r="AC29" s="43"/>
      <c r="AD29" s="20"/>
      <c r="AE29" s="20"/>
      <c r="AF29" s="20"/>
      <c r="AG29" s="20"/>
      <c r="AH29" s="42"/>
      <c r="AJ29" s="151" t="s">
        <v>92</v>
      </c>
      <c r="AK29" s="151"/>
      <c r="AL29" s="151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</row>
    <row r="30" spans="1:57" ht="15.6">
      <c r="A30" s="3">
        <v>15</v>
      </c>
      <c r="B30" s="2" t="s">
        <v>65</v>
      </c>
      <c r="C30" s="2"/>
      <c r="D30" s="2"/>
      <c r="E30" s="2"/>
      <c r="F30" s="47">
        <f>ROUND(F19/12,0)</f>
        <v>205172</v>
      </c>
      <c r="G30" s="47">
        <f>ROUND((G19+H19+I19)/12,0)</f>
        <v>34823</v>
      </c>
      <c r="H30" s="2"/>
      <c r="I30" s="2"/>
      <c r="J30" s="2"/>
      <c r="K30" s="2"/>
      <c r="S30" s="21"/>
      <c r="T30" s="20"/>
      <c r="U30" s="21"/>
      <c r="V30" s="20"/>
      <c r="W30" s="20"/>
      <c r="X30" s="20"/>
      <c r="Y30" s="20"/>
      <c r="Z30" s="20"/>
      <c r="AA30" s="43"/>
      <c r="AB30" s="20"/>
      <c r="AC30" s="43"/>
      <c r="AD30" s="20"/>
      <c r="AE30" s="20"/>
      <c r="AF30" s="20"/>
      <c r="AG30" s="20"/>
      <c r="AH30" s="42"/>
      <c r="AJ30" s="151"/>
      <c r="AK30" s="151" t="s">
        <v>303</v>
      </c>
      <c r="AL30" s="151"/>
      <c r="AM30" s="50">
        <v>884548</v>
      </c>
      <c r="AN30" s="50">
        <v>-94896</v>
      </c>
      <c r="AO30" s="50">
        <v>-126211</v>
      </c>
      <c r="AP30" s="50">
        <v>143117</v>
      </c>
      <c r="AQ30" s="50">
        <v>8682</v>
      </c>
      <c r="AR30" s="50">
        <v>30762</v>
      </c>
      <c r="AS30" s="50">
        <v>-67299</v>
      </c>
      <c r="AT30" s="50">
        <v>-71480</v>
      </c>
      <c r="AU30" s="50">
        <v>27399</v>
      </c>
      <c r="AV30" s="50">
        <v>-49742</v>
      </c>
      <c r="AW30" s="50">
        <v>-182874</v>
      </c>
      <c r="AX30" s="50">
        <v>-580269</v>
      </c>
      <c r="AY30" s="50">
        <f>SUM(AM30:AX30)</f>
        <v>-78263</v>
      </c>
    </row>
    <row r="31" spans="1:57" ht="15.6">
      <c r="A31" s="3">
        <v>16</v>
      </c>
      <c r="B31" s="2" t="s">
        <v>64</v>
      </c>
      <c r="C31" s="2"/>
      <c r="D31" s="2"/>
      <c r="E31" s="2"/>
      <c r="F31" s="48">
        <f>F13</f>
        <v>2378478031</v>
      </c>
      <c r="G31" s="48">
        <f>G13+H13+I13</f>
        <v>2144856551</v>
      </c>
      <c r="H31" s="2"/>
      <c r="I31" s="2"/>
      <c r="J31" s="2"/>
      <c r="K31" s="2"/>
      <c r="S31" s="21"/>
      <c r="T31" s="20"/>
      <c r="U31" s="21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2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</row>
    <row r="32" spans="1:57" ht="15.6">
      <c r="A32" s="3">
        <v>17</v>
      </c>
      <c r="B32" s="2" t="s">
        <v>62</v>
      </c>
      <c r="C32" s="2"/>
      <c r="D32" s="2"/>
      <c r="E32" s="2"/>
      <c r="F32" s="48">
        <f>F21</f>
        <v>20927569.5</v>
      </c>
      <c r="G32" s="48">
        <f>G21+H21+I21</f>
        <v>19142824</v>
      </c>
      <c r="H32" s="2"/>
      <c r="I32" s="2"/>
      <c r="J32" s="2"/>
      <c r="K32" s="2"/>
      <c r="S32" s="21"/>
      <c r="T32" s="20"/>
      <c r="U32" s="44"/>
      <c r="V32" s="21"/>
      <c r="W32" s="21"/>
      <c r="X32" s="21"/>
      <c r="Y32" s="21"/>
      <c r="Z32" s="20"/>
      <c r="AA32" s="43"/>
      <c r="AB32" s="20"/>
      <c r="AC32" s="43"/>
      <c r="AD32" s="20"/>
      <c r="AE32" s="20"/>
      <c r="AF32" s="20"/>
      <c r="AG32" s="20"/>
      <c r="AH32" s="42"/>
      <c r="AJ32" s="151" t="s">
        <v>93</v>
      </c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</row>
    <row r="33" spans="1:58" ht="15.6">
      <c r="A33" s="3">
        <v>18</v>
      </c>
      <c r="B33" s="2" t="s">
        <v>34</v>
      </c>
      <c r="C33" s="2"/>
      <c r="D33" s="2"/>
      <c r="E33" s="2"/>
      <c r="F33" s="5">
        <f>F19</f>
        <v>2462067</v>
      </c>
      <c r="G33" s="5">
        <f>G19+H19+I19</f>
        <v>417878</v>
      </c>
      <c r="H33" s="2"/>
      <c r="I33" s="2"/>
      <c r="J33" s="2"/>
      <c r="K33" s="2"/>
      <c r="S33" s="21"/>
      <c r="T33" s="23" t="s">
        <v>54</v>
      </c>
      <c r="U33" s="21"/>
      <c r="V33" s="21"/>
      <c r="W33" s="21"/>
      <c r="X33" s="21"/>
      <c r="Y33" s="21"/>
      <c r="Z33" s="20"/>
      <c r="AA33" s="43"/>
      <c r="AB33" s="20"/>
      <c r="AC33" s="43"/>
      <c r="AD33" s="20"/>
      <c r="AE33" s="20"/>
      <c r="AF33" s="20"/>
      <c r="AG33" s="20"/>
      <c r="AH33" s="20"/>
      <c r="AJ33" s="151"/>
      <c r="AK33" s="151" t="s">
        <v>302</v>
      </c>
      <c r="AL33" s="151"/>
      <c r="AM33" s="50">
        <v>3418458</v>
      </c>
      <c r="AN33" s="50">
        <v>-19673731</v>
      </c>
      <c r="AO33" s="50">
        <v>122066</v>
      </c>
      <c r="AP33" s="50">
        <v>625889</v>
      </c>
      <c r="AQ33" s="50">
        <v>8320450</v>
      </c>
      <c r="AR33" s="50">
        <v>10531416</v>
      </c>
      <c r="AS33" s="50">
        <v>-35298252</v>
      </c>
      <c r="AT33" s="50">
        <v>-16715738</v>
      </c>
      <c r="AU33" s="50">
        <v>-1630970</v>
      </c>
      <c r="AV33" s="50">
        <v>-4013526</v>
      </c>
      <c r="AW33" s="50">
        <v>-983199</v>
      </c>
      <c r="AX33" s="50">
        <v>-6591971</v>
      </c>
      <c r="AY33" s="50">
        <f t="shared" ref="AY33:AY38" si="13">SUM(AM33:AX33)</f>
        <v>-61889108</v>
      </c>
    </row>
    <row r="34" spans="1:58" ht="15.6">
      <c r="A34" s="3">
        <v>19</v>
      </c>
      <c r="B34" s="2" t="s">
        <v>63</v>
      </c>
      <c r="C34" s="2"/>
      <c r="D34" s="2"/>
      <c r="E34" s="2"/>
      <c r="F34" s="49">
        <f>F32/F33</f>
        <v>8.5</v>
      </c>
      <c r="G34" s="49">
        <f>G32/G33</f>
        <v>45.809599931080363</v>
      </c>
      <c r="H34" s="2"/>
      <c r="I34" s="2"/>
      <c r="J34" s="2"/>
      <c r="K34" s="2"/>
      <c r="AJ34" s="151"/>
      <c r="AK34" s="151" t="s">
        <v>85</v>
      </c>
      <c r="AL34" s="151"/>
      <c r="AM34" s="50">
        <v>296016</v>
      </c>
      <c r="AN34" s="50">
        <v>-1701682</v>
      </c>
      <c r="AO34" s="50">
        <v>10735</v>
      </c>
      <c r="AP34" s="50">
        <v>28318</v>
      </c>
      <c r="AQ34" s="50">
        <v>785394</v>
      </c>
      <c r="AR34" s="50">
        <v>1336350</v>
      </c>
      <c r="AS34" s="50">
        <v>-5560783</v>
      </c>
      <c r="AT34" s="50">
        <v>-2629971</v>
      </c>
      <c r="AU34" s="50">
        <v>-255968</v>
      </c>
      <c r="AV34" s="50">
        <v>-166876</v>
      </c>
      <c r="AW34" s="50">
        <v>-51342</v>
      </c>
      <c r="AX34" s="50">
        <v>-569558</v>
      </c>
      <c r="AY34" s="50">
        <f t="shared" si="13"/>
        <v>-8479367</v>
      </c>
    </row>
    <row r="35" spans="1:58" ht="15.6">
      <c r="A35" s="3"/>
      <c r="B35" s="2"/>
      <c r="C35" s="2"/>
      <c r="D35" s="2"/>
      <c r="E35" s="2"/>
      <c r="F35" s="2"/>
      <c r="G35" s="46"/>
      <c r="H35" s="4"/>
      <c r="I35" s="2"/>
      <c r="J35" s="2"/>
      <c r="K35" s="2"/>
      <c r="T35" s="250" t="s">
        <v>170</v>
      </c>
      <c r="AJ35" s="151"/>
      <c r="AK35" s="151" t="s">
        <v>86</v>
      </c>
      <c r="AL35" s="151"/>
      <c r="AM35" s="50">
        <v>152288</v>
      </c>
      <c r="AN35" s="50">
        <v>-875266</v>
      </c>
      <c r="AO35" s="50">
        <v>5418</v>
      </c>
      <c r="AP35" s="50">
        <v>3281</v>
      </c>
      <c r="AQ35" s="50">
        <v>907824</v>
      </c>
      <c r="AR35" s="50">
        <v>1564232</v>
      </c>
      <c r="AS35" s="50">
        <v>-7384749</v>
      </c>
      <c r="AT35" s="50">
        <v>-3492514</v>
      </c>
      <c r="AU35" s="50">
        <v>-340803</v>
      </c>
      <c r="AV35" s="50">
        <v>84965</v>
      </c>
      <c r="AW35" s="50">
        <v>-5447</v>
      </c>
      <c r="AX35" s="50">
        <v>-293965</v>
      </c>
      <c r="AY35" s="50">
        <f t="shared" si="13"/>
        <v>-9674736</v>
      </c>
    </row>
    <row r="36" spans="1:58" s="151" customFormat="1" ht="15.6">
      <c r="A36" s="246" t="s">
        <v>151</v>
      </c>
      <c r="B36" s="2"/>
      <c r="C36" s="2"/>
      <c r="D36" s="2"/>
      <c r="E36" s="2"/>
      <c r="F36" s="2"/>
      <c r="G36" s="46"/>
      <c r="H36" s="4"/>
      <c r="I36" s="2"/>
      <c r="J36" s="2"/>
      <c r="K36" s="2"/>
      <c r="L36" s="247"/>
      <c r="R36" s="247"/>
      <c r="AI36" s="247"/>
      <c r="AK36" s="151" t="s">
        <v>303</v>
      </c>
      <c r="AM36" s="50">
        <v>0</v>
      </c>
      <c r="AN36" s="50">
        <v>0</v>
      </c>
      <c r="AO36" s="50">
        <v>0</v>
      </c>
      <c r="AP36" s="50">
        <v>0</v>
      </c>
      <c r="AQ36" s="50">
        <v>0</v>
      </c>
      <c r="AR36" s="50">
        <v>0</v>
      </c>
      <c r="AS36" s="50">
        <v>0</v>
      </c>
      <c r="AT36" s="50">
        <v>0</v>
      </c>
      <c r="AU36" s="50">
        <v>0</v>
      </c>
      <c r="AV36" s="50">
        <v>0</v>
      </c>
      <c r="AW36" s="50">
        <v>0</v>
      </c>
      <c r="AX36" s="50">
        <v>0</v>
      </c>
      <c r="AY36" s="50">
        <f t="shared" si="13"/>
        <v>0</v>
      </c>
      <c r="AZ36" s="247"/>
      <c r="BA36"/>
      <c r="BB36"/>
      <c r="BC36"/>
      <c r="BD36"/>
      <c r="BE36"/>
      <c r="BF36"/>
    </row>
    <row r="37" spans="1:58" s="151" customFormat="1" ht="15.6">
      <c r="A37" s="3"/>
      <c r="B37" s="2"/>
      <c r="C37" s="2"/>
      <c r="D37" s="2"/>
      <c r="E37" s="2"/>
      <c r="F37" s="2"/>
      <c r="G37" s="46"/>
      <c r="H37" s="4"/>
      <c r="I37" s="2"/>
      <c r="J37" s="2"/>
      <c r="K37" s="2"/>
      <c r="L37" s="247"/>
      <c r="R37" s="247"/>
      <c r="AI37" s="247"/>
      <c r="AK37" s="151" t="s">
        <v>304</v>
      </c>
      <c r="AM37" s="50">
        <v>0</v>
      </c>
      <c r="AN37" s="50">
        <v>0</v>
      </c>
      <c r="AO37" s="50">
        <v>0</v>
      </c>
      <c r="AP37" s="50">
        <v>0</v>
      </c>
      <c r="AQ37" s="50">
        <v>0</v>
      </c>
      <c r="AR37" s="50">
        <v>0</v>
      </c>
      <c r="AS37" s="50">
        <v>0</v>
      </c>
      <c r="AT37" s="50">
        <v>0</v>
      </c>
      <c r="AU37" s="50">
        <v>0</v>
      </c>
      <c r="AV37" s="50">
        <v>0</v>
      </c>
      <c r="AW37" s="50">
        <v>0</v>
      </c>
      <c r="AX37" s="50">
        <v>0</v>
      </c>
      <c r="AY37" s="50">
        <f t="shared" si="13"/>
        <v>0</v>
      </c>
      <c r="AZ37" s="247"/>
      <c r="BA37"/>
      <c r="BB37"/>
      <c r="BC37"/>
      <c r="BD37"/>
      <c r="BE37"/>
      <c r="BF37"/>
    </row>
    <row r="38" spans="1:58" s="151" customFormat="1" ht="15.6">
      <c r="A38" s="3"/>
      <c r="B38" s="2"/>
      <c r="C38" s="2"/>
      <c r="D38" s="2"/>
      <c r="E38" s="2"/>
      <c r="F38" s="2"/>
      <c r="G38" s="46"/>
      <c r="H38" s="4"/>
      <c r="I38" s="2"/>
      <c r="J38" s="2"/>
      <c r="K38" s="2"/>
      <c r="L38" s="247"/>
      <c r="R38" s="247"/>
      <c r="AI38" s="247"/>
      <c r="AK38" s="151" t="s">
        <v>87</v>
      </c>
      <c r="AM38" s="50">
        <v>0</v>
      </c>
      <c r="AN38" s="50">
        <v>0</v>
      </c>
      <c r="AO38" s="50">
        <v>0</v>
      </c>
      <c r="AP38" s="50">
        <v>0</v>
      </c>
      <c r="AQ38" s="50">
        <v>0</v>
      </c>
      <c r="AR38" s="50">
        <v>0</v>
      </c>
      <c r="AS38" s="50">
        <v>0</v>
      </c>
      <c r="AT38" s="50">
        <v>0</v>
      </c>
      <c r="AU38" s="50">
        <v>0</v>
      </c>
      <c r="AV38" s="50">
        <v>0</v>
      </c>
      <c r="AW38" s="50">
        <v>0</v>
      </c>
      <c r="AX38" s="50">
        <v>0</v>
      </c>
      <c r="AY38" s="50">
        <f t="shared" si="13"/>
        <v>0</v>
      </c>
      <c r="AZ38" s="247"/>
      <c r="BA38"/>
      <c r="BB38"/>
      <c r="BC38"/>
      <c r="BD38"/>
      <c r="BE38"/>
      <c r="BF38"/>
    </row>
    <row r="39" spans="1:58" ht="15.6">
      <c r="A39" s="3"/>
      <c r="B39" s="2"/>
      <c r="C39" s="2"/>
      <c r="D39" s="2" t="s">
        <v>148</v>
      </c>
      <c r="E39" s="2"/>
      <c r="F39" s="2"/>
      <c r="G39" s="2"/>
      <c r="H39" s="2"/>
      <c r="I39" s="2"/>
      <c r="J39" s="2"/>
      <c r="K39" s="2"/>
      <c r="AJ39" s="151" t="s">
        <v>94</v>
      </c>
      <c r="AK39" s="151"/>
      <c r="AL39" s="151"/>
      <c r="AM39" s="51">
        <f>SUM(AM33:AM38)</f>
        <v>3866762</v>
      </c>
      <c r="AN39" s="51">
        <f t="shared" ref="AN39:AY39" si="14">SUM(AN33:AN38)</f>
        <v>-22250679</v>
      </c>
      <c r="AO39" s="51">
        <f t="shared" si="14"/>
        <v>138219</v>
      </c>
      <c r="AP39" s="51">
        <f t="shared" si="14"/>
        <v>657488</v>
      </c>
      <c r="AQ39" s="51">
        <f t="shared" si="14"/>
        <v>10013668</v>
      </c>
      <c r="AR39" s="51">
        <f t="shared" si="14"/>
        <v>13431998</v>
      </c>
      <c r="AS39" s="51">
        <f t="shared" si="14"/>
        <v>-48243784</v>
      </c>
      <c r="AT39" s="51">
        <f t="shared" si="14"/>
        <v>-22838223</v>
      </c>
      <c r="AU39" s="51">
        <f t="shared" si="14"/>
        <v>-2227741</v>
      </c>
      <c r="AV39" s="51">
        <f t="shared" si="14"/>
        <v>-4095437</v>
      </c>
      <c r="AW39" s="51">
        <f t="shared" si="14"/>
        <v>-1039988</v>
      </c>
      <c r="AX39" s="51">
        <f t="shared" si="14"/>
        <v>-7455494</v>
      </c>
      <c r="AY39" s="51">
        <f t="shared" si="14"/>
        <v>-80043211</v>
      </c>
    </row>
    <row r="40" spans="1:58" ht="15.6">
      <c r="A40" s="3"/>
      <c r="B40" s="2"/>
      <c r="C40" s="2"/>
      <c r="D40" s="2" t="s">
        <v>149</v>
      </c>
      <c r="E40" s="2"/>
      <c r="F40" s="115">
        <f>F23/F13</f>
        <v>6.3656087648467335E-2</v>
      </c>
      <c r="G40" s="115">
        <f>G23/G13</f>
        <v>9.1650724739878009E-2</v>
      </c>
      <c r="H40" s="115">
        <f>H23/H13</f>
        <v>6.5309764445137655E-2</v>
      </c>
      <c r="I40" s="115">
        <f>I23/I13</f>
        <v>6.1986442030770555E-2</v>
      </c>
      <c r="J40" s="2"/>
      <c r="K40" s="2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</row>
    <row r="41" spans="1:58" ht="15.6">
      <c r="A41" s="3"/>
      <c r="B41" s="2"/>
      <c r="C41" s="2"/>
      <c r="D41" s="2" t="s">
        <v>150</v>
      </c>
      <c r="E41" s="2"/>
      <c r="F41" s="116">
        <f>F40+F14</f>
        <v>8.0066087648467343E-2</v>
      </c>
      <c r="G41" s="116">
        <f>G40+G14</f>
        <v>0.10806072473987802</v>
      </c>
      <c r="H41" s="116">
        <f>H40+H14</f>
        <v>8.1719764445137649E-2</v>
      </c>
      <c r="I41" s="116">
        <f>I40+I14</f>
        <v>7.8396442030770563E-2</v>
      </c>
      <c r="J41" s="2"/>
      <c r="K41" s="2"/>
      <c r="AJ41" s="151" t="s">
        <v>95</v>
      </c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</row>
    <row r="42" spans="1:58" ht="15.6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AJ42" s="151"/>
      <c r="AK42" s="151" t="s">
        <v>302</v>
      </c>
      <c r="AL42" s="151"/>
      <c r="AM42" s="50">
        <f t="shared" ref="AM42:AX42" si="15">AM7+AM16+AM33</f>
        <v>284675925</v>
      </c>
      <c r="AN42" s="50">
        <f t="shared" si="15"/>
        <v>232597855</v>
      </c>
      <c r="AO42" s="50">
        <f t="shared" si="15"/>
        <v>228752581</v>
      </c>
      <c r="AP42" s="50">
        <f t="shared" si="15"/>
        <v>172322869</v>
      </c>
      <c r="AQ42" s="50">
        <f t="shared" si="15"/>
        <v>166632549</v>
      </c>
      <c r="AR42" s="50">
        <f t="shared" si="15"/>
        <v>148170954</v>
      </c>
      <c r="AS42" s="50">
        <f t="shared" si="15"/>
        <v>153360033</v>
      </c>
      <c r="AT42" s="50">
        <f t="shared" si="15"/>
        <v>181322317</v>
      </c>
      <c r="AU42" s="50">
        <f t="shared" si="15"/>
        <v>146560541</v>
      </c>
      <c r="AV42" s="50">
        <f t="shared" si="15"/>
        <v>174054557</v>
      </c>
      <c r="AW42" s="50">
        <f t="shared" si="15"/>
        <v>212665464</v>
      </c>
      <c r="AX42" s="50">
        <f t="shared" si="15"/>
        <v>277362386</v>
      </c>
      <c r="AY42" s="50">
        <f t="shared" ref="AY42:AY47" si="16">SUM(AM42:AX42)</f>
        <v>2378478031</v>
      </c>
    </row>
    <row r="43" spans="1:58">
      <c r="AJ43" s="151"/>
      <c r="AK43" s="151" t="s">
        <v>85</v>
      </c>
      <c r="AL43" s="151"/>
      <c r="AM43" s="50">
        <f>AM8+AM17+AM34+AM25</f>
        <v>56889966</v>
      </c>
      <c r="AN43" s="50">
        <f t="shared" ref="AN43:AX44" si="17">AN8+AN17+AN34+AN25</f>
        <v>53952359</v>
      </c>
      <c r="AO43" s="50">
        <f t="shared" si="17"/>
        <v>50696303</v>
      </c>
      <c r="AP43" s="50">
        <f t="shared" si="17"/>
        <v>45184052</v>
      </c>
      <c r="AQ43" s="50">
        <f t="shared" si="17"/>
        <v>45464737</v>
      </c>
      <c r="AR43" s="50">
        <f t="shared" si="17"/>
        <v>41880423</v>
      </c>
      <c r="AS43" s="50">
        <f t="shared" si="17"/>
        <v>47192335</v>
      </c>
      <c r="AT43" s="50">
        <f t="shared" si="17"/>
        <v>47520498</v>
      </c>
      <c r="AU43" s="50">
        <f t="shared" si="17"/>
        <v>45071050</v>
      </c>
      <c r="AV43" s="50">
        <f t="shared" si="17"/>
        <v>49775788</v>
      </c>
      <c r="AW43" s="50">
        <f t="shared" si="17"/>
        <v>48225285</v>
      </c>
      <c r="AX43" s="50">
        <f t="shared" si="17"/>
        <v>56548440</v>
      </c>
      <c r="AY43" s="50">
        <f t="shared" si="16"/>
        <v>588401236</v>
      </c>
    </row>
    <row r="44" spans="1:58">
      <c r="AJ44" s="151"/>
      <c r="AK44" s="151" t="s">
        <v>86</v>
      </c>
      <c r="AL44" s="151"/>
      <c r="AM44" s="50">
        <f>AM9+AM18+AM35+AM26</f>
        <v>113027390</v>
      </c>
      <c r="AN44" s="50">
        <f t="shared" si="17"/>
        <v>118881308</v>
      </c>
      <c r="AO44" s="50">
        <f t="shared" si="17"/>
        <v>111932195</v>
      </c>
      <c r="AP44" s="50">
        <f t="shared" si="17"/>
        <v>113904571</v>
      </c>
      <c r="AQ44" s="50">
        <f t="shared" si="17"/>
        <v>119594187</v>
      </c>
      <c r="AR44" s="50">
        <f t="shared" si="17"/>
        <v>119904804</v>
      </c>
      <c r="AS44" s="50">
        <f t="shared" si="17"/>
        <v>126965563</v>
      </c>
      <c r="AT44" s="50">
        <f t="shared" si="17"/>
        <v>116529246</v>
      </c>
      <c r="AU44" s="50">
        <f t="shared" si="17"/>
        <v>115471122</v>
      </c>
      <c r="AV44" s="50">
        <f t="shared" si="17"/>
        <v>127216291</v>
      </c>
      <c r="AW44" s="50">
        <f t="shared" si="17"/>
        <v>117670908</v>
      </c>
      <c r="AX44" s="50">
        <f t="shared" si="17"/>
        <v>118130686</v>
      </c>
      <c r="AY44" s="50">
        <f t="shared" si="16"/>
        <v>1419228271</v>
      </c>
    </row>
    <row r="45" spans="1:58">
      <c r="AJ45" s="151"/>
      <c r="AK45" s="151" t="s">
        <v>303</v>
      </c>
      <c r="AL45" s="151"/>
      <c r="AM45" s="50">
        <f>AM10+AM19+AM30+AM36</f>
        <v>94615705</v>
      </c>
      <c r="AN45" s="50">
        <f t="shared" ref="AN45:AX45" si="18">AN10+AN19+AN30+AN36</f>
        <v>86450358</v>
      </c>
      <c r="AO45" s="50">
        <f t="shared" si="18"/>
        <v>94974601</v>
      </c>
      <c r="AP45" s="50">
        <f t="shared" si="18"/>
        <v>91311649</v>
      </c>
      <c r="AQ45" s="50">
        <f t="shared" si="18"/>
        <v>91684982</v>
      </c>
      <c r="AR45" s="50">
        <f t="shared" si="18"/>
        <v>87883840</v>
      </c>
      <c r="AS45" s="50">
        <f t="shared" si="18"/>
        <v>94835244</v>
      </c>
      <c r="AT45" s="50">
        <f t="shared" si="18"/>
        <v>98265527</v>
      </c>
      <c r="AU45" s="50">
        <f t="shared" si="18"/>
        <v>93878439</v>
      </c>
      <c r="AV45" s="50">
        <f t="shared" si="18"/>
        <v>91841691</v>
      </c>
      <c r="AW45" s="50">
        <f t="shared" si="18"/>
        <v>88140801</v>
      </c>
      <c r="AX45" s="50">
        <f t="shared" si="18"/>
        <v>91489299</v>
      </c>
      <c r="AY45" s="50">
        <f t="shared" si="16"/>
        <v>1105372136</v>
      </c>
    </row>
    <row r="46" spans="1:58">
      <c r="AJ46" s="151"/>
      <c r="AK46" s="151" t="s">
        <v>304</v>
      </c>
      <c r="AL46" s="151"/>
      <c r="AM46" s="50">
        <f t="shared" ref="AM46:AX47" si="19">AM11+AM20+AM37</f>
        <v>4629627</v>
      </c>
      <c r="AN46" s="50">
        <f t="shared" si="19"/>
        <v>4667187</v>
      </c>
      <c r="AO46" s="50">
        <f t="shared" si="19"/>
        <v>3660531</v>
      </c>
      <c r="AP46" s="50">
        <f t="shared" si="19"/>
        <v>6328832</v>
      </c>
      <c r="AQ46" s="50">
        <f t="shared" si="19"/>
        <v>13049965</v>
      </c>
      <c r="AR46" s="50">
        <f t="shared" si="19"/>
        <v>23717970</v>
      </c>
      <c r="AS46" s="50">
        <f t="shared" si="19"/>
        <v>26579183</v>
      </c>
      <c r="AT46" s="50">
        <f t="shared" si="19"/>
        <v>23538268</v>
      </c>
      <c r="AU46" s="50">
        <f t="shared" si="19"/>
        <v>18878725</v>
      </c>
      <c r="AV46" s="50">
        <f t="shared" si="19"/>
        <v>6211172</v>
      </c>
      <c r="AW46" s="50">
        <f t="shared" si="19"/>
        <v>2634426</v>
      </c>
      <c r="AX46" s="50">
        <f t="shared" si="19"/>
        <v>3331158</v>
      </c>
      <c r="AY46" s="50">
        <f t="shared" si="16"/>
        <v>137227044</v>
      </c>
    </row>
    <row r="47" spans="1:58">
      <c r="AJ47" s="151"/>
      <c r="AK47" s="151" t="s">
        <v>87</v>
      </c>
      <c r="AL47" s="151"/>
      <c r="AM47" s="50">
        <f t="shared" si="19"/>
        <v>2098291</v>
      </c>
      <c r="AN47" s="50">
        <f t="shared" si="19"/>
        <v>2097748</v>
      </c>
      <c r="AO47" s="50">
        <f t="shared" si="19"/>
        <v>2097084</v>
      </c>
      <c r="AP47" s="50">
        <f t="shared" si="19"/>
        <v>2092917</v>
      </c>
      <c r="AQ47" s="50">
        <f t="shared" si="19"/>
        <v>2080667</v>
      </c>
      <c r="AR47" s="50">
        <f t="shared" si="19"/>
        <v>2071670</v>
      </c>
      <c r="AS47" s="50">
        <f t="shared" si="19"/>
        <v>2091912</v>
      </c>
      <c r="AT47" s="50">
        <f t="shared" si="19"/>
        <v>2091315</v>
      </c>
      <c r="AU47" s="50">
        <f t="shared" si="19"/>
        <v>2086444</v>
      </c>
      <c r="AV47" s="50">
        <f t="shared" si="19"/>
        <v>2114106</v>
      </c>
      <c r="AW47" s="50">
        <f t="shared" si="19"/>
        <v>2103410</v>
      </c>
      <c r="AX47" s="50">
        <f t="shared" si="19"/>
        <v>2102201</v>
      </c>
      <c r="AY47" s="50">
        <f t="shared" si="16"/>
        <v>25127765</v>
      </c>
    </row>
    <row r="48" spans="1:58">
      <c r="AJ48" s="151" t="s">
        <v>96</v>
      </c>
      <c r="AK48" s="151"/>
      <c r="AL48" s="151"/>
      <c r="AM48" s="51">
        <f>SUM(AM42:AM47)</f>
        <v>555936904</v>
      </c>
      <c r="AN48" s="51">
        <f t="shared" ref="AN48:AY48" si="20">SUM(AN42:AN47)</f>
        <v>498646815</v>
      </c>
      <c r="AO48" s="51">
        <f t="shared" si="20"/>
        <v>492113295</v>
      </c>
      <c r="AP48" s="51">
        <f t="shared" si="20"/>
        <v>431144890</v>
      </c>
      <c r="AQ48" s="51">
        <f t="shared" si="20"/>
        <v>438507087</v>
      </c>
      <c r="AR48" s="51">
        <f t="shared" si="20"/>
        <v>423629661</v>
      </c>
      <c r="AS48" s="51">
        <f t="shared" si="20"/>
        <v>451024270</v>
      </c>
      <c r="AT48" s="51">
        <f t="shared" si="20"/>
        <v>469267171</v>
      </c>
      <c r="AU48" s="51">
        <f t="shared" si="20"/>
        <v>421946321</v>
      </c>
      <c r="AV48" s="51">
        <f t="shared" si="20"/>
        <v>451213605</v>
      </c>
      <c r="AW48" s="51">
        <f t="shared" si="20"/>
        <v>471440294</v>
      </c>
      <c r="AX48" s="51">
        <f t="shared" si="20"/>
        <v>548964170</v>
      </c>
      <c r="AY48" s="51">
        <f t="shared" si="20"/>
        <v>5653834483</v>
      </c>
    </row>
    <row r="49" spans="36:51"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</row>
    <row r="50" spans="36:51">
      <c r="AJ50" s="151"/>
      <c r="AK50" s="151" t="s">
        <v>97</v>
      </c>
      <c r="AL50" s="151"/>
      <c r="AM50" s="50">
        <f>AM42</f>
        <v>284675925</v>
      </c>
      <c r="AN50" s="50">
        <f t="shared" ref="AN50:AX50" si="21">AN42</f>
        <v>232597855</v>
      </c>
      <c r="AO50" s="50">
        <f t="shared" si="21"/>
        <v>228752581</v>
      </c>
      <c r="AP50" s="50">
        <f t="shared" si="21"/>
        <v>172322869</v>
      </c>
      <c r="AQ50" s="50">
        <f t="shared" si="21"/>
        <v>166632549</v>
      </c>
      <c r="AR50" s="50">
        <f t="shared" si="21"/>
        <v>148170954</v>
      </c>
      <c r="AS50" s="50">
        <f t="shared" si="21"/>
        <v>153360033</v>
      </c>
      <c r="AT50" s="50">
        <f t="shared" si="21"/>
        <v>181322317</v>
      </c>
      <c r="AU50" s="50">
        <f t="shared" si="21"/>
        <v>146560541</v>
      </c>
      <c r="AV50" s="50">
        <f t="shared" si="21"/>
        <v>174054557</v>
      </c>
      <c r="AW50" s="50">
        <f t="shared" si="21"/>
        <v>212665464</v>
      </c>
      <c r="AX50" s="50">
        <f t="shared" si="21"/>
        <v>277362386</v>
      </c>
      <c r="AY50" s="50">
        <f>SUM(AM50:AX50)</f>
        <v>2378478031</v>
      </c>
    </row>
    <row r="51" spans="36:51">
      <c r="AJ51" s="151"/>
      <c r="AK51" s="151" t="s">
        <v>98</v>
      </c>
      <c r="AL51" s="151"/>
      <c r="AM51" s="50">
        <v>204564</v>
      </c>
      <c r="AN51" s="50">
        <v>205005</v>
      </c>
      <c r="AO51" s="50">
        <v>205512</v>
      </c>
      <c r="AP51" s="50">
        <v>205536</v>
      </c>
      <c r="AQ51" s="50">
        <v>205720</v>
      </c>
      <c r="AR51" s="50">
        <v>205499</v>
      </c>
      <c r="AS51" s="50">
        <v>205076</v>
      </c>
      <c r="AT51" s="50">
        <v>205201</v>
      </c>
      <c r="AU51" s="50">
        <v>204431</v>
      </c>
      <c r="AV51" s="50">
        <v>204966</v>
      </c>
      <c r="AW51" s="50">
        <v>204911</v>
      </c>
      <c r="AX51" s="50">
        <v>205646</v>
      </c>
      <c r="AY51" s="50">
        <f>SUM(AM51:AX51)</f>
        <v>2462067</v>
      </c>
    </row>
    <row r="52" spans="36:51">
      <c r="AJ52" s="151"/>
      <c r="AK52" s="151" t="s">
        <v>99</v>
      </c>
      <c r="AL52" s="151"/>
      <c r="AM52" s="56">
        <f>AM50/AM51</f>
        <v>1391.6227928667802</v>
      </c>
      <c r="AN52" s="56">
        <f t="shared" ref="AN52:AY52" si="22">AN50/AN51</f>
        <v>1134.5960098534183</v>
      </c>
      <c r="AO52" s="56">
        <f t="shared" si="22"/>
        <v>1113.0862480049827</v>
      </c>
      <c r="AP52" s="56">
        <f t="shared" si="22"/>
        <v>838.40723279620113</v>
      </c>
      <c r="AQ52" s="56">
        <f t="shared" si="22"/>
        <v>809.99683550456928</v>
      </c>
      <c r="AR52" s="56">
        <f t="shared" si="22"/>
        <v>721.03004880802337</v>
      </c>
      <c r="AS52" s="56">
        <f t="shared" si="22"/>
        <v>747.82048118746218</v>
      </c>
      <c r="AT52" s="56">
        <f t="shared" si="22"/>
        <v>883.63271621483329</v>
      </c>
      <c r="AU52" s="56">
        <f t="shared" si="22"/>
        <v>716.91935665334518</v>
      </c>
      <c r="AV52" s="56">
        <f t="shared" si="22"/>
        <v>849.18746035927904</v>
      </c>
      <c r="AW52" s="56">
        <f t="shared" si="22"/>
        <v>1037.8430830946118</v>
      </c>
      <c r="AX52" s="56">
        <f t="shared" si="22"/>
        <v>1348.7370821703316</v>
      </c>
      <c r="AY52" s="56">
        <f t="shared" si="22"/>
        <v>966.04927120179912</v>
      </c>
    </row>
    <row r="53" spans="36:51">
      <c r="AJ53" s="151"/>
      <c r="AK53" s="151" t="s">
        <v>100</v>
      </c>
      <c r="AL53" s="151"/>
      <c r="AM53" s="50">
        <f>AM43+AM44+AM46</f>
        <v>174546983</v>
      </c>
      <c r="AN53" s="50">
        <f t="shared" ref="AN53:AX53" si="23">AN43+AN44+AN46</f>
        <v>177500854</v>
      </c>
      <c r="AO53" s="50">
        <f t="shared" si="23"/>
        <v>166289029</v>
      </c>
      <c r="AP53" s="50">
        <f t="shared" si="23"/>
        <v>165417455</v>
      </c>
      <c r="AQ53" s="50">
        <f t="shared" si="23"/>
        <v>178108889</v>
      </c>
      <c r="AR53" s="50">
        <f t="shared" si="23"/>
        <v>185503197</v>
      </c>
      <c r="AS53" s="50">
        <f t="shared" si="23"/>
        <v>200737081</v>
      </c>
      <c r="AT53" s="50">
        <f t="shared" si="23"/>
        <v>187588012</v>
      </c>
      <c r="AU53" s="50">
        <f t="shared" si="23"/>
        <v>179420897</v>
      </c>
      <c r="AV53" s="50">
        <f t="shared" si="23"/>
        <v>183203251</v>
      </c>
      <c r="AW53" s="50">
        <f t="shared" si="23"/>
        <v>168530619</v>
      </c>
      <c r="AX53" s="50">
        <f t="shared" si="23"/>
        <v>178010284</v>
      </c>
      <c r="AY53" s="50">
        <f>SUM(AM53:AX53)</f>
        <v>2144856551</v>
      </c>
    </row>
    <row r="54" spans="36:51">
      <c r="AJ54" s="151"/>
      <c r="AK54" s="151" t="s">
        <v>101</v>
      </c>
      <c r="AL54" s="151"/>
      <c r="AM54" s="50">
        <v>34308</v>
      </c>
      <c r="AN54" s="50">
        <v>34460</v>
      </c>
      <c r="AO54" s="50">
        <v>34515</v>
      </c>
      <c r="AP54" s="50">
        <v>34554</v>
      </c>
      <c r="AQ54" s="50">
        <v>34555</v>
      </c>
      <c r="AR54" s="50">
        <v>35013</v>
      </c>
      <c r="AS54" s="50">
        <v>34957</v>
      </c>
      <c r="AT54" s="50">
        <v>35067</v>
      </c>
      <c r="AU54" s="50">
        <v>35085</v>
      </c>
      <c r="AV54" s="50">
        <v>35115</v>
      </c>
      <c r="AW54" s="50">
        <v>35091</v>
      </c>
      <c r="AX54" s="50">
        <v>35158</v>
      </c>
      <c r="AY54" s="50">
        <f>SUM(AM54:AX54)</f>
        <v>417878</v>
      </c>
    </row>
    <row r="55" spans="36:51">
      <c r="AJ55" s="151"/>
      <c r="AK55" s="151" t="s">
        <v>102</v>
      </c>
      <c r="AL55" s="151"/>
      <c r="AM55" s="50">
        <f>AM53/AM54</f>
        <v>5087.6467004780225</v>
      </c>
      <c r="AN55" s="50">
        <f t="shared" ref="AN55:AY55" si="24">AN53/AN54</f>
        <v>5150.9243760882182</v>
      </c>
      <c r="AO55" s="50">
        <f t="shared" si="24"/>
        <v>4817.8771258872957</v>
      </c>
      <c r="AP55" s="50">
        <f t="shared" si="24"/>
        <v>4787.2158071424437</v>
      </c>
      <c r="AQ55" s="50">
        <f t="shared" si="24"/>
        <v>5154.3593980610622</v>
      </c>
      <c r="AR55" s="50">
        <f t="shared" si="24"/>
        <v>5298.1234684260135</v>
      </c>
      <c r="AS55" s="50">
        <f t="shared" si="24"/>
        <v>5742.4001201476103</v>
      </c>
      <c r="AT55" s="50">
        <f t="shared" si="24"/>
        <v>5349.4171728405627</v>
      </c>
      <c r="AU55" s="50">
        <f t="shared" si="24"/>
        <v>5113.8918911215624</v>
      </c>
      <c r="AV55" s="50">
        <f t="shared" si="24"/>
        <v>5217.2362523138263</v>
      </c>
      <c r="AW55" s="50">
        <f t="shared" si="24"/>
        <v>4802.673591519193</v>
      </c>
      <c r="AX55" s="50">
        <f t="shared" si="24"/>
        <v>5063.1516013425107</v>
      </c>
      <c r="AY55" s="50">
        <f t="shared" si="24"/>
        <v>5132.7338385844669</v>
      </c>
    </row>
    <row r="56" spans="36:51"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</row>
    <row r="57" spans="36:51">
      <c r="AJ57" s="151"/>
      <c r="AK57" s="151" t="s">
        <v>103</v>
      </c>
      <c r="AL57" s="151"/>
      <c r="AM57" s="57">
        <f>AM48/$AY48</f>
        <v>9.8329179191855728E-2</v>
      </c>
      <c r="AN57" s="57">
        <f t="shared" ref="AN57:AX57" si="25">AN48/$AY48</f>
        <v>8.8196217363514212E-2</v>
      </c>
      <c r="AO57" s="57">
        <f t="shared" si="25"/>
        <v>8.7040626406678631E-2</v>
      </c>
      <c r="AP57" s="57">
        <f t="shared" si="25"/>
        <v>7.6257076731971962E-2</v>
      </c>
      <c r="AQ57" s="57">
        <f t="shared" si="25"/>
        <v>7.755923671244834E-2</v>
      </c>
      <c r="AR57" s="57">
        <f t="shared" si="25"/>
        <v>7.4927849811269404E-2</v>
      </c>
      <c r="AS57" s="57">
        <f t="shared" si="25"/>
        <v>7.977316480631752E-2</v>
      </c>
      <c r="AT57" s="57">
        <f t="shared" si="25"/>
        <v>8.2999807017873753E-2</v>
      </c>
      <c r="AU57" s="57">
        <f t="shared" si="25"/>
        <v>7.4630115591234933E-2</v>
      </c>
      <c r="AV57" s="57">
        <f t="shared" si="25"/>
        <v>7.9806652698573524E-2</v>
      </c>
      <c r="AW57" s="57">
        <f t="shared" si="25"/>
        <v>8.3384169702443695E-2</v>
      </c>
      <c r="AX57" s="57">
        <f t="shared" si="25"/>
        <v>9.7095903965818312E-2</v>
      </c>
      <c r="AY57" s="57">
        <f>SUM(AM57:AX57)</f>
        <v>1</v>
      </c>
    </row>
    <row r="59" spans="36:51">
      <c r="AJ59" s="250" t="s">
        <v>307</v>
      </c>
    </row>
  </sheetData>
  <mergeCells count="17">
    <mergeCell ref="J22:K23"/>
    <mergeCell ref="M2:Q2"/>
    <mergeCell ref="M3:Q3"/>
    <mergeCell ref="M4:Q4"/>
    <mergeCell ref="M6:M7"/>
    <mergeCell ref="P6:P7"/>
    <mergeCell ref="Q6:Q7"/>
    <mergeCell ref="A1:K1"/>
    <mergeCell ref="A2:K2"/>
    <mergeCell ref="A3:K3"/>
    <mergeCell ref="BA2:BE2"/>
    <mergeCell ref="BA3:BE3"/>
    <mergeCell ref="BA4:BE4"/>
    <mergeCell ref="S1:AH1"/>
    <mergeCell ref="S2:AH2"/>
    <mergeCell ref="S3:AH3"/>
    <mergeCell ref="S4:AH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E89"/>
  <sheetViews>
    <sheetView topLeftCell="A53" zoomScaleNormal="100" workbookViewId="0">
      <selection activeCell="J84" sqref="J84"/>
    </sheetView>
  </sheetViews>
  <sheetFormatPr defaultColWidth="9.109375" defaultRowHeight="13.8"/>
  <cols>
    <col min="1" max="1" width="14.6640625" style="1" customWidth="1"/>
    <col min="2" max="2" width="8.6640625" style="1" customWidth="1"/>
    <col min="3" max="3" width="16.33203125" style="1" customWidth="1"/>
    <col min="4" max="4" width="18.6640625" style="1" customWidth="1"/>
    <col min="5" max="5" width="16.6640625" style="1" customWidth="1"/>
    <col min="6" max="6" width="16.33203125" style="1" customWidth="1"/>
    <col min="7" max="7" width="15.5546875" style="1" customWidth="1"/>
    <col min="8" max="8" width="13.6640625" style="1" bestFit="1" customWidth="1"/>
    <col min="9" max="9" width="17.5546875" style="1" customWidth="1"/>
    <col min="10" max="10" width="13.6640625" style="1" bestFit="1" customWidth="1"/>
    <col min="11" max="11" width="14.88671875" style="1" customWidth="1"/>
    <col min="12" max="12" width="13.44140625" style="1" bestFit="1" customWidth="1"/>
    <col min="13" max="13" width="15.6640625" style="1" customWidth="1"/>
    <col min="14" max="14" width="6.44140625" style="1" customWidth="1"/>
    <col min="15" max="15" width="13.88671875" style="1" customWidth="1"/>
    <col min="16" max="16" width="13.33203125" style="1" customWidth="1"/>
    <col min="17" max="17" width="16" style="1" customWidth="1"/>
    <col min="18" max="18" width="10" style="1" customWidth="1"/>
    <col min="19" max="19" width="17.6640625" style="1" customWidth="1"/>
    <col min="20" max="20" width="14.6640625" style="1" customWidth="1"/>
    <col min="21" max="21" width="10.5546875" style="1" customWidth="1"/>
    <col min="22" max="22" width="14.6640625" style="1" customWidth="1"/>
    <col min="23" max="23" width="2.88671875" style="1" customWidth="1"/>
    <col min="24" max="24" width="16.88671875" style="1" customWidth="1"/>
    <col min="25" max="25" width="1.6640625" style="1" customWidth="1"/>
    <col min="26" max="26" width="14.6640625" style="1" customWidth="1"/>
    <col min="27" max="27" width="13.6640625" style="1" customWidth="1"/>
    <col min="28" max="28" width="13.5546875" style="1" customWidth="1"/>
    <col min="29" max="29" width="13.109375" style="1" customWidth="1"/>
    <col min="30" max="30" width="18" style="1" customWidth="1"/>
    <col min="31" max="16384" width="9.109375" style="1"/>
  </cols>
  <sheetData>
    <row r="1" spans="1:20">
      <c r="A1" s="399" t="s">
        <v>172</v>
      </c>
      <c r="B1" s="399"/>
      <c r="C1" s="399"/>
      <c r="D1" s="399"/>
      <c r="E1" s="399"/>
      <c r="F1" s="399"/>
      <c r="G1" s="399"/>
      <c r="H1" s="399"/>
      <c r="I1" s="399"/>
      <c r="J1" s="400" t="s">
        <v>377</v>
      </c>
      <c r="K1" s="400"/>
    </row>
    <row r="2" spans="1:20" ht="26.4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  <c r="J2" s="344" t="s">
        <v>378</v>
      </c>
      <c r="K2" s="344" t="s">
        <v>379</v>
      </c>
    </row>
    <row r="3" spans="1:20">
      <c r="A3" s="180" t="s">
        <v>131</v>
      </c>
      <c r="B3" s="152"/>
      <c r="C3" s="158">
        <v>216760</v>
      </c>
      <c r="D3" s="282"/>
      <c r="E3" s="182">
        <v>245231487.134</v>
      </c>
      <c r="F3" s="182">
        <v>-114430432</v>
      </c>
      <c r="G3" s="182">
        <v>127093842</v>
      </c>
      <c r="H3" s="189">
        <f>SUM(F3:G3)</f>
        <v>12663410</v>
      </c>
      <c r="I3" s="159">
        <f>E3+H3</f>
        <v>257894897.134</v>
      </c>
      <c r="J3" s="370">
        <f t="shared" ref="J3:J8" si="0">I3/C3</f>
        <v>1189.7716236113674</v>
      </c>
      <c r="K3" s="341">
        <f t="shared" ref="K3:K8" si="1">D24/E3</f>
        <v>9.0853357659677905E-2</v>
      </c>
    </row>
    <row r="4" spans="1:20">
      <c r="A4" s="180" t="s">
        <v>178</v>
      </c>
      <c r="B4" s="152"/>
      <c r="C4" s="158">
        <v>366</v>
      </c>
      <c r="D4" s="282"/>
      <c r="E4" s="182">
        <v>520127.90899999999</v>
      </c>
      <c r="F4" s="182">
        <v>-239561</v>
      </c>
      <c r="G4" s="182">
        <v>269574</v>
      </c>
      <c r="H4" s="189">
        <f t="shared" ref="H4:H16" si="2">SUM(F4:G4)</f>
        <v>30013</v>
      </c>
      <c r="I4" s="159">
        <f t="shared" ref="I4:I16" si="3">E4+H4</f>
        <v>550140.90899999999</v>
      </c>
      <c r="J4" s="370">
        <f t="shared" si="0"/>
        <v>1503.1172377049179</v>
      </c>
      <c r="K4" s="341">
        <f t="shared" si="1"/>
        <v>9.101847676472212E-2</v>
      </c>
    </row>
    <row r="5" spans="1:20">
      <c r="A5" s="180" t="s">
        <v>132</v>
      </c>
      <c r="B5" s="152"/>
      <c r="C5" s="158">
        <v>22730</v>
      </c>
      <c r="D5" s="282"/>
      <c r="E5" s="182">
        <v>50926222.597000003</v>
      </c>
      <c r="F5" s="182">
        <v>-27208344</v>
      </c>
      <c r="G5" s="182">
        <v>26276394</v>
      </c>
      <c r="H5" s="189">
        <f t="shared" si="2"/>
        <v>-931950</v>
      </c>
      <c r="I5" s="159">
        <f t="shared" si="3"/>
        <v>49994272.597000003</v>
      </c>
      <c r="J5" s="370">
        <f t="shared" si="0"/>
        <v>2199.4840561812584</v>
      </c>
      <c r="K5" s="341">
        <f t="shared" si="1"/>
        <v>0.11692923009669261</v>
      </c>
    </row>
    <row r="6" spans="1:20">
      <c r="A6" s="180" t="s">
        <v>133</v>
      </c>
      <c r="B6" s="152"/>
      <c r="C6" s="158">
        <v>9600</v>
      </c>
      <c r="D6" s="282"/>
      <c r="E6" s="182">
        <v>6108206.1849999996</v>
      </c>
      <c r="F6" s="182">
        <v>-2882688</v>
      </c>
      <c r="G6" s="182">
        <v>3165785</v>
      </c>
      <c r="H6" s="189">
        <f t="shared" si="2"/>
        <v>283097</v>
      </c>
      <c r="I6" s="159">
        <f t="shared" si="3"/>
        <v>6391303.1849999996</v>
      </c>
      <c r="J6" s="370">
        <f t="shared" si="0"/>
        <v>665.76074843749996</v>
      </c>
      <c r="K6" s="341">
        <f t="shared" si="1"/>
        <v>0.14260867161608431</v>
      </c>
    </row>
    <row r="7" spans="1:20">
      <c r="A7" s="180" t="s">
        <v>134</v>
      </c>
      <c r="B7" s="152"/>
      <c r="C7" s="158">
        <v>1857</v>
      </c>
      <c r="D7" s="282"/>
      <c r="E7" s="182">
        <v>116049949.939</v>
      </c>
      <c r="F7" s="182">
        <v>-67185053</v>
      </c>
      <c r="G7" s="182">
        <v>59753857</v>
      </c>
      <c r="H7" s="189">
        <f t="shared" si="2"/>
        <v>-7431196</v>
      </c>
      <c r="I7" s="159">
        <f t="shared" si="3"/>
        <v>108618753.939</v>
      </c>
      <c r="J7" s="370">
        <f t="shared" si="0"/>
        <v>58491.520699515342</v>
      </c>
      <c r="K7" s="341">
        <f t="shared" si="1"/>
        <v>9.0866532777850048E-2</v>
      </c>
    </row>
    <row r="8" spans="1:20">
      <c r="A8" s="180" t="s">
        <v>135</v>
      </c>
      <c r="B8" s="152"/>
      <c r="C8" s="158">
        <v>44</v>
      </c>
      <c r="D8" s="282"/>
      <c r="E8" s="182">
        <v>3066998.32</v>
      </c>
      <c r="F8" s="182">
        <v>-1521210</v>
      </c>
      <c r="G8" s="182">
        <v>1589576</v>
      </c>
      <c r="H8" s="189">
        <f t="shared" si="2"/>
        <v>68366</v>
      </c>
      <c r="I8" s="159">
        <f t="shared" si="3"/>
        <v>3135364.32</v>
      </c>
      <c r="J8" s="370">
        <f t="shared" si="0"/>
        <v>71258.28</v>
      </c>
      <c r="K8" s="341">
        <f t="shared" si="1"/>
        <v>8.7866249630029147E-2</v>
      </c>
    </row>
    <row r="9" spans="1:20">
      <c r="A9" s="180" t="s">
        <v>136</v>
      </c>
      <c r="B9" s="152"/>
      <c r="C9" s="158">
        <v>23</v>
      </c>
      <c r="D9" s="194"/>
      <c r="E9" s="182">
        <f>88922599.9-E10</f>
        <v>55368875.900000006</v>
      </c>
      <c r="F9" s="182">
        <v>-52801605</v>
      </c>
      <c r="G9" s="182">
        <f>92515285-G10</f>
        <v>57515285</v>
      </c>
      <c r="H9" s="189">
        <f t="shared" si="2"/>
        <v>4713680</v>
      </c>
      <c r="I9" s="159">
        <f t="shared" si="3"/>
        <v>60082555.900000006</v>
      </c>
      <c r="J9" s="370">
        <f>(I9+I10)/C9</f>
        <v>4071142.6043478264</v>
      </c>
      <c r="K9" s="341">
        <f>I30/(I9+I10)</f>
        <v>5.9349055408169843E-2</v>
      </c>
    </row>
    <row r="10" spans="1:20">
      <c r="A10" s="180" t="s">
        <v>179</v>
      </c>
      <c r="B10" s="152"/>
      <c r="C10" s="158"/>
      <c r="D10" s="194"/>
      <c r="E10" s="182">
        <v>33553724</v>
      </c>
      <c r="F10" s="182">
        <v>-35000000</v>
      </c>
      <c r="G10" s="182">
        <v>35000000</v>
      </c>
      <c r="H10" s="189">
        <f t="shared" si="2"/>
        <v>0</v>
      </c>
      <c r="I10" s="159">
        <f t="shared" si="3"/>
        <v>33553724</v>
      </c>
      <c r="J10" s="370"/>
    </row>
    <row r="11" spans="1:20">
      <c r="A11" s="180" t="s">
        <v>180</v>
      </c>
      <c r="B11" s="152"/>
      <c r="C11" s="158">
        <v>46</v>
      </c>
      <c r="D11" s="282"/>
      <c r="E11" s="182">
        <v>5945.2030000000004</v>
      </c>
      <c r="F11" s="182">
        <v>0</v>
      </c>
      <c r="G11" s="182">
        <v>0</v>
      </c>
      <c r="H11" s="189">
        <f t="shared" si="2"/>
        <v>0</v>
      </c>
      <c r="I11" s="159">
        <f t="shared" si="3"/>
        <v>5945.2030000000004</v>
      </c>
      <c r="J11" s="370">
        <f>I11/C11</f>
        <v>129.24354347826088</v>
      </c>
      <c r="K11" s="341">
        <f>I31/I11</f>
        <v>0.22409495521010803</v>
      </c>
    </row>
    <row r="12" spans="1:20">
      <c r="A12" s="180" t="s">
        <v>137</v>
      </c>
      <c r="B12" s="152"/>
      <c r="C12" s="158">
        <v>1180</v>
      </c>
      <c r="D12" s="282"/>
      <c r="E12" s="182">
        <v>3736712.6630000002</v>
      </c>
      <c r="F12" s="182">
        <v>-3070656</v>
      </c>
      <c r="G12" s="182">
        <v>1728595</v>
      </c>
      <c r="H12" s="189">
        <f t="shared" si="2"/>
        <v>-1342061</v>
      </c>
      <c r="I12" s="159">
        <f t="shared" si="3"/>
        <v>2394651.6630000002</v>
      </c>
      <c r="J12" s="370">
        <f>I12/C12</f>
        <v>2029.3658161016951</v>
      </c>
      <c r="K12" s="341">
        <f>I32/I12</f>
        <v>0.11134258621814425</v>
      </c>
    </row>
    <row r="13" spans="1:20">
      <c r="A13" s="180" t="s">
        <v>138</v>
      </c>
      <c r="B13" s="152"/>
      <c r="C13" s="158">
        <v>1194</v>
      </c>
      <c r="D13" s="282"/>
      <c r="E13" s="182">
        <v>255625.07699999999</v>
      </c>
      <c r="F13" s="182">
        <v>-139136</v>
      </c>
      <c r="G13" s="182">
        <v>122329</v>
      </c>
      <c r="H13" s="189">
        <f t="shared" si="2"/>
        <v>-16807</v>
      </c>
      <c r="I13" s="159">
        <f t="shared" si="3"/>
        <v>238818.07699999999</v>
      </c>
      <c r="J13" s="370">
        <f>I13/C13</f>
        <v>200.01513986599664</v>
      </c>
      <c r="K13" s="341">
        <f>I33/I13</f>
        <v>0.18161931720101743</v>
      </c>
      <c r="S13" s="283"/>
    </row>
    <row r="14" spans="1:20">
      <c r="A14" s="180" t="s">
        <v>181</v>
      </c>
      <c r="B14" s="152"/>
      <c r="C14" s="158">
        <v>432</v>
      </c>
      <c r="D14" s="194"/>
      <c r="E14" s="182">
        <v>935788.15405000001</v>
      </c>
      <c r="F14" s="182"/>
      <c r="G14" s="182"/>
      <c r="H14" s="189"/>
      <c r="I14" s="159">
        <f t="shared" si="3"/>
        <v>935788.15405000001</v>
      </c>
      <c r="J14" s="370">
        <f>I14/C14</f>
        <v>2166.1762825231481</v>
      </c>
      <c r="K14" s="341">
        <f>I34/I14</f>
        <v>0.59653844471531214</v>
      </c>
      <c r="S14" s="189"/>
      <c r="T14" s="189"/>
    </row>
    <row r="15" spans="1:20">
      <c r="A15" s="180" t="s">
        <v>182</v>
      </c>
      <c r="B15" s="152"/>
      <c r="C15" s="158"/>
      <c r="D15" s="194"/>
      <c r="E15" s="182">
        <v>427092.69400000002</v>
      </c>
      <c r="F15" s="182"/>
      <c r="G15" s="182"/>
      <c r="H15" s="189">
        <f t="shared" si="2"/>
        <v>0</v>
      </c>
      <c r="I15" s="159">
        <f t="shared" si="3"/>
        <v>427092.69400000002</v>
      </c>
      <c r="J15" s="282"/>
      <c r="S15" s="189"/>
      <c r="T15" s="189"/>
    </row>
    <row r="16" spans="1:20">
      <c r="A16" s="180" t="s">
        <v>183</v>
      </c>
      <c r="B16" s="152"/>
      <c r="C16" s="158"/>
      <c r="D16" s="195"/>
      <c r="E16" s="182">
        <v>224516.93900000001</v>
      </c>
      <c r="F16" s="182"/>
      <c r="G16" s="182"/>
      <c r="H16" s="189">
        <f t="shared" si="2"/>
        <v>0</v>
      </c>
      <c r="I16" s="159">
        <f t="shared" si="3"/>
        <v>224516.93900000001</v>
      </c>
      <c r="J16" s="282"/>
      <c r="T16" s="283"/>
    </row>
    <row r="17" spans="1:31">
      <c r="A17" s="152"/>
      <c r="B17" s="152"/>
      <c r="C17" s="160">
        <f>SUM(C3:C16)</f>
        <v>254232</v>
      </c>
      <c r="E17" s="160">
        <f>SUM(E3:E16)</f>
        <v>516411272.71404999</v>
      </c>
      <c r="F17" s="160">
        <f>SUM(F3:F16)</f>
        <v>-304478685</v>
      </c>
      <c r="G17" s="160">
        <f>SUM(G3:G16)</f>
        <v>312515237</v>
      </c>
      <c r="H17" s="160">
        <f>SUM(H3:H16)</f>
        <v>8036552</v>
      </c>
      <c r="I17" s="160">
        <f>SUM(I3:I16)</f>
        <v>524447824.71404999</v>
      </c>
    </row>
    <row r="18" spans="1:31" ht="14.4" thickBot="1">
      <c r="A18" s="152"/>
      <c r="B18" s="152"/>
      <c r="C18" s="152"/>
      <c r="E18" s="152"/>
      <c r="F18" s="152"/>
      <c r="G18" s="152"/>
      <c r="I18" s="152"/>
    </row>
    <row r="19" spans="1:31">
      <c r="A19" s="152" t="s">
        <v>19</v>
      </c>
      <c r="B19" s="152"/>
      <c r="C19" s="161">
        <f>C3+C4</f>
        <v>217126</v>
      </c>
      <c r="E19" s="162">
        <f>E3+E4</f>
        <v>245751615.04300001</v>
      </c>
      <c r="F19" s="162">
        <f>F3+F4</f>
        <v>-114669993</v>
      </c>
      <c r="G19" s="162">
        <f>G3+G4</f>
        <v>127363416</v>
      </c>
      <c r="H19" s="162">
        <f>H3+H4</f>
        <v>12693423</v>
      </c>
      <c r="I19" s="161">
        <f>I3+I4</f>
        <v>258445038.04300001</v>
      </c>
    </row>
    <row r="20" spans="1:31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31" ht="14.4" thickBot="1">
      <c r="A21" s="152" t="s">
        <v>184</v>
      </c>
      <c r="B21" s="152"/>
      <c r="C21" s="177">
        <f>SUM(C5:C8,C11:C13)</f>
        <v>36651</v>
      </c>
      <c r="E21" s="178">
        <f>SUM(E5:E8,E11:E13)</f>
        <v>180149659.984</v>
      </c>
      <c r="F21" s="178">
        <f>SUM(F5:F8,F11:F13)</f>
        <v>-102007087</v>
      </c>
      <c r="G21" s="178">
        <f>SUM(G5:G8,G11:G13)</f>
        <v>92636536</v>
      </c>
      <c r="H21" s="178">
        <f>SUM(H5:H8,H11:H13)</f>
        <v>-9370551</v>
      </c>
      <c r="I21" s="177">
        <f>SUM(I5:I8,I11:I13)</f>
        <v>170779108.984</v>
      </c>
      <c r="Z21" s="1" t="s">
        <v>380</v>
      </c>
    </row>
    <row r="22" spans="1:31">
      <c r="A22" s="152"/>
      <c r="B22" s="152"/>
      <c r="C22" s="152"/>
      <c r="D22" s="152"/>
      <c r="E22" s="152"/>
      <c r="M22" s="1" t="s">
        <v>389</v>
      </c>
      <c r="Z22" s="1" t="s">
        <v>235</v>
      </c>
      <c r="AA22" s="343" t="s">
        <v>301</v>
      </c>
      <c r="AC22" s="1" t="s">
        <v>237</v>
      </c>
      <c r="AD22" s="343" t="s">
        <v>300</v>
      </c>
    </row>
    <row r="23" spans="1:31" ht="53.4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  <c r="O23" s="344" t="str">
        <f>AA22&amp;" Billed Schedule 75 Revenue"</f>
        <v>December Billed Schedule 75 Revenue</v>
      </c>
      <c r="P23" s="344" t="str">
        <f>AA22&amp;" Billed kWhs"</f>
        <v>December Billed kWhs</v>
      </c>
      <c r="Q23" s="344" t="str">
        <f>AA22&amp;" Unbilled kWhs"</f>
        <v>December Unbilled kWhs</v>
      </c>
      <c r="R23" s="344" t="s">
        <v>387</v>
      </c>
      <c r="S23" s="344" t="s">
        <v>239</v>
      </c>
      <c r="T23" s="344" t="str">
        <f>AD22&amp;" Unbilled kWhs reversal"</f>
        <v>November Unbilled kWhs reversal</v>
      </c>
      <c r="U23" s="344" t="s">
        <v>387</v>
      </c>
      <c r="V23" s="344" t="str">
        <f>AD22&amp;" Schedule 75 Unbilled Reversal"</f>
        <v>November Schedule 75 Unbilled Reversal</v>
      </c>
      <c r="X23" s="344" t="str">
        <f>"Total "&amp;AA22&amp;" Schedule 75 Revenue"</f>
        <v>Total December Schedule 75 Revenue</v>
      </c>
      <c r="Z23" s="344" t="str">
        <f>"Calendar "&amp;AA22&amp;" Usage"</f>
        <v>Calendar December Usage</v>
      </c>
      <c r="AA23" s="344" t="str">
        <f>R23</f>
        <v>11/1/2018 rate</v>
      </c>
      <c r="AB23" s="344" t="s">
        <v>240</v>
      </c>
      <c r="AC23" s="344" t="s">
        <v>241</v>
      </c>
      <c r="AD23" s="344" t="str">
        <f>"implied "&amp;AD22&amp;" unbilled/Cancel-Rebill True-up kWhs"</f>
        <v>implied November unbilled/Cancel-Rebill True-up kWhs</v>
      </c>
    </row>
    <row r="24" spans="1:31">
      <c r="A24" s="180" t="s">
        <v>131</v>
      </c>
      <c r="B24" s="152"/>
      <c r="C24" s="181">
        <v>1989883</v>
      </c>
      <c r="D24" s="181">
        <v>22280104.010000002</v>
      </c>
      <c r="E24" s="183">
        <v>-10201854</v>
      </c>
      <c r="F24" s="183">
        <v>11567915</v>
      </c>
      <c r="G24" s="174">
        <f>SUM(D24:F24)</f>
        <v>23646165.010000002</v>
      </c>
      <c r="H24" s="174">
        <f>-J62</f>
        <v>-22160.967499999992</v>
      </c>
      <c r="I24" s="174">
        <f>SUM(G24:H24)</f>
        <v>23624004.0425</v>
      </c>
      <c r="M24" s="1" t="s">
        <v>242</v>
      </c>
      <c r="O24" s="368">
        <v>-278783.18</v>
      </c>
      <c r="P24" s="345">
        <f t="shared" ref="P24:P29" si="4">E3</f>
        <v>245231487.134</v>
      </c>
      <c r="Q24" s="345">
        <f t="shared" ref="Q24:Q29" si="5">G3</f>
        <v>127093842</v>
      </c>
      <c r="R24" s="346">
        <v>-1.16E-3</v>
      </c>
      <c r="S24" s="347">
        <f>Q24*R24</f>
        <v>-147428.85672000001</v>
      </c>
      <c r="T24" s="345">
        <f t="shared" ref="T24:T29" si="6">F3</f>
        <v>-114430432</v>
      </c>
      <c r="U24" s="346">
        <f>R24</f>
        <v>-1.16E-3</v>
      </c>
      <c r="V24" s="348">
        <f>T24*U24</f>
        <v>132739.30111999999</v>
      </c>
      <c r="X24" s="349">
        <f>O24+S24+V24</f>
        <v>-293472.73560000001</v>
      </c>
      <c r="Z24" s="350">
        <f>P24+Q24+T24</f>
        <v>257894897.134</v>
      </c>
      <c r="AA24" s="194">
        <f>R24</f>
        <v>-1.16E-3</v>
      </c>
      <c r="AB24" s="283">
        <f>Z24*AA24</f>
        <v>-299158.08067544003</v>
      </c>
      <c r="AC24" s="349">
        <f>X24-AB24</f>
        <v>5685.345075440011</v>
      </c>
      <c r="AD24" s="350">
        <f>AC24/U24</f>
        <v>-4901159.5477931127</v>
      </c>
      <c r="AE24" s="351">
        <f>AC24/X24</f>
        <v>-1.9372651649620602E-2</v>
      </c>
    </row>
    <row r="25" spans="1:31">
      <c r="A25" s="180" t="s">
        <v>178</v>
      </c>
      <c r="B25" s="152"/>
      <c r="C25" s="181">
        <v>3331.5</v>
      </c>
      <c r="D25" s="181">
        <v>47341.25</v>
      </c>
      <c r="E25" s="183">
        <v>-13419</v>
      </c>
      <c r="F25" s="183">
        <v>15602</v>
      </c>
      <c r="G25" s="174">
        <f t="shared" ref="G25:G33" si="7">SUM(D25:F25)</f>
        <v>49524.25</v>
      </c>
      <c r="H25" s="174">
        <f t="shared" ref="H25:H30" si="8">-J63</f>
        <v>893.78714000000025</v>
      </c>
      <c r="I25" s="174">
        <f t="shared" ref="I25:I34" si="9">SUM(G25:H25)</f>
        <v>50418.03714</v>
      </c>
      <c r="M25" s="1" t="s">
        <v>243</v>
      </c>
      <c r="O25" s="368">
        <v>-615.77</v>
      </c>
      <c r="P25" s="345">
        <f t="shared" si="4"/>
        <v>520127.90899999999</v>
      </c>
      <c r="Q25" s="345">
        <f t="shared" si="5"/>
        <v>269574</v>
      </c>
      <c r="R25" s="346">
        <v>-1.16E-3</v>
      </c>
      <c r="S25" s="347">
        <f>Q25*R25</f>
        <v>-312.70584000000002</v>
      </c>
      <c r="T25" s="345">
        <f t="shared" si="6"/>
        <v>-239561</v>
      </c>
      <c r="U25" s="346">
        <f t="shared" ref="U25:U32" si="10">R25</f>
        <v>-1.16E-3</v>
      </c>
      <c r="V25" s="348">
        <f t="shared" ref="V25:V32" si="11">T25*U25</f>
        <v>277.89076</v>
      </c>
      <c r="X25" s="349">
        <f t="shared" ref="X25:X32" si="12">O25+S25+V25</f>
        <v>-650.58508000000006</v>
      </c>
      <c r="Z25" s="350">
        <f t="shared" ref="Z25:Z32" si="13">P25+Q25+T25</f>
        <v>550140.90899999999</v>
      </c>
      <c r="AA25" s="194">
        <f t="shared" ref="AA25:AA32" si="14">R25</f>
        <v>-1.16E-3</v>
      </c>
      <c r="AB25" s="283">
        <f t="shared" ref="AB25:AB32" si="15">Z25*AA25</f>
        <v>-638.16345444000001</v>
      </c>
      <c r="AC25" s="349">
        <f t="shared" ref="AC25:AC32" si="16">X25-AB25</f>
        <v>-12.421625560000052</v>
      </c>
      <c r="AD25" s="350">
        <f t="shared" ref="AD25:AD32" si="17">AC25/U25</f>
        <v>10708.297896551769</v>
      </c>
      <c r="AE25" s="351">
        <f t="shared" ref="AE25:AE33" si="18">AC25/X25</f>
        <v>1.9093007112920651E-2</v>
      </c>
    </row>
    <row r="26" spans="1:31">
      <c r="A26" s="180" t="s">
        <v>132</v>
      </c>
      <c r="B26" s="152"/>
      <c r="C26" s="181">
        <v>461146.07</v>
      </c>
      <c r="D26" s="181">
        <v>5954764</v>
      </c>
      <c r="E26" s="183">
        <v>-3239079</v>
      </c>
      <c r="F26" s="183">
        <v>3085339</v>
      </c>
      <c r="G26" s="174">
        <f t="shared" si="7"/>
        <v>5801024</v>
      </c>
      <c r="H26" s="174">
        <f t="shared" si="8"/>
        <v>5535.7829999999994</v>
      </c>
      <c r="I26" s="174">
        <f t="shared" si="9"/>
        <v>5806559.7829999998</v>
      </c>
      <c r="M26" s="1" t="s">
        <v>244</v>
      </c>
      <c r="O26" s="368">
        <v>27362.01</v>
      </c>
      <c r="P26" s="345">
        <f t="shared" si="4"/>
        <v>50926222.597000003</v>
      </c>
      <c r="Q26" s="345">
        <f t="shared" si="5"/>
        <v>26276394</v>
      </c>
      <c r="R26" s="352">
        <v>5.4000000000000001E-4</v>
      </c>
      <c r="S26" s="347">
        <f>Q26*R26</f>
        <v>14189.252759999999</v>
      </c>
      <c r="T26" s="345">
        <f t="shared" si="6"/>
        <v>-27208344</v>
      </c>
      <c r="U26" s="346">
        <f t="shared" si="10"/>
        <v>5.4000000000000001E-4</v>
      </c>
      <c r="V26" s="348">
        <f t="shared" si="11"/>
        <v>-14692.50576</v>
      </c>
      <c r="X26" s="349">
        <f t="shared" si="12"/>
        <v>26858.756999999998</v>
      </c>
      <c r="Z26" s="350">
        <f t="shared" si="13"/>
        <v>49994272.597000003</v>
      </c>
      <c r="AA26" s="353">
        <f t="shared" si="14"/>
        <v>5.4000000000000001E-4</v>
      </c>
      <c r="AB26" s="283">
        <f t="shared" si="15"/>
        <v>26996.907202380004</v>
      </c>
      <c r="AC26" s="349">
        <f t="shared" si="16"/>
        <v>-138.15020238000579</v>
      </c>
      <c r="AD26" s="350">
        <f t="shared" si="17"/>
        <v>-255833.70811112184</v>
      </c>
      <c r="AE26" s="351">
        <f t="shared" si="18"/>
        <v>-5.1435813794363534E-3</v>
      </c>
    </row>
    <row r="27" spans="1:31">
      <c r="A27" s="180" t="s">
        <v>133</v>
      </c>
      <c r="B27" s="152"/>
      <c r="C27" s="181">
        <v>193671.83</v>
      </c>
      <c r="D27" s="181">
        <v>871083.17</v>
      </c>
      <c r="E27" s="183">
        <v>-436496</v>
      </c>
      <c r="F27" s="183">
        <v>458774</v>
      </c>
      <c r="G27" s="174">
        <f t="shared" si="7"/>
        <v>893361.17</v>
      </c>
      <c r="H27" s="174">
        <f t="shared" si="8"/>
        <v>-1452.2876100000001</v>
      </c>
      <c r="I27" s="174">
        <f t="shared" si="9"/>
        <v>891908.88239000004</v>
      </c>
      <c r="M27" s="1" t="s">
        <v>245</v>
      </c>
      <c r="O27" s="368">
        <v>3291.99</v>
      </c>
      <c r="P27" s="345">
        <f t="shared" si="4"/>
        <v>6108206.1849999996</v>
      </c>
      <c r="Q27" s="345">
        <f t="shared" si="5"/>
        <v>3165785</v>
      </c>
      <c r="R27" s="352">
        <v>5.4000000000000001E-4</v>
      </c>
      <c r="S27" s="347">
        <f t="shared" ref="S27:S32" si="19">Q27*R27</f>
        <v>1709.5238999999999</v>
      </c>
      <c r="T27" s="345">
        <f t="shared" si="6"/>
        <v>-2882688</v>
      </c>
      <c r="U27" s="346">
        <f t="shared" si="10"/>
        <v>5.4000000000000001E-4</v>
      </c>
      <c r="V27" s="348">
        <f t="shared" si="11"/>
        <v>-1556.6515200000001</v>
      </c>
      <c r="X27" s="349">
        <f t="shared" si="12"/>
        <v>3444.8623799999996</v>
      </c>
      <c r="Z27" s="350">
        <f t="shared" si="13"/>
        <v>6391303.1849999987</v>
      </c>
      <c r="AA27" s="353">
        <f t="shared" si="14"/>
        <v>5.4000000000000001E-4</v>
      </c>
      <c r="AB27" s="283">
        <f t="shared" si="15"/>
        <v>3451.3037198999991</v>
      </c>
      <c r="AC27" s="349">
        <f t="shared" si="16"/>
        <v>-6.4413398999995479</v>
      </c>
      <c r="AD27" s="350">
        <f t="shared" si="17"/>
        <v>-11928.407222221385</v>
      </c>
      <c r="AE27" s="351">
        <f t="shared" si="18"/>
        <v>-1.8698395434883959E-3</v>
      </c>
    </row>
    <row r="28" spans="1:31">
      <c r="A28" s="180" t="s">
        <v>134</v>
      </c>
      <c r="B28" s="152"/>
      <c r="C28" s="181">
        <v>930356.66</v>
      </c>
      <c r="D28" s="181">
        <v>10545056.58</v>
      </c>
      <c r="E28" s="183">
        <v>-5524843</v>
      </c>
      <c r="F28" s="183">
        <v>4923816</v>
      </c>
      <c r="G28" s="174">
        <f t="shared" si="7"/>
        <v>9944029.5800000001</v>
      </c>
      <c r="H28" s="174">
        <f t="shared" si="8"/>
        <v>33811.941800000001</v>
      </c>
      <c r="I28" s="174">
        <f t="shared" si="9"/>
        <v>9977841.5218000002</v>
      </c>
      <c r="M28" s="1" t="s">
        <v>246</v>
      </c>
      <c r="O28" s="368">
        <v>62321.37</v>
      </c>
      <c r="P28" s="345">
        <f t="shared" si="4"/>
        <v>116049949.939</v>
      </c>
      <c r="Q28" s="345">
        <f t="shared" si="5"/>
        <v>59753857</v>
      </c>
      <c r="R28" s="352">
        <v>5.4000000000000001E-4</v>
      </c>
      <c r="S28" s="347">
        <f t="shared" si="19"/>
        <v>32267.082780000001</v>
      </c>
      <c r="T28" s="345">
        <f t="shared" si="6"/>
        <v>-67185053</v>
      </c>
      <c r="U28" s="346">
        <f t="shared" si="10"/>
        <v>5.4000000000000001E-4</v>
      </c>
      <c r="V28" s="348">
        <f t="shared" si="11"/>
        <v>-36279.928619999999</v>
      </c>
      <c r="X28" s="349">
        <f t="shared" si="12"/>
        <v>58308.524160000008</v>
      </c>
      <c r="Z28" s="350">
        <f t="shared" si="13"/>
        <v>108618753.93900001</v>
      </c>
      <c r="AA28" s="353">
        <f t="shared" si="14"/>
        <v>5.4000000000000001E-4</v>
      </c>
      <c r="AB28" s="283">
        <f t="shared" si="15"/>
        <v>58654.127127060005</v>
      </c>
      <c r="AC28" s="349">
        <f t="shared" si="16"/>
        <v>-345.60296705999644</v>
      </c>
      <c r="AD28" s="350">
        <f t="shared" si="17"/>
        <v>-640005.494555549</v>
      </c>
      <c r="AE28" s="351">
        <f t="shared" si="18"/>
        <v>-5.9271431070979175E-3</v>
      </c>
    </row>
    <row r="29" spans="1:31">
      <c r="A29" s="180" t="s">
        <v>135</v>
      </c>
      <c r="B29" s="152"/>
      <c r="C29" s="181">
        <v>22300.01</v>
      </c>
      <c r="D29" s="181">
        <v>269485.64</v>
      </c>
      <c r="E29" s="183">
        <v>-126415</v>
      </c>
      <c r="F29" s="183">
        <v>129951</v>
      </c>
      <c r="G29" s="174">
        <f t="shared" si="7"/>
        <v>273021.64</v>
      </c>
      <c r="H29" s="174">
        <f t="shared" si="8"/>
        <v>-255.68883999999997</v>
      </c>
      <c r="I29" s="174">
        <f t="shared" si="9"/>
        <v>272765.95116</v>
      </c>
      <c r="M29" s="1" t="s">
        <v>247</v>
      </c>
      <c r="O29" s="368">
        <v>1632.96</v>
      </c>
      <c r="P29" s="345">
        <f t="shared" si="4"/>
        <v>3066998.32</v>
      </c>
      <c r="Q29" s="345">
        <f t="shared" si="5"/>
        <v>1589576</v>
      </c>
      <c r="R29" s="352">
        <v>5.4000000000000001E-4</v>
      </c>
      <c r="S29" s="347">
        <f t="shared" si="19"/>
        <v>858.37103999999999</v>
      </c>
      <c r="T29" s="345">
        <f t="shared" si="6"/>
        <v>-1521210</v>
      </c>
      <c r="U29" s="346">
        <f t="shared" si="10"/>
        <v>5.4000000000000001E-4</v>
      </c>
      <c r="V29" s="348">
        <f t="shared" si="11"/>
        <v>-821.45339999999999</v>
      </c>
      <c r="X29" s="349">
        <f t="shared" si="12"/>
        <v>1669.8776400000002</v>
      </c>
      <c r="Z29" s="350">
        <f t="shared" si="13"/>
        <v>3135364.3200000003</v>
      </c>
      <c r="AA29" s="353">
        <f t="shared" si="14"/>
        <v>5.4000000000000001E-4</v>
      </c>
      <c r="AB29" s="283">
        <f t="shared" si="15"/>
        <v>1693.0967328000002</v>
      </c>
      <c r="AC29" s="349">
        <f t="shared" si="16"/>
        <v>-23.219092799999999</v>
      </c>
      <c r="AD29" s="350">
        <f t="shared" si="17"/>
        <v>-42998.32</v>
      </c>
      <c r="AE29" s="351">
        <f t="shared" si="18"/>
        <v>-1.3904667170703594E-2</v>
      </c>
    </row>
    <row r="30" spans="1:31">
      <c r="A30" s="180" t="s">
        <v>136</v>
      </c>
      <c r="B30" s="152"/>
      <c r="C30" s="181">
        <v>552000</v>
      </c>
      <c r="D30" s="181">
        <f>5415141.82-83682.54</f>
        <v>5331459.28</v>
      </c>
      <c r="E30" s="183">
        <v>-5557424</v>
      </c>
      <c r="F30" s="183">
        <v>5794738</v>
      </c>
      <c r="G30" s="174">
        <f t="shared" si="7"/>
        <v>5568773.2800000003</v>
      </c>
      <c r="H30" s="174">
        <f t="shared" si="8"/>
        <v>-11548.516</v>
      </c>
      <c r="I30" s="174">
        <f t="shared" si="9"/>
        <v>5557224.7640000004</v>
      </c>
      <c r="J30" s="283"/>
      <c r="M30" s="1" t="s">
        <v>248</v>
      </c>
      <c r="O30" s="368">
        <v>3.16</v>
      </c>
      <c r="P30" s="345">
        <f>E11</f>
        <v>5945.2030000000004</v>
      </c>
      <c r="Q30" s="345">
        <f>G11</f>
        <v>0</v>
      </c>
      <c r="R30" s="352">
        <v>5.4000000000000001E-4</v>
      </c>
      <c r="S30" s="347">
        <f t="shared" si="19"/>
        <v>0</v>
      </c>
      <c r="T30" s="345">
        <f>F11</f>
        <v>0</v>
      </c>
      <c r="U30" s="346">
        <f t="shared" si="10"/>
        <v>5.4000000000000001E-4</v>
      </c>
      <c r="V30" s="348">
        <f t="shared" si="11"/>
        <v>0</v>
      </c>
      <c r="X30" s="349">
        <f t="shared" si="12"/>
        <v>3.16</v>
      </c>
      <c r="Z30" s="350">
        <f t="shared" si="13"/>
        <v>5945.2030000000004</v>
      </c>
      <c r="AA30" s="353">
        <f t="shared" si="14"/>
        <v>5.4000000000000001E-4</v>
      </c>
      <c r="AB30" s="283">
        <f t="shared" si="15"/>
        <v>3.2104096200000001</v>
      </c>
      <c r="AC30" s="349">
        <f t="shared" si="16"/>
        <v>-5.0409619999999933E-2</v>
      </c>
      <c r="AD30" s="350">
        <f t="shared" si="17"/>
        <v>-93.351148148148027</v>
      </c>
      <c r="AE30" s="351">
        <f t="shared" si="18"/>
        <v>-1.5952411392405042E-2</v>
      </c>
    </row>
    <row r="31" spans="1:31">
      <c r="A31" s="180" t="s">
        <v>180</v>
      </c>
      <c r="B31" s="152"/>
      <c r="C31" s="181">
        <v>920</v>
      </c>
      <c r="D31" s="181">
        <v>1332.29</v>
      </c>
      <c r="E31" s="183">
        <v>0</v>
      </c>
      <c r="F31" s="183">
        <v>0</v>
      </c>
      <c r="G31" s="174">
        <f t="shared" si="7"/>
        <v>1332.29</v>
      </c>
      <c r="H31" s="174">
        <f>-J70</f>
        <v>0</v>
      </c>
      <c r="I31" s="174">
        <f t="shared" si="9"/>
        <v>1332.29</v>
      </c>
      <c r="M31" s="1" t="s">
        <v>249</v>
      </c>
      <c r="O31" s="368">
        <v>1982.87</v>
      </c>
      <c r="P31" s="345">
        <f>E12</f>
        <v>3736712.6630000002</v>
      </c>
      <c r="Q31" s="345">
        <f>G12</f>
        <v>1728595</v>
      </c>
      <c r="R31" s="352">
        <v>5.4000000000000001E-4</v>
      </c>
      <c r="S31" s="347">
        <f t="shared" si="19"/>
        <v>933.44129999999996</v>
      </c>
      <c r="T31" s="345">
        <f>F12</f>
        <v>-3070656</v>
      </c>
      <c r="U31" s="346">
        <f t="shared" si="10"/>
        <v>5.4000000000000001E-4</v>
      </c>
      <c r="V31" s="348">
        <f t="shared" si="11"/>
        <v>-1658.1542400000001</v>
      </c>
      <c r="X31" s="349">
        <f>O31+S31+V31</f>
        <v>1258.1570599999998</v>
      </c>
      <c r="Z31" s="350">
        <f t="shared" si="13"/>
        <v>2394651.6630000006</v>
      </c>
      <c r="AA31" s="353">
        <f t="shared" si="14"/>
        <v>5.4000000000000001E-4</v>
      </c>
      <c r="AB31" s="283">
        <f t="shared" si="15"/>
        <v>1293.1118980200004</v>
      </c>
      <c r="AC31" s="349">
        <f t="shared" si="16"/>
        <v>-34.954838020000579</v>
      </c>
      <c r="AD31" s="350">
        <f t="shared" si="17"/>
        <v>-64731.181518519588</v>
      </c>
      <c r="AE31" s="351">
        <f t="shared" si="18"/>
        <v>-2.7782571136230467E-2</v>
      </c>
    </row>
    <row r="32" spans="1:31">
      <c r="A32" s="180" t="s">
        <v>137</v>
      </c>
      <c r="B32" s="152"/>
      <c r="C32" s="181">
        <v>24872.51</v>
      </c>
      <c r="D32" s="181">
        <v>337943.95</v>
      </c>
      <c r="E32" s="183">
        <v>-189294</v>
      </c>
      <c r="F32" s="183">
        <v>112273</v>
      </c>
      <c r="G32" s="174">
        <f t="shared" si="7"/>
        <v>260922.95</v>
      </c>
      <c r="H32" s="174">
        <f>-J71</f>
        <v>5703.7592499999992</v>
      </c>
      <c r="I32" s="174">
        <f t="shared" si="9"/>
        <v>266626.70925000001</v>
      </c>
      <c r="M32" s="1" t="s">
        <v>250</v>
      </c>
      <c r="O32" s="368">
        <v>138.09</v>
      </c>
      <c r="P32" s="345">
        <f>E13</f>
        <v>255625.07699999999</v>
      </c>
      <c r="Q32" s="345">
        <f>G13</f>
        <v>122329</v>
      </c>
      <c r="R32" s="352">
        <v>5.4000000000000001E-4</v>
      </c>
      <c r="S32" s="347">
        <f t="shared" si="19"/>
        <v>66.057659999999998</v>
      </c>
      <c r="T32" s="345">
        <f>F13</f>
        <v>-139136</v>
      </c>
      <c r="U32" s="346">
        <f t="shared" si="10"/>
        <v>5.4000000000000001E-4</v>
      </c>
      <c r="V32" s="348">
        <f t="shared" si="11"/>
        <v>-75.133440000000007</v>
      </c>
      <c r="X32" s="349">
        <f t="shared" si="12"/>
        <v>129.01421999999999</v>
      </c>
      <c r="Z32" s="350">
        <f t="shared" si="13"/>
        <v>238818.07699999999</v>
      </c>
      <c r="AA32" s="353">
        <f t="shared" si="14"/>
        <v>5.4000000000000001E-4</v>
      </c>
      <c r="AB32" s="283">
        <f t="shared" si="15"/>
        <v>128.96176158</v>
      </c>
      <c r="AC32" s="349">
        <f t="shared" si="16"/>
        <v>5.2458419999993566E-2</v>
      </c>
      <c r="AD32" s="350">
        <f t="shared" si="17"/>
        <v>97.145222222210307</v>
      </c>
      <c r="AE32" s="351">
        <f t="shared" si="18"/>
        <v>4.0660959698856117E-4</v>
      </c>
    </row>
    <row r="33" spans="1:31">
      <c r="A33" s="180" t="s">
        <v>138</v>
      </c>
      <c r="B33" s="152"/>
      <c r="C33" s="181">
        <v>23837.43</v>
      </c>
      <c r="D33" s="181">
        <v>46182.16</v>
      </c>
      <c r="E33" s="183">
        <v>-24735</v>
      </c>
      <c r="F33" s="183">
        <v>21869</v>
      </c>
      <c r="G33" s="174">
        <f t="shared" si="7"/>
        <v>43316.160000000003</v>
      </c>
      <c r="H33" s="174">
        <f>-J72</f>
        <v>57.816080000000007</v>
      </c>
      <c r="I33" s="174">
        <f t="shared" si="9"/>
        <v>43373.97608</v>
      </c>
      <c r="O33" s="193">
        <f>SUM(O24:O32)</f>
        <v>-182666.50000000003</v>
      </c>
      <c r="P33" s="354">
        <f>SUM(P24:P32)</f>
        <v>425901275.02700001</v>
      </c>
      <c r="Q33" s="354">
        <f>SUM(Q24:Q32)</f>
        <v>219999952</v>
      </c>
      <c r="S33" s="193">
        <f>SUM(S24:S32)</f>
        <v>-97717.83312000001</v>
      </c>
      <c r="T33" s="354">
        <f>SUM(T24:T32)</f>
        <v>-216677080</v>
      </c>
      <c r="V33" s="193">
        <f>SUM(V24:V32)</f>
        <v>77933.364899999986</v>
      </c>
      <c r="X33" s="193">
        <f>SUM(X24:X32)</f>
        <v>-202450.96822000001</v>
      </c>
      <c r="Z33" s="354">
        <f>SUM(Z24:Z32)</f>
        <v>429224147.02700001</v>
      </c>
      <c r="AB33" s="354">
        <f>SUM(AB24:AB32)</f>
        <v>-207575.52527852001</v>
      </c>
      <c r="AC33" s="193">
        <f>SUM(AC24:AC32)</f>
        <v>5124.5570585200085</v>
      </c>
      <c r="AD33" s="354">
        <f>SUM(AD24:AD32)</f>
        <v>-5905944.5672298986</v>
      </c>
      <c r="AE33" s="351">
        <f t="shared" si="18"/>
        <v>-2.5312583602718264E-2</v>
      </c>
    </row>
    <row r="34" spans="1:31">
      <c r="A34" s="180" t="s">
        <v>192</v>
      </c>
      <c r="B34" s="152"/>
      <c r="C34" s="174"/>
      <c r="D34" s="181">
        <v>558233.61</v>
      </c>
      <c r="E34" s="181"/>
      <c r="F34" s="181"/>
      <c r="G34" s="174">
        <f>SUM(D34:F34)</f>
        <v>558233.61</v>
      </c>
      <c r="H34" s="174"/>
      <c r="I34" s="174">
        <f t="shared" si="9"/>
        <v>558233.61</v>
      </c>
      <c r="U34" s="355"/>
    </row>
    <row r="35" spans="1:31">
      <c r="A35" s="180" t="s">
        <v>193</v>
      </c>
      <c r="B35" s="152"/>
      <c r="C35" s="194"/>
      <c r="D35" s="181">
        <v>1531659.32</v>
      </c>
      <c r="E35" s="181"/>
      <c r="F35" s="181"/>
      <c r="G35" s="174"/>
      <c r="H35" s="174"/>
      <c r="I35" s="174"/>
      <c r="U35" s="355" t="s">
        <v>388</v>
      </c>
      <c r="V35" s="1" t="s">
        <v>252</v>
      </c>
      <c r="X35" s="194">
        <v>0.95444899999999999</v>
      </c>
      <c r="AA35" s="1" t="s">
        <v>253</v>
      </c>
      <c r="AB35" s="1" t="s">
        <v>254</v>
      </c>
      <c r="AD35" s="1" t="s">
        <v>255</v>
      </c>
    </row>
    <row r="36" spans="1:31">
      <c r="A36" s="180" t="s">
        <v>194</v>
      </c>
      <c r="B36" s="152"/>
      <c r="C36" s="194"/>
      <c r="D36" s="181">
        <v>1756931.19</v>
      </c>
      <c r="E36" s="181"/>
      <c r="F36" s="181"/>
      <c r="G36" s="174"/>
      <c r="H36" s="174"/>
      <c r="I36" s="174"/>
      <c r="T36" s="1" t="s">
        <v>142</v>
      </c>
      <c r="U36" s="1" t="s">
        <v>256</v>
      </c>
      <c r="X36" s="356">
        <f>(X24+X25)*X35</f>
        <v>-280725.70929970534</v>
      </c>
      <c r="Z36" s="1" t="s">
        <v>19</v>
      </c>
      <c r="AA36" s="189">
        <f>P24+P25+Q24+Q25+T24+T25</f>
        <v>258445038.04299998</v>
      </c>
      <c r="AB36" s="194">
        <v>-1.1100000000000001E-3</v>
      </c>
      <c r="AC36" s="349">
        <f>AA36*AB36</f>
        <v>-286873.99222772999</v>
      </c>
      <c r="AD36" s="349">
        <f>X36-AC36</f>
        <v>6148.2829280246515</v>
      </c>
      <c r="AE36" s="351">
        <f>AD36/X36</f>
        <v>-2.1901388880135264E-2</v>
      </c>
    </row>
    <row r="37" spans="1:31">
      <c r="A37" s="152"/>
      <c r="B37" s="152"/>
      <c r="C37" s="166">
        <f t="shared" ref="C37:I37" si="20">SUM(C24:C36)</f>
        <v>4202319.01</v>
      </c>
      <c r="D37" s="166">
        <f t="shared" si="20"/>
        <v>49531576.450000003</v>
      </c>
      <c r="E37" s="166">
        <f t="shared" si="20"/>
        <v>-25313559</v>
      </c>
      <c r="F37" s="166">
        <f t="shared" si="20"/>
        <v>26110277</v>
      </c>
      <c r="G37" s="166">
        <f t="shared" si="20"/>
        <v>47039703.940000005</v>
      </c>
      <c r="H37" s="166">
        <f t="shared" si="20"/>
        <v>10585.627320000009</v>
      </c>
      <c r="I37" s="166">
        <f t="shared" si="20"/>
        <v>47050289.567319997</v>
      </c>
      <c r="T37" s="1" t="s">
        <v>142</v>
      </c>
      <c r="U37" s="1" t="s">
        <v>257</v>
      </c>
      <c r="X37" s="356">
        <f>SUM(X26:X32)*X35</f>
        <v>87496.585133094544</v>
      </c>
      <c r="Z37" s="1" t="s">
        <v>184</v>
      </c>
      <c r="AA37" s="189">
        <f>SUM(P26:Q32,T26:T32)</f>
        <v>170779108.98400003</v>
      </c>
      <c r="AB37" s="194">
        <v>5.1999999999999995E-4</v>
      </c>
      <c r="AC37" s="349">
        <f>AA37*AB37</f>
        <v>88805.136671680011</v>
      </c>
      <c r="AD37" s="349">
        <f>X37-AC37</f>
        <v>-1308.5515385854669</v>
      </c>
      <c r="AE37" s="351">
        <f>AD37/X37</f>
        <v>-1.4955458394118775E-2</v>
      </c>
    </row>
    <row r="38" spans="1:31" ht="14.4" thickBot="1">
      <c r="A38" s="152"/>
      <c r="B38" s="152"/>
      <c r="D38" s="167"/>
      <c r="E38" s="152"/>
      <c r="F38" s="152"/>
      <c r="Z38" s="1" t="s">
        <v>236</v>
      </c>
    </row>
    <row r="39" spans="1:31">
      <c r="A39" s="152" t="s">
        <v>19</v>
      </c>
      <c r="B39" s="152"/>
      <c r="C39" s="169">
        <f t="shared" ref="C39:I39" si="21">C24+C25</f>
        <v>1993214.5</v>
      </c>
      <c r="D39" s="168">
        <f t="shared" si="21"/>
        <v>22327445.260000002</v>
      </c>
      <c r="E39" s="168">
        <f t="shared" si="21"/>
        <v>-10215273</v>
      </c>
      <c r="F39" s="168">
        <f t="shared" si="21"/>
        <v>11583517</v>
      </c>
      <c r="G39" s="168">
        <f t="shared" si="21"/>
        <v>23695689.260000002</v>
      </c>
      <c r="H39" s="168">
        <f t="shared" si="21"/>
        <v>-21267.180359999991</v>
      </c>
      <c r="I39" s="169">
        <f t="shared" si="21"/>
        <v>23674422.079640001</v>
      </c>
    </row>
    <row r="40" spans="1:31" ht="6" customHeight="1">
      <c r="A40" s="152"/>
      <c r="B40" s="152"/>
      <c r="C40" s="173"/>
      <c r="D40" s="168"/>
      <c r="E40" s="152"/>
      <c r="F40" s="152"/>
      <c r="I40" s="190"/>
    </row>
    <row r="41" spans="1:31" ht="14.4" thickBot="1">
      <c r="A41" s="152" t="s">
        <v>184</v>
      </c>
      <c r="B41" s="152"/>
      <c r="C41" s="175">
        <f>SUM(C26:C29,C31:C33)</f>
        <v>1657104.51</v>
      </c>
      <c r="D41" s="176">
        <f t="shared" ref="D41:I41" si="22">SUM(D26:D29,D31:D33)</f>
        <v>18025847.789999999</v>
      </c>
      <c r="E41" s="176">
        <f t="shared" si="22"/>
        <v>-9540862</v>
      </c>
      <c r="F41" s="176">
        <f t="shared" si="22"/>
        <v>8732022</v>
      </c>
      <c r="G41" s="176">
        <f t="shared" si="22"/>
        <v>17217007.789999999</v>
      </c>
      <c r="H41" s="176">
        <f t="shared" si="22"/>
        <v>43401.323679999994</v>
      </c>
      <c r="I41" s="175">
        <f t="shared" si="22"/>
        <v>17260409.113679998</v>
      </c>
    </row>
    <row r="42" spans="1:31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31">
      <c r="C43" s="192">
        <v>43040</v>
      </c>
      <c r="D43" s="192">
        <v>43252</v>
      </c>
      <c r="E43" s="381">
        <v>43405</v>
      </c>
      <c r="F43" s="192">
        <v>42278</v>
      </c>
      <c r="G43" s="192">
        <v>43344</v>
      </c>
      <c r="H43" s="192">
        <v>43374</v>
      </c>
      <c r="I43" s="192">
        <v>43282</v>
      </c>
      <c r="J43" s="375"/>
      <c r="K43" s="196"/>
      <c r="L43" s="1" t="s">
        <v>377</v>
      </c>
    </row>
    <row r="44" spans="1:31" ht="40.950000000000003" customHeight="1">
      <c r="A44" s="179" t="s">
        <v>195</v>
      </c>
      <c r="B44" s="154"/>
      <c r="C44" s="165" t="s">
        <v>196</v>
      </c>
      <c r="D44" s="165" t="s">
        <v>312</v>
      </c>
      <c r="E44" s="165" t="s">
        <v>213</v>
      </c>
      <c r="F44" s="165" t="s">
        <v>197</v>
      </c>
      <c r="G44" s="165" t="s">
        <v>198</v>
      </c>
      <c r="H44" s="165" t="s">
        <v>199</v>
      </c>
      <c r="I44" s="165" t="s">
        <v>201</v>
      </c>
      <c r="J44" s="378"/>
      <c r="L44" s="211" t="s">
        <v>385</v>
      </c>
      <c r="M44" s="357" t="s">
        <v>386</v>
      </c>
      <c r="N44" s="344" t="s">
        <v>382</v>
      </c>
      <c r="O44" s="344" t="s">
        <v>383</v>
      </c>
      <c r="P44" s="344" t="s">
        <v>384</v>
      </c>
    </row>
    <row r="45" spans="1:31">
      <c r="A45" s="180" t="s">
        <v>131</v>
      </c>
      <c r="B45" s="152"/>
      <c r="C45" s="171">
        <v>-8.0999999999999996E-4</v>
      </c>
      <c r="D45" s="171">
        <v>-1.42E-3</v>
      </c>
      <c r="E45" s="171">
        <v>-1.16E-3</v>
      </c>
      <c r="F45" s="171"/>
      <c r="G45" s="171">
        <v>4.3299999999999996E-3</v>
      </c>
      <c r="H45" s="171">
        <v>1.15E-3</v>
      </c>
      <c r="I45" s="171">
        <v>-3.4000000000000002E-4</v>
      </c>
      <c r="J45" s="171"/>
      <c r="L45" s="171">
        <f>SUM(C45:I45)</f>
        <v>1.7499999999999994E-3</v>
      </c>
      <c r="M45" s="376">
        <f t="shared" ref="M45:M57" si="23">SUM(C45:D45,E45:I45)</f>
        <v>1.7499999999999994E-3</v>
      </c>
      <c r="N45" s="348">
        <f>-F3*L45</f>
        <v>200253.25599999994</v>
      </c>
      <c r="O45" s="348">
        <f>G3*M45</f>
        <v>222414.22349999993</v>
      </c>
      <c r="P45" s="349">
        <f>O45-N45</f>
        <v>22160.967499999999</v>
      </c>
    </row>
    <row r="46" spans="1:31">
      <c r="A46" s="180" t="s">
        <v>178</v>
      </c>
      <c r="B46" s="152"/>
      <c r="C46" s="171">
        <v>-8.0999999999999996E-4</v>
      </c>
      <c r="D46" s="171">
        <v>-1.42E-3</v>
      </c>
      <c r="E46" s="171">
        <v>-1.16E-3</v>
      </c>
      <c r="F46" s="171">
        <v>-3.1530000000000002E-2</v>
      </c>
      <c r="G46" s="171">
        <v>4.3299999999999996E-3</v>
      </c>
      <c r="H46" s="171">
        <v>1.15E-3</v>
      </c>
      <c r="I46" s="171">
        <v>-3.4000000000000002E-4</v>
      </c>
      <c r="J46" s="171"/>
      <c r="L46" s="171">
        <f t="shared" ref="L46:L57" si="24">SUM(C46:I46)</f>
        <v>-2.9780000000000001E-2</v>
      </c>
      <c r="M46" s="376">
        <f t="shared" si="23"/>
        <v>-2.9780000000000001E-2</v>
      </c>
      <c r="N46" s="348">
        <f t="shared" ref="N46:N57" si="25">-F4*L46</f>
        <v>-7134.1265800000001</v>
      </c>
      <c r="O46" s="348">
        <f t="shared" ref="O46:O57" si="26">G4*M46</f>
        <v>-8027.9137200000005</v>
      </c>
      <c r="P46" s="349">
        <f t="shared" ref="P46:P57" si="27">O46-N46</f>
        <v>-893.78714000000036</v>
      </c>
    </row>
    <row r="47" spans="1:31">
      <c r="A47" s="180" t="s">
        <v>132</v>
      </c>
      <c r="B47" s="152"/>
      <c r="C47" s="171">
        <v>0</v>
      </c>
      <c r="D47" s="171">
        <v>-1.8799999999999999E-3</v>
      </c>
      <c r="E47" s="171">
        <v>5.4000000000000001E-4</v>
      </c>
      <c r="F47" s="171"/>
      <c r="G47" s="171">
        <v>5.9699999999999996E-3</v>
      </c>
      <c r="H47" s="171">
        <v>1.67E-3</v>
      </c>
      <c r="I47" s="171">
        <v>-3.6000000000000002E-4</v>
      </c>
      <c r="J47" s="171"/>
      <c r="L47" s="171">
        <f t="shared" si="24"/>
        <v>5.94E-3</v>
      </c>
      <c r="M47" s="376">
        <f t="shared" si="23"/>
        <v>5.94E-3</v>
      </c>
      <c r="N47" s="348">
        <f t="shared" si="25"/>
        <v>161617.56336</v>
      </c>
      <c r="O47" s="348">
        <f t="shared" si="26"/>
        <v>156081.78036</v>
      </c>
      <c r="P47" s="349">
        <f t="shared" si="27"/>
        <v>-5535.7829999999958</v>
      </c>
    </row>
    <row r="48" spans="1:31">
      <c r="A48" s="180" t="s">
        <v>133</v>
      </c>
      <c r="B48" s="152"/>
      <c r="C48" s="171">
        <v>-8.0999999999999996E-4</v>
      </c>
      <c r="D48" s="171">
        <v>-1.8799999999999999E-3</v>
      </c>
      <c r="E48" s="171">
        <v>5.4000000000000001E-4</v>
      </c>
      <c r="F48" s="171"/>
      <c r="G48" s="171">
        <v>5.9699999999999996E-3</v>
      </c>
      <c r="H48" s="171">
        <v>1.67E-3</v>
      </c>
      <c r="I48" s="171">
        <v>-3.6000000000000002E-4</v>
      </c>
      <c r="J48" s="171"/>
      <c r="L48" s="171">
        <f t="shared" si="24"/>
        <v>5.13E-3</v>
      </c>
      <c r="M48" s="376">
        <f t="shared" si="23"/>
        <v>5.13E-3</v>
      </c>
      <c r="N48" s="348">
        <f t="shared" si="25"/>
        <v>14788.18944</v>
      </c>
      <c r="O48" s="348">
        <f t="shared" si="26"/>
        <v>16240.47705</v>
      </c>
      <c r="P48" s="349">
        <f t="shared" si="27"/>
        <v>1452.2876099999994</v>
      </c>
    </row>
    <row r="49" spans="1:16" ht="14.4" customHeight="1">
      <c r="A49" s="180" t="s">
        <v>134</v>
      </c>
      <c r="B49" s="152"/>
      <c r="C49" s="171">
        <v>0</v>
      </c>
      <c r="D49" s="171">
        <v>-1.4400000000000001E-3</v>
      </c>
      <c r="E49" s="171">
        <v>5.4000000000000001E-4</v>
      </c>
      <c r="F49" s="171"/>
      <c r="G49" s="171">
        <v>4.5999999999999999E-3</v>
      </c>
      <c r="H49" s="171">
        <v>1.2099999999999999E-3</v>
      </c>
      <c r="I49" s="171">
        <v>-3.6000000000000002E-4</v>
      </c>
      <c r="J49" s="171"/>
      <c r="L49" s="171">
        <f t="shared" si="24"/>
        <v>4.5499999999999994E-3</v>
      </c>
      <c r="M49" s="376">
        <f t="shared" si="23"/>
        <v>4.5499999999999994E-3</v>
      </c>
      <c r="N49" s="348">
        <f t="shared" si="25"/>
        <v>305691.99114999996</v>
      </c>
      <c r="O49" s="348">
        <f t="shared" si="26"/>
        <v>271880.04934999999</v>
      </c>
      <c r="P49" s="349">
        <f t="shared" si="27"/>
        <v>-33811.941799999971</v>
      </c>
    </row>
    <row r="50" spans="1:16">
      <c r="A50" s="180" t="s">
        <v>135</v>
      </c>
      <c r="B50" s="152"/>
      <c r="C50" s="171">
        <v>-8.0999999999999996E-4</v>
      </c>
      <c r="D50" s="171">
        <v>-1.4400000000000001E-3</v>
      </c>
      <c r="E50" s="171">
        <v>5.4000000000000001E-4</v>
      </c>
      <c r="F50" s="171"/>
      <c r="G50" s="171">
        <v>4.5999999999999999E-3</v>
      </c>
      <c r="H50" s="171">
        <v>1.2099999999999999E-3</v>
      </c>
      <c r="I50" s="171">
        <v>-3.6000000000000002E-4</v>
      </c>
      <c r="J50" s="171"/>
      <c r="L50" s="171">
        <f t="shared" si="24"/>
        <v>3.7399999999999994E-3</v>
      </c>
      <c r="M50" s="376">
        <f t="shared" si="23"/>
        <v>3.7399999999999994E-3</v>
      </c>
      <c r="N50" s="348">
        <f t="shared" si="25"/>
        <v>5689.3253999999988</v>
      </c>
      <c r="O50" s="348">
        <f t="shared" si="26"/>
        <v>5945.0142399999986</v>
      </c>
      <c r="P50" s="349">
        <f t="shared" si="27"/>
        <v>255.6888399999998</v>
      </c>
    </row>
    <row r="51" spans="1:16">
      <c r="A51" s="180" t="s">
        <v>136</v>
      </c>
      <c r="B51" s="152"/>
      <c r="C51" s="171">
        <v>0</v>
      </c>
      <c r="D51" s="171">
        <v>-9.3000000000000005E-4</v>
      </c>
      <c r="E51" s="171">
        <v>0</v>
      </c>
      <c r="F51" s="171"/>
      <c r="G51" s="171">
        <v>2.97E-3</v>
      </c>
      <c r="H51" s="171">
        <v>7.6000000000000004E-4</v>
      </c>
      <c r="I51" s="171">
        <v>-3.5E-4</v>
      </c>
      <c r="J51" s="171"/>
      <c r="L51" s="171">
        <f t="shared" si="24"/>
        <v>2.4500000000000004E-3</v>
      </c>
      <c r="M51" s="376">
        <f t="shared" si="23"/>
        <v>2.4500000000000004E-3</v>
      </c>
      <c r="N51" s="348">
        <f t="shared" si="25"/>
        <v>129363.93225000001</v>
      </c>
      <c r="O51" s="348">
        <f t="shared" si="26"/>
        <v>140912.44825000002</v>
      </c>
      <c r="P51" s="349">
        <f t="shared" si="27"/>
        <v>11548.516000000003</v>
      </c>
    </row>
    <row r="52" spans="1:16">
      <c r="A52" s="180" t="s">
        <v>179</v>
      </c>
      <c r="B52" s="152"/>
      <c r="C52" s="171">
        <v>0</v>
      </c>
      <c r="D52" s="171">
        <v>-9.3000000000000005E-4</v>
      </c>
      <c r="E52" s="171">
        <v>0</v>
      </c>
      <c r="F52" s="171"/>
      <c r="G52" s="171">
        <v>2.97E-3</v>
      </c>
      <c r="H52" s="171">
        <v>0</v>
      </c>
      <c r="I52" s="171">
        <v>-3.5E-4</v>
      </c>
      <c r="J52" s="171"/>
      <c r="L52" s="171">
        <f t="shared" si="24"/>
        <v>1.6900000000000001E-3</v>
      </c>
      <c r="M52" s="376">
        <f t="shared" si="23"/>
        <v>1.6900000000000001E-3</v>
      </c>
      <c r="N52" s="348">
        <f t="shared" si="25"/>
        <v>59150</v>
      </c>
      <c r="O52" s="348">
        <f t="shared" si="26"/>
        <v>59150</v>
      </c>
      <c r="P52" s="349">
        <f t="shared" si="27"/>
        <v>0</v>
      </c>
    </row>
    <row r="53" spans="1:16">
      <c r="A53" s="180" t="s">
        <v>180</v>
      </c>
      <c r="B53" s="152"/>
      <c r="C53" s="171">
        <v>0</v>
      </c>
      <c r="D53" s="171">
        <v>-1.2999999999999999E-3</v>
      </c>
      <c r="E53" s="171">
        <v>5.4000000000000001E-4</v>
      </c>
      <c r="F53" s="171"/>
      <c r="G53" s="171">
        <v>4.3299999999999996E-3</v>
      </c>
      <c r="H53" s="171">
        <v>1.0499999999999999E-3</v>
      </c>
      <c r="I53" s="171">
        <v>-3.6999999999999999E-4</v>
      </c>
      <c r="J53" s="171"/>
      <c r="L53" s="171">
        <f t="shared" si="24"/>
        <v>4.2500000000000003E-3</v>
      </c>
      <c r="M53" s="376">
        <f t="shared" si="23"/>
        <v>4.2500000000000003E-3</v>
      </c>
      <c r="N53" s="348">
        <f t="shared" si="25"/>
        <v>0</v>
      </c>
      <c r="O53" s="348">
        <f t="shared" si="26"/>
        <v>0</v>
      </c>
      <c r="P53" s="349">
        <f t="shared" si="27"/>
        <v>0</v>
      </c>
    </row>
    <row r="54" spans="1:16">
      <c r="A54" s="180" t="s">
        <v>137</v>
      </c>
      <c r="B54" s="152"/>
      <c r="C54" s="171">
        <v>0</v>
      </c>
      <c r="D54" s="171">
        <v>-1.2999999999999999E-3</v>
      </c>
      <c r="E54" s="171">
        <v>5.4000000000000001E-4</v>
      </c>
      <c r="F54" s="171"/>
      <c r="G54" s="171">
        <v>4.3299999999999996E-3</v>
      </c>
      <c r="H54" s="171">
        <v>1.0499999999999999E-3</v>
      </c>
      <c r="I54" s="171">
        <v>-3.6999999999999999E-4</v>
      </c>
      <c r="J54" s="171"/>
      <c r="L54" s="171">
        <f t="shared" si="24"/>
        <v>4.2500000000000003E-3</v>
      </c>
      <c r="M54" s="376">
        <f t="shared" si="23"/>
        <v>4.2500000000000003E-3</v>
      </c>
      <c r="N54" s="348">
        <f t="shared" si="25"/>
        <v>13050.288</v>
      </c>
      <c r="O54" s="348">
        <f t="shared" si="26"/>
        <v>7346.5287500000004</v>
      </c>
      <c r="P54" s="349">
        <f t="shared" si="27"/>
        <v>-5703.7592500000001</v>
      </c>
    </row>
    <row r="55" spans="1:16">
      <c r="A55" s="180" t="s">
        <v>138</v>
      </c>
      <c r="B55" s="152"/>
      <c r="C55" s="171">
        <v>-8.0999999999999996E-4</v>
      </c>
      <c r="D55" s="171">
        <v>-1.2999999999999999E-3</v>
      </c>
      <c r="E55" s="171">
        <v>5.4000000000000001E-4</v>
      </c>
      <c r="F55" s="171"/>
      <c r="G55" s="171">
        <v>4.3299999999999996E-3</v>
      </c>
      <c r="H55" s="171">
        <v>1.0499999999999999E-3</v>
      </c>
      <c r="I55" s="171">
        <v>-3.6999999999999999E-4</v>
      </c>
      <c r="J55" s="171"/>
      <c r="L55" s="171">
        <f t="shared" si="24"/>
        <v>3.4399999999999999E-3</v>
      </c>
      <c r="M55" s="376">
        <f t="shared" si="23"/>
        <v>3.4399999999999999E-3</v>
      </c>
      <c r="N55" s="348">
        <f t="shared" si="25"/>
        <v>478.62783999999999</v>
      </c>
      <c r="O55" s="348">
        <f t="shared" si="26"/>
        <v>420.81175999999999</v>
      </c>
      <c r="P55" s="349">
        <f t="shared" si="27"/>
        <v>-57.816079999999999</v>
      </c>
    </row>
    <row r="56" spans="1:16" ht="15" customHeight="1">
      <c r="A56" s="180" t="s">
        <v>192</v>
      </c>
      <c r="B56" s="152"/>
      <c r="C56" s="171">
        <v>0</v>
      </c>
      <c r="D56" s="171">
        <v>0</v>
      </c>
      <c r="E56" s="171">
        <v>0</v>
      </c>
      <c r="F56" s="171"/>
      <c r="G56" s="186">
        <v>1.013E-2</v>
      </c>
      <c r="H56" s="401" t="s">
        <v>375</v>
      </c>
      <c r="I56" s="186">
        <v>-4.8000000000000001E-4</v>
      </c>
      <c r="J56" s="186"/>
      <c r="L56" s="171">
        <f t="shared" si="24"/>
        <v>9.6500000000000006E-3</v>
      </c>
      <c r="M56" s="376">
        <f t="shared" si="23"/>
        <v>9.6500000000000006E-3</v>
      </c>
      <c r="N56" s="348">
        <f t="shared" si="25"/>
        <v>0</v>
      </c>
      <c r="O56" s="348">
        <f t="shared" si="26"/>
        <v>0</v>
      </c>
      <c r="P56" s="349">
        <f t="shared" si="27"/>
        <v>0</v>
      </c>
    </row>
    <row r="57" spans="1:16">
      <c r="A57" s="180" t="s">
        <v>183</v>
      </c>
      <c r="B57" s="152"/>
      <c r="C57" s="171">
        <v>-8.0999999999999996E-4</v>
      </c>
      <c r="D57" s="171">
        <v>0</v>
      </c>
      <c r="E57" s="171">
        <v>0</v>
      </c>
      <c r="F57" s="171"/>
      <c r="G57" s="186">
        <v>1.013E-2</v>
      </c>
      <c r="H57" s="401"/>
      <c r="I57" s="186">
        <v>-4.8000000000000001E-4</v>
      </c>
      <c r="J57" s="186"/>
      <c r="L57" s="171">
        <f t="shared" si="24"/>
        <v>8.8400000000000006E-3</v>
      </c>
      <c r="M57" s="376">
        <f t="shared" si="23"/>
        <v>8.8400000000000006E-3</v>
      </c>
      <c r="N57" s="348">
        <f t="shared" si="25"/>
        <v>0</v>
      </c>
      <c r="O57" s="348">
        <f t="shared" si="26"/>
        <v>0</v>
      </c>
      <c r="P57" s="349">
        <f t="shared" si="27"/>
        <v>0</v>
      </c>
    </row>
    <row r="58" spans="1:16" ht="9" customHeight="1">
      <c r="A58" s="180"/>
      <c r="B58" s="152"/>
      <c r="C58" s="171"/>
      <c r="D58" s="171"/>
      <c r="E58" s="171"/>
      <c r="F58" s="171"/>
      <c r="G58" s="186"/>
      <c r="H58" s="379"/>
      <c r="I58" s="171"/>
      <c r="J58" s="186"/>
      <c r="K58" s="171"/>
      <c r="L58" s="212"/>
      <c r="M58" s="369"/>
      <c r="N58" s="193">
        <f>SUM(N45:N57)</f>
        <v>882949.04685999989</v>
      </c>
      <c r="O58" s="193">
        <f>SUM(O45:O57)</f>
        <v>872363.41953999992</v>
      </c>
      <c r="P58" s="193">
        <f>SUM(P45:P57)</f>
        <v>-10585.627319999967</v>
      </c>
    </row>
    <row r="59" spans="1:16" hidden="1">
      <c r="A59" s="180"/>
      <c r="B59" s="152"/>
      <c r="C59" s="171"/>
      <c r="D59" s="171"/>
      <c r="E59" s="171"/>
      <c r="F59" s="171"/>
      <c r="G59" s="186"/>
      <c r="H59" s="379"/>
      <c r="I59" s="171"/>
      <c r="J59" s="186"/>
      <c r="K59" s="171"/>
      <c r="L59" s="212"/>
      <c r="M59" s="335"/>
      <c r="N59" s="194"/>
    </row>
    <row r="60" spans="1:16" hidden="1">
      <c r="F60" s="152"/>
      <c r="M60" s="335"/>
      <c r="N60" s="335"/>
    </row>
    <row r="61" spans="1:16" ht="41.4" customHeight="1">
      <c r="A61" s="179" t="s">
        <v>202</v>
      </c>
      <c r="B61" s="154"/>
      <c r="C61" s="172" t="s">
        <v>368</v>
      </c>
      <c r="D61" s="172" t="s">
        <v>312</v>
      </c>
      <c r="E61" s="172" t="s">
        <v>213</v>
      </c>
      <c r="F61" s="172" t="s">
        <v>203</v>
      </c>
      <c r="G61" s="172" t="s">
        <v>204</v>
      </c>
      <c r="H61" s="172" t="s">
        <v>205</v>
      </c>
      <c r="I61" s="172" t="s">
        <v>207</v>
      </c>
      <c r="J61" s="172" t="s">
        <v>208</v>
      </c>
      <c r="M61" s="168"/>
    </row>
    <row r="62" spans="1:16">
      <c r="A62" s="180" t="s">
        <v>131</v>
      </c>
      <c r="C62" s="168">
        <f t="shared" ref="C62:E72" si="28">C45*$H3</f>
        <v>-10257.3621</v>
      </c>
      <c r="D62" s="168">
        <f t="shared" si="28"/>
        <v>-17982.0422</v>
      </c>
      <c r="E62" s="168">
        <f>E45*$H3</f>
        <v>-14689.5556</v>
      </c>
      <c r="F62" s="168">
        <f t="shared" ref="F62:F72" si="29">$H3*F45</f>
        <v>0</v>
      </c>
      <c r="G62" s="168">
        <f t="shared" ref="G62:G72" si="30">(H3*G45)</f>
        <v>54832.565299999995</v>
      </c>
      <c r="H62" s="168">
        <f t="shared" ref="H62:H72" si="31">(H45*H3)</f>
        <v>14562.9215</v>
      </c>
      <c r="I62" s="168">
        <f t="shared" ref="I62:I72" si="32">I45*H3</f>
        <v>-4305.5594000000001</v>
      </c>
      <c r="J62" s="168">
        <f t="shared" ref="J62:J68" si="33">SUM(C62:I62)</f>
        <v>22160.967499999992</v>
      </c>
      <c r="M62" s="168"/>
    </row>
    <row r="63" spans="1:16">
      <c r="A63" s="180" t="s">
        <v>178</v>
      </c>
      <c r="C63" s="168">
        <f t="shared" si="28"/>
        <v>-24.31053</v>
      </c>
      <c r="D63" s="168">
        <f t="shared" si="28"/>
        <v>-42.618459999999999</v>
      </c>
      <c r="E63" s="168">
        <f t="shared" si="28"/>
        <v>-34.815080000000002</v>
      </c>
      <c r="F63" s="168">
        <f t="shared" si="29"/>
        <v>-946.30989000000011</v>
      </c>
      <c r="G63" s="168">
        <f t="shared" si="30"/>
        <v>129.95629</v>
      </c>
      <c r="H63" s="168">
        <f t="shared" si="31"/>
        <v>34.514949999999999</v>
      </c>
      <c r="I63" s="168">
        <f t="shared" si="32"/>
        <v>-10.204420000000001</v>
      </c>
      <c r="J63" s="168">
        <f t="shared" si="33"/>
        <v>-893.78714000000025</v>
      </c>
      <c r="M63" s="168"/>
    </row>
    <row r="64" spans="1:16">
      <c r="A64" s="180" t="s">
        <v>132</v>
      </c>
      <c r="C64" s="168">
        <f t="shared" si="28"/>
        <v>0</v>
      </c>
      <c r="D64" s="168">
        <f t="shared" si="28"/>
        <v>1752.066</v>
      </c>
      <c r="E64" s="168">
        <f t="shared" si="28"/>
        <v>-503.25299999999999</v>
      </c>
      <c r="F64" s="168">
        <f t="shared" si="29"/>
        <v>0</v>
      </c>
      <c r="G64" s="168">
        <f t="shared" si="30"/>
        <v>-5563.7415000000001</v>
      </c>
      <c r="H64" s="168">
        <f t="shared" si="31"/>
        <v>-1556.3565000000001</v>
      </c>
      <c r="I64" s="168">
        <f t="shared" si="32"/>
        <v>335.50200000000001</v>
      </c>
      <c r="J64" s="168">
        <f t="shared" si="33"/>
        <v>-5535.7829999999994</v>
      </c>
      <c r="M64" s="168"/>
    </row>
    <row r="65" spans="1:13">
      <c r="A65" s="180" t="s">
        <v>133</v>
      </c>
      <c r="C65" s="168">
        <f t="shared" si="28"/>
        <v>-229.30856999999997</v>
      </c>
      <c r="D65" s="168">
        <f t="shared" si="28"/>
        <v>-532.22235999999998</v>
      </c>
      <c r="E65" s="168">
        <f t="shared" si="28"/>
        <v>152.87237999999999</v>
      </c>
      <c r="F65" s="168">
        <f t="shared" si="29"/>
        <v>0</v>
      </c>
      <c r="G65" s="168">
        <f t="shared" si="30"/>
        <v>1690.0890899999999</v>
      </c>
      <c r="H65" s="168">
        <f t="shared" si="31"/>
        <v>472.77199000000002</v>
      </c>
      <c r="I65" s="168">
        <f t="shared" si="32"/>
        <v>-101.91492000000001</v>
      </c>
      <c r="J65" s="168">
        <f t="shared" si="33"/>
        <v>1452.2876100000001</v>
      </c>
      <c r="M65" s="168"/>
    </row>
    <row r="66" spans="1:13">
      <c r="A66" s="180" t="s">
        <v>134</v>
      </c>
      <c r="C66" s="168">
        <f t="shared" si="28"/>
        <v>0</v>
      </c>
      <c r="D66" s="168">
        <f t="shared" si="28"/>
        <v>10700.92224</v>
      </c>
      <c r="E66" s="168">
        <f t="shared" si="28"/>
        <v>-4012.84584</v>
      </c>
      <c r="F66" s="168">
        <f t="shared" si="29"/>
        <v>0</v>
      </c>
      <c r="G66" s="168">
        <f t="shared" si="30"/>
        <v>-34183.501599999996</v>
      </c>
      <c r="H66" s="168">
        <f t="shared" si="31"/>
        <v>-8991.747159999999</v>
      </c>
      <c r="I66" s="168">
        <f t="shared" si="32"/>
        <v>2675.23056</v>
      </c>
      <c r="J66" s="168">
        <f t="shared" si="33"/>
        <v>-33811.941800000001</v>
      </c>
      <c r="M66" s="168"/>
    </row>
    <row r="67" spans="1:13">
      <c r="A67" s="180" t="s">
        <v>135</v>
      </c>
      <c r="C67" s="168">
        <f t="shared" si="28"/>
        <v>-55.376459999999994</v>
      </c>
      <c r="D67" s="168">
        <f t="shared" si="28"/>
        <v>-98.447040000000001</v>
      </c>
      <c r="E67" s="168">
        <f t="shared" si="28"/>
        <v>36.917639999999999</v>
      </c>
      <c r="F67" s="168">
        <f t="shared" si="29"/>
        <v>0</v>
      </c>
      <c r="G67" s="168">
        <f t="shared" si="30"/>
        <v>314.48359999999997</v>
      </c>
      <c r="H67" s="168">
        <f t="shared" si="31"/>
        <v>82.722859999999997</v>
      </c>
      <c r="I67" s="168">
        <f t="shared" si="32"/>
        <v>-24.61176</v>
      </c>
      <c r="J67" s="168">
        <f t="shared" si="33"/>
        <v>255.68883999999997</v>
      </c>
      <c r="M67" s="168"/>
    </row>
    <row r="68" spans="1:13">
      <c r="A68" s="180" t="s">
        <v>136</v>
      </c>
      <c r="C68" s="168">
        <f t="shared" si="28"/>
        <v>0</v>
      </c>
      <c r="D68" s="168">
        <f t="shared" si="28"/>
        <v>-4383.7224000000006</v>
      </c>
      <c r="E68" s="168">
        <f t="shared" si="28"/>
        <v>0</v>
      </c>
      <c r="F68" s="168">
        <f t="shared" si="29"/>
        <v>0</v>
      </c>
      <c r="G68" s="168">
        <f t="shared" si="30"/>
        <v>13999.6296</v>
      </c>
      <c r="H68" s="168">
        <f t="shared" si="31"/>
        <v>3582.3968</v>
      </c>
      <c r="I68" s="168">
        <f t="shared" si="32"/>
        <v>-1649.788</v>
      </c>
      <c r="J68" s="168">
        <f t="shared" si="33"/>
        <v>11548.516</v>
      </c>
      <c r="M68" s="168"/>
    </row>
    <row r="69" spans="1:13">
      <c r="A69" s="180" t="s">
        <v>179</v>
      </c>
      <c r="C69" s="168">
        <f t="shared" si="28"/>
        <v>0</v>
      </c>
      <c r="D69" s="168">
        <f t="shared" si="28"/>
        <v>0</v>
      </c>
      <c r="E69" s="168">
        <f t="shared" si="28"/>
        <v>0</v>
      </c>
      <c r="F69" s="168">
        <f t="shared" si="29"/>
        <v>0</v>
      </c>
      <c r="G69" s="168">
        <f t="shared" si="30"/>
        <v>0</v>
      </c>
      <c r="H69" s="168">
        <f t="shared" si="31"/>
        <v>0</v>
      </c>
      <c r="I69" s="168">
        <f t="shared" si="32"/>
        <v>0</v>
      </c>
      <c r="J69" s="168">
        <f t="shared" ref="J69:J70" si="34">SUM(C69:I69)</f>
        <v>0</v>
      </c>
      <c r="M69" s="168"/>
    </row>
    <row r="70" spans="1:13">
      <c r="A70" s="180" t="s">
        <v>180</v>
      </c>
      <c r="C70" s="168">
        <f t="shared" si="28"/>
        <v>0</v>
      </c>
      <c r="D70" s="168">
        <f t="shared" si="28"/>
        <v>0</v>
      </c>
      <c r="E70" s="168">
        <f t="shared" si="28"/>
        <v>0</v>
      </c>
      <c r="F70" s="168">
        <f t="shared" si="29"/>
        <v>0</v>
      </c>
      <c r="G70" s="168">
        <f t="shared" si="30"/>
        <v>0</v>
      </c>
      <c r="H70" s="168">
        <f t="shared" si="31"/>
        <v>0</v>
      </c>
      <c r="I70" s="168">
        <f t="shared" si="32"/>
        <v>0</v>
      </c>
      <c r="J70" s="168">
        <f t="shared" si="34"/>
        <v>0</v>
      </c>
      <c r="M70" s="168"/>
    </row>
    <row r="71" spans="1:13">
      <c r="A71" s="180" t="s">
        <v>137</v>
      </c>
      <c r="C71" s="168">
        <f t="shared" si="28"/>
        <v>0</v>
      </c>
      <c r="D71" s="168">
        <f t="shared" si="28"/>
        <v>1744.6793</v>
      </c>
      <c r="E71" s="168">
        <f t="shared" si="28"/>
        <v>-724.71294</v>
      </c>
      <c r="F71" s="168">
        <f t="shared" si="29"/>
        <v>0</v>
      </c>
      <c r="G71" s="168">
        <f t="shared" si="30"/>
        <v>-5811.1241299999992</v>
      </c>
      <c r="H71" s="168">
        <f t="shared" si="31"/>
        <v>-1409.1640499999999</v>
      </c>
      <c r="I71" s="168">
        <f t="shared" si="32"/>
        <v>496.56256999999999</v>
      </c>
      <c r="J71" s="168">
        <f>SUM(C71:I71)</f>
        <v>-5703.7592499999992</v>
      </c>
      <c r="M71" s="168"/>
    </row>
    <row r="72" spans="1:13">
      <c r="A72" s="180" t="s">
        <v>138</v>
      </c>
      <c r="C72" s="168">
        <f t="shared" si="28"/>
        <v>13.613669999999999</v>
      </c>
      <c r="D72" s="168">
        <f t="shared" si="28"/>
        <v>21.8491</v>
      </c>
      <c r="E72" s="168">
        <f t="shared" si="28"/>
        <v>-9.07578</v>
      </c>
      <c r="F72" s="168">
        <f t="shared" si="29"/>
        <v>0</v>
      </c>
      <c r="G72" s="168">
        <f t="shared" si="30"/>
        <v>-72.77431</v>
      </c>
      <c r="H72" s="168">
        <f t="shared" si="31"/>
        <v>-17.647349999999999</v>
      </c>
      <c r="I72" s="168">
        <f t="shared" si="32"/>
        <v>6.2185899999999998</v>
      </c>
      <c r="J72" s="168">
        <f>SUM(C72:I72)</f>
        <v>-57.816080000000007</v>
      </c>
      <c r="M72" s="168"/>
    </row>
    <row r="73" spans="1:13">
      <c r="A73" s="180" t="s">
        <v>192</v>
      </c>
      <c r="C73" s="168">
        <f>($H14+$H15)*C56+$H16*C57</f>
        <v>0</v>
      </c>
      <c r="D73" s="168">
        <f>($H14+$H15)*D56+$H16*D57</f>
        <v>0</v>
      </c>
      <c r="E73" s="168">
        <f t="shared" ref="E73" si="35">E56*$H14</f>
        <v>0</v>
      </c>
      <c r="F73" s="168">
        <f>($H14+$H15)*F56+$H16*F57</f>
        <v>0</v>
      </c>
      <c r="G73" s="168">
        <f>($H14+$H15)*G56+$H16*G57</f>
        <v>0</v>
      </c>
      <c r="H73" s="168">
        <v>0</v>
      </c>
      <c r="I73" s="168">
        <f>($H14+$H15)*I56+$H16*I57</f>
        <v>0</v>
      </c>
      <c r="J73" s="168">
        <f>SUM(C73:I73)</f>
        <v>0</v>
      </c>
    </row>
    <row r="74" spans="1:13">
      <c r="A74" s="157"/>
      <c r="C74" s="193">
        <f t="shared" ref="C74:J74" si="36">SUM(C62:C73)</f>
        <v>-10552.743989999999</v>
      </c>
      <c r="D74" s="193">
        <f t="shared" si="36"/>
        <v>-8819.5358200000046</v>
      </c>
      <c r="E74" s="193">
        <f t="shared" si="36"/>
        <v>-19784.468219999999</v>
      </c>
      <c r="F74" s="193">
        <f t="shared" si="36"/>
        <v>-946.30989000000011</v>
      </c>
      <c r="G74" s="337">
        <f t="shared" si="36"/>
        <v>25335.582340000004</v>
      </c>
      <c r="H74" s="193">
        <f t="shared" si="36"/>
        <v>6760.4130400000022</v>
      </c>
      <c r="I74" s="193">
        <f t="shared" si="36"/>
        <v>-2578.5647800000002</v>
      </c>
      <c r="J74" s="193">
        <f t="shared" si="36"/>
        <v>-10585.627320000009</v>
      </c>
    </row>
    <row r="75" spans="1:13" ht="7.8" customHeight="1"/>
    <row r="76" spans="1:13">
      <c r="A76" s="152" t="s">
        <v>19</v>
      </c>
      <c r="B76" s="152"/>
      <c r="C76" s="168">
        <f t="shared" ref="C76:I76" si="37">C62+C63</f>
        <v>-10281.672630000001</v>
      </c>
      <c r="D76" s="168">
        <f t="shared" si="37"/>
        <v>-18024.660660000001</v>
      </c>
      <c r="E76" s="168">
        <f t="shared" si="37"/>
        <v>-14724.37068</v>
      </c>
      <c r="F76" s="168">
        <f t="shared" si="37"/>
        <v>-946.30989000000011</v>
      </c>
      <c r="G76" s="168">
        <f t="shared" si="37"/>
        <v>54962.521589999997</v>
      </c>
      <c r="H76" s="168">
        <f t="shared" si="37"/>
        <v>14597.436450000001</v>
      </c>
      <c r="I76" s="168">
        <f t="shared" si="37"/>
        <v>-4315.7638200000001</v>
      </c>
      <c r="J76" s="168">
        <f>J62+J63</f>
        <v>21267.180359999991</v>
      </c>
    </row>
    <row r="77" spans="1:13" ht="10.8" customHeight="1">
      <c r="A77" s="152"/>
      <c r="B77" s="152"/>
      <c r="C77" s="168"/>
      <c r="D77" s="168"/>
      <c r="E77" s="168"/>
      <c r="F77" s="168"/>
      <c r="G77" s="168"/>
      <c r="H77" s="168"/>
      <c r="I77" s="168"/>
      <c r="J77" s="168"/>
    </row>
    <row r="78" spans="1:13" ht="15.75" customHeight="1">
      <c r="A78" s="152" t="s">
        <v>184</v>
      </c>
      <c r="B78" s="152"/>
      <c r="C78" s="176">
        <f t="shared" ref="C78:I78" si="38">SUM(C64:C67,C70:C72)</f>
        <v>-271.07135999999997</v>
      </c>
      <c r="D78" s="176">
        <f t="shared" si="38"/>
        <v>13588.847239999999</v>
      </c>
      <c r="E78" s="176">
        <f t="shared" si="38"/>
        <v>-5060.0975400000007</v>
      </c>
      <c r="F78" s="176">
        <f t="shared" si="38"/>
        <v>0</v>
      </c>
      <c r="G78" s="176">
        <f t="shared" si="38"/>
        <v>-43626.568849999996</v>
      </c>
      <c r="H78" s="176">
        <f t="shared" si="38"/>
        <v>-11419.420209999998</v>
      </c>
      <c r="I78" s="176">
        <f t="shared" si="38"/>
        <v>3386.9870400000004</v>
      </c>
      <c r="J78" s="176">
        <f>SUM(J64:J67,J70:J72)</f>
        <v>-43401.323679999994</v>
      </c>
    </row>
    <row r="79" spans="1:13" ht="7.8" customHeight="1"/>
    <row r="80" spans="1:13">
      <c r="A80" s="1" t="s">
        <v>215</v>
      </c>
    </row>
    <row r="81" spans="1:14">
      <c r="A81" s="1" t="s">
        <v>223</v>
      </c>
    </row>
    <row r="82" spans="1:14" ht="15.75" customHeight="1">
      <c r="A82" s="194" t="s">
        <v>222</v>
      </c>
      <c r="B82" s="194"/>
      <c r="C82" s="194"/>
      <c r="D82" s="194"/>
      <c r="E82" s="194"/>
    </row>
    <row r="83" spans="1:14" ht="29.4" customHeight="1">
      <c r="A83" s="194"/>
      <c r="B83" s="357" t="s">
        <v>216</v>
      </c>
      <c r="C83" s="357" t="s">
        <v>217</v>
      </c>
      <c r="D83" s="357" t="s">
        <v>218</v>
      </c>
      <c r="E83" s="357" t="s">
        <v>221</v>
      </c>
      <c r="G83" s="402" t="s">
        <v>391</v>
      </c>
      <c r="H83" s="402"/>
      <c r="I83" s="402"/>
      <c r="J83" s="402"/>
      <c r="M83" s="358"/>
      <c r="N83" s="358"/>
    </row>
    <row r="84" spans="1:14">
      <c r="A84" s="359" t="s">
        <v>392</v>
      </c>
      <c r="B84" s="361">
        <v>1</v>
      </c>
      <c r="C84" s="362">
        <v>814110</v>
      </c>
      <c r="D84" s="358">
        <f>74197.57-C84*M51</f>
        <v>72203.000500000009</v>
      </c>
      <c r="E84" s="358">
        <f>500*B84</f>
        <v>500</v>
      </c>
      <c r="F84" s="360" t="s">
        <v>219</v>
      </c>
      <c r="H84" s="361"/>
      <c r="I84" s="362"/>
      <c r="J84" s="380">
        <v>53394</v>
      </c>
      <c r="K84" s="358"/>
      <c r="L84" s="360"/>
    </row>
    <row r="85" spans="1:14">
      <c r="A85" s="363" t="s">
        <v>258</v>
      </c>
      <c r="B85" s="364">
        <f>SUM(B84:B84)</f>
        <v>1</v>
      </c>
      <c r="C85" s="365">
        <f>SUM(C84:C84)</f>
        <v>814110</v>
      </c>
      <c r="D85" s="366">
        <f>SUM(D84:D84)</f>
        <v>72203.000500000009</v>
      </c>
      <c r="E85" s="366">
        <f>SUM(E84:E84)</f>
        <v>500</v>
      </c>
    </row>
    <row r="86" spans="1:14">
      <c r="A86" s="194"/>
      <c r="B86" s="194"/>
      <c r="C86" s="194"/>
      <c r="D86" s="194"/>
      <c r="E86" s="194"/>
    </row>
    <row r="87" spans="1:14">
      <c r="A87" s="346"/>
      <c r="B87" s="361"/>
      <c r="C87" s="362"/>
      <c r="D87" s="358"/>
      <c r="E87" s="358"/>
    </row>
    <row r="88" spans="1:14">
      <c r="B88" s="361"/>
      <c r="C88" s="362"/>
      <c r="D88" s="358"/>
      <c r="E88" s="358"/>
    </row>
    <row r="89" spans="1:14" ht="9" customHeight="1"/>
  </sheetData>
  <mergeCells count="4">
    <mergeCell ref="A1:I1"/>
    <mergeCell ref="J1:K1"/>
    <mergeCell ref="H56:H57"/>
    <mergeCell ref="G83:J83"/>
  </mergeCells>
  <pageMargins left="0.7" right="0.7" top="0.75" bottom="0.75" header="0.3" footer="0.3"/>
  <pageSetup scale="80" fitToHeight="2" orientation="landscape" r:id="rId1"/>
  <headerFooter>
    <oddFooter>&amp;F&amp;RPage 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AE89"/>
  <sheetViews>
    <sheetView zoomScaleNormal="100" workbookViewId="0">
      <selection activeCell="G15" sqref="G15"/>
    </sheetView>
  </sheetViews>
  <sheetFormatPr defaultColWidth="9.109375" defaultRowHeight="13.8"/>
  <cols>
    <col min="1" max="1" width="14.6640625" style="1" customWidth="1"/>
    <col min="2" max="2" width="8.6640625" style="1" customWidth="1"/>
    <col min="3" max="3" width="16.33203125" style="1" customWidth="1"/>
    <col min="4" max="4" width="18.6640625" style="1" customWidth="1"/>
    <col min="5" max="5" width="16.6640625" style="1" customWidth="1"/>
    <col min="6" max="6" width="16.33203125" style="1" customWidth="1"/>
    <col min="7" max="7" width="15.5546875" style="1" customWidth="1"/>
    <col min="8" max="8" width="13.6640625" style="1" bestFit="1" customWidth="1"/>
    <col min="9" max="9" width="17.5546875" style="1" customWidth="1"/>
    <col min="10" max="10" width="13.6640625" style="1" bestFit="1" customWidth="1"/>
    <col min="11" max="11" width="14.88671875" style="1" customWidth="1"/>
    <col min="12" max="12" width="13.44140625" style="1" bestFit="1" customWidth="1"/>
    <col min="13" max="13" width="15.6640625" style="1" customWidth="1"/>
    <col min="14" max="14" width="9.6640625" style="1" customWidth="1"/>
    <col min="15" max="15" width="13.88671875" style="1" customWidth="1"/>
    <col min="16" max="16" width="13.33203125" style="1" customWidth="1"/>
    <col min="17" max="17" width="16" style="1" customWidth="1"/>
    <col min="18" max="18" width="10" style="1" customWidth="1"/>
    <col min="19" max="19" width="17.6640625" style="1" customWidth="1"/>
    <col min="20" max="20" width="14.6640625" style="1" customWidth="1"/>
    <col min="21" max="21" width="10.5546875" style="1" customWidth="1"/>
    <col min="22" max="22" width="14.6640625" style="1" customWidth="1"/>
    <col min="23" max="23" width="2.88671875" style="1" customWidth="1"/>
    <col min="24" max="24" width="16.88671875" style="1" customWidth="1"/>
    <col min="25" max="25" width="1.6640625" style="1" customWidth="1"/>
    <col min="26" max="26" width="14.6640625" style="1" customWidth="1"/>
    <col min="27" max="27" width="13.6640625" style="1" customWidth="1"/>
    <col min="28" max="28" width="13.5546875" style="1" customWidth="1"/>
    <col min="29" max="29" width="13.109375" style="1" customWidth="1"/>
    <col min="30" max="30" width="18" style="1" customWidth="1"/>
    <col min="31" max="16384" width="9.109375" style="1"/>
  </cols>
  <sheetData>
    <row r="1" spans="1:20">
      <c r="A1" s="399" t="s">
        <v>172</v>
      </c>
      <c r="B1" s="399"/>
      <c r="C1" s="399"/>
      <c r="D1" s="399"/>
      <c r="E1" s="399"/>
      <c r="F1" s="399"/>
      <c r="G1" s="399"/>
      <c r="H1" s="399"/>
      <c r="I1" s="399"/>
      <c r="J1" s="400" t="s">
        <v>377</v>
      </c>
      <c r="K1" s="400"/>
    </row>
    <row r="2" spans="1:20" ht="26.4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  <c r="J2" s="344" t="s">
        <v>378</v>
      </c>
      <c r="K2" s="344" t="s">
        <v>379</v>
      </c>
    </row>
    <row r="3" spans="1:20">
      <c r="A3" s="180" t="s">
        <v>131</v>
      </c>
      <c r="B3" s="152"/>
      <c r="C3" s="158">
        <v>216566</v>
      </c>
      <c r="D3" s="282"/>
      <c r="E3" s="182">
        <v>180836658.27200001</v>
      </c>
      <c r="F3" s="182">
        <v>-82163972</v>
      </c>
      <c r="G3" s="182">
        <v>114430432</v>
      </c>
      <c r="H3" s="189">
        <f>SUM(F3:G3)</f>
        <v>32266460</v>
      </c>
      <c r="I3" s="159">
        <f>E3+H3</f>
        <v>213103118.27200001</v>
      </c>
      <c r="J3" s="370">
        <f t="shared" ref="J3:J8" si="0">I3/C3</f>
        <v>984.01003976616835</v>
      </c>
      <c r="K3" s="341">
        <f t="shared" ref="K3:K8" si="1">D24/E3</f>
        <v>9.0807490012895287E-2</v>
      </c>
    </row>
    <row r="4" spans="1:20">
      <c r="A4" s="180" t="s">
        <v>178</v>
      </c>
      <c r="B4" s="152"/>
      <c r="C4" s="158">
        <v>377</v>
      </c>
      <c r="D4" s="282"/>
      <c r="E4" s="182">
        <v>378573.196</v>
      </c>
      <c r="F4" s="182">
        <v>-160938</v>
      </c>
      <c r="G4" s="182">
        <v>239561</v>
      </c>
      <c r="H4" s="189">
        <f t="shared" ref="H4:H16" si="2">SUM(F4:G4)</f>
        <v>78623</v>
      </c>
      <c r="I4" s="159">
        <f t="shared" ref="I4:I16" si="3">E4+H4</f>
        <v>457196.196</v>
      </c>
      <c r="J4" s="370">
        <f t="shared" si="0"/>
        <v>1212.7220053050398</v>
      </c>
      <c r="K4" s="341">
        <f t="shared" si="1"/>
        <v>9.0129281102088371E-2</v>
      </c>
    </row>
    <row r="5" spans="1:20">
      <c r="A5" s="180" t="s">
        <v>132</v>
      </c>
      <c r="B5" s="152"/>
      <c r="C5" s="158">
        <v>22734</v>
      </c>
      <c r="D5" s="282"/>
      <c r="E5" s="182">
        <v>43172190.273999996</v>
      </c>
      <c r="F5" s="182">
        <v>-22887083</v>
      </c>
      <c r="G5" s="182">
        <v>27208344</v>
      </c>
      <c r="H5" s="189">
        <f t="shared" si="2"/>
        <v>4321261</v>
      </c>
      <c r="I5" s="159">
        <f t="shared" si="3"/>
        <v>47493451.273999996</v>
      </c>
      <c r="J5" s="370">
        <f t="shared" si="0"/>
        <v>2089.0934843846221</v>
      </c>
      <c r="K5" s="341">
        <f t="shared" si="1"/>
        <v>0.12016738615933396</v>
      </c>
    </row>
    <row r="6" spans="1:20">
      <c r="A6" s="180" t="s">
        <v>133</v>
      </c>
      <c r="B6" s="152"/>
      <c r="C6" s="158">
        <v>9573</v>
      </c>
      <c r="D6" s="282"/>
      <c r="E6" s="182">
        <v>4555444.733</v>
      </c>
      <c r="F6" s="182">
        <v>-2137728</v>
      </c>
      <c r="G6" s="182">
        <v>2882688</v>
      </c>
      <c r="H6" s="189">
        <f t="shared" si="2"/>
        <v>744960</v>
      </c>
      <c r="I6" s="159">
        <f t="shared" si="3"/>
        <v>5300404.733</v>
      </c>
      <c r="J6" s="370">
        <f t="shared" si="0"/>
        <v>553.68272568682755</v>
      </c>
      <c r="K6" s="341">
        <f t="shared" si="1"/>
        <v>0.15365078516473357</v>
      </c>
    </row>
    <row r="7" spans="1:20">
      <c r="A7" s="180" t="s">
        <v>134</v>
      </c>
      <c r="B7" s="152"/>
      <c r="C7" s="158">
        <v>1819</v>
      </c>
      <c r="D7" s="282"/>
      <c r="E7" s="182">
        <v>106647354.88699999</v>
      </c>
      <c r="F7" s="182">
        <v>-59213692</v>
      </c>
      <c r="G7" s="182">
        <v>67185053</v>
      </c>
      <c r="H7" s="189">
        <f t="shared" si="2"/>
        <v>7971361</v>
      </c>
      <c r="I7" s="159">
        <f t="shared" si="3"/>
        <v>114618715.88699999</v>
      </c>
      <c r="J7" s="370">
        <f t="shared" si="0"/>
        <v>63011.938365585484</v>
      </c>
      <c r="K7" s="341">
        <f t="shared" si="1"/>
        <v>9.2271790992160208E-2</v>
      </c>
    </row>
    <row r="8" spans="1:20">
      <c r="A8" s="180" t="s">
        <v>135</v>
      </c>
      <c r="B8" s="152"/>
      <c r="C8" s="158">
        <v>46</v>
      </c>
      <c r="D8" s="282"/>
      <c r="E8" s="182">
        <v>2403932.56</v>
      </c>
      <c r="F8" s="182">
        <v>-1257371</v>
      </c>
      <c r="G8" s="182">
        <v>1521210</v>
      </c>
      <c r="H8" s="189">
        <f t="shared" si="2"/>
        <v>263839</v>
      </c>
      <c r="I8" s="159">
        <f t="shared" si="3"/>
        <v>2667771.56</v>
      </c>
      <c r="J8" s="370">
        <f t="shared" si="0"/>
        <v>57995.03391304348</v>
      </c>
      <c r="K8" s="341">
        <f t="shared" si="1"/>
        <v>9.124603728483964E-2</v>
      </c>
    </row>
    <row r="9" spans="1:20">
      <c r="A9" s="180" t="s">
        <v>136</v>
      </c>
      <c r="B9" s="152"/>
      <c r="C9" s="158">
        <v>23</v>
      </c>
      <c r="D9" s="194"/>
      <c r="E9" s="182">
        <f>95120660.88-E10</f>
        <v>59624183.079999998</v>
      </c>
      <c r="F9" s="182">
        <v>-60301943</v>
      </c>
      <c r="G9" s="182">
        <f>87801605-G10</f>
        <v>52801605</v>
      </c>
      <c r="H9" s="189">
        <f t="shared" si="2"/>
        <v>-7500338</v>
      </c>
      <c r="I9" s="159">
        <f t="shared" si="3"/>
        <v>52123845.079999998</v>
      </c>
      <c r="J9" s="370">
        <f>(I9+I10)/C9</f>
        <v>3809579.2556521739</v>
      </c>
      <c r="K9" s="341">
        <f>I30/(I9+I10)</f>
        <v>5.9652843156699407E-2</v>
      </c>
    </row>
    <row r="10" spans="1:20">
      <c r="A10" s="180" t="s">
        <v>179</v>
      </c>
      <c r="B10" s="152"/>
      <c r="C10" s="158"/>
      <c r="D10" s="194"/>
      <c r="E10" s="182">
        <v>35496477.799999997</v>
      </c>
      <c r="F10" s="182">
        <v>-35000000</v>
      </c>
      <c r="G10" s="182">
        <v>35000000</v>
      </c>
      <c r="H10" s="189">
        <f t="shared" si="2"/>
        <v>0</v>
      </c>
      <c r="I10" s="159">
        <f t="shared" si="3"/>
        <v>35496477.799999997</v>
      </c>
      <c r="J10" s="370"/>
    </row>
    <row r="11" spans="1:20">
      <c r="A11" s="180" t="s">
        <v>180</v>
      </c>
      <c r="B11" s="152"/>
      <c r="C11" s="158">
        <v>51</v>
      </c>
      <c r="D11" s="282"/>
      <c r="E11" s="182">
        <v>485646.72399999999</v>
      </c>
      <c r="F11" s="182">
        <v>0</v>
      </c>
      <c r="G11" s="182">
        <v>0</v>
      </c>
      <c r="H11" s="189">
        <f t="shared" si="2"/>
        <v>0</v>
      </c>
      <c r="I11" s="159">
        <f t="shared" si="3"/>
        <v>485646.72399999999</v>
      </c>
      <c r="J11" s="370">
        <f>I11/C11</f>
        <v>9522.484784313725</v>
      </c>
      <c r="K11" s="341">
        <f>I31/I11</f>
        <v>7.1460195827450917E-2</v>
      </c>
    </row>
    <row r="12" spans="1:20">
      <c r="A12" s="180" t="s">
        <v>137</v>
      </c>
      <c r="B12" s="152"/>
      <c r="C12" s="158">
        <v>1189</v>
      </c>
      <c r="D12" s="282"/>
      <c r="E12" s="182">
        <v>5515307.4369999999</v>
      </c>
      <c r="F12" s="182">
        <v>-4288578</v>
      </c>
      <c r="G12" s="182">
        <v>3070656</v>
      </c>
      <c r="H12" s="189">
        <f t="shared" si="2"/>
        <v>-1217922</v>
      </c>
      <c r="I12" s="159">
        <f t="shared" si="3"/>
        <v>4297385.4369999999</v>
      </c>
      <c r="J12" s="370">
        <f>I12/C12</f>
        <v>3614.2854810765348</v>
      </c>
      <c r="K12" s="341">
        <f>I32/I12</f>
        <v>9.7382765338393365E-2</v>
      </c>
    </row>
    <row r="13" spans="1:20">
      <c r="A13" s="180" t="s">
        <v>138</v>
      </c>
      <c r="B13" s="152"/>
      <c r="C13" s="158">
        <v>1201</v>
      </c>
      <c r="D13" s="282"/>
      <c r="E13" s="182">
        <v>281631.11300000001</v>
      </c>
      <c r="F13" s="182">
        <v>-231486</v>
      </c>
      <c r="G13" s="182">
        <v>139136</v>
      </c>
      <c r="H13" s="189">
        <f t="shared" si="2"/>
        <v>-92350</v>
      </c>
      <c r="I13" s="159">
        <f t="shared" si="3"/>
        <v>189281.11300000001</v>
      </c>
      <c r="J13" s="370">
        <f>I13/C13</f>
        <v>157.60292506244798</v>
      </c>
      <c r="K13" s="341">
        <f>I33/I13</f>
        <v>0.2270921027392733</v>
      </c>
      <c r="Q13" s="1">
        <f>O24/P24</f>
        <v>2.0598537020061485E-3</v>
      </c>
      <c r="S13" s="283">
        <f>P24*T13*R24+P24*(1-T13)*U24</f>
        <v>372497.05999999994</v>
      </c>
      <c r="T13" s="1">
        <v>0.42605103351049056</v>
      </c>
    </row>
    <row r="14" spans="1:20">
      <c r="A14" s="180" t="s">
        <v>181</v>
      </c>
      <c r="B14" s="152"/>
      <c r="C14" s="158">
        <v>425</v>
      </c>
      <c r="D14" s="194"/>
      <c r="E14" s="182">
        <v>901847.97900000005</v>
      </c>
      <c r="F14" s="182"/>
      <c r="G14" s="182"/>
      <c r="H14" s="189"/>
      <c r="I14" s="159">
        <f t="shared" si="3"/>
        <v>901847.97900000005</v>
      </c>
      <c r="J14" s="370">
        <f>I14/C14</f>
        <v>2121.9952447058827</v>
      </c>
      <c r="K14" s="341">
        <f>I34/I14</f>
        <v>0.61865380085305932</v>
      </c>
      <c r="S14" s="189">
        <f>P24*T13</f>
        <v>77045645.153369009</v>
      </c>
      <c r="T14" s="189">
        <f>P24-S14</f>
        <v>103791013.11863101</v>
      </c>
    </row>
    <row r="15" spans="1:20">
      <c r="A15" s="180" t="s">
        <v>182</v>
      </c>
      <c r="B15" s="152"/>
      <c r="C15" s="158"/>
      <c r="D15" s="194"/>
      <c r="E15" s="182">
        <v>404825.76299999998</v>
      </c>
      <c r="F15" s="182"/>
      <c r="G15" s="182"/>
      <c r="H15" s="189">
        <f t="shared" si="2"/>
        <v>0</v>
      </c>
      <c r="I15" s="159">
        <f t="shared" si="3"/>
        <v>404825.76299999998</v>
      </c>
      <c r="J15" s="282"/>
      <c r="S15" s="189"/>
      <c r="T15" s="189">
        <f>T14+T24</f>
        <v>21627041.118631005</v>
      </c>
    </row>
    <row r="16" spans="1:20">
      <c r="A16" s="180" t="s">
        <v>183</v>
      </c>
      <c r="B16" s="152"/>
      <c r="C16" s="158"/>
      <c r="D16" s="195"/>
      <c r="E16" s="182">
        <v>211072.05900000001</v>
      </c>
      <c r="F16" s="182"/>
      <c r="G16" s="182"/>
      <c r="H16" s="189">
        <f t="shared" si="2"/>
        <v>0</v>
      </c>
      <c r="I16" s="159">
        <f t="shared" si="3"/>
        <v>211072.05900000001</v>
      </c>
      <c r="J16" s="282"/>
      <c r="T16" s="283">
        <f>T15*U24</f>
        <v>96240.33297790798</v>
      </c>
    </row>
    <row r="17" spans="1:31">
      <c r="A17" s="152"/>
      <c r="B17" s="152"/>
      <c r="C17" s="160">
        <f>SUM(C3:C16)</f>
        <v>254004</v>
      </c>
      <c r="E17" s="160">
        <f>SUM(E3:E16)</f>
        <v>440915145.87699991</v>
      </c>
      <c r="F17" s="160">
        <f>SUM(F3:F16)</f>
        <v>-267642791</v>
      </c>
      <c r="G17" s="160">
        <f>SUM(G3:G16)</f>
        <v>304478685</v>
      </c>
      <c r="H17" s="160">
        <f>SUM(H3:H16)</f>
        <v>36835894</v>
      </c>
      <c r="I17" s="160">
        <f>SUM(I3:I16)</f>
        <v>477751039.87699991</v>
      </c>
    </row>
    <row r="18" spans="1:31" ht="14.4" thickBot="1">
      <c r="A18" s="152"/>
      <c r="B18" s="152"/>
      <c r="C18" s="152"/>
      <c r="E18" s="152"/>
      <c r="F18" s="152"/>
      <c r="G18" s="152"/>
      <c r="I18" s="152"/>
    </row>
    <row r="19" spans="1:31">
      <c r="A19" s="152" t="s">
        <v>19</v>
      </c>
      <c r="B19" s="152"/>
      <c r="C19" s="161">
        <f>C3+C4</f>
        <v>216943</v>
      </c>
      <c r="E19" s="162">
        <f>E3+E4</f>
        <v>181215231.46800002</v>
      </c>
      <c r="F19" s="162">
        <f>F3+F4</f>
        <v>-82324910</v>
      </c>
      <c r="G19" s="162">
        <f>G3+G4</f>
        <v>114669993</v>
      </c>
      <c r="H19" s="162">
        <f>H3+H4</f>
        <v>32345083</v>
      </c>
      <c r="I19" s="161">
        <f>I3+I4</f>
        <v>213560314.46800002</v>
      </c>
    </row>
    <row r="20" spans="1:31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31" ht="14.4" thickBot="1">
      <c r="A21" s="152" t="s">
        <v>184</v>
      </c>
      <c r="B21" s="152"/>
      <c r="C21" s="177">
        <f>SUM(C5:C8,C11:C13)</f>
        <v>36613</v>
      </c>
      <c r="E21" s="178">
        <f>SUM(E5:E8,E11:E13)</f>
        <v>163061507.72800002</v>
      </c>
      <c r="F21" s="178">
        <f>SUM(F5:F8,F11:F13)</f>
        <v>-90015938</v>
      </c>
      <c r="G21" s="178">
        <f>SUM(G5:G8,G11:G13)</f>
        <v>102007087</v>
      </c>
      <c r="H21" s="178">
        <f>SUM(H5:H8,H11:H13)</f>
        <v>11991149</v>
      </c>
      <c r="I21" s="177">
        <f>SUM(I5:I8,I11:I13)</f>
        <v>175052656.72800002</v>
      </c>
      <c r="Z21" s="1" t="s">
        <v>380</v>
      </c>
    </row>
    <row r="22" spans="1:31">
      <c r="A22" s="152"/>
      <c r="B22" s="152"/>
      <c r="C22" s="152"/>
      <c r="D22" s="152"/>
      <c r="E22" s="152"/>
      <c r="M22" s="1" t="s">
        <v>389</v>
      </c>
      <c r="Z22" s="1" t="s">
        <v>235</v>
      </c>
      <c r="AA22" s="343" t="s">
        <v>300</v>
      </c>
      <c r="AC22" s="1" t="s">
        <v>237</v>
      </c>
      <c r="AD22" s="343" t="s">
        <v>299</v>
      </c>
    </row>
    <row r="23" spans="1:31" ht="53.4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  <c r="O23" s="344" t="str">
        <f>AA22&amp;" Billed Schedule 75 Revenue"</f>
        <v>November Billed Schedule 75 Revenue</v>
      </c>
      <c r="P23" s="344" t="str">
        <f>AA22&amp;" Billed kWhs"</f>
        <v>November Billed kWhs</v>
      </c>
      <c r="Q23" s="344" t="str">
        <f>AA22&amp;" Unbilled kWhs"</f>
        <v>November Unbilled kWhs</v>
      </c>
      <c r="R23" s="344" t="s">
        <v>387</v>
      </c>
      <c r="S23" s="344" t="s">
        <v>239</v>
      </c>
      <c r="T23" s="344" t="str">
        <f>AD22&amp;" Unbilled kWhs reversal"</f>
        <v>October Unbilled kWhs reversal</v>
      </c>
      <c r="U23" s="344" t="s">
        <v>238</v>
      </c>
      <c r="V23" s="344" t="str">
        <f>AD22&amp;" Schedule 75 Unbilled Reversal"</f>
        <v>October Schedule 75 Unbilled Reversal</v>
      </c>
      <c r="X23" s="344" t="str">
        <f>"Total "&amp;AA22&amp;" Schedule 75 Revenue"</f>
        <v>Total November Schedule 75 Revenue</v>
      </c>
      <c r="Z23" s="344" t="str">
        <f>"Calendar "&amp;AA22&amp;" Usage"</f>
        <v>Calendar November Usage</v>
      </c>
      <c r="AA23" s="344" t="str">
        <f>R23</f>
        <v>11/1/2018 rate</v>
      </c>
      <c r="AB23" s="344" t="s">
        <v>240</v>
      </c>
      <c r="AC23" s="344" t="s">
        <v>241</v>
      </c>
      <c r="AD23" s="344" t="str">
        <f>"implied "&amp;AD22&amp;" unbilled/Cancel-Rebill True-up kWhs"</f>
        <v>implied October unbilled/Cancel-Rebill True-up kWhs</v>
      </c>
    </row>
    <row r="24" spans="1:31">
      <c r="A24" s="180" t="s">
        <v>131</v>
      </c>
      <c r="B24" s="152"/>
      <c r="C24" s="181">
        <v>1989062.5</v>
      </c>
      <c r="D24" s="181">
        <v>16421323.039999999</v>
      </c>
      <c r="E24" s="183">
        <v>-8032789</v>
      </c>
      <c r="F24" s="183">
        <v>10201854</v>
      </c>
      <c r="G24" s="174">
        <f>SUM(D24:F24)</f>
        <v>18590388.039999999</v>
      </c>
      <c r="H24" s="174">
        <f>-J62</f>
        <v>404473.57792000001</v>
      </c>
      <c r="I24" s="174">
        <f>SUM(G24:H24)</f>
        <v>18994861.61792</v>
      </c>
      <c r="M24" s="1" t="s">
        <v>242</v>
      </c>
      <c r="O24" s="368">
        <v>372497.06</v>
      </c>
      <c r="P24" s="345">
        <f t="shared" ref="P24:P29" si="4">E3</f>
        <v>180836658.27200001</v>
      </c>
      <c r="Q24" s="345">
        <f t="shared" ref="Q24:Q29" si="5">G3</f>
        <v>114430432</v>
      </c>
      <c r="R24" s="346">
        <v>-1.16E-3</v>
      </c>
      <c r="S24" s="347">
        <f>Q24*R24</f>
        <v>-132739.30111999999</v>
      </c>
      <c r="T24" s="345">
        <f t="shared" ref="T24:T29" si="6">F3</f>
        <v>-82163972</v>
      </c>
      <c r="U24" s="346">
        <v>4.45E-3</v>
      </c>
      <c r="V24" s="348">
        <f>T24*U24</f>
        <v>-365629.67540000001</v>
      </c>
      <c r="X24" s="349">
        <f>O24+S24+V24</f>
        <v>-125871.91652</v>
      </c>
      <c r="Z24" s="350">
        <f>P24+Q24+T24</f>
        <v>213103118.27200001</v>
      </c>
      <c r="AA24" s="194">
        <f>R24</f>
        <v>-1.16E-3</v>
      </c>
      <c r="AB24" s="283">
        <f>Z24*AA24</f>
        <v>-247199.61719552003</v>
      </c>
      <c r="AC24" s="349">
        <f>X24-AB24</f>
        <v>121327.70067552003</v>
      </c>
      <c r="AD24" s="350">
        <f>AC24/U24</f>
        <v>27264651.837195512</v>
      </c>
      <c r="AE24" s="351">
        <f>AC24/X24</f>
        <v>-0.96389809601605669</v>
      </c>
    </row>
    <row r="25" spans="1:31">
      <c r="A25" s="180" t="s">
        <v>178</v>
      </c>
      <c r="B25" s="152"/>
      <c r="C25" s="181">
        <v>3438</v>
      </c>
      <c r="D25" s="181">
        <v>34120.53</v>
      </c>
      <c r="E25" s="183">
        <v>-10512</v>
      </c>
      <c r="F25" s="183">
        <v>13419</v>
      </c>
      <c r="G25" s="174">
        <f t="shared" ref="G25:G33" si="7">SUM(D25:F25)</f>
        <v>37027.53</v>
      </c>
      <c r="H25" s="174">
        <f t="shared" ref="H25:H30" si="8">-J63</f>
        <v>3244.2551200000003</v>
      </c>
      <c r="I25" s="174">
        <f t="shared" ref="I25:I34" si="9">SUM(G25:H25)</f>
        <v>40271.78512</v>
      </c>
      <c r="M25" s="1" t="s">
        <v>243</v>
      </c>
      <c r="O25" s="368">
        <v>800.02</v>
      </c>
      <c r="P25" s="345">
        <f t="shared" si="4"/>
        <v>378573.196</v>
      </c>
      <c r="Q25" s="345">
        <f t="shared" si="5"/>
        <v>239561</v>
      </c>
      <c r="R25" s="346">
        <v>-1.16E-3</v>
      </c>
      <c r="S25" s="347">
        <f>Q25*R25</f>
        <v>-277.89076</v>
      </c>
      <c r="T25" s="345">
        <f t="shared" si="6"/>
        <v>-160938</v>
      </c>
      <c r="U25" s="346">
        <v>4.45E-3</v>
      </c>
      <c r="V25" s="348">
        <f t="shared" ref="V25:V32" si="10">T25*U25</f>
        <v>-716.17409999999995</v>
      </c>
      <c r="X25" s="349">
        <f t="shared" ref="X25:X32" si="11">O25+S25+V25</f>
        <v>-194.04485999999997</v>
      </c>
      <c r="Z25" s="350">
        <f t="shared" ref="Z25:Z32" si="12">P25+Q25+T25</f>
        <v>457196.196</v>
      </c>
      <c r="AA25" s="194">
        <f t="shared" ref="AA25:AA32" si="13">R25</f>
        <v>-1.16E-3</v>
      </c>
      <c r="AB25" s="283">
        <f t="shared" ref="AB25:AB32" si="14">Z25*AA25</f>
        <v>-530.34758736000003</v>
      </c>
      <c r="AC25" s="349">
        <f t="shared" ref="AC25:AC32" si="15">X25-AB25</f>
        <v>336.30272736000006</v>
      </c>
      <c r="AD25" s="350">
        <f t="shared" ref="AD25:AD32" si="16">AC25/U25</f>
        <v>75573.646597752828</v>
      </c>
      <c r="AE25" s="351">
        <f t="shared" ref="AE25:AE33" si="17">AC25/X25</f>
        <v>-1.7331184518878784</v>
      </c>
    </row>
    <row r="26" spans="1:31">
      <c r="A26" s="180" t="s">
        <v>132</v>
      </c>
      <c r="B26" s="152"/>
      <c r="C26" s="181">
        <v>461584.7</v>
      </c>
      <c r="D26" s="181">
        <v>5187889.26</v>
      </c>
      <c r="E26" s="183">
        <v>-2767968</v>
      </c>
      <c r="F26" s="183">
        <v>3239079</v>
      </c>
      <c r="G26" s="174">
        <f t="shared" si="7"/>
        <v>5659000.2599999998</v>
      </c>
      <c r="H26" s="174">
        <f t="shared" si="8"/>
        <v>-28872.481960000001</v>
      </c>
      <c r="I26" s="174">
        <f t="shared" si="9"/>
        <v>5630127.7780400002</v>
      </c>
      <c r="M26" s="1" t="s">
        <v>244</v>
      </c>
      <c r="O26" s="368">
        <v>19769.59</v>
      </c>
      <c r="P26" s="345">
        <f t="shared" si="4"/>
        <v>43172190.273999996</v>
      </c>
      <c r="Q26" s="345">
        <f t="shared" si="5"/>
        <v>27208344</v>
      </c>
      <c r="R26" s="352">
        <v>5.4000000000000001E-4</v>
      </c>
      <c r="S26" s="347">
        <f>Q26*R26</f>
        <v>14692.50576</v>
      </c>
      <c r="T26" s="345">
        <f t="shared" si="6"/>
        <v>-22887083</v>
      </c>
      <c r="U26" s="352">
        <v>4.0000000000000002E-4</v>
      </c>
      <c r="V26" s="348">
        <f t="shared" si="10"/>
        <v>-9154.8332000000009</v>
      </c>
      <c r="X26" s="349">
        <f t="shared" si="11"/>
        <v>25307.262559999996</v>
      </c>
      <c r="Z26" s="350">
        <f t="shared" si="12"/>
        <v>47493451.273999989</v>
      </c>
      <c r="AA26" s="353">
        <f t="shared" si="13"/>
        <v>5.4000000000000001E-4</v>
      </c>
      <c r="AB26" s="283">
        <f t="shared" si="14"/>
        <v>25646.463687959993</v>
      </c>
      <c r="AC26" s="349">
        <f t="shared" si="15"/>
        <v>-339.20112795999739</v>
      </c>
      <c r="AD26" s="350">
        <f t="shared" si="16"/>
        <v>-848002.81989999348</v>
      </c>
      <c r="AE26" s="351">
        <f t="shared" si="17"/>
        <v>-1.3403311683979994E-2</v>
      </c>
    </row>
    <row r="27" spans="1:31">
      <c r="A27" s="180" t="s">
        <v>133</v>
      </c>
      <c r="B27" s="152"/>
      <c r="C27" s="181">
        <v>193548.17</v>
      </c>
      <c r="D27" s="181">
        <v>699947.66</v>
      </c>
      <c r="E27" s="183">
        <v>-353185</v>
      </c>
      <c r="F27" s="183">
        <v>436496</v>
      </c>
      <c r="G27" s="174">
        <f t="shared" si="7"/>
        <v>783258.66</v>
      </c>
      <c r="H27" s="174">
        <f t="shared" si="8"/>
        <v>-4120.9267200000004</v>
      </c>
      <c r="I27" s="174">
        <f t="shared" si="9"/>
        <v>779137.73328000004</v>
      </c>
      <c r="M27" s="1" t="s">
        <v>245</v>
      </c>
      <c r="O27" s="368">
        <v>2109.23</v>
      </c>
      <c r="P27" s="345">
        <f t="shared" si="4"/>
        <v>4555444.733</v>
      </c>
      <c r="Q27" s="345">
        <f t="shared" si="5"/>
        <v>2882688</v>
      </c>
      <c r="R27" s="352">
        <v>5.4000000000000001E-4</v>
      </c>
      <c r="S27" s="347">
        <f t="shared" ref="S27:S32" si="18">Q27*R27</f>
        <v>1556.6515200000001</v>
      </c>
      <c r="T27" s="345">
        <f t="shared" si="6"/>
        <v>-2137728</v>
      </c>
      <c r="U27" s="352">
        <v>4.0000000000000002E-4</v>
      </c>
      <c r="V27" s="348">
        <f t="shared" si="10"/>
        <v>-855.09120000000007</v>
      </c>
      <c r="X27" s="349">
        <f t="shared" si="11"/>
        <v>2810.7903200000001</v>
      </c>
      <c r="Z27" s="350">
        <f t="shared" si="12"/>
        <v>5300404.733</v>
      </c>
      <c r="AA27" s="353">
        <f t="shared" si="13"/>
        <v>5.4000000000000001E-4</v>
      </c>
      <c r="AB27" s="283">
        <f t="shared" si="14"/>
        <v>2862.2185558199999</v>
      </c>
      <c r="AC27" s="349">
        <f t="shared" si="15"/>
        <v>-51.428235819999827</v>
      </c>
      <c r="AD27" s="350">
        <f t="shared" si="16"/>
        <v>-128570.58954999957</v>
      </c>
      <c r="AE27" s="351">
        <f t="shared" si="17"/>
        <v>-1.8296717280568912E-2</v>
      </c>
    </row>
    <row r="28" spans="1:31">
      <c r="A28" s="180" t="s">
        <v>134</v>
      </c>
      <c r="B28" s="152"/>
      <c r="C28" s="181">
        <v>909890.01</v>
      </c>
      <c r="D28" s="181">
        <v>9840542.4399999995</v>
      </c>
      <c r="E28" s="183">
        <v>-4942171</v>
      </c>
      <c r="F28" s="183">
        <v>5524843</v>
      </c>
      <c r="G28" s="174">
        <f t="shared" si="7"/>
        <v>10423214.439999999</v>
      </c>
      <c r="H28" s="174">
        <f t="shared" si="8"/>
        <v>-44559.609429999997</v>
      </c>
      <c r="I28" s="174">
        <f t="shared" si="9"/>
        <v>10378654.830569999</v>
      </c>
      <c r="M28" s="1" t="s">
        <v>246</v>
      </c>
      <c r="O28" s="368">
        <v>49213.03</v>
      </c>
      <c r="P28" s="345">
        <f t="shared" si="4"/>
        <v>106647354.88699999</v>
      </c>
      <c r="Q28" s="345">
        <f t="shared" si="5"/>
        <v>67185053</v>
      </c>
      <c r="R28" s="352">
        <v>5.4000000000000001E-4</v>
      </c>
      <c r="S28" s="347">
        <f t="shared" si="18"/>
        <v>36279.928619999999</v>
      </c>
      <c r="T28" s="345">
        <f t="shared" si="6"/>
        <v>-59213692</v>
      </c>
      <c r="U28" s="352">
        <v>4.0000000000000002E-4</v>
      </c>
      <c r="V28" s="348">
        <f t="shared" si="10"/>
        <v>-23685.4768</v>
      </c>
      <c r="X28" s="349">
        <f t="shared" si="11"/>
        <v>61807.481819999986</v>
      </c>
      <c r="Z28" s="350">
        <f t="shared" si="12"/>
        <v>114618715.88699999</v>
      </c>
      <c r="AA28" s="353">
        <f t="shared" si="13"/>
        <v>5.4000000000000001E-4</v>
      </c>
      <c r="AB28" s="283">
        <f t="shared" si="14"/>
        <v>61894.106578979998</v>
      </c>
      <c r="AC28" s="349">
        <f t="shared" si="15"/>
        <v>-86.624758980011393</v>
      </c>
      <c r="AD28" s="350">
        <f t="shared" si="16"/>
        <v>-216561.89745002848</v>
      </c>
      <c r="AE28" s="351">
        <f t="shared" si="17"/>
        <v>-1.4015254533793497E-3</v>
      </c>
    </row>
    <row r="29" spans="1:31">
      <c r="A29" s="180" t="s">
        <v>135</v>
      </c>
      <c r="B29" s="152"/>
      <c r="C29" s="181">
        <v>23250</v>
      </c>
      <c r="D29" s="181">
        <v>219349.32</v>
      </c>
      <c r="E29" s="183">
        <v>-107570</v>
      </c>
      <c r="F29" s="183">
        <v>126415</v>
      </c>
      <c r="G29" s="174">
        <f t="shared" si="7"/>
        <v>238194.32</v>
      </c>
      <c r="H29" s="174">
        <f t="shared" si="8"/>
        <v>-1162.7897999999998</v>
      </c>
      <c r="I29" s="174">
        <f t="shared" si="9"/>
        <v>237031.53020000001</v>
      </c>
      <c r="M29" s="1" t="s">
        <v>247</v>
      </c>
      <c r="O29" s="368">
        <v>1082.69</v>
      </c>
      <c r="P29" s="345">
        <f t="shared" si="4"/>
        <v>2403932.56</v>
      </c>
      <c r="Q29" s="345">
        <f t="shared" si="5"/>
        <v>1521210</v>
      </c>
      <c r="R29" s="352">
        <v>5.4000000000000001E-4</v>
      </c>
      <c r="S29" s="347">
        <f t="shared" si="18"/>
        <v>821.45339999999999</v>
      </c>
      <c r="T29" s="345">
        <f t="shared" si="6"/>
        <v>-1257371</v>
      </c>
      <c r="U29" s="352">
        <v>4.0000000000000002E-4</v>
      </c>
      <c r="V29" s="348">
        <f t="shared" si="10"/>
        <v>-502.94840000000005</v>
      </c>
      <c r="X29" s="349">
        <f t="shared" si="11"/>
        <v>1401.1949999999999</v>
      </c>
      <c r="Z29" s="350">
        <f t="shared" si="12"/>
        <v>2667771.56</v>
      </c>
      <c r="AA29" s="353">
        <f t="shared" si="13"/>
        <v>5.4000000000000001E-4</v>
      </c>
      <c r="AB29" s="283">
        <f t="shared" si="14"/>
        <v>1440.5966424000001</v>
      </c>
      <c r="AC29" s="349">
        <f t="shared" si="15"/>
        <v>-39.401642400000128</v>
      </c>
      <c r="AD29" s="350">
        <f t="shared" si="16"/>
        <v>-98504.10600000032</v>
      </c>
      <c r="AE29" s="351">
        <f t="shared" si="17"/>
        <v>-2.8120027833385169E-2</v>
      </c>
    </row>
    <row r="30" spans="1:31">
      <c r="A30" s="180" t="s">
        <v>136</v>
      </c>
      <c r="B30" s="152"/>
      <c r="C30" s="181">
        <v>552000</v>
      </c>
      <c r="D30" s="181">
        <f>5733822.69-82194.14</f>
        <v>5651628.5500000007</v>
      </c>
      <c r="E30" s="183">
        <v>-6000627</v>
      </c>
      <c r="F30" s="183">
        <v>5557424</v>
      </c>
      <c r="G30" s="174">
        <f t="shared" si="7"/>
        <v>5208425.5500000007</v>
      </c>
      <c r="H30" s="174">
        <f t="shared" si="8"/>
        <v>18375.828099999999</v>
      </c>
      <c r="I30" s="174">
        <f t="shared" si="9"/>
        <v>5226801.3781000003</v>
      </c>
      <c r="J30" s="283"/>
      <c r="M30" s="1" t="s">
        <v>248</v>
      </c>
      <c r="O30" s="368">
        <v>221.04</v>
      </c>
      <c r="P30" s="345">
        <f>E11</f>
        <v>485646.72399999999</v>
      </c>
      <c r="Q30" s="345">
        <f>G11</f>
        <v>0</v>
      </c>
      <c r="R30" s="352">
        <v>5.4000000000000001E-4</v>
      </c>
      <c r="S30" s="347">
        <f t="shared" si="18"/>
        <v>0</v>
      </c>
      <c r="T30" s="345">
        <f>F11</f>
        <v>0</v>
      </c>
      <c r="U30" s="352">
        <v>4.0000000000000002E-4</v>
      </c>
      <c r="V30" s="348">
        <f t="shared" si="10"/>
        <v>0</v>
      </c>
      <c r="X30" s="349">
        <f t="shared" si="11"/>
        <v>221.04</v>
      </c>
      <c r="Z30" s="350">
        <f t="shared" si="12"/>
        <v>485646.72399999999</v>
      </c>
      <c r="AA30" s="353">
        <f t="shared" si="13"/>
        <v>5.4000000000000001E-4</v>
      </c>
      <c r="AB30" s="283">
        <f t="shared" si="14"/>
        <v>262.24923095999998</v>
      </c>
      <c r="AC30" s="349">
        <f t="shared" si="15"/>
        <v>-41.209230959999985</v>
      </c>
      <c r="AD30" s="350">
        <f t="shared" si="16"/>
        <v>-103023.07739999995</v>
      </c>
      <c r="AE30" s="351">
        <f t="shared" si="17"/>
        <v>-0.18643336482084685</v>
      </c>
    </row>
    <row r="31" spans="1:31">
      <c r="A31" s="180" t="s">
        <v>180</v>
      </c>
      <c r="B31" s="152"/>
      <c r="C31" s="181">
        <v>1020</v>
      </c>
      <c r="D31" s="181">
        <v>34704.410000000003</v>
      </c>
      <c r="E31" s="183">
        <v>0</v>
      </c>
      <c r="F31" s="183">
        <v>0</v>
      </c>
      <c r="G31" s="174">
        <f t="shared" si="7"/>
        <v>34704.410000000003</v>
      </c>
      <c r="H31" s="174">
        <f>-J70</f>
        <v>0</v>
      </c>
      <c r="I31" s="174">
        <f t="shared" si="9"/>
        <v>34704.410000000003</v>
      </c>
      <c r="M31" s="1" t="s">
        <v>249</v>
      </c>
      <c r="O31" s="368">
        <v>2390.23</v>
      </c>
      <c r="P31" s="345">
        <f>E12</f>
        <v>5515307.4369999999</v>
      </c>
      <c r="Q31" s="345">
        <f>G12</f>
        <v>3070656</v>
      </c>
      <c r="R31" s="352">
        <v>5.4000000000000001E-4</v>
      </c>
      <c r="S31" s="347">
        <f t="shared" si="18"/>
        <v>1658.1542400000001</v>
      </c>
      <c r="T31" s="345">
        <f>F12</f>
        <v>-4288578</v>
      </c>
      <c r="U31" s="352">
        <v>4.0000000000000002E-4</v>
      </c>
      <c r="V31" s="348">
        <f t="shared" si="10"/>
        <v>-1715.4312</v>
      </c>
      <c r="X31" s="349">
        <f>O31+S31+V31</f>
        <v>2332.9530400000003</v>
      </c>
      <c r="Z31" s="350">
        <f t="shared" si="12"/>
        <v>4297385.436999999</v>
      </c>
      <c r="AA31" s="353">
        <f t="shared" si="13"/>
        <v>5.4000000000000001E-4</v>
      </c>
      <c r="AB31" s="283">
        <f t="shared" si="14"/>
        <v>2320.5881359799996</v>
      </c>
      <c r="AC31" s="349">
        <f t="shared" si="15"/>
        <v>12.364904020000722</v>
      </c>
      <c r="AD31" s="350">
        <f t="shared" si="16"/>
        <v>30912.260050001805</v>
      </c>
      <c r="AE31" s="351">
        <f t="shared" si="17"/>
        <v>5.3001084068116178E-3</v>
      </c>
    </row>
    <row r="32" spans="1:31">
      <c r="A32" s="180" t="s">
        <v>137</v>
      </c>
      <c r="B32" s="152"/>
      <c r="C32" s="181">
        <v>28886.91</v>
      </c>
      <c r="D32" s="181">
        <v>487822.51</v>
      </c>
      <c r="E32" s="183">
        <v>-263201</v>
      </c>
      <c r="F32" s="183">
        <v>189294</v>
      </c>
      <c r="G32" s="174">
        <f t="shared" si="7"/>
        <v>413915.51</v>
      </c>
      <c r="H32" s="174">
        <f>-J71</f>
        <v>4575.7675799999988</v>
      </c>
      <c r="I32" s="174">
        <f t="shared" si="9"/>
        <v>418491.27757999999</v>
      </c>
      <c r="M32" s="1" t="s">
        <v>250</v>
      </c>
      <c r="O32" s="368">
        <v>129.55000000000001</v>
      </c>
      <c r="P32" s="345">
        <f>E13</f>
        <v>281631.11300000001</v>
      </c>
      <c r="Q32" s="345">
        <f>G13</f>
        <v>139136</v>
      </c>
      <c r="R32" s="352">
        <v>5.4000000000000001E-4</v>
      </c>
      <c r="S32" s="347">
        <f t="shared" si="18"/>
        <v>75.133440000000007</v>
      </c>
      <c r="T32" s="345">
        <f>F13</f>
        <v>-231486</v>
      </c>
      <c r="U32" s="352">
        <v>4.0000000000000002E-4</v>
      </c>
      <c r="V32" s="348">
        <f t="shared" si="10"/>
        <v>-92.594400000000007</v>
      </c>
      <c r="X32" s="349">
        <f t="shared" si="11"/>
        <v>112.08904000000001</v>
      </c>
      <c r="Z32" s="350">
        <f t="shared" si="12"/>
        <v>189281.11300000001</v>
      </c>
      <c r="AA32" s="353">
        <f t="shared" si="13"/>
        <v>5.4000000000000001E-4</v>
      </c>
      <c r="AB32" s="283">
        <f t="shared" si="14"/>
        <v>102.21180102000001</v>
      </c>
      <c r="AC32" s="349">
        <f t="shared" si="15"/>
        <v>9.8772389800000013</v>
      </c>
      <c r="AD32" s="350">
        <f t="shared" si="16"/>
        <v>24693.097450000001</v>
      </c>
      <c r="AE32" s="351">
        <f t="shared" si="17"/>
        <v>8.8119578684945465E-2</v>
      </c>
    </row>
    <row r="33" spans="1:31">
      <c r="A33" s="180" t="s">
        <v>138</v>
      </c>
      <c r="B33" s="152"/>
      <c r="C33" s="181">
        <v>25296.68</v>
      </c>
      <c r="D33" s="181">
        <v>50213.97</v>
      </c>
      <c r="E33" s="183">
        <v>-32250</v>
      </c>
      <c r="F33" s="183">
        <v>24735</v>
      </c>
      <c r="G33" s="174">
        <f t="shared" si="7"/>
        <v>42698.97</v>
      </c>
      <c r="H33" s="174">
        <f>-J72</f>
        <v>285.27595999999994</v>
      </c>
      <c r="I33" s="174">
        <f t="shared" si="9"/>
        <v>42984.24596</v>
      </c>
      <c r="O33" s="193">
        <f>SUM(O24:O32)</f>
        <v>448212.44</v>
      </c>
      <c r="P33" s="354">
        <f>SUM(P24:P32)</f>
        <v>344276739.19599992</v>
      </c>
      <c r="Q33" s="354">
        <f>SUM(Q24:Q32)</f>
        <v>216677080</v>
      </c>
      <c r="S33" s="193">
        <f>SUM(S24:S32)</f>
        <v>-77933.364899999986</v>
      </c>
      <c r="T33" s="354">
        <f>SUM(T24:T32)</f>
        <v>-172340848</v>
      </c>
      <c r="V33" s="193">
        <f>SUM(V24:V32)</f>
        <v>-402352.22470000002</v>
      </c>
      <c r="X33" s="193">
        <f>SUM(X24:X32)</f>
        <v>-32073.149600000004</v>
      </c>
      <c r="Z33" s="354">
        <f>SUM(Z24:Z32)</f>
        <v>388612971.19599992</v>
      </c>
      <c r="AB33" s="354">
        <f>SUM(AB24:AB32)</f>
        <v>-153201.53014976004</v>
      </c>
      <c r="AC33" s="193">
        <f>SUM(AC24:AC32)</f>
        <v>121128.38054976001</v>
      </c>
      <c r="AD33" s="354">
        <f>SUM(AD24:AD32)</f>
        <v>26001168.350993246</v>
      </c>
      <c r="AE33" s="351">
        <f t="shared" si="17"/>
        <v>-3.7766288019858205</v>
      </c>
    </row>
    <row r="34" spans="1:31">
      <c r="A34" s="180" t="s">
        <v>192</v>
      </c>
      <c r="B34" s="152"/>
      <c r="C34" s="174"/>
      <c r="D34" s="181">
        <v>557931.68000000005</v>
      </c>
      <c r="E34" s="181"/>
      <c r="F34" s="181"/>
      <c r="G34" s="174">
        <f>SUM(D34:F34)</f>
        <v>557931.68000000005</v>
      </c>
      <c r="H34" s="174"/>
      <c r="I34" s="174">
        <f t="shared" si="9"/>
        <v>557931.68000000005</v>
      </c>
      <c r="U34" s="355"/>
    </row>
    <row r="35" spans="1:31">
      <c r="A35" s="180" t="s">
        <v>193</v>
      </c>
      <c r="B35" s="152"/>
      <c r="C35" s="194"/>
      <c r="D35" s="181">
        <v>1912260.12</v>
      </c>
      <c r="E35" s="181"/>
      <c r="F35" s="181"/>
      <c r="G35" s="174"/>
      <c r="H35" s="174"/>
      <c r="I35" s="174"/>
      <c r="U35" s="355" t="s">
        <v>388</v>
      </c>
      <c r="V35" s="1" t="s">
        <v>252</v>
      </c>
      <c r="X35" s="194">
        <v>0.95444899999999999</v>
      </c>
      <c r="AA35" s="1" t="s">
        <v>253</v>
      </c>
      <c r="AB35" s="1" t="s">
        <v>254</v>
      </c>
      <c r="AD35" s="1" t="s">
        <v>255</v>
      </c>
    </row>
    <row r="36" spans="1:31">
      <c r="A36" s="180" t="s">
        <v>194</v>
      </c>
      <c r="B36" s="152"/>
      <c r="C36" s="194"/>
      <c r="D36" s="181">
        <v>1512847.06</v>
      </c>
      <c r="E36" s="181"/>
      <c r="F36" s="181"/>
      <c r="G36" s="174"/>
      <c r="H36" s="174"/>
      <c r="I36" s="174"/>
      <c r="T36" s="1" t="s">
        <v>142</v>
      </c>
      <c r="U36" s="1" t="s">
        <v>256</v>
      </c>
      <c r="X36" s="356">
        <f>(X24+X25)*X35</f>
        <v>-120323.53077317961</v>
      </c>
      <c r="Z36" s="1" t="s">
        <v>19</v>
      </c>
      <c r="AA36" s="189">
        <f>P24+P25+Q24+Q25+T24+T25</f>
        <v>213560314.46800005</v>
      </c>
      <c r="AB36" s="194">
        <v>-1.1100000000000001E-3</v>
      </c>
      <c r="AC36" s="349">
        <f>AA36*AB36</f>
        <v>-237051.94905948007</v>
      </c>
      <c r="AD36" s="349">
        <f>X36-AC36</f>
        <v>116728.41828630047</v>
      </c>
      <c r="AE36" s="351">
        <f>AD36/X36</f>
        <v>-0.97012128497412331</v>
      </c>
    </row>
    <row r="37" spans="1:31">
      <c r="A37" s="152"/>
      <c r="B37" s="152"/>
      <c r="C37" s="166">
        <f t="shared" ref="C37:I37" si="19">SUM(C24:C36)</f>
        <v>4187976.97</v>
      </c>
      <c r="D37" s="166">
        <f t="shared" si="19"/>
        <v>42610580.54999999</v>
      </c>
      <c r="E37" s="166">
        <f t="shared" si="19"/>
        <v>-22510273</v>
      </c>
      <c r="F37" s="166">
        <f t="shared" si="19"/>
        <v>25313559</v>
      </c>
      <c r="G37" s="166">
        <f t="shared" si="19"/>
        <v>41988759.36999999</v>
      </c>
      <c r="H37" s="166">
        <f t="shared" si="19"/>
        <v>352238.89676999993</v>
      </c>
      <c r="I37" s="166">
        <f t="shared" si="19"/>
        <v>42340998.26676999</v>
      </c>
      <c r="T37" s="1" t="s">
        <v>142</v>
      </c>
      <c r="U37" s="1" t="s">
        <v>257</v>
      </c>
      <c r="X37" s="356">
        <f>SUM(X26:X32)*X35</f>
        <v>89711.34521060923</v>
      </c>
      <c r="Z37" s="1" t="s">
        <v>184</v>
      </c>
      <c r="AA37" s="189">
        <f>SUM(P26:Q32,T26:T32)</f>
        <v>175052656.72800002</v>
      </c>
      <c r="AB37" s="194">
        <v>5.1999999999999995E-4</v>
      </c>
      <c r="AC37" s="349">
        <f>AA37*AB37</f>
        <v>91027.381498560004</v>
      </c>
      <c r="AD37" s="349">
        <f>X37-AC37</f>
        <v>-1316.0362879507738</v>
      </c>
      <c r="AE37" s="351">
        <f>AD37/X37</f>
        <v>-1.4669675110335319E-2</v>
      </c>
    </row>
    <row r="38" spans="1:31" ht="14.4" thickBot="1">
      <c r="A38" s="152"/>
      <c r="B38" s="152"/>
      <c r="D38" s="167"/>
      <c r="E38" s="152"/>
      <c r="F38" s="152"/>
      <c r="Z38" s="1" t="s">
        <v>236</v>
      </c>
    </row>
    <row r="39" spans="1:31">
      <c r="A39" s="152" t="s">
        <v>19</v>
      </c>
      <c r="B39" s="152"/>
      <c r="C39" s="169">
        <f t="shared" ref="C39:I39" si="20">C24+C25</f>
        <v>1992500.5</v>
      </c>
      <c r="D39" s="168">
        <f t="shared" si="20"/>
        <v>16455443.569999998</v>
      </c>
      <c r="E39" s="168">
        <f t="shared" si="20"/>
        <v>-8043301</v>
      </c>
      <c r="F39" s="168">
        <f t="shared" si="20"/>
        <v>10215273</v>
      </c>
      <c r="G39" s="168">
        <f t="shared" si="20"/>
        <v>18627415.57</v>
      </c>
      <c r="H39" s="168">
        <f t="shared" si="20"/>
        <v>407717.83304</v>
      </c>
      <c r="I39" s="169">
        <f t="shared" si="20"/>
        <v>19035133.403039999</v>
      </c>
    </row>
    <row r="40" spans="1:31" ht="6" customHeight="1">
      <c r="A40" s="152"/>
      <c r="B40" s="152"/>
      <c r="C40" s="173"/>
      <c r="D40" s="168"/>
      <c r="E40" s="152"/>
      <c r="F40" s="152"/>
      <c r="I40" s="190"/>
    </row>
    <row r="41" spans="1:31" ht="14.4" thickBot="1">
      <c r="A41" s="152" t="s">
        <v>184</v>
      </c>
      <c r="B41" s="152"/>
      <c r="C41" s="175">
        <f>SUM(C26:C29,C31:C33)</f>
        <v>1643476.4699999997</v>
      </c>
      <c r="D41" s="176">
        <f t="shared" ref="D41:I41" si="21">SUM(D26:D29,D31:D33)</f>
        <v>16520469.57</v>
      </c>
      <c r="E41" s="176">
        <f t="shared" si="21"/>
        <v>-8466345</v>
      </c>
      <c r="F41" s="176">
        <f t="shared" si="21"/>
        <v>9540862</v>
      </c>
      <c r="G41" s="176">
        <f t="shared" si="21"/>
        <v>17594986.57</v>
      </c>
      <c r="H41" s="176">
        <f t="shared" si="21"/>
        <v>-73854.764370000004</v>
      </c>
      <c r="I41" s="175">
        <f t="shared" si="21"/>
        <v>17521131.805630002</v>
      </c>
    </row>
    <row r="42" spans="1:31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31">
      <c r="C43" s="192">
        <v>43040</v>
      </c>
      <c r="D43" s="192">
        <v>43252</v>
      </c>
      <c r="E43" s="374">
        <v>43040</v>
      </c>
      <c r="F43" s="374">
        <v>43405</v>
      </c>
      <c r="G43" s="192">
        <v>42278</v>
      </c>
      <c r="H43" s="192">
        <v>43344</v>
      </c>
      <c r="I43" s="192">
        <v>43374</v>
      </c>
      <c r="J43" s="192">
        <v>43282</v>
      </c>
      <c r="K43" s="375"/>
      <c r="L43" s="196"/>
      <c r="M43" s="1" t="s">
        <v>377</v>
      </c>
    </row>
    <row r="44" spans="1:31" ht="40.950000000000003" customHeight="1">
      <c r="A44" s="179" t="s">
        <v>195</v>
      </c>
      <c r="B44" s="154"/>
      <c r="C44" s="165" t="s">
        <v>196</v>
      </c>
      <c r="D44" s="165" t="s">
        <v>312</v>
      </c>
      <c r="E44" s="373" t="s">
        <v>213</v>
      </c>
      <c r="F44" s="373" t="s">
        <v>213</v>
      </c>
      <c r="G44" s="165" t="s">
        <v>197</v>
      </c>
      <c r="H44" s="165" t="s">
        <v>198</v>
      </c>
      <c r="I44" s="165" t="s">
        <v>199</v>
      </c>
      <c r="J44" s="165" t="s">
        <v>201</v>
      </c>
      <c r="K44" s="372"/>
      <c r="M44" s="211" t="s">
        <v>385</v>
      </c>
      <c r="N44" s="357" t="s">
        <v>386</v>
      </c>
      <c r="O44" s="344" t="s">
        <v>382</v>
      </c>
      <c r="P44" s="344" t="s">
        <v>383</v>
      </c>
      <c r="Q44" s="344" t="s">
        <v>384</v>
      </c>
    </row>
    <row r="45" spans="1:31">
      <c r="A45" s="180" t="s">
        <v>131</v>
      </c>
      <c r="B45" s="152"/>
      <c r="C45" s="171">
        <v>-8.0999999999999996E-4</v>
      </c>
      <c r="D45" s="171">
        <v>-1.42E-3</v>
      </c>
      <c r="E45" s="171">
        <v>4.45E-3</v>
      </c>
      <c r="F45" s="171">
        <v>-1.16E-3</v>
      </c>
      <c r="G45" s="171"/>
      <c r="H45" s="171">
        <v>4.3299999999999996E-3</v>
      </c>
      <c r="I45" s="171">
        <v>1.15E-3</v>
      </c>
      <c r="J45" s="171">
        <v>-3.4000000000000002E-4</v>
      </c>
      <c r="K45" s="171"/>
      <c r="M45" s="171">
        <f>SUM(C45:E45,G45:J45)</f>
        <v>7.3599999999999994E-3</v>
      </c>
      <c r="N45" s="376">
        <f>SUM(C45:D45,F45:J45)</f>
        <v>1.7499999999999994E-3</v>
      </c>
      <c r="O45" s="348">
        <f>-F3*M45</f>
        <v>604726.83392</v>
      </c>
      <c r="P45" s="348">
        <f>G3*N45</f>
        <v>200253.25599999994</v>
      </c>
      <c r="Q45" s="349">
        <f>P45-O45</f>
        <v>-404473.57792000007</v>
      </c>
    </row>
    <row r="46" spans="1:31">
      <c r="A46" s="180" t="s">
        <v>178</v>
      </c>
      <c r="B46" s="152"/>
      <c r="C46" s="171">
        <v>-8.0999999999999996E-4</v>
      </c>
      <c r="D46" s="171">
        <v>-1.42E-3</v>
      </c>
      <c r="E46" s="171">
        <v>4.45E-3</v>
      </c>
      <c r="F46" s="171">
        <v>-1.16E-3</v>
      </c>
      <c r="G46" s="171">
        <v>-3.1530000000000002E-2</v>
      </c>
      <c r="H46" s="171">
        <v>4.3299999999999996E-3</v>
      </c>
      <c r="I46" s="171">
        <v>1.15E-3</v>
      </c>
      <c r="J46" s="171">
        <v>-3.4000000000000002E-4</v>
      </c>
      <c r="K46" s="171"/>
      <c r="M46" s="171">
        <f t="shared" ref="M46:M57" si="22">SUM(C46:E46,G46:J46)</f>
        <v>-2.4170000000000004E-2</v>
      </c>
      <c r="N46" s="376">
        <f t="shared" ref="N46:N57" si="23">SUM(C46:D46,F46:J46)</f>
        <v>-2.9780000000000001E-2</v>
      </c>
      <c r="O46" s="348">
        <f t="shared" ref="O46:O57" si="24">-F4*M46</f>
        <v>-3889.8714600000008</v>
      </c>
      <c r="P46" s="348">
        <f t="shared" ref="P46:P57" si="25">G4*N46</f>
        <v>-7134.1265800000001</v>
      </c>
      <c r="Q46" s="349">
        <f t="shared" ref="Q46:Q57" si="26">P46-O46</f>
        <v>-3244.2551199999994</v>
      </c>
    </row>
    <row r="47" spans="1:31">
      <c r="A47" s="180" t="s">
        <v>132</v>
      </c>
      <c r="B47" s="152"/>
      <c r="C47" s="171">
        <v>0</v>
      </c>
      <c r="D47" s="171">
        <v>-1.8799999999999999E-3</v>
      </c>
      <c r="E47" s="171">
        <v>4.0000000000000002E-4</v>
      </c>
      <c r="F47" s="171">
        <v>5.4000000000000001E-4</v>
      </c>
      <c r="G47" s="171"/>
      <c r="H47" s="171">
        <v>5.9699999999999996E-3</v>
      </c>
      <c r="I47" s="171">
        <v>1.67E-3</v>
      </c>
      <c r="J47" s="171">
        <v>-3.6000000000000002E-4</v>
      </c>
      <c r="K47" s="171"/>
      <c r="M47" s="171">
        <f t="shared" si="22"/>
        <v>5.7999999999999987E-3</v>
      </c>
      <c r="N47" s="376">
        <f t="shared" si="23"/>
        <v>5.94E-3</v>
      </c>
      <c r="O47" s="348">
        <f t="shared" si="24"/>
        <v>132745.08139999997</v>
      </c>
      <c r="P47" s="348">
        <f t="shared" si="25"/>
        <v>161617.56336</v>
      </c>
      <c r="Q47" s="349">
        <f t="shared" si="26"/>
        <v>28872.481960000034</v>
      </c>
    </row>
    <row r="48" spans="1:31">
      <c r="A48" s="180" t="s">
        <v>133</v>
      </c>
      <c r="B48" s="152"/>
      <c r="C48" s="171">
        <v>-8.0999999999999996E-4</v>
      </c>
      <c r="D48" s="171">
        <v>-1.8799999999999999E-3</v>
      </c>
      <c r="E48" s="171">
        <v>4.0000000000000002E-4</v>
      </c>
      <c r="F48" s="171">
        <v>5.4000000000000001E-4</v>
      </c>
      <c r="G48" s="171"/>
      <c r="H48" s="171">
        <v>5.9699999999999996E-3</v>
      </c>
      <c r="I48" s="171">
        <v>1.67E-3</v>
      </c>
      <c r="J48" s="171">
        <v>-3.6000000000000002E-4</v>
      </c>
      <c r="K48" s="171"/>
      <c r="M48" s="171">
        <f t="shared" si="22"/>
        <v>4.9900000000000005E-3</v>
      </c>
      <c r="N48" s="376">
        <f t="shared" si="23"/>
        <v>5.13E-3</v>
      </c>
      <c r="O48" s="348">
        <f t="shared" si="24"/>
        <v>10667.262720000001</v>
      </c>
      <c r="P48" s="348">
        <f t="shared" si="25"/>
        <v>14788.18944</v>
      </c>
      <c r="Q48" s="349">
        <f t="shared" si="26"/>
        <v>4120.9267199999995</v>
      </c>
    </row>
    <row r="49" spans="1:17" ht="14.4" customHeight="1">
      <c r="A49" s="180" t="s">
        <v>134</v>
      </c>
      <c r="B49" s="152"/>
      <c r="C49" s="171">
        <v>0</v>
      </c>
      <c r="D49" s="171">
        <v>-1.4400000000000001E-3</v>
      </c>
      <c r="E49" s="171">
        <v>4.0000000000000002E-4</v>
      </c>
      <c r="F49" s="171">
        <v>5.4000000000000001E-4</v>
      </c>
      <c r="G49" s="171"/>
      <c r="H49" s="171">
        <v>4.5999999999999999E-3</v>
      </c>
      <c r="I49" s="171">
        <v>1.2099999999999999E-3</v>
      </c>
      <c r="J49" s="171">
        <v>-3.6000000000000002E-4</v>
      </c>
      <c r="K49" s="171"/>
      <c r="M49" s="171">
        <f t="shared" si="22"/>
        <v>4.4099999999999999E-3</v>
      </c>
      <c r="N49" s="376">
        <f t="shared" si="23"/>
        <v>4.5499999999999994E-3</v>
      </c>
      <c r="O49" s="348">
        <f t="shared" si="24"/>
        <v>261132.38172</v>
      </c>
      <c r="P49" s="348">
        <f t="shared" si="25"/>
        <v>305691.99114999996</v>
      </c>
      <c r="Q49" s="349">
        <f t="shared" si="26"/>
        <v>44559.609429999953</v>
      </c>
    </row>
    <row r="50" spans="1:17">
      <c r="A50" s="180" t="s">
        <v>135</v>
      </c>
      <c r="B50" s="152"/>
      <c r="C50" s="171">
        <v>-8.0999999999999996E-4</v>
      </c>
      <c r="D50" s="171">
        <v>-1.4400000000000001E-3</v>
      </c>
      <c r="E50" s="171">
        <v>4.0000000000000002E-4</v>
      </c>
      <c r="F50" s="171">
        <v>5.4000000000000001E-4</v>
      </c>
      <c r="G50" s="171"/>
      <c r="H50" s="171">
        <v>4.5999999999999999E-3</v>
      </c>
      <c r="I50" s="171">
        <v>1.2099999999999999E-3</v>
      </c>
      <c r="J50" s="171">
        <v>-3.6000000000000002E-4</v>
      </c>
      <c r="K50" s="171"/>
      <c r="M50" s="171">
        <f t="shared" si="22"/>
        <v>3.5999999999999999E-3</v>
      </c>
      <c r="N50" s="376">
        <f t="shared" si="23"/>
        <v>3.7399999999999994E-3</v>
      </c>
      <c r="O50" s="348">
        <f t="shared" si="24"/>
        <v>4526.5356000000002</v>
      </c>
      <c r="P50" s="348">
        <f t="shared" si="25"/>
        <v>5689.3253999999988</v>
      </c>
      <c r="Q50" s="349">
        <f t="shared" si="26"/>
        <v>1162.7897999999986</v>
      </c>
    </row>
    <row r="51" spans="1:17">
      <c r="A51" s="180" t="s">
        <v>136</v>
      </c>
      <c r="B51" s="152"/>
      <c r="C51" s="171">
        <v>0</v>
      </c>
      <c r="D51" s="171">
        <v>-9.3000000000000005E-4</v>
      </c>
      <c r="E51" s="171">
        <v>0</v>
      </c>
      <c r="F51" s="171">
        <v>0</v>
      </c>
      <c r="G51" s="171"/>
      <c r="H51" s="171">
        <v>2.97E-3</v>
      </c>
      <c r="I51" s="171">
        <v>7.6000000000000004E-4</v>
      </c>
      <c r="J51" s="171">
        <v>-3.5E-4</v>
      </c>
      <c r="K51" s="171"/>
      <c r="M51" s="171">
        <f t="shared" si="22"/>
        <v>2.4500000000000004E-3</v>
      </c>
      <c r="N51" s="376">
        <f t="shared" si="23"/>
        <v>2.4500000000000004E-3</v>
      </c>
      <c r="O51" s="348">
        <f t="shared" si="24"/>
        <v>147739.76035000003</v>
      </c>
      <c r="P51" s="348">
        <f t="shared" si="25"/>
        <v>129363.93225000001</v>
      </c>
      <c r="Q51" s="349">
        <f t="shared" si="26"/>
        <v>-18375.828100000013</v>
      </c>
    </row>
    <row r="52" spans="1:17">
      <c r="A52" s="180" t="s">
        <v>179</v>
      </c>
      <c r="B52" s="152"/>
      <c r="C52" s="171">
        <v>0</v>
      </c>
      <c r="D52" s="171">
        <v>-9.3000000000000005E-4</v>
      </c>
      <c r="E52" s="171">
        <v>0</v>
      </c>
      <c r="F52" s="171">
        <v>0</v>
      </c>
      <c r="G52" s="171"/>
      <c r="H52" s="171">
        <v>2.97E-3</v>
      </c>
      <c r="I52" s="171">
        <v>0</v>
      </c>
      <c r="J52" s="171">
        <v>-3.5E-4</v>
      </c>
      <c r="K52" s="171"/>
      <c r="M52" s="171">
        <f t="shared" si="22"/>
        <v>1.6900000000000001E-3</v>
      </c>
      <c r="N52" s="376">
        <f t="shared" si="23"/>
        <v>1.6900000000000001E-3</v>
      </c>
      <c r="O52" s="348">
        <f t="shared" si="24"/>
        <v>59150</v>
      </c>
      <c r="P52" s="348">
        <f t="shared" si="25"/>
        <v>59150</v>
      </c>
      <c r="Q52" s="349">
        <f t="shared" si="26"/>
        <v>0</v>
      </c>
    </row>
    <row r="53" spans="1:17">
      <c r="A53" s="180" t="s">
        <v>180</v>
      </c>
      <c r="B53" s="152"/>
      <c r="C53" s="171">
        <v>0</v>
      </c>
      <c r="D53" s="171">
        <v>-1.2999999999999999E-3</v>
      </c>
      <c r="E53" s="171">
        <v>4.0000000000000002E-4</v>
      </c>
      <c r="F53" s="171">
        <v>5.4000000000000001E-4</v>
      </c>
      <c r="G53" s="171"/>
      <c r="H53" s="171">
        <v>4.3299999999999996E-3</v>
      </c>
      <c r="I53" s="171">
        <v>1.0499999999999999E-3</v>
      </c>
      <c r="J53" s="171">
        <v>-3.6999999999999999E-4</v>
      </c>
      <c r="K53" s="171"/>
      <c r="M53" s="171">
        <f t="shared" si="22"/>
        <v>4.1099999999999999E-3</v>
      </c>
      <c r="N53" s="376">
        <f t="shared" si="23"/>
        <v>4.2500000000000003E-3</v>
      </c>
      <c r="O53" s="348">
        <f t="shared" si="24"/>
        <v>0</v>
      </c>
      <c r="P53" s="348">
        <f t="shared" si="25"/>
        <v>0</v>
      </c>
      <c r="Q53" s="349">
        <f t="shared" si="26"/>
        <v>0</v>
      </c>
    </row>
    <row r="54" spans="1:17">
      <c r="A54" s="180" t="s">
        <v>137</v>
      </c>
      <c r="B54" s="152"/>
      <c r="C54" s="171">
        <v>0</v>
      </c>
      <c r="D54" s="171">
        <v>-1.2999999999999999E-3</v>
      </c>
      <c r="E54" s="171">
        <v>4.0000000000000002E-4</v>
      </c>
      <c r="F54" s="171">
        <v>5.4000000000000001E-4</v>
      </c>
      <c r="G54" s="171"/>
      <c r="H54" s="171">
        <v>4.3299999999999996E-3</v>
      </c>
      <c r="I54" s="171">
        <v>1.0499999999999999E-3</v>
      </c>
      <c r="J54" s="171">
        <v>-3.6999999999999999E-4</v>
      </c>
      <c r="K54" s="171"/>
      <c r="M54" s="171">
        <f t="shared" si="22"/>
        <v>4.1099999999999999E-3</v>
      </c>
      <c r="N54" s="376">
        <f t="shared" si="23"/>
        <v>4.2500000000000003E-3</v>
      </c>
      <c r="O54" s="348">
        <f t="shared" si="24"/>
        <v>17626.05558</v>
      </c>
      <c r="P54" s="348">
        <f t="shared" si="25"/>
        <v>13050.288</v>
      </c>
      <c r="Q54" s="349">
        <f t="shared" si="26"/>
        <v>-4575.7675799999997</v>
      </c>
    </row>
    <row r="55" spans="1:17">
      <c r="A55" s="180" t="s">
        <v>138</v>
      </c>
      <c r="B55" s="152"/>
      <c r="C55" s="171">
        <v>-8.0999999999999996E-4</v>
      </c>
      <c r="D55" s="171">
        <v>-1.2999999999999999E-3</v>
      </c>
      <c r="E55" s="171">
        <v>4.0000000000000002E-4</v>
      </c>
      <c r="F55" s="171">
        <v>5.4000000000000001E-4</v>
      </c>
      <c r="G55" s="171"/>
      <c r="H55" s="171">
        <v>4.3299999999999996E-3</v>
      </c>
      <c r="I55" s="171">
        <v>1.0499999999999999E-3</v>
      </c>
      <c r="J55" s="171">
        <v>-3.6999999999999999E-4</v>
      </c>
      <c r="K55" s="171"/>
      <c r="M55" s="171">
        <f t="shared" si="22"/>
        <v>3.2999999999999995E-3</v>
      </c>
      <c r="N55" s="376">
        <f t="shared" si="23"/>
        <v>3.4399999999999999E-3</v>
      </c>
      <c r="O55" s="348">
        <f t="shared" si="24"/>
        <v>763.90379999999993</v>
      </c>
      <c r="P55" s="348">
        <f t="shared" si="25"/>
        <v>478.62783999999999</v>
      </c>
      <c r="Q55" s="349">
        <f t="shared" si="26"/>
        <v>-285.27595999999994</v>
      </c>
    </row>
    <row r="56" spans="1:17" ht="15" customHeight="1">
      <c r="A56" s="180" t="s">
        <v>192</v>
      </c>
      <c r="B56" s="152"/>
      <c r="C56" s="171">
        <v>0</v>
      </c>
      <c r="D56" s="171">
        <v>0</v>
      </c>
      <c r="E56" s="171">
        <v>0</v>
      </c>
      <c r="F56" s="171">
        <v>0</v>
      </c>
      <c r="G56" s="171"/>
      <c r="H56" s="186">
        <v>1.013E-2</v>
      </c>
      <c r="I56" s="401" t="s">
        <v>375</v>
      </c>
      <c r="J56" s="186">
        <v>-4.8000000000000001E-4</v>
      </c>
      <c r="K56" s="186"/>
      <c r="M56" s="171">
        <f t="shared" si="22"/>
        <v>9.6500000000000006E-3</v>
      </c>
      <c r="N56" s="376">
        <f t="shared" si="23"/>
        <v>9.6500000000000006E-3</v>
      </c>
      <c r="O56" s="348">
        <f t="shared" si="24"/>
        <v>0</v>
      </c>
      <c r="P56" s="348">
        <f t="shared" si="25"/>
        <v>0</v>
      </c>
      <c r="Q56" s="349">
        <f t="shared" si="26"/>
        <v>0</v>
      </c>
    </row>
    <row r="57" spans="1:17">
      <c r="A57" s="180" t="s">
        <v>183</v>
      </c>
      <c r="B57" s="152"/>
      <c r="C57" s="171">
        <v>-8.0999999999999996E-4</v>
      </c>
      <c r="D57" s="171">
        <v>0</v>
      </c>
      <c r="E57" s="171">
        <v>0</v>
      </c>
      <c r="F57" s="171">
        <v>0</v>
      </c>
      <c r="G57" s="171"/>
      <c r="H57" s="186">
        <v>1.013E-2</v>
      </c>
      <c r="I57" s="401"/>
      <c r="J57" s="186">
        <v>-4.8000000000000001E-4</v>
      </c>
      <c r="K57" s="186"/>
      <c r="M57" s="171">
        <f t="shared" si="22"/>
        <v>8.8400000000000006E-3</v>
      </c>
      <c r="N57" s="376">
        <f t="shared" si="23"/>
        <v>8.8400000000000006E-3</v>
      </c>
      <c r="O57" s="348">
        <f t="shared" si="24"/>
        <v>0</v>
      </c>
      <c r="P57" s="348">
        <f t="shared" si="25"/>
        <v>0</v>
      </c>
      <c r="Q57" s="349">
        <f t="shared" si="26"/>
        <v>0</v>
      </c>
    </row>
    <row r="58" spans="1:17">
      <c r="A58" s="180"/>
      <c r="B58" s="152"/>
      <c r="C58" s="171"/>
      <c r="D58" s="171"/>
      <c r="E58" s="171"/>
      <c r="F58" s="171"/>
      <c r="G58" s="186"/>
      <c r="H58" s="371"/>
      <c r="I58" s="171"/>
      <c r="J58" s="186"/>
      <c r="K58" s="171"/>
      <c r="L58" s="212"/>
      <c r="M58" s="369"/>
      <c r="N58" s="194"/>
      <c r="O58" s="193">
        <f>SUM(O45:O57)</f>
        <v>1235187.9436299996</v>
      </c>
      <c r="P58" s="193">
        <f t="shared" ref="P58:Q58" si="27">SUM(P45:P57)</f>
        <v>882949.04685999989</v>
      </c>
      <c r="Q58" s="193">
        <f t="shared" si="27"/>
        <v>-352238.89677000011</v>
      </c>
    </row>
    <row r="59" spans="1:17" hidden="1">
      <c r="A59" s="180"/>
      <c r="B59" s="152"/>
      <c r="C59" s="171"/>
      <c r="D59" s="171"/>
      <c r="E59" s="171"/>
      <c r="F59" s="171"/>
      <c r="G59" s="186"/>
      <c r="H59" s="371"/>
      <c r="I59" s="171"/>
      <c r="J59" s="186"/>
      <c r="K59" s="171"/>
      <c r="L59" s="212"/>
      <c r="M59" s="335"/>
      <c r="N59" s="194"/>
    </row>
    <row r="60" spans="1:17" hidden="1">
      <c r="F60" s="152"/>
      <c r="M60" s="335"/>
      <c r="N60" s="335"/>
    </row>
    <row r="61" spans="1:17" ht="41.4" customHeight="1">
      <c r="A61" s="179" t="s">
        <v>202</v>
      </c>
      <c r="B61" s="154"/>
      <c r="C61" s="172" t="s">
        <v>368</v>
      </c>
      <c r="D61" s="172" t="s">
        <v>312</v>
      </c>
      <c r="E61" s="172" t="s">
        <v>213</v>
      </c>
      <c r="F61" s="172" t="s">
        <v>203</v>
      </c>
      <c r="G61" s="172" t="s">
        <v>204</v>
      </c>
      <c r="H61" s="172" t="s">
        <v>205</v>
      </c>
      <c r="I61" s="172" t="s">
        <v>207</v>
      </c>
      <c r="J61" s="172" t="s">
        <v>208</v>
      </c>
      <c r="M61" s="168"/>
    </row>
    <row r="62" spans="1:17">
      <c r="A62" s="180" t="s">
        <v>131</v>
      </c>
      <c r="C62" s="168">
        <f t="shared" ref="C62:D67" si="28">C45*$H3</f>
        <v>-26135.832599999998</v>
      </c>
      <c r="D62" s="168">
        <f t="shared" si="28"/>
        <v>-45818.373200000002</v>
      </c>
      <c r="E62" s="168">
        <f>E45*F3+F45*G3</f>
        <v>-498368.97652000003</v>
      </c>
      <c r="F62" s="168">
        <f t="shared" ref="F62:F72" si="29">$H3*G45</f>
        <v>0</v>
      </c>
      <c r="G62" s="168">
        <f t="shared" ref="G62:G72" si="30">(H3*H45)</f>
        <v>139713.77179999999</v>
      </c>
      <c r="H62" s="168">
        <f t="shared" ref="H62:H72" si="31">(I45*H3)</f>
        <v>37106.428999999996</v>
      </c>
      <c r="I62" s="168">
        <f t="shared" ref="I62:I72" si="32">J45*H3</f>
        <v>-10970.5964</v>
      </c>
      <c r="J62" s="168">
        <f t="shared" ref="J62:J68" si="33">SUM(C62:I62)</f>
        <v>-404473.57792000001</v>
      </c>
      <c r="M62" s="168"/>
    </row>
    <row r="63" spans="1:17">
      <c r="A63" s="180" t="s">
        <v>178</v>
      </c>
      <c r="C63" s="168">
        <f t="shared" si="28"/>
        <v>-63.684629999999999</v>
      </c>
      <c r="D63" s="168">
        <f t="shared" ref="D63" si="34">D46*$H4</f>
        <v>-111.64466</v>
      </c>
      <c r="E63" s="168">
        <f t="shared" ref="E63:E72" si="35">E46*F4+F46*G4</f>
        <v>-994.06485999999995</v>
      </c>
      <c r="F63" s="168">
        <f t="shared" si="29"/>
        <v>-2478.9831900000004</v>
      </c>
      <c r="G63" s="168">
        <f t="shared" si="30"/>
        <v>340.43759</v>
      </c>
      <c r="H63" s="168">
        <f t="shared" si="31"/>
        <v>90.416449999999998</v>
      </c>
      <c r="I63" s="168">
        <f t="shared" si="32"/>
        <v>-26.731820000000003</v>
      </c>
      <c r="J63" s="168">
        <f t="shared" si="33"/>
        <v>-3244.2551200000003</v>
      </c>
      <c r="M63" s="168"/>
    </row>
    <row r="64" spans="1:17">
      <c r="A64" s="180" t="s">
        <v>132</v>
      </c>
      <c r="C64" s="168">
        <f t="shared" si="28"/>
        <v>0</v>
      </c>
      <c r="D64" s="168">
        <f t="shared" ref="D64" si="36">D47*$H5</f>
        <v>-8123.9706799999994</v>
      </c>
      <c r="E64" s="168">
        <f t="shared" si="35"/>
        <v>5537.6725599999991</v>
      </c>
      <c r="F64" s="168">
        <f t="shared" si="29"/>
        <v>0</v>
      </c>
      <c r="G64" s="168">
        <f t="shared" si="30"/>
        <v>25797.928169999999</v>
      </c>
      <c r="H64" s="168">
        <f t="shared" si="31"/>
        <v>7216.50587</v>
      </c>
      <c r="I64" s="168">
        <f t="shared" si="32"/>
        <v>-1555.6539600000001</v>
      </c>
      <c r="J64" s="168">
        <f t="shared" si="33"/>
        <v>28872.481960000001</v>
      </c>
      <c r="M64" s="168"/>
    </row>
    <row r="65" spans="1:13">
      <c r="A65" s="180" t="s">
        <v>133</v>
      </c>
      <c r="C65" s="168">
        <f t="shared" si="28"/>
        <v>-603.41759999999999</v>
      </c>
      <c r="D65" s="168">
        <f t="shared" ref="D65" si="37">D48*$H6</f>
        <v>-1400.5247999999999</v>
      </c>
      <c r="E65" s="168">
        <f t="shared" si="35"/>
        <v>701.56032000000005</v>
      </c>
      <c r="F65" s="168">
        <f t="shared" si="29"/>
        <v>0</v>
      </c>
      <c r="G65" s="168">
        <f t="shared" si="30"/>
        <v>4447.4111999999996</v>
      </c>
      <c r="H65" s="168">
        <f t="shared" si="31"/>
        <v>1244.0832</v>
      </c>
      <c r="I65" s="168">
        <f t="shared" si="32"/>
        <v>-268.18560000000002</v>
      </c>
      <c r="J65" s="168">
        <f t="shared" si="33"/>
        <v>4120.9267200000004</v>
      </c>
      <c r="M65" s="168"/>
    </row>
    <row r="66" spans="1:13">
      <c r="A66" s="180" t="s">
        <v>134</v>
      </c>
      <c r="C66" s="168">
        <f t="shared" si="28"/>
        <v>0</v>
      </c>
      <c r="D66" s="168">
        <f t="shared" ref="D66" si="38">D49*$H7</f>
        <v>-11478.759840000001</v>
      </c>
      <c r="E66" s="168">
        <f t="shared" si="35"/>
        <v>12594.451819999998</v>
      </c>
      <c r="F66" s="168">
        <f t="shared" si="29"/>
        <v>0</v>
      </c>
      <c r="G66" s="168">
        <f t="shared" si="30"/>
        <v>36668.260600000001</v>
      </c>
      <c r="H66" s="168">
        <f t="shared" si="31"/>
        <v>9645.3468099999991</v>
      </c>
      <c r="I66" s="168">
        <f t="shared" si="32"/>
        <v>-2869.6899600000002</v>
      </c>
      <c r="J66" s="168">
        <f t="shared" si="33"/>
        <v>44559.609429999997</v>
      </c>
      <c r="M66" s="168"/>
    </row>
    <row r="67" spans="1:13">
      <c r="A67" s="180" t="s">
        <v>135</v>
      </c>
      <c r="C67" s="168">
        <f t="shared" si="28"/>
        <v>-213.70958999999999</v>
      </c>
      <c r="D67" s="168">
        <f t="shared" ref="D67" si="39">D50*$H8</f>
        <v>-379.92816000000005</v>
      </c>
      <c r="E67" s="168">
        <f t="shared" si="35"/>
        <v>318.50499999999994</v>
      </c>
      <c r="F67" s="168">
        <f t="shared" si="29"/>
        <v>0</v>
      </c>
      <c r="G67" s="168">
        <f t="shared" si="30"/>
        <v>1213.6594</v>
      </c>
      <c r="H67" s="168">
        <f t="shared" si="31"/>
        <v>319.24518999999998</v>
      </c>
      <c r="I67" s="168">
        <f t="shared" si="32"/>
        <v>-94.982040000000012</v>
      </c>
      <c r="J67" s="168">
        <f t="shared" si="33"/>
        <v>1162.7897999999998</v>
      </c>
      <c r="M67" s="168"/>
    </row>
    <row r="68" spans="1:13">
      <c r="A68" s="180" t="s">
        <v>136</v>
      </c>
      <c r="C68" s="168">
        <f t="shared" ref="C68:D68" si="40">C51*$H9</f>
        <v>0</v>
      </c>
      <c r="D68" s="168">
        <f t="shared" si="40"/>
        <v>6975.3143400000008</v>
      </c>
      <c r="E68" s="168">
        <f t="shared" si="35"/>
        <v>0</v>
      </c>
      <c r="F68" s="168">
        <f t="shared" si="29"/>
        <v>0</v>
      </c>
      <c r="G68" s="168">
        <f t="shared" si="30"/>
        <v>-22276.003860000001</v>
      </c>
      <c r="H68" s="168">
        <f t="shared" si="31"/>
        <v>-5700.2568799999999</v>
      </c>
      <c r="I68" s="168">
        <f t="shared" si="32"/>
        <v>2625.1183000000001</v>
      </c>
      <c r="J68" s="168">
        <f t="shared" si="33"/>
        <v>-18375.828099999999</v>
      </c>
      <c r="M68" s="168"/>
    </row>
    <row r="69" spans="1:13">
      <c r="A69" s="180" t="s">
        <v>179</v>
      </c>
      <c r="C69" s="168">
        <f t="shared" ref="C69:D69" si="41">C52*$H10</f>
        <v>0</v>
      </c>
      <c r="D69" s="168">
        <f t="shared" si="41"/>
        <v>0</v>
      </c>
      <c r="E69" s="168">
        <f t="shared" si="35"/>
        <v>0</v>
      </c>
      <c r="F69" s="168">
        <f t="shared" si="29"/>
        <v>0</v>
      </c>
      <c r="G69" s="168">
        <f t="shared" si="30"/>
        <v>0</v>
      </c>
      <c r="H69" s="168">
        <f t="shared" si="31"/>
        <v>0</v>
      </c>
      <c r="I69" s="168">
        <f t="shared" si="32"/>
        <v>0</v>
      </c>
      <c r="J69" s="168">
        <f t="shared" ref="J69:J70" si="42">SUM(C69:I69)</f>
        <v>0</v>
      </c>
      <c r="M69" s="168"/>
    </row>
    <row r="70" spans="1:13">
      <c r="A70" s="180" t="s">
        <v>180</v>
      </c>
      <c r="C70" s="168">
        <f t="shared" ref="C70:D70" si="43">C53*$H11</f>
        <v>0</v>
      </c>
      <c r="D70" s="168">
        <f t="shared" si="43"/>
        <v>0</v>
      </c>
      <c r="E70" s="168">
        <f t="shared" si="35"/>
        <v>0</v>
      </c>
      <c r="F70" s="168">
        <f t="shared" si="29"/>
        <v>0</v>
      </c>
      <c r="G70" s="168">
        <f t="shared" si="30"/>
        <v>0</v>
      </c>
      <c r="H70" s="168">
        <f t="shared" si="31"/>
        <v>0</v>
      </c>
      <c r="I70" s="168">
        <f t="shared" si="32"/>
        <v>0</v>
      </c>
      <c r="J70" s="168">
        <f t="shared" si="42"/>
        <v>0</v>
      </c>
      <c r="M70" s="168"/>
    </row>
    <row r="71" spans="1:13">
      <c r="A71" s="180" t="s">
        <v>137</v>
      </c>
      <c r="C71" s="168">
        <f t="shared" ref="C71:D71" si="44">C54*$H12</f>
        <v>0</v>
      </c>
      <c r="D71" s="168">
        <f t="shared" si="44"/>
        <v>1583.2985999999999</v>
      </c>
      <c r="E71" s="168">
        <f t="shared" si="35"/>
        <v>-57.276959999999917</v>
      </c>
      <c r="F71" s="168">
        <f t="shared" si="29"/>
        <v>0</v>
      </c>
      <c r="G71" s="168">
        <f t="shared" si="30"/>
        <v>-5273.6022599999997</v>
      </c>
      <c r="H71" s="168">
        <f t="shared" si="31"/>
        <v>-1278.8181</v>
      </c>
      <c r="I71" s="168">
        <f t="shared" si="32"/>
        <v>450.63114000000002</v>
      </c>
      <c r="J71" s="168">
        <f>SUM(C71:I71)</f>
        <v>-4575.7675799999988</v>
      </c>
      <c r="M71" s="168"/>
    </row>
    <row r="72" spans="1:13">
      <c r="A72" s="180" t="s">
        <v>138</v>
      </c>
      <c r="C72" s="168">
        <f t="shared" ref="C72:D72" si="45">C55*$H13</f>
        <v>74.8035</v>
      </c>
      <c r="D72" s="168">
        <f t="shared" si="45"/>
        <v>120.05499999999999</v>
      </c>
      <c r="E72" s="168">
        <f t="shared" si="35"/>
        <v>-17.46096</v>
      </c>
      <c r="F72" s="168">
        <f t="shared" si="29"/>
        <v>0</v>
      </c>
      <c r="G72" s="168">
        <f t="shared" si="30"/>
        <v>-399.87549999999999</v>
      </c>
      <c r="H72" s="168">
        <f t="shared" si="31"/>
        <v>-96.967499999999987</v>
      </c>
      <c r="I72" s="168">
        <f t="shared" si="32"/>
        <v>34.169499999999999</v>
      </c>
      <c r="J72" s="168">
        <f>SUM(C72:I72)</f>
        <v>-285.27595999999994</v>
      </c>
      <c r="M72" s="168"/>
    </row>
    <row r="73" spans="1:13">
      <c r="A73" s="180" t="s">
        <v>192</v>
      </c>
      <c r="C73" s="168">
        <f>($H14+$H15)*C56+$H16*C57</f>
        <v>0</v>
      </c>
      <c r="D73" s="168">
        <f>($H14+$H15)*D56+$H16*D57</f>
        <v>0</v>
      </c>
      <c r="E73" s="168">
        <f t="shared" ref="E73" si="46">E56*F14+F56*G14</f>
        <v>0</v>
      </c>
      <c r="F73" s="168">
        <f>($H14+$H15)*G56+$H16*G57</f>
        <v>0</v>
      </c>
      <c r="G73" s="168">
        <f>($H14+$H15)*H56+$H16*H57</f>
        <v>0</v>
      </c>
      <c r="H73" s="168">
        <v>0</v>
      </c>
      <c r="I73" s="168">
        <f>($H14+$H15)*J56+$H16*J57</f>
        <v>0</v>
      </c>
      <c r="J73" s="168">
        <f>SUM(C73:I73)</f>
        <v>0</v>
      </c>
    </row>
    <row r="74" spans="1:13">
      <c r="A74" s="157"/>
      <c r="C74" s="193">
        <f t="shared" ref="C74:J74" si="47">SUM(C62:C73)</f>
        <v>-26941.840919999995</v>
      </c>
      <c r="D74" s="193">
        <f t="shared" si="47"/>
        <v>-58634.5334</v>
      </c>
      <c r="E74" s="193">
        <f t="shared" si="47"/>
        <v>-480285.58960000001</v>
      </c>
      <c r="F74" s="193">
        <f t="shared" si="47"/>
        <v>-2478.9831900000004</v>
      </c>
      <c r="G74" s="337">
        <f t="shared" si="47"/>
        <v>180231.98714000001</v>
      </c>
      <c r="H74" s="193">
        <f t="shared" si="47"/>
        <v>48545.984040000003</v>
      </c>
      <c r="I74" s="193">
        <f t="shared" si="47"/>
        <v>-12675.920840000002</v>
      </c>
      <c r="J74" s="193">
        <f t="shared" si="47"/>
        <v>-352238.89676999993</v>
      </c>
    </row>
    <row r="76" spans="1:13">
      <c r="A76" s="152" t="s">
        <v>19</v>
      </c>
      <c r="B76" s="152"/>
      <c r="C76" s="168">
        <f t="shared" ref="C76:I76" si="48">C62+C63</f>
        <v>-26199.517229999998</v>
      </c>
      <c r="D76" s="168">
        <f t="shared" si="48"/>
        <v>-45930.01786</v>
      </c>
      <c r="E76" s="168">
        <f t="shared" si="48"/>
        <v>-499363.04138000001</v>
      </c>
      <c r="F76" s="168">
        <f t="shared" si="48"/>
        <v>-2478.9831900000004</v>
      </c>
      <c r="G76" s="168">
        <f t="shared" si="48"/>
        <v>140054.20938999997</v>
      </c>
      <c r="H76" s="168">
        <f t="shared" si="48"/>
        <v>37196.845449999993</v>
      </c>
      <c r="I76" s="168">
        <f t="shared" si="48"/>
        <v>-10997.328220000001</v>
      </c>
      <c r="J76" s="168">
        <f>J62+J63</f>
        <v>-407717.83304</v>
      </c>
    </row>
    <row r="77" spans="1:13">
      <c r="A77" s="152"/>
      <c r="B77" s="152"/>
      <c r="C77" s="168"/>
      <c r="D77" s="168"/>
      <c r="E77" s="168"/>
      <c r="F77" s="168"/>
      <c r="G77" s="168"/>
      <c r="H77" s="168"/>
      <c r="I77" s="168"/>
      <c r="J77" s="168"/>
    </row>
    <row r="78" spans="1:13" ht="15.75" customHeight="1">
      <c r="A78" s="152" t="s">
        <v>184</v>
      </c>
      <c r="B78" s="152"/>
      <c r="C78" s="176">
        <f t="shared" ref="C78:I78" si="49">SUM(C64:C67,C70:C72)</f>
        <v>-742.32368999999994</v>
      </c>
      <c r="D78" s="176">
        <f t="shared" si="49"/>
        <v>-19679.829880000001</v>
      </c>
      <c r="E78" s="176">
        <f t="shared" si="49"/>
        <v>19077.451779999999</v>
      </c>
      <c r="F78" s="176">
        <f t="shared" si="49"/>
        <v>0</v>
      </c>
      <c r="G78" s="176">
        <f t="shared" si="49"/>
        <v>62453.781609999998</v>
      </c>
      <c r="H78" s="176">
        <f t="shared" si="49"/>
        <v>17049.395469999999</v>
      </c>
      <c r="I78" s="176">
        <f t="shared" si="49"/>
        <v>-4303.7109199999995</v>
      </c>
      <c r="J78" s="176">
        <f>SUM(J64:J67,J70:J72)</f>
        <v>73854.764370000004</v>
      </c>
    </row>
    <row r="80" spans="1:13">
      <c r="A80" s="1" t="s">
        <v>215</v>
      </c>
    </row>
    <row r="81" spans="1:14">
      <c r="A81" s="1" t="s">
        <v>223</v>
      </c>
    </row>
    <row r="82" spans="1:14" ht="15.75" customHeight="1">
      <c r="A82" s="194" t="s">
        <v>222</v>
      </c>
      <c r="B82" s="194"/>
      <c r="C82" s="194"/>
      <c r="D82" s="194"/>
      <c r="E82" s="194"/>
    </row>
    <row r="83" spans="1:14" ht="29.4" customHeight="1">
      <c r="A83" s="194"/>
      <c r="B83" s="357" t="s">
        <v>216</v>
      </c>
      <c r="C83" s="357" t="s">
        <v>217</v>
      </c>
      <c r="D83" s="357" t="s">
        <v>218</v>
      </c>
      <c r="E83" s="357" t="s">
        <v>221</v>
      </c>
      <c r="G83" s="402" t="s">
        <v>391</v>
      </c>
      <c r="H83" s="402"/>
      <c r="I83" s="402"/>
      <c r="J83" s="402"/>
      <c r="M83" s="358"/>
      <c r="N83" s="358"/>
    </row>
    <row r="84" spans="1:14">
      <c r="A84" s="359" t="s">
        <v>390</v>
      </c>
      <c r="B84" s="361">
        <v>1</v>
      </c>
      <c r="C84" s="362">
        <v>836098.2</v>
      </c>
      <c r="D84" s="358">
        <f>74029.46-C84*N51</f>
        <v>71981.019410000008</v>
      </c>
      <c r="E84" s="358">
        <f>500*B84</f>
        <v>500</v>
      </c>
      <c r="F84" s="360" t="s">
        <v>219</v>
      </c>
      <c r="H84" s="361"/>
      <c r="I84" s="362"/>
      <c r="J84" s="380">
        <v>52841</v>
      </c>
      <c r="K84" s="358"/>
      <c r="L84" s="360"/>
    </row>
    <row r="85" spans="1:14">
      <c r="A85" s="363" t="s">
        <v>258</v>
      </c>
      <c r="B85" s="364">
        <f>SUM(B84:B84)</f>
        <v>1</v>
      </c>
      <c r="C85" s="365">
        <f>SUM(C84:C84)</f>
        <v>836098.2</v>
      </c>
      <c r="D85" s="366">
        <f>SUM(D84:D84)</f>
        <v>71981.019410000008</v>
      </c>
      <c r="E85" s="366">
        <f>SUM(E84:E84)</f>
        <v>500</v>
      </c>
    </row>
    <row r="86" spans="1:14">
      <c r="A86" s="194"/>
      <c r="B86" s="194"/>
      <c r="C86" s="194"/>
      <c r="D86" s="194"/>
      <c r="E86" s="194"/>
    </row>
    <row r="87" spans="1:14">
      <c r="A87" s="346"/>
      <c r="B87" s="361"/>
      <c r="C87" s="362"/>
      <c r="D87" s="358"/>
      <c r="E87" s="358"/>
    </row>
    <row r="88" spans="1:14">
      <c r="B88" s="361"/>
      <c r="C88" s="362"/>
      <c r="D88" s="358"/>
      <c r="E88" s="358"/>
    </row>
    <row r="89" spans="1:14" ht="9" customHeight="1"/>
  </sheetData>
  <mergeCells count="4">
    <mergeCell ref="G83:J83"/>
    <mergeCell ref="A1:I1"/>
    <mergeCell ref="J1:K1"/>
    <mergeCell ref="I56:I57"/>
  </mergeCells>
  <pageMargins left="0.7" right="0.7" top="0.75" bottom="0.75" header="0.3" footer="0.3"/>
  <pageSetup scale="78" fitToHeight="2" orientation="landscape" r:id="rId1"/>
  <headerFooter scaleWithDoc="0">
    <oddFooter>&amp;L&amp;F / &amp;A&amp;RPage 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AE88"/>
  <sheetViews>
    <sheetView topLeftCell="A56" zoomScaleNormal="100" workbookViewId="0">
      <selection activeCell="A56" sqref="A1:XFD1048576"/>
    </sheetView>
  </sheetViews>
  <sheetFormatPr defaultColWidth="9.109375" defaultRowHeight="13.8"/>
  <cols>
    <col min="1" max="1" width="14.6640625" style="1" customWidth="1"/>
    <col min="2" max="2" width="10.33203125" style="1" customWidth="1"/>
    <col min="3" max="3" width="16.33203125" style="1" customWidth="1"/>
    <col min="4" max="4" width="18.6640625" style="1" customWidth="1"/>
    <col min="5" max="5" width="16.6640625" style="1" customWidth="1"/>
    <col min="6" max="6" width="16.33203125" style="1" customWidth="1"/>
    <col min="7" max="7" width="15.5546875" style="1" customWidth="1"/>
    <col min="8" max="8" width="13.6640625" style="1" bestFit="1" customWidth="1"/>
    <col min="9" max="9" width="17.5546875" style="1" customWidth="1"/>
    <col min="10" max="10" width="13.6640625" style="1" bestFit="1" customWidth="1"/>
    <col min="11" max="11" width="14.88671875" style="1" customWidth="1"/>
    <col min="12" max="12" width="13.44140625" style="1" bestFit="1" customWidth="1"/>
    <col min="13" max="13" width="15.6640625" style="1" customWidth="1"/>
    <col min="14" max="14" width="10.88671875" style="1" customWidth="1"/>
    <col min="15" max="15" width="13.88671875" style="1" customWidth="1"/>
    <col min="16" max="16" width="13.33203125" style="1" customWidth="1"/>
    <col min="17" max="17" width="16" style="1" customWidth="1"/>
    <col min="18" max="18" width="10" style="1" customWidth="1"/>
    <col min="19" max="19" width="17.6640625" style="1" customWidth="1"/>
    <col min="20" max="20" width="13.44140625" style="1" customWidth="1"/>
    <col min="21" max="21" width="10.5546875" style="1" customWidth="1"/>
    <col min="22" max="22" width="13.88671875" style="1" customWidth="1"/>
    <col min="23" max="23" width="2.88671875" style="1" customWidth="1"/>
    <col min="24" max="24" width="16.88671875" style="1" customWidth="1"/>
    <col min="25" max="25" width="1.6640625" style="1" customWidth="1"/>
    <col min="26" max="26" width="14.6640625" style="1" customWidth="1"/>
    <col min="27" max="27" width="13.6640625" style="1" customWidth="1"/>
    <col min="28" max="28" width="13.5546875" style="1" customWidth="1"/>
    <col min="29" max="29" width="13.109375" style="1" customWidth="1"/>
    <col min="30" max="30" width="18" style="1" customWidth="1"/>
    <col min="31" max="16384" width="9.109375" style="1"/>
  </cols>
  <sheetData>
    <row r="1" spans="1:11">
      <c r="A1" s="399" t="s">
        <v>172</v>
      </c>
      <c r="B1" s="399"/>
      <c r="C1" s="399"/>
      <c r="D1" s="399"/>
      <c r="E1" s="399"/>
      <c r="F1" s="399"/>
      <c r="G1" s="399"/>
      <c r="H1" s="399"/>
      <c r="I1" s="399"/>
      <c r="J1" s="400" t="s">
        <v>377</v>
      </c>
      <c r="K1" s="400"/>
    </row>
    <row r="2" spans="1:11" ht="26.4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  <c r="J2" s="344" t="s">
        <v>378</v>
      </c>
      <c r="K2" s="344" t="s">
        <v>379</v>
      </c>
    </row>
    <row r="3" spans="1:11">
      <c r="A3" s="180" t="s">
        <v>131</v>
      </c>
      <c r="B3" s="152"/>
      <c r="C3" s="158">
        <v>217990</v>
      </c>
      <c r="D3" s="282"/>
      <c r="E3" s="182">
        <v>149120500.433</v>
      </c>
      <c r="F3" s="182">
        <v>-71433400</v>
      </c>
      <c r="G3" s="182">
        <v>82163972</v>
      </c>
      <c r="H3" s="189">
        <f>SUM(F3:G3)</f>
        <v>10730572</v>
      </c>
      <c r="I3" s="159">
        <f>E3+H3</f>
        <v>159851072.433</v>
      </c>
      <c r="J3" s="370">
        <f t="shared" ref="J3:J8" si="0">I3/C3</f>
        <v>733.29543755676866</v>
      </c>
      <c r="K3" s="341">
        <f t="shared" ref="K3:K8" si="1">D24/E3</f>
        <v>9.1672414861174986E-2</v>
      </c>
    </row>
    <row r="4" spans="1:11">
      <c r="A4" s="180" t="s">
        <v>178</v>
      </c>
      <c r="B4" s="152"/>
      <c r="C4" s="158">
        <v>398</v>
      </c>
      <c r="D4" s="282"/>
      <c r="E4" s="182">
        <v>292086.625</v>
      </c>
      <c r="F4" s="182">
        <v>-119949</v>
      </c>
      <c r="G4" s="182">
        <v>160938</v>
      </c>
      <c r="H4" s="189">
        <f t="shared" ref="H4:H16" si="2">SUM(F4:G4)</f>
        <v>40989</v>
      </c>
      <c r="I4" s="159">
        <f t="shared" ref="I4:I16" si="3">E4+H4</f>
        <v>333075.625</v>
      </c>
      <c r="J4" s="370">
        <f t="shared" si="0"/>
        <v>836.8734296482412</v>
      </c>
      <c r="K4" s="341">
        <f t="shared" si="1"/>
        <v>9.0645369331786421E-2</v>
      </c>
    </row>
    <row r="5" spans="1:11">
      <c r="A5" s="180" t="s">
        <v>132</v>
      </c>
      <c r="B5" s="152"/>
      <c r="C5" s="158">
        <v>23411</v>
      </c>
      <c r="D5" s="282"/>
      <c r="E5" s="182">
        <v>41762126.43</v>
      </c>
      <c r="F5" s="182">
        <v>-19139293</v>
      </c>
      <c r="G5" s="182">
        <v>22887083</v>
      </c>
      <c r="H5" s="189">
        <f t="shared" si="2"/>
        <v>3747790</v>
      </c>
      <c r="I5" s="159">
        <f t="shared" si="3"/>
        <v>45509916.43</v>
      </c>
      <c r="J5" s="370">
        <f t="shared" si="0"/>
        <v>1943.9543987868951</v>
      </c>
      <c r="K5" s="341">
        <f t="shared" si="1"/>
        <v>0.1213182489280635</v>
      </c>
    </row>
    <row r="6" spans="1:11">
      <c r="A6" s="180" t="s">
        <v>133</v>
      </c>
      <c r="B6" s="152"/>
      <c r="C6" s="158">
        <v>9672</v>
      </c>
      <c r="D6" s="282"/>
      <c r="E6" s="182">
        <v>3879774.2489999998</v>
      </c>
      <c r="F6" s="182">
        <v>-1707404</v>
      </c>
      <c r="G6" s="182">
        <v>2137728</v>
      </c>
      <c r="H6" s="189">
        <f t="shared" si="2"/>
        <v>430324</v>
      </c>
      <c r="I6" s="159">
        <f t="shared" si="3"/>
        <v>4310098.2489999998</v>
      </c>
      <c r="J6" s="370">
        <f t="shared" si="0"/>
        <v>445.62636983043836</v>
      </c>
      <c r="K6" s="341">
        <f t="shared" si="1"/>
        <v>0.16179455806270032</v>
      </c>
    </row>
    <row r="7" spans="1:11">
      <c r="A7" s="180" t="s">
        <v>134</v>
      </c>
      <c r="B7" s="152"/>
      <c r="C7" s="158">
        <v>1891</v>
      </c>
      <c r="D7" s="282"/>
      <c r="E7" s="182">
        <v>108166165.94400001</v>
      </c>
      <c r="F7" s="182">
        <v>-47703446</v>
      </c>
      <c r="G7" s="182">
        <v>59213692</v>
      </c>
      <c r="H7" s="189">
        <f t="shared" si="2"/>
        <v>11510246</v>
      </c>
      <c r="I7" s="159">
        <f t="shared" si="3"/>
        <v>119676411.94400001</v>
      </c>
      <c r="J7" s="370">
        <f t="shared" si="0"/>
        <v>63287.367500793232</v>
      </c>
      <c r="K7" s="341">
        <f t="shared" si="1"/>
        <v>9.3155670741040378E-2</v>
      </c>
    </row>
    <row r="8" spans="1:11">
      <c r="A8" s="180" t="s">
        <v>135</v>
      </c>
      <c r="B8" s="152"/>
      <c r="C8" s="158">
        <v>49</v>
      </c>
      <c r="D8" s="282"/>
      <c r="E8" s="182">
        <v>2282010</v>
      </c>
      <c r="F8" s="182">
        <v>-1069536</v>
      </c>
      <c r="G8" s="182">
        <v>1257371</v>
      </c>
      <c r="H8" s="189">
        <f t="shared" si="2"/>
        <v>187835</v>
      </c>
      <c r="I8" s="159">
        <f t="shared" si="3"/>
        <v>2469845</v>
      </c>
      <c r="J8" s="370">
        <f t="shared" si="0"/>
        <v>50405</v>
      </c>
      <c r="K8" s="341">
        <f t="shared" si="1"/>
        <v>9.2705562201743197E-2</v>
      </c>
    </row>
    <row r="9" spans="1:11">
      <c r="A9" s="180" t="s">
        <v>136</v>
      </c>
      <c r="B9" s="152"/>
      <c r="C9" s="158">
        <v>23</v>
      </c>
      <c r="D9" s="194"/>
      <c r="E9" s="182">
        <f>89411353.701-E10</f>
        <v>57023575.701000005</v>
      </c>
      <c r="F9" s="182">
        <v>-54933574</v>
      </c>
      <c r="G9" s="182">
        <f>95301943-G10</f>
        <v>60301943</v>
      </c>
      <c r="H9" s="189">
        <f t="shared" si="2"/>
        <v>5368369</v>
      </c>
      <c r="I9" s="159">
        <f t="shared" si="3"/>
        <v>62391944.701000005</v>
      </c>
      <c r="J9" s="370">
        <f>(I9+I10)/C9</f>
        <v>4120857.5087391306</v>
      </c>
      <c r="K9" s="341">
        <f>I30/(I9+I10)</f>
        <v>5.9205541816918547E-2</v>
      </c>
    </row>
    <row r="10" spans="1:11">
      <c r="A10" s="180" t="s">
        <v>179</v>
      </c>
      <c r="B10" s="152"/>
      <c r="C10" s="158"/>
      <c r="D10" s="194"/>
      <c r="E10" s="182">
        <v>32387778</v>
      </c>
      <c r="F10" s="182">
        <v>-35000000</v>
      </c>
      <c r="G10" s="182">
        <v>35000000</v>
      </c>
      <c r="H10" s="189">
        <f t="shared" si="2"/>
        <v>0</v>
      </c>
      <c r="I10" s="159">
        <f t="shared" si="3"/>
        <v>32387778</v>
      </c>
      <c r="J10" s="370"/>
    </row>
    <row r="11" spans="1:11">
      <c r="A11" s="180" t="s">
        <v>180</v>
      </c>
      <c r="B11" s="152"/>
      <c r="C11" s="158">
        <v>52</v>
      </c>
      <c r="D11" s="282"/>
      <c r="E11" s="182">
        <v>2982402.3650000002</v>
      </c>
      <c r="F11" s="182">
        <v>0</v>
      </c>
      <c r="G11" s="182">
        <v>0</v>
      </c>
      <c r="H11" s="189">
        <f t="shared" si="2"/>
        <v>0</v>
      </c>
      <c r="I11" s="159">
        <f t="shared" si="3"/>
        <v>2982402.3650000002</v>
      </c>
      <c r="J11" s="370">
        <f>I11/C11</f>
        <v>57353.891634615386</v>
      </c>
      <c r="K11" s="341">
        <f>I31/I11</f>
        <v>6.9708665886200769E-2</v>
      </c>
    </row>
    <row r="12" spans="1:11">
      <c r="A12" s="180" t="s">
        <v>137</v>
      </c>
      <c r="B12" s="152"/>
      <c r="C12" s="158">
        <v>1228</v>
      </c>
      <c r="D12" s="282"/>
      <c r="E12" s="182">
        <v>9329693.4230000004</v>
      </c>
      <c r="F12" s="182">
        <v>-5938288</v>
      </c>
      <c r="G12" s="182">
        <v>4288578</v>
      </c>
      <c r="H12" s="189">
        <f t="shared" si="2"/>
        <v>-1649710</v>
      </c>
      <c r="I12" s="159">
        <f t="shared" si="3"/>
        <v>7679983.4230000004</v>
      </c>
      <c r="J12" s="370">
        <f>I12/C12</f>
        <v>6254.058162052118</v>
      </c>
      <c r="K12" s="341">
        <f>I32/I12</f>
        <v>9.1567420585043108E-2</v>
      </c>
    </row>
    <row r="13" spans="1:11">
      <c r="A13" s="180" t="s">
        <v>138</v>
      </c>
      <c r="B13" s="152"/>
      <c r="C13" s="158">
        <v>1225</v>
      </c>
      <c r="D13" s="282"/>
      <c r="E13" s="182">
        <v>627608.14300000004</v>
      </c>
      <c r="F13" s="182">
        <v>-373828</v>
      </c>
      <c r="G13" s="182">
        <v>231486</v>
      </c>
      <c r="H13" s="189">
        <f t="shared" si="2"/>
        <v>-142342</v>
      </c>
      <c r="I13" s="159">
        <f t="shared" si="3"/>
        <v>485266.14300000004</v>
      </c>
      <c r="J13" s="370">
        <f>I13/C13</f>
        <v>396.13562693877554</v>
      </c>
      <c r="K13" s="341">
        <f>I33/I13</f>
        <v>0.14499555572744749</v>
      </c>
    </row>
    <row r="14" spans="1:11">
      <c r="A14" s="180" t="s">
        <v>181</v>
      </c>
      <c r="B14" s="152"/>
      <c r="C14" s="158">
        <v>429</v>
      </c>
      <c r="D14" s="194"/>
      <c r="E14" s="182">
        <v>920654.71799999988</v>
      </c>
      <c r="F14" s="182"/>
      <c r="G14" s="182"/>
      <c r="H14" s="189"/>
      <c r="I14" s="159">
        <f t="shared" si="3"/>
        <v>920654.71799999988</v>
      </c>
      <c r="J14" s="370">
        <f>I14/C14</f>
        <v>2146.0482937062934</v>
      </c>
      <c r="K14" s="341">
        <f>I34/I14</f>
        <v>0.60880725318783424</v>
      </c>
    </row>
    <row r="15" spans="1:11">
      <c r="A15" s="180" t="s">
        <v>182</v>
      </c>
      <c r="B15" s="152"/>
      <c r="C15" s="158"/>
      <c r="D15" s="194"/>
      <c r="E15" s="182">
        <v>401873.58100000001</v>
      </c>
      <c r="F15" s="182"/>
      <c r="G15" s="182"/>
      <c r="H15" s="189">
        <f t="shared" si="2"/>
        <v>0</v>
      </c>
      <c r="I15" s="159">
        <f t="shared" si="3"/>
        <v>401873.58100000001</v>
      </c>
      <c r="J15" s="282"/>
    </row>
    <row r="16" spans="1:11">
      <c r="A16" s="180" t="s">
        <v>183</v>
      </c>
      <c r="B16" s="152"/>
      <c r="C16" s="158"/>
      <c r="D16" s="195"/>
      <c r="E16" s="182">
        <v>212307.56299999999</v>
      </c>
      <c r="F16" s="182"/>
      <c r="G16" s="182"/>
      <c r="H16" s="189">
        <f t="shared" si="2"/>
        <v>0</v>
      </c>
      <c r="I16" s="159">
        <f t="shared" si="3"/>
        <v>212307.56299999999</v>
      </c>
      <c r="J16" s="282"/>
    </row>
    <row r="17" spans="1:31">
      <c r="A17" s="152"/>
      <c r="B17" s="152"/>
      <c r="C17" s="160">
        <f>SUM(C3:C16)</f>
        <v>256368</v>
      </c>
      <c r="E17" s="160">
        <f>SUM(E3:E16)</f>
        <v>409388557.17499995</v>
      </c>
      <c r="F17" s="160">
        <f>SUM(F3:F16)</f>
        <v>-237418718</v>
      </c>
      <c r="G17" s="160">
        <f>SUM(G3:G16)</f>
        <v>267642791</v>
      </c>
      <c r="H17" s="160">
        <f>SUM(H3:H16)</f>
        <v>30224073</v>
      </c>
      <c r="I17" s="160">
        <f>SUM(I3:I16)</f>
        <v>439612630.17499995</v>
      </c>
    </row>
    <row r="18" spans="1:31" ht="14.4" thickBot="1">
      <c r="A18" s="152"/>
      <c r="B18" s="152"/>
      <c r="C18" s="152"/>
      <c r="E18" s="152"/>
      <c r="F18" s="152"/>
      <c r="G18" s="152"/>
      <c r="I18" s="152"/>
    </row>
    <row r="19" spans="1:31">
      <c r="A19" s="152" t="s">
        <v>19</v>
      </c>
      <c r="B19" s="152"/>
      <c r="C19" s="161">
        <f>C3+C4</f>
        <v>218388</v>
      </c>
      <c r="E19" s="162">
        <f>E3+E4</f>
        <v>149412587.058</v>
      </c>
      <c r="F19" s="162">
        <f>F3+F4</f>
        <v>-71553349</v>
      </c>
      <c r="G19" s="162">
        <f>G3+G4</f>
        <v>82324910</v>
      </c>
      <c r="H19" s="162">
        <f>H3+H4</f>
        <v>10771561</v>
      </c>
      <c r="I19" s="161">
        <f>I3+I4</f>
        <v>160184148.058</v>
      </c>
    </row>
    <row r="20" spans="1:31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31" ht="14.4" thickBot="1">
      <c r="A21" s="152" t="s">
        <v>184</v>
      </c>
      <c r="B21" s="152"/>
      <c r="C21" s="177">
        <f>SUM(C5:C8,C11:C13)</f>
        <v>37528</v>
      </c>
      <c r="E21" s="178">
        <f>SUM(E5:E8,E11:E13)</f>
        <v>169029780.55400002</v>
      </c>
      <c r="F21" s="178">
        <f>SUM(F5:F8,F11:F13)</f>
        <v>-75931795</v>
      </c>
      <c r="G21" s="178">
        <f>SUM(G5:G8,G11:G13)</f>
        <v>90015938</v>
      </c>
      <c r="H21" s="178">
        <f>SUM(H5:H8,H11:H13)</f>
        <v>14084143</v>
      </c>
      <c r="I21" s="177">
        <f>SUM(I5:I8,I11:I13)</f>
        <v>183113923.55400002</v>
      </c>
      <c r="Z21" s="1" t="s">
        <v>380</v>
      </c>
    </row>
    <row r="22" spans="1:31">
      <c r="A22" s="152"/>
      <c r="B22" s="152"/>
      <c r="C22" s="152"/>
      <c r="D22" s="152"/>
      <c r="E22" s="152"/>
      <c r="M22" s="1" t="s">
        <v>234</v>
      </c>
      <c r="Z22" s="1" t="s">
        <v>235</v>
      </c>
      <c r="AA22" s="343" t="s">
        <v>299</v>
      </c>
      <c r="AC22" s="1" t="s">
        <v>237</v>
      </c>
      <c r="AD22" s="343" t="s">
        <v>298</v>
      </c>
    </row>
    <row r="23" spans="1:31" ht="53.4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  <c r="O23" s="344" t="str">
        <f>AA22&amp;" Billed Schedule 75 Revenue"</f>
        <v>October Billed Schedule 75 Revenue</v>
      </c>
      <c r="P23" s="344" t="str">
        <f>AA22&amp;" Billed kWhs"</f>
        <v>October Billed kWhs</v>
      </c>
      <c r="Q23" s="344" t="str">
        <f>AA22&amp;" Unbilled kWhs"</f>
        <v>October Unbilled kWhs</v>
      </c>
      <c r="R23" s="344" t="s">
        <v>238</v>
      </c>
      <c r="S23" s="344" t="s">
        <v>239</v>
      </c>
      <c r="T23" s="344" t="str">
        <f>AD22&amp;" Unbilled kWhs reversal"</f>
        <v>September Unbilled kWhs reversal</v>
      </c>
      <c r="U23" s="344" t="s">
        <v>238</v>
      </c>
      <c r="V23" s="344" t="str">
        <f>AD22&amp;" Schedule 75 Unbilled Reversal"</f>
        <v>September Schedule 75 Unbilled Reversal</v>
      </c>
      <c r="X23" s="344" t="str">
        <f>"Total "&amp;AA22&amp;" Schedule 75 Revenue"</f>
        <v>Total October Schedule 75 Revenue</v>
      </c>
      <c r="Z23" s="344" t="str">
        <f>"Calendar "&amp;AA22&amp;" Usage"</f>
        <v>Calendar October Usage</v>
      </c>
      <c r="AA23" s="344" t="str">
        <f>R23</f>
        <v>11/1/2017 rate</v>
      </c>
      <c r="AB23" s="344" t="s">
        <v>240</v>
      </c>
      <c r="AC23" s="344" t="s">
        <v>241</v>
      </c>
      <c r="AD23" s="344" t="str">
        <f>"implied "&amp;AD22&amp;" unbilled/Cancel-Rebill True-up kWhs"</f>
        <v>implied September unbilled/Cancel-Rebill True-up kWhs</v>
      </c>
    </row>
    <row r="24" spans="1:31">
      <c r="A24" s="180" t="s">
        <v>131</v>
      </c>
      <c r="B24" s="152"/>
      <c r="C24" s="181">
        <v>2013336.5</v>
      </c>
      <c r="D24" s="181">
        <v>13670236.380000001</v>
      </c>
      <c r="E24" s="183">
        <v>-7160987</v>
      </c>
      <c r="F24" s="183">
        <v>8032789</v>
      </c>
      <c r="G24" s="174">
        <f>SUM(D24:F24)</f>
        <v>14542038.380000001</v>
      </c>
      <c r="H24" s="174">
        <f>-K62</f>
        <v>-86120.349920000008</v>
      </c>
      <c r="I24" s="174">
        <f>SUM(G24:H24)</f>
        <v>14455918.03008</v>
      </c>
      <c r="M24" s="1" t="s">
        <v>242</v>
      </c>
      <c r="O24" s="368">
        <v>663614.48</v>
      </c>
      <c r="P24" s="345">
        <f t="shared" ref="P24:P29" si="4">E3</f>
        <v>149120500.433</v>
      </c>
      <c r="Q24" s="345">
        <f t="shared" ref="Q24:Q29" si="5">G3</f>
        <v>82163972</v>
      </c>
      <c r="R24" s="346">
        <v>4.45E-3</v>
      </c>
      <c r="S24" s="347">
        <f>Q24*R24</f>
        <v>365629.67540000001</v>
      </c>
      <c r="T24" s="345">
        <f t="shared" ref="T24:T29" si="6">F3</f>
        <v>-71433400</v>
      </c>
      <c r="U24" s="346">
        <v>4.45E-3</v>
      </c>
      <c r="V24" s="348">
        <f>T24*U24</f>
        <v>-317878.63</v>
      </c>
      <c r="X24" s="349">
        <f>O24+S24+V24</f>
        <v>711365.52540000004</v>
      </c>
      <c r="Z24" s="350">
        <f>P24+Q24+T24</f>
        <v>159851072.433</v>
      </c>
      <c r="AA24" s="194">
        <f>R24</f>
        <v>4.45E-3</v>
      </c>
      <c r="AB24" s="283">
        <f>Z24*AA24</f>
        <v>711337.27232684998</v>
      </c>
      <c r="AC24" s="349">
        <f>X24-AB24</f>
        <v>28.253073150059208</v>
      </c>
      <c r="AD24" s="350">
        <f>AC24/AA24</f>
        <v>6349.0052022604959</v>
      </c>
      <c r="AE24" s="351">
        <f>AC24/X24</f>
        <v>3.9716674678847469E-5</v>
      </c>
    </row>
    <row r="25" spans="1:31">
      <c r="A25" s="180" t="s">
        <v>178</v>
      </c>
      <c r="B25" s="152"/>
      <c r="C25" s="181">
        <v>3662.5</v>
      </c>
      <c r="D25" s="181">
        <v>26476.3</v>
      </c>
      <c r="E25" s="183">
        <v>-8415</v>
      </c>
      <c r="F25" s="183">
        <v>10512</v>
      </c>
      <c r="G25" s="174">
        <f t="shared" ref="G25:G33" si="7">SUM(D25:F25)</f>
        <v>28573.3</v>
      </c>
      <c r="H25" s="174">
        <f t="shared" ref="H25:H30" si="8">-K63</f>
        <v>978.70923000000005</v>
      </c>
      <c r="I25" s="174">
        <f t="shared" ref="I25:I34" si="9">SUM(G25:H25)</f>
        <v>29552.00923</v>
      </c>
      <c r="M25" s="1" t="s">
        <v>243</v>
      </c>
      <c r="O25" s="368">
        <v>1299.9000000000001</v>
      </c>
      <c r="P25" s="345">
        <f t="shared" si="4"/>
        <v>292086.625</v>
      </c>
      <c r="Q25" s="345">
        <f t="shared" si="5"/>
        <v>160938</v>
      </c>
      <c r="R25" s="346">
        <v>4.45E-3</v>
      </c>
      <c r="S25" s="347">
        <f>Q25*R25</f>
        <v>716.17409999999995</v>
      </c>
      <c r="T25" s="345">
        <f t="shared" si="6"/>
        <v>-119949</v>
      </c>
      <c r="U25" s="346">
        <v>4.45E-3</v>
      </c>
      <c r="V25" s="348">
        <f t="shared" ref="V25:V32" si="10">T25*U25</f>
        <v>-533.77305000000001</v>
      </c>
      <c r="X25" s="349">
        <f t="shared" ref="X25:X32" si="11">O25+S25+V25</f>
        <v>1482.30105</v>
      </c>
      <c r="Z25" s="350">
        <f t="shared" ref="Z25:Z32" si="12">P25+Q25+T25</f>
        <v>333075.625</v>
      </c>
      <c r="AA25" s="194">
        <f t="shared" ref="AA25:AA32" si="13">R25</f>
        <v>4.45E-3</v>
      </c>
      <c r="AB25" s="283">
        <f t="shared" ref="AB25:AB32" si="14">Z25*AA25</f>
        <v>1482.1865312499999</v>
      </c>
      <c r="AC25" s="349">
        <f t="shared" ref="AC25:AC32" si="15">X25-AB25</f>
        <v>0.11451875000011569</v>
      </c>
      <c r="AD25" s="350">
        <f t="shared" ref="AD25:AD32" si="16">AC25/AA25</f>
        <v>25.734550561823749</v>
      </c>
      <c r="AE25" s="351">
        <f t="shared" ref="AE25:AE33" si="17">AC25/X25</f>
        <v>7.7257416771117911E-5</v>
      </c>
    </row>
    <row r="26" spans="1:31">
      <c r="A26" s="180" t="s">
        <v>132</v>
      </c>
      <c r="B26" s="152"/>
      <c r="C26" s="181">
        <v>476228.03</v>
      </c>
      <c r="D26" s="181">
        <v>5066508.05</v>
      </c>
      <c r="E26" s="183">
        <v>-2301471</v>
      </c>
      <c r="F26" s="183">
        <v>2767968</v>
      </c>
      <c r="G26" s="174">
        <f t="shared" si="7"/>
        <v>5533005.0499999998</v>
      </c>
      <c r="H26" s="174">
        <f t="shared" si="8"/>
        <v>-24608.075950000006</v>
      </c>
      <c r="I26" s="174">
        <f t="shared" si="9"/>
        <v>5508396.9740499994</v>
      </c>
      <c r="M26" s="1" t="s">
        <v>244</v>
      </c>
      <c r="O26" s="368">
        <v>16703.509999999998</v>
      </c>
      <c r="P26" s="345">
        <f t="shared" si="4"/>
        <v>41762126.43</v>
      </c>
      <c r="Q26" s="345">
        <f t="shared" si="5"/>
        <v>22887083</v>
      </c>
      <c r="R26" s="352">
        <v>4.0000000000000002E-4</v>
      </c>
      <c r="S26" s="347">
        <f>Q26*R26</f>
        <v>9154.8332000000009</v>
      </c>
      <c r="T26" s="345">
        <f t="shared" si="6"/>
        <v>-19139293</v>
      </c>
      <c r="U26" s="352">
        <v>4.0000000000000002E-4</v>
      </c>
      <c r="V26" s="348">
        <f t="shared" si="10"/>
        <v>-7655.7172</v>
      </c>
      <c r="X26" s="349">
        <f t="shared" si="11"/>
        <v>18202.626</v>
      </c>
      <c r="Z26" s="350">
        <f t="shared" si="12"/>
        <v>45509916.43</v>
      </c>
      <c r="AA26" s="353">
        <f t="shared" si="13"/>
        <v>4.0000000000000002E-4</v>
      </c>
      <c r="AB26" s="283">
        <f t="shared" si="14"/>
        <v>18203.966572000001</v>
      </c>
      <c r="AC26" s="349">
        <f t="shared" si="15"/>
        <v>-1.3405720000009751</v>
      </c>
      <c r="AD26" s="350">
        <f t="shared" si="16"/>
        <v>-3351.4300000024377</v>
      </c>
      <c r="AE26" s="351">
        <f t="shared" si="17"/>
        <v>-7.3647175962466909E-5</v>
      </c>
    </row>
    <row r="27" spans="1:31">
      <c r="A27" s="180" t="s">
        <v>133</v>
      </c>
      <c r="B27" s="152"/>
      <c r="C27" s="181">
        <v>195797.76000000001</v>
      </c>
      <c r="D27" s="181">
        <v>627726.36</v>
      </c>
      <c r="E27" s="183">
        <v>-295992</v>
      </c>
      <c r="F27" s="183">
        <v>353185</v>
      </c>
      <c r="G27" s="174">
        <f t="shared" si="7"/>
        <v>684919.36</v>
      </c>
      <c r="H27" s="174">
        <f t="shared" si="8"/>
        <v>-2403.4273600000001</v>
      </c>
      <c r="I27" s="174">
        <f t="shared" si="9"/>
        <v>682515.93264000001</v>
      </c>
      <c r="M27" s="1" t="s">
        <v>245</v>
      </c>
      <c r="O27" s="368">
        <v>1550.88</v>
      </c>
      <c r="P27" s="345">
        <f t="shared" si="4"/>
        <v>3879774.2489999998</v>
      </c>
      <c r="Q27" s="345">
        <f t="shared" si="5"/>
        <v>2137728</v>
      </c>
      <c r="R27" s="352">
        <v>4.0000000000000002E-4</v>
      </c>
      <c r="S27" s="347">
        <f t="shared" ref="S27:S32" si="18">Q27*R27</f>
        <v>855.09120000000007</v>
      </c>
      <c r="T27" s="345">
        <f t="shared" si="6"/>
        <v>-1707404</v>
      </c>
      <c r="U27" s="352">
        <v>4.0000000000000002E-4</v>
      </c>
      <c r="V27" s="348">
        <f t="shared" si="10"/>
        <v>-682.96160000000009</v>
      </c>
      <c r="X27" s="349">
        <f t="shared" si="11"/>
        <v>1723.0095999999999</v>
      </c>
      <c r="Z27" s="350">
        <f t="shared" si="12"/>
        <v>4310098.2489999998</v>
      </c>
      <c r="AA27" s="353">
        <f t="shared" si="13"/>
        <v>4.0000000000000002E-4</v>
      </c>
      <c r="AB27" s="283">
        <f t="shared" si="14"/>
        <v>1724.0392996</v>
      </c>
      <c r="AC27" s="349">
        <f t="shared" si="15"/>
        <v>-1.0296996000001855</v>
      </c>
      <c r="AD27" s="350">
        <f t="shared" si="16"/>
        <v>-2574.2490000004636</v>
      </c>
      <c r="AE27" s="351">
        <f t="shared" si="17"/>
        <v>-5.9761686760200611E-4</v>
      </c>
    </row>
    <row r="28" spans="1:31">
      <c r="A28" s="180" t="s">
        <v>134</v>
      </c>
      <c r="B28" s="152"/>
      <c r="C28" s="181">
        <v>950373.3</v>
      </c>
      <c r="D28" s="181">
        <v>10076291.74</v>
      </c>
      <c r="E28" s="183">
        <v>-4029997</v>
      </c>
      <c r="F28" s="183">
        <v>4942171</v>
      </c>
      <c r="G28" s="174">
        <f t="shared" si="7"/>
        <v>10988465.74</v>
      </c>
      <c r="H28" s="174">
        <f t="shared" si="8"/>
        <v>-56007.563920000001</v>
      </c>
      <c r="I28" s="174">
        <f t="shared" si="9"/>
        <v>10932458.17608</v>
      </c>
      <c r="M28" s="1" t="s">
        <v>246</v>
      </c>
      <c r="O28" s="368">
        <v>43266.45</v>
      </c>
      <c r="P28" s="345">
        <f t="shared" si="4"/>
        <v>108166165.94400001</v>
      </c>
      <c r="Q28" s="345">
        <f t="shared" si="5"/>
        <v>59213692</v>
      </c>
      <c r="R28" s="352">
        <v>4.0000000000000002E-4</v>
      </c>
      <c r="S28" s="347">
        <f t="shared" si="18"/>
        <v>23685.4768</v>
      </c>
      <c r="T28" s="345">
        <f t="shared" si="6"/>
        <v>-47703446</v>
      </c>
      <c r="U28" s="352">
        <v>4.0000000000000002E-4</v>
      </c>
      <c r="V28" s="348">
        <f t="shared" si="10"/>
        <v>-19081.378400000001</v>
      </c>
      <c r="X28" s="349">
        <f t="shared" si="11"/>
        <v>47870.5484</v>
      </c>
      <c r="Z28" s="350">
        <f t="shared" si="12"/>
        <v>119676411.94400001</v>
      </c>
      <c r="AA28" s="353">
        <f t="shared" si="13"/>
        <v>4.0000000000000002E-4</v>
      </c>
      <c r="AB28" s="283">
        <f t="shared" si="14"/>
        <v>47870.564777600004</v>
      </c>
      <c r="AC28" s="349">
        <f t="shared" si="15"/>
        <v>-1.6377600004489068E-2</v>
      </c>
      <c r="AD28" s="350">
        <f t="shared" si="16"/>
        <v>-40.94400001122267</v>
      </c>
      <c r="AE28" s="351">
        <f t="shared" si="17"/>
        <v>-3.4212267358293035E-7</v>
      </c>
    </row>
    <row r="29" spans="1:31">
      <c r="A29" s="180" t="s">
        <v>135</v>
      </c>
      <c r="B29" s="152"/>
      <c r="C29" s="181">
        <v>24700</v>
      </c>
      <c r="D29" s="181">
        <v>211555.02</v>
      </c>
      <c r="E29" s="183">
        <v>-92924</v>
      </c>
      <c r="F29" s="183">
        <v>107570</v>
      </c>
      <c r="G29" s="174">
        <f t="shared" si="7"/>
        <v>226201.02</v>
      </c>
      <c r="H29" s="174">
        <f t="shared" si="8"/>
        <v>-793.85495999999966</v>
      </c>
      <c r="I29" s="174">
        <f t="shared" si="9"/>
        <v>225407.16503999999</v>
      </c>
      <c r="M29" s="1" t="s">
        <v>247</v>
      </c>
      <c r="O29" s="368">
        <v>912.81</v>
      </c>
      <c r="P29" s="345">
        <f t="shared" si="4"/>
        <v>2282010</v>
      </c>
      <c r="Q29" s="345">
        <f t="shared" si="5"/>
        <v>1257371</v>
      </c>
      <c r="R29" s="352">
        <v>4.0000000000000002E-4</v>
      </c>
      <c r="S29" s="347">
        <f t="shared" si="18"/>
        <v>502.94840000000005</v>
      </c>
      <c r="T29" s="345">
        <f t="shared" si="6"/>
        <v>-1069536</v>
      </c>
      <c r="U29" s="352">
        <v>4.0000000000000002E-4</v>
      </c>
      <c r="V29" s="348">
        <f t="shared" si="10"/>
        <v>-427.81440000000003</v>
      </c>
      <c r="X29" s="349">
        <f t="shared" si="11"/>
        <v>987.94399999999996</v>
      </c>
      <c r="Z29" s="350">
        <f t="shared" si="12"/>
        <v>2469845</v>
      </c>
      <c r="AA29" s="353">
        <f t="shared" si="13"/>
        <v>4.0000000000000002E-4</v>
      </c>
      <c r="AB29" s="283">
        <f t="shared" si="14"/>
        <v>987.9380000000001</v>
      </c>
      <c r="AC29" s="349">
        <f t="shared" si="15"/>
        <v>5.9999999998581188E-3</v>
      </c>
      <c r="AD29" s="350">
        <f t="shared" si="16"/>
        <v>14.999999999645297</v>
      </c>
      <c r="AE29" s="351">
        <f t="shared" si="17"/>
        <v>6.0732187248043606E-6</v>
      </c>
    </row>
    <row r="30" spans="1:31">
      <c r="A30" s="180" t="s">
        <v>136</v>
      </c>
      <c r="B30" s="152"/>
      <c r="C30" s="181">
        <v>552000</v>
      </c>
      <c r="D30" s="181">
        <f>5502132.06-84225.37</f>
        <v>5417906.6899999995</v>
      </c>
      <c r="E30" s="183">
        <v>-5790051</v>
      </c>
      <c r="F30" s="183">
        <v>6000627</v>
      </c>
      <c r="G30" s="174">
        <f t="shared" si="7"/>
        <v>5628482.6899999995</v>
      </c>
      <c r="H30" s="174">
        <f t="shared" si="8"/>
        <v>-16997.854230000004</v>
      </c>
      <c r="I30" s="174">
        <f t="shared" si="9"/>
        <v>5611484.8357699998</v>
      </c>
      <c r="J30" s="283"/>
      <c r="M30" s="1" t="s">
        <v>248</v>
      </c>
      <c r="O30" s="368">
        <v>1192.97</v>
      </c>
      <c r="P30" s="345">
        <f>E11</f>
        <v>2982402.3650000002</v>
      </c>
      <c r="Q30" s="345">
        <f>G11</f>
        <v>0</v>
      </c>
      <c r="R30" s="352">
        <v>4.0000000000000002E-4</v>
      </c>
      <c r="S30" s="347">
        <f t="shared" si="18"/>
        <v>0</v>
      </c>
      <c r="T30" s="345">
        <f>F11</f>
        <v>0</v>
      </c>
      <c r="U30" s="352">
        <v>4.0000000000000002E-4</v>
      </c>
      <c r="V30" s="348">
        <f t="shared" si="10"/>
        <v>0</v>
      </c>
      <c r="X30" s="349">
        <f t="shared" si="11"/>
        <v>1192.97</v>
      </c>
      <c r="Z30" s="350">
        <f t="shared" si="12"/>
        <v>2982402.3650000002</v>
      </c>
      <c r="AA30" s="353">
        <f t="shared" si="13"/>
        <v>4.0000000000000002E-4</v>
      </c>
      <c r="AB30" s="283">
        <f t="shared" si="14"/>
        <v>1192.9609460000001</v>
      </c>
      <c r="AC30" s="349">
        <f t="shared" si="15"/>
        <v>9.053999999878215E-3</v>
      </c>
      <c r="AD30" s="350">
        <f t="shared" si="16"/>
        <v>22.634999999695538</v>
      </c>
      <c r="AE30" s="351">
        <f t="shared" si="17"/>
        <v>7.5894615957469294E-6</v>
      </c>
    </row>
    <row r="31" spans="1:31">
      <c r="A31" s="180" t="s">
        <v>180</v>
      </c>
      <c r="B31" s="152"/>
      <c r="C31" s="181">
        <v>1040</v>
      </c>
      <c r="D31" s="181">
        <v>207899.29</v>
      </c>
      <c r="E31" s="183">
        <v>0</v>
      </c>
      <c r="F31" s="183">
        <v>0</v>
      </c>
      <c r="G31" s="174">
        <f t="shared" si="7"/>
        <v>207899.29</v>
      </c>
      <c r="H31" s="174">
        <f>-K69</f>
        <v>0</v>
      </c>
      <c r="I31" s="174">
        <f t="shared" si="9"/>
        <v>207899.29</v>
      </c>
      <c r="M31" s="1" t="s">
        <v>249</v>
      </c>
      <c r="O31" s="368">
        <v>3731.88</v>
      </c>
      <c r="P31" s="345">
        <f>E12</f>
        <v>9329693.4230000004</v>
      </c>
      <c r="Q31" s="345">
        <f>G12</f>
        <v>4288578</v>
      </c>
      <c r="R31" s="352">
        <v>4.0000000000000002E-4</v>
      </c>
      <c r="S31" s="347">
        <f t="shared" si="18"/>
        <v>1715.4312</v>
      </c>
      <c r="T31" s="345">
        <f>F12</f>
        <v>-5938288</v>
      </c>
      <c r="U31" s="352">
        <v>4.0000000000000002E-4</v>
      </c>
      <c r="V31" s="348">
        <f t="shared" si="10"/>
        <v>-2375.3152</v>
      </c>
      <c r="X31" s="349">
        <f>O31+S31+V31</f>
        <v>3071.9960000000001</v>
      </c>
      <c r="Z31" s="350">
        <f t="shared" si="12"/>
        <v>7679983.4230000004</v>
      </c>
      <c r="AA31" s="353">
        <f t="shared" si="13"/>
        <v>4.0000000000000002E-4</v>
      </c>
      <c r="AB31" s="283">
        <f t="shared" si="14"/>
        <v>3071.9933692000004</v>
      </c>
      <c r="AC31" s="349">
        <f t="shared" si="15"/>
        <v>2.6307999996788567E-3</v>
      </c>
      <c r="AD31" s="350">
        <f t="shared" si="16"/>
        <v>6.5769999991971417</v>
      </c>
      <c r="AE31" s="351">
        <f t="shared" si="17"/>
        <v>8.5638132330864248E-7</v>
      </c>
    </row>
    <row r="32" spans="1:31">
      <c r="A32" s="180" t="s">
        <v>137</v>
      </c>
      <c r="B32" s="152"/>
      <c r="C32" s="181">
        <v>24740</v>
      </c>
      <c r="D32" s="181">
        <v>789358.41</v>
      </c>
      <c r="E32" s="183">
        <v>-355569</v>
      </c>
      <c r="F32" s="183">
        <v>263201</v>
      </c>
      <c r="G32" s="174">
        <f t="shared" si="7"/>
        <v>696990.41</v>
      </c>
      <c r="H32" s="174">
        <f>-K70</f>
        <v>6245.8621799999992</v>
      </c>
      <c r="I32" s="174">
        <f t="shared" si="9"/>
        <v>703236.27218000009</v>
      </c>
      <c r="M32" s="1" t="s">
        <v>250</v>
      </c>
      <c r="O32" s="368">
        <v>250.85</v>
      </c>
      <c r="P32" s="345">
        <f>E13</f>
        <v>627608.14300000004</v>
      </c>
      <c r="Q32" s="345">
        <f>G13</f>
        <v>231486</v>
      </c>
      <c r="R32" s="352">
        <v>4.0000000000000002E-4</v>
      </c>
      <c r="S32" s="347">
        <f t="shared" si="18"/>
        <v>92.594400000000007</v>
      </c>
      <c r="T32" s="345">
        <f>F13</f>
        <v>-373828</v>
      </c>
      <c r="U32" s="352">
        <v>4.0000000000000002E-4</v>
      </c>
      <c r="V32" s="348">
        <f t="shared" si="10"/>
        <v>-149.53120000000001</v>
      </c>
      <c r="X32" s="349">
        <f t="shared" si="11"/>
        <v>193.91319999999996</v>
      </c>
      <c r="Z32" s="350">
        <f t="shared" si="12"/>
        <v>485266.14300000004</v>
      </c>
      <c r="AA32" s="353">
        <f t="shared" si="13"/>
        <v>4.0000000000000002E-4</v>
      </c>
      <c r="AB32" s="283">
        <f t="shared" si="14"/>
        <v>194.10645720000002</v>
      </c>
      <c r="AC32" s="349">
        <f t="shared" si="15"/>
        <v>-0.19325720000006186</v>
      </c>
      <c r="AD32" s="350">
        <f t="shared" si="16"/>
        <v>-483.14300000015464</v>
      </c>
      <c r="AE32" s="351">
        <f t="shared" si="17"/>
        <v>-9.966170430897015E-4</v>
      </c>
    </row>
    <row r="33" spans="1:31">
      <c r="A33" s="180" t="s">
        <v>138</v>
      </c>
      <c r="B33" s="152"/>
      <c r="C33" s="181">
        <v>24680</v>
      </c>
      <c r="D33" s="181">
        <v>79943.350000000006</v>
      </c>
      <c r="E33" s="183">
        <v>-42268</v>
      </c>
      <c r="F33" s="183">
        <v>32250</v>
      </c>
      <c r="G33" s="174">
        <f t="shared" si="7"/>
        <v>69925.350000000006</v>
      </c>
      <c r="H33" s="174">
        <f>-K71</f>
        <v>436.08407999999997</v>
      </c>
      <c r="I33" s="174">
        <f t="shared" si="9"/>
        <v>70361.434080000006</v>
      </c>
      <c r="O33" s="193">
        <f>SUM(O24:O32)</f>
        <v>732523.73</v>
      </c>
      <c r="P33" s="354">
        <f>SUM(P24:P32)</f>
        <v>318442367.61199999</v>
      </c>
      <c r="Q33" s="354">
        <f>SUM(Q24:Q32)</f>
        <v>172340848</v>
      </c>
      <c r="S33" s="193">
        <f>SUM(S24:S32)</f>
        <v>402352.22470000002</v>
      </c>
      <c r="T33" s="354">
        <f>SUM(T24:T32)</f>
        <v>-147485144</v>
      </c>
      <c r="V33" s="193">
        <f>SUM(V24:V32)</f>
        <v>-348785.12105000002</v>
      </c>
      <c r="X33" s="193">
        <f>SUM(X24:X32)</f>
        <v>786090.83365000004</v>
      </c>
      <c r="Z33" s="354">
        <f>SUM(Z24:Z32)</f>
        <v>343298071.61199999</v>
      </c>
      <c r="AB33" s="354">
        <f>SUM(AB24:AB32)</f>
        <v>786065.02827969985</v>
      </c>
      <c r="AC33" s="193">
        <f>SUM(AC24:AC32)</f>
        <v>25.805370300053028</v>
      </c>
      <c r="AD33" s="354">
        <f>SUM(AD24:AD32)</f>
        <v>-30.81424719342067</v>
      </c>
      <c r="AE33" s="351">
        <f t="shared" si="17"/>
        <v>3.2827466235972724E-5</v>
      </c>
    </row>
    <row r="34" spans="1:31">
      <c r="A34" s="180" t="s">
        <v>192</v>
      </c>
      <c r="B34" s="152"/>
      <c r="C34" s="174"/>
      <c r="D34" s="181">
        <v>560501.27</v>
      </c>
      <c r="E34" s="181"/>
      <c r="F34" s="181"/>
      <c r="G34" s="174">
        <f>SUM(D34:F34)</f>
        <v>560501.27</v>
      </c>
      <c r="H34" s="174"/>
      <c r="I34" s="174">
        <f t="shared" si="9"/>
        <v>560501.27</v>
      </c>
      <c r="U34" s="355"/>
    </row>
    <row r="35" spans="1:31">
      <c r="A35" s="180" t="s">
        <v>193</v>
      </c>
      <c r="B35" s="152"/>
      <c r="C35" s="194"/>
      <c r="D35" s="181">
        <v>2086704.03</v>
      </c>
      <c r="E35" s="181"/>
      <c r="F35" s="181"/>
      <c r="G35" s="174"/>
      <c r="H35" s="174"/>
      <c r="I35" s="174"/>
      <c r="U35" s="355" t="s">
        <v>251</v>
      </c>
      <c r="V35" s="1" t="s">
        <v>252</v>
      </c>
      <c r="X35" s="194">
        <v>0.95332300000000003</v>
      </c>
      <c r="AA35" s="1" t="s">
        <v>253</v>
      </c>
      <c r="AB35" s="1" t="s">
        <v>254</v>
      </c>
      <c r="AD35" s="1" t="s">
        <v>255</v>
      </c>
    </row>
    <row r="36" spans="1:31">
      <c r="A36" s="180" t="s">
        <v>194</v>
      </c>
      <c r="B36" s="152"/>
      <c r="C36" s="194"/>
      <c r="D36" s="181">
        <v>1446917.46</v>
      </c>
      <c r="E36" s="181"/>
      <c r="F36" s="181"/>
      <c r="G36" s="174"/>
      <c r="H36" s="174"/>
      <c r="I36" s="174"/>
      <c r="T36" s="1" t="s">
        <v>142</v>
      </c>
      <c r="U36" s="1" t="s">
        <v>256</v>
      </c>
      <c r="X36" s="356">
        <f>(X24+X25)*X35</f>
        <v>679574.22845479345</v>
      </c>
      <c r="Z36" s="1" t="s">
        <v>19</v>
      </c>
      <c r="AA36" s="189">
        <f>P24+P25+Q24+Q25+T24+T25</f>
        <v>160184148.058</v>
      </c>
      <c r="AB36" s="194">
        <v>4.2399999999999998E-3</v>
      </c>
      <c r="AC36" s="349">
        <f>AA36*AB36</f>
        <v>679180.78776591993</v>
      </c>
      <c r="AD36" s="349">
        <f>X36-AC36</f>
        <v>393.44068887352478</v>
      </c>
      <c r="AE36" s="351">
        <f>AD36/X36</f>
        <v>5.7895175008052446E-4</v>
      </c>
    </row>
    <row r="37" spans="1:31">
      <c r="A37" s="152"/>
      <c r="B37" s="152"/>
      <c r="C37" s="166">
        <f t="shared" ref="C37:I37" si="19">SUM(C24:C36)</f>
        <v>4266558.09</v>
      </c>
      <c r="D37" s="166">
        <f t="shared" si="19"/>
        <v>40268024.350000001</v>
      </c>
      <c r="E37" s="166">
        <f t="shared" si="19"/>
        <v>-20077674</v>
      </c>
      <c r="F37" s="166">
        <f t="shared" si="19"/>
        <v>22510273</v>
      </c>
      <c r="G37" s="166">
        <f t="shared" si="19"/>
        <v>39167001.859999999</v>
      </c>
      <c r="H37" s="166">
        <f t="shared" si="19"/>
        <v>-179270.47085000001</v>
      </c>
      <c r="I37" s="166">
        <f t="shared" si="19"/>
        <v>38987731.389150001</v>
      </c>
      <c r="T37" s="1" t="s">
        <v>142</v>
      </c>
      <c r="U37" s="1" t="s">
        <v>257</v>
      </c>
      <c r="X37" s="356">
        <f>SUM(X26:X32)*X35</f>
        <v>69824.243352925609</v>
      </c>
      <c r="Z37" s="1" t="s">
        <v>184</v>
      </c>
      <c r="AA37" s="189">
        <f>SUM(P26:Q32,T26:T32)</f>
        <v>183113923.55400005</v>
      </c>
      <c r="AB37" s="194">
        <v>3.8000000000000002E-4</v>
      </c>
      <c r="AC37" s="349">
        <f>AA37*AB37</f>
        <v>69583.290950520022</v>
      </c>
      <c r="AD37" s="349">
        <f>X37-AC37</f>
        <v>240.95240240558633</v>
      </c>
      <c r="AE37" s="351">
        <f>AD37/X37</f>
        <v>3.4508415821664683E-3</v>
      </c>
    </row>
    <row r="38" spans="1:31" ht="14.4" thickBot="1">
      <c r="A38" s="152"/>
      <c r="B38" s="152"/>
      <c r="D38" s="167"/>
      <c r="E38" s="152"/>
      <c r="F38" s="152"/>
      <c r="Z38" s="1" t="s">
        <v>236</v>
      </c>
    </row>
    <row r="39" spans="1:31">
      <c r="A39" s="152" t="s">
        <v>19</v>
      </c>
      <c r="B39" s="152"/>
      <c r="C39" s="169">
        <f t="shared" ref="C39:I39" si="20">C24+C25</f>
        <v>2016999</v>
      </c>
      <c r="D39" s="168">
        <f t="shared" si="20"/>
        <v>13696712.680000002</v>
      </c>
      <c r="E39" s="168">
        <f t="shared" si="20"/>
        <v>-7169402</v>
      </c>
      <c r="F39" s="168">
        <f t="shared" si="20"/>
        <v>8043301</v>
      </c>
      <c r="G39" s="168">
        <f t="shared" si="20"/>
        <v>14570611.680000002</v>
      </c>
      <c r="H39" s="168">
        <f t="shared" si="20"/>
        <v>-85141.640690000015</v>
      </c>
      <c r="I39" s="169">
        <f t="shared" si="20"/>
        <v>14485470.039310001</v>
      </c>
    </row>
    <row r="40" spans="1:31" ht="6" customHeight="1">
      <c r="A40" s="152"/>
      <c r="B40" s="152"/>
      <c r="C40" s="173"/>
      <c r="D40" s="168"/>
      <c r="E40" s="152"/>
      <c r="F40" s="152"/>
      <c r="I40" s="190"/>
    </row>
    <row r="41" spans="1:31" ht="14.4" thickBot="1">
      <c r="A41" s="152" t="s">
        <v>184</v>
      </c>
      <c r="B41" s="152"/>
      <c r="C41" s="175">
        <f>SUM(C26:C29,C31:C33)</f>
        <v>1697559.09</v>
      </c>
      <c r="D41" s="176">
        <f t="shared" ref="D41:I41" si="21">SUM(D26:D29,D31:D33)</f>
        <v>17059282.219999999</v>
      </c>
      <c r="E41" s="176">
        <f t="shared" si="21"/>
        <v>-7118221</v>
      </c>
      <c r="F41" s="176">
        <f t="shared" si="21"/>
        <v>8466345</v>
      </c>
      <c r="G41" s="176">
        <f t="shared" si="21"/>
        <v>18407406.219999999</v>
      </c>
      <c r="H41" s="176">
        <f t="shared" si="21"/>
        <v>-77130.975930000015</v>
      </c>
      <c r="I41" s="175">
        <f t="shared" si="21"/>
        <v>18330275.244069997</v>
      </c>
    </row>
    <row r="42" spans="1:31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31">
      <c r="C43" s="191">
        <v>43040</v>
      </c>
      <c r="D43" s="191">
        <v>43252</v>
      </c>
      <c r="E43" s="196">
        <v>43040</v>
      </c>
      <c r="F43" s="192">
        <v>42278</v>
      </c>
      <c r="G43" s="191">
        <v>43344</v>
      </c>
      <c r="H43" s="191">
        <v>43009</v>
      </c>
      <c r="I43" s="191">
        <v>43374</v>
      </c>
      <c r="J43" s="191">
        <v>43282</v>
      </c>
      <c r="K43" s="191"/>
      <c r="L43" s="196"/>
      <c r="M43" s="1" t="s">
        <v>377</v>
      </c>
    </row>
    <row r="44" spans="1:31" ht="39.6">
      <c r="A44" s="179" t="s">
        <v>195</v>
      </c>
      <c r="B44" s="154"/>
      <c r="C44" s="165" t="s">
        <v>196</v>
      </c>
      <c r="D44" s="165" t="s">
        <v>312</v>
      </c>
      <c r="E44" s="165" t="s">
        <v>213</v>
      </c>
      <c r="F44" s="165" t="s">
        <v>197</v>
      </c>
      <c r="G44" s="165" t="s">
        <v>198</v>
      </c>
      <c r="H44" s="165" t="s">
        <v>199</v>
      </c>
      <c r="I44" s="165" t="s">
        <v>199</v>
      </c>
      <c r="J44" s="165" t="s">
        <v>201</v>
      </c>
      <c r="K44" s="165"/>
      <c r="M44" s="211" t="s">
        <v>376</v>
      </c>
      <c r="N44" s="194"/>
    </row>
    <row r="45" spans="1:31">
      <c r="A45" s="180" t="s">
        <v>131</v>
      </c>
      <c r="B45" s="152"/>
      <c r="C45" s="171">
        <v>-8.0999999999999996E-4</v>
      </c>
      <c r="D45" s="171">
        <v>-1.42E-3</v>
      </c>
      <c r="E45" s="171">
        <v>4.45E-3</v>
      </c>
      <c r="F45" s="171"/>
      <c r="G45" s="171">
        <v>4.3299999999999996E-3</v>
      </c>
      <c r="H45" s="171">
        <v>1.0499999999999999E-3</v>
      </c>
      <c r="I45" s="171">
        <v>1.15E-3</v>
      </c>
      <c r="J45" s="171">
        <v>-3.4000000000000002E-4</v>
      </c>
      <c r="K45" s="171"/>
      <c r="M45" s="369">
        <f>SUM(C45:G45,J45)*H3+H45*F3+I45*G3</f>
        <v>86120.349920000008</v>
      </c>
      <c r="N45" s="335"/>
    </row>
    <row r="46" spans="1:31">
      <c r="A46" s="180" t="s">
        <v>178</v>
      </c>
      <c r="B46" s="152"/>
      <c r="C46" s="171">
        <v>-8.0999999999999996E-4</v>
      </c>
      <c r="D46" s="171">
        <v>-1.42E-3</v>
      </c>
      <c r="E46" s="171">
        <v>4.45E-3</v>
      </c>
      <c r="F46" s="171">
        <v>-3.1530000000000002E-2</v>
      </c>
      <c r="G46" s="171">
        <v>4.3299999999999996E-3</v>
      </c>
      <c r="H46" s="171">
        <v>1.0499999999999999E-3</v>
      </c>
      <c r="I46" s="171">
        <v>1.15E-3</v>
      </c>
      <c r="J46" s="171">
        <v>-3.4000000000000002E-4</v>
      </c>
      <c r="K46" s="171"/>
      <c r="M46" s="369">
        <f t="shared" ref="M46:M55" si="22">SUM(C46:G46,J46)*H4+H46*F4+I46*G4</f>
        <v>-978.70922999999993</v>
      </c>
      <c r="N46" s="335"/>
    </row>
    <row r="47" spans="1:31">
      <c r="A47" s="180" t="s">
        <v>132</v>
      </c>
      <c r="B47" s="152"/>
      <c r="C47" s="171">
        <v>0</v>
      </c>
      <c r="D47" s="171">
        <v>-1.8799999999999999E-3</v>
      </c>
      <c r="E47" s="171">
        <v>4.0000000000000002E-4</v>
      </c>
      <c r="F47" s="171"/>
      <c r="G47" s="171">
        <v>5.9699999999999996E-3</v>
      </c>
      <c r="H47" s="171">
        <v>1.5200000000000001E-3</v>
      </c>
      <c r="I47" s="171">
        <v>1.67E-3</v>
      </c>
      <c r="J47" s="171">
        <v>-3.6000000000000002E-4</v>
      </c>
      <c r="K47" s="171"/>
      <c r="M47" s="369">
        <f t="shared" si="22"/>
        <v>24608.075949999999</v>
      </c>
      <c r="N47" s="335"/>
    </row>
    <row r="48" spans="1:31">
      <c r="A48" s="180" t="s">
        <v>133</v>
      </c>
      <c r="B48" s="152"/>
      <c r="C48" s="171">
        <v>-8.0999999999999996E-4</v>
      </c>
      <c r="D48" s="171">
        <v>-1.8799999999999999E-3</v>
      </c>
      <c r="E48" s="171">
        <v>4.0000000000000002E-4</v>
      </c>
      <c r="F48" s="171"/>
      <c r="G48" s="171">
        <v>5.9699999999999996E-3</v>
      </c>
      <c r="H48" s="171">
        <v>1.5200000000000001E-3</v>
      </c>
      <c r="I48" s="171">
        <v>1.67E-3</v>
      </c>
      <c r="J48" s="171">
        <v>-3.6000000000000002E-4</v>
      </c>
      <c r="K48" s="171"/>
      <c r="M48" s="369">
        <f t="shared" si="22"/>
        <v>2403.4273599999997</v>
      </c>
      <c r="N48" s="335"/>
    </row>
    <row r="49" spans="1:14" ht="14.4" customHeight="1">
      <c r="A49" s="180" t="s">
        <v>134</v>
      </c>
      <c r="B49" s="152"/>
      <c r="C49" s="171">
        <v>0</v>
      </c>
      <c r="D49" s="171">
        <v>-1.4400000000000001E-3</v>
      </c>
      <c r="E49" s="171">
        <v>4.0000000000000002E-4</v>
      </c>
      <c r="F49" s="171"/>
      <c r="G49" s="171">
        <v>4.5999999999999999E-3</v>
      </c>
      <c r="H49" s="171">
        <v>1.1000000000000001E-3</v>
      </c>
      <c r="I49" s="171">
        <v>1.2099999999999999E-3</v>
      </c>
      <c r="J49" s="171">
        <v>-3.6000000000000002E-4</v>
      </c>
      <c r="K49" s="171"/>
      <c r="M49" s="369">
        <f t="shared" si="22"/>
        <v>56007.563920000001</v>
      </c>
      <c r="N49" s="335"/>
    </row>
    <row r="50" spans="1:14">
      <c r="A50" s="180" t="s">
        <v>135</v>
      </c>
      <c r="B50" s="152"/>
      <c r="C50" s="171">
        <v>-8.0999999999999996E-4</v>
      </c>
      <c r="D50" s="171">
        <v>-1.4400000000000001E-3</v>
      </c>
      <c r="E50" s="171">
        <v>4.0000000000000002E-4</v>
      </c>
      <c r="F50" s="171"/>
      <c r="G50" s="171">
        <v>4.5999999999999999E-3</v>
      </c>
      <c r="H50" s="171">
        <v>1.1000000000000001E-3</v>
      </c>
      <c r="I50" s="171">
        <v>1.2099999999999999E-3</v>
      </c>
      <c r="J50" s="171">
        <v>-3.6000000000000002E-4</v>
      </c>
      <c r="K50" s="171"/>
      <c r="M50" s="369">
        <f t="shared" si="22"/>
        <v>793.85495999999966</v>
      </c>
      <c r="N50" s="335"/>
    </row>
    <row r="51" spans="1:14">
      <c r="A51" s="180" t="s">
        <v>136</v>
      </c>
      <c r="B51" s="152"/>
      <c r="C51" s="171">
        <v>0</v>
      </c>
      <c r="D51" s="171">
        <v>-9.3000000000000005E-4</v>
      </c>
      <c r="E51" s="171">
        <v>0</v>
      </c>
      <c r="F51" s="171"/>
      <c r="G51" s="171">
        <v>2.97E-3</v>
      </c>
      <c r="H51" s="171">
        <v>6.8999999999999997E-4</v>
      </c>
      <c r="I51" s="171">
        <v>7.6000000000000004E-4</v>
      </c>
      <c r="J51" s="171">
        <v>-3.5E-4</v>
      </c>
      <c r="K51" s="171"/>
      <c r="M51" s="369">
        <f t="shared" si="22"/>
        <v>16997.854230000004</v>
      </c>
      <c r="N51" s="335"/>
    </row>
    <row r="52" spans="1:14">
      <c r="A52" s="180" t="s">
        <v>179</v>
      </c>
      <c r="B52" s="152"/>
      <c r="C52" s="171">
        <v>0</v>
      </c>
      <c r="D52" s="171">
        <v>0</v>
      </c>
      <c r="E52" s="171">
        <v>0</v>
      </c>
      <c r="F52" s="171"/>
      <c r="G52" s="171">
        <v>2.97E-3</v>
      </c>
      <c r="H52" s="171">
        <v>0</v>
      </c>
      <c r="I52" s="171">
        <v>0</v>
      </c>
      <c r="J52" s="171">
        <v>-3.5E-4</v>
      </c>
      <c r="K52" s="171"/>
      <c r="M52" s="369">
        <f t="shared" si="22"/>
        <v>0</v>
      </c>
      <c r="N52" s="335"/>
    </row>
    <row r="53" spans="1:14">
      <c r="A53" s="180" t="s">
        <v>180</v>
      </c>
      <c r="B53" s="152"/>
      <c r="C53" s="171">
        <v>0</v>
      </c>
      <c r="D53" s="171">
        <v>-1.2999999999999999E-3</v>
      </c>
      <c r="E53" s="171">
        <v>4.0000000000000002E-4</v>
      </c>
      <c r="F53" s="171"/>
      <c r="G53" s="171">
        <v>4.3299999999999996E-3</v>
      </c>
      <c r="H53" s="171">
        <v>9.6000000000000002E-4</v>
      </c>
      <c r="I53" s="171">
        <v>1.0499999999999999E-3</v>
      </c>
      <c r="J53" s="171">
        <v>-3.6999999999999999E-4</v>
      </c>
      <c r="K53" s="171"/>
      <c r="M53" s="369">
        <f t="shared" si="22"/>
        <v>0</v>
      </c>
      <c r="N53" s="335"/>
    </row>
    <row r="54" spans="1:14">
      <c r="A54" s="180" t="s">
        <v>137</v>
      </c>
      <c r="B54" s="152"/>
      <c r="C54" s="171">
        <v>0</v>
      </c>
      <c r="D54" s="171">
        <v>-1.2999999999999999E-3</v>
      </c>
      <c r="E54" s="171">
        <v>4.0000000000000002E-4</v>
      </c>
      <c r="F54" s="171"/>
      <c r="G54" s="171">
        <v>4.3299999999999996E-3</v>
      </c>
      <c r="H54" s="171">
        <v>9.6000000000000002E-4</v>
      </c>
      <c r="I54" s="171">
        <v>1.0499999999999999E-3</v>
      </c>
      <c r="J54" s="171">
        <v>-3.6999999999999999E-4</v>
      </c>
      <c r="K54" s="171"/>
      <c r="M54" s="369">
        <f t="shared" si="22"/>
        <v>-6245.862180000001</v>
      </c>
      <c r="N54" s="335"/>
    </row>
    <row r="55" spans="1:14">
      <c r="A55" s="180" t="s">
        <v>138</v>
      </c>
      <c r="B55" s="152"/>
      <c r="C55" s="171">
        <v>-8.0999999999999996E-4</v>
      </c>
      <c r="D55" s="171">
        <v>-1.2999999999999999E-3</v>
      </c>
      <c r="E55" s="171">
        <v>4.0000000000000002E-4</v>
      </c>
      <c r="F55" s="171"/>
      <c r="G55" s="171">
        <v>4.3299999999999996E-3</v>
      </c>
      <c r="H55" s="171">
        <v>9.6000000000000002E-4</v>
      </c>
      <c r="I55" s="171">
        <v>1.0499999999999999E-3</v>
      </c>
      <c r="J55" s="171">
        <v>-3.6999999999999999E-4</v>
      </c>
      <c r="K55" s="171"/>
      <c r="M55" s="369">
        <f t="shared" si="22"/>
        <v>-436.08407999999997</v>
      </c>
      <c r="N55" s="335"/>
    </row>
    <row r="56" spans="1:14">
      <c r="A56" s="180" t="s">
        <v>192</v>
      </c>
      <c r="B56" s="152"/>
      <c r="C56" s="171">
        <v>0</v>
      </c>
      <c r="D56" s="171">
        <v>0</v>
      </c>
      <c r="E56" s="171">
        <v>0</v>
      </c>
      <c r="F56" s="171"/>
      <c r="G56" s="186">
        <v>1.013E-2</v>
      </c>
      <c r="H56" s="401" t="s">
        <v>214</v>
      </c>
      <c r="I56" s="401" t="s">
        <v>375</v>
      </c>
      <c r="J56" s="186">
        <v>-4.8000000000000001E-4</v>
      </c>
      <c r="K56" s="186"/>
      <c r="M56" s="369"/>
      <c r="N56" s="335"/>
    </row>
    <row r="57" spans="1:14">
      <c r="A57" s="180" t="s">
        <v>183</v>
      </c>
      <c r="B57" s="152"/>
      <c r="C57" s="171">
        <v>-8.0999999999999996E-4</v>
      </c>
      <c r="D57" s="171">
        <v>0</v>
      </c>
      <c r="E57" s="171">
        <v>0</v>
      </c>
      <c r="F57" s="171"/>
      <c r="G57" s="186">
        <v>1.013E-2</v>
      </c>
      <c r="H57" s="401"/>
      <c r="I57" s="401"/>
      <c r="J57" s="186">
        <v>-4.8000000000000001E-4</v>
      </c>
      <c r="K57" s="186"/>
      <c r="M57" s="369"/>
      <c r="N57" s="335"/>
    </row>
    <row r="58" spans="1:14">
      <c r="A58" s="180"/>
      <c r="B58" s="152"/>
      <c r="C58" s="171"/>
      <c r="D58" s="171"/>
      <c r="E58" s="171"/>
      <c r="F58" s="171"/>
      <c r="G58" s="186"/>
      <c r="H58" s="342"/>
      <c r="I58" s="171"/>
      <c r="J58" s="186"/>
      <c r="K58" s="171"/>
      <c r="L58" s="212"/>
      <c r="M58" s="369">
        <f>SUM(M45:M57)</f>
        <v>179270.47085000001</v>
      </c>
      <c r="N58" s="194"/>
    </row>
    <row r="59" spans="1:14">
      <c r="A59" s="180"/>
      <c r="B59" s="152"/>
      <c r="C59" s="171"/>
      <c r="D59" s="171"/>
      <c r="E59" s="171"/>
      <c r="F59" s="171"/>
      <c r="G59" s="186"/>
      <c r="H59" s="342"/>
      <c r="I59" s="171"/>
      <c r="J59" s="186"/>
      <c r="K59" s="171"/>
      <c r="L59" s="212"/>
      <c r="M59" s="335"/>
      <c r="N59" s="194"/>
    </row>
    <row r="60" spans="1:14">
      <c r="F60" s="152"/>
      <c r="M60" s="335"/>
      <c r="N60" s="335"/>
    </row>
    <row r="61" spans="1:14" ht="41.4" customHeight="1">
      <c r="A61" s="179" t="s">
        <v>202</v>
      </c>
      <c r="B61" s="154"/>
      <c r="C61" s="172" t="s">
        <v>368</v>
      </c>
      <c r="D61" s="172" t="s">
        <v>312</v>
      </c>
      <c r="E61" s="172" t="s">
        <v>213</v>
      </c>
      <c r="F61" s="172" t="s">
        <v>203</v>
      </c>
      <c r="G61" s="172" t="s">
        <v>204</v>
      </c>
      <c r="H61" s="172" t="s">
        <v>205</v>
      </c>
      <c r="I61" s="172" t="s">
        <v>206</v>
      </c>
      <c r="J61" s="172" t="s">
        <v>207</v>
      </c>
      <c r="K61" s="172" t="s">
        <v>208</v>
      </c>
      <c r="N61" s="168"/>
    </row>
    <row r="62" spans="1:14">
      <c r="A62" s="180" t="s">
        <v>131</v>
      </c>
      <c r="C62" s="168">
        <f t="shared" ref="C62:D67" si="23">C45*$H3</f>
        <v>-8691.76332</v>
      </c>
      <c r="D62" s="168">
        <f t="shared" si="23"/>
        <v>-15237.41224</v>
      </c>
      <c r="E62" s="168">
        <f t="shared" ref="E62:E67" si="24">E45*H3</f>
        <v>47751.045400000003</v>
      </c>
      <c r="F62" s="168">
        <f t="shared" ref="F62:F67" si="25">$H3*F45</f>
        <v>0</v>
      </c>
      <c r="G62" s="168">
        <f>(H3*G45)</f>
        <v>46463.376759999999</v>
      </c>
      <c r="H62" s="168">
        <f>($F3*H45)+(I45*G3)</f>
        <v>19483.497800000012</v>
      </c>
      <c r="I62" s="168">
        <v>0</v>
      </c>
      <c r="J62" s="168">
        <f t="shared" ref="J62:J67" si="26">J45*H3</f>
        <v>-3648.3944800000004</v>
      </c>
      <c r="K62" s="168">
        <f>SUM(C62:J62)</f>
        <v>86120.349920000008</v>
      </c>
      <c r="N62" s="168"/>
    </row>
    <row r="63" spans="1:14">
      <c r="A63" s="180" t="s">
        <v>178</v>
      </c>
      <c r="C63" s="168">
        <f t="shared" si="23"/>
        <v>-33.201090000000001</v>
      </c>
      <c r="D63" s="168">
        <f t="shared" si="23"/>
        <v>-58.20438</v>
      </c>
      <c r="E63" s="168">
        <f t="shared" si="24"/>
        <v>182.40105</v>
      </c>
      <c r="F63" s="168">
        <f t="shared" si="25"/>
        <v>-1292.3831700000001</v>
      </c>
      <c r="G63" s="168">
        <f t="shared" ref="G63:G67" si="27">(H4*G46)</f>
        <v>177.48236999999997</v>
      </c>
      <c r="H63" s="168">
        <f t="shared" ref="H63:H67" si="28">($F4*H46)+(I46*G4)</f>
        <v>59.132249999999999</v>
      </c>
      <c r="I63" s="168">
        <v>0</v>
      </c>
      <c r="J63" s="168">
        <f t="shared" si="26"/>
        <v>-13.936260000000001</v>
      </c>
      <c r="K63" s="168">
        <f t="shared" ref="K63:K72" si="29">SUM(C63:J63)</f>
        <v>-978.70923000000005</v>
      </c>
      <c r="N63" s="168"/>
    </row>
    <row r="64" spans="1:14">
      <c r="A64" s="180" t="s">
        <v>132</v>
      </c>
      <c r="C64" s="168">
        <f t="shared" si="23"/>
        <v>0</v>
      </c>
      <c r="D64" s="168">
        <f t="shared" si="23"/>
        <v>-7045.8451999999997</v>
      </c>
      <c r="E64" s="168">
        <f t="shared" si="24"/>
        <v>1499.116</v>
      </c>
      <c r="F64" s="168">
        <f t="shared" si="25"/>
        <v>0</v>
      </c>
      <c r="G64" s="168">
        <f t="shared" si="27"/>
        <v>22374.3063</v>
      </c>
      <c r="H64" s="168">
        <f t="shared" si="28"/>
        <v>9129.7032500000023</v>
      </c>
      <c r="I64" s="168">
        <v>0</v>
      </c>
      <c r="J64" s="168">
        <f t="shared" si="26"/>
        <v>-1349.2044000000001</v>
      </c>
      <c r="K64" s="168">
        <f t="shared" si="29"/>
        <v>24608.075950000006</v>
      </c>
      <c r="N64" s="168"/>
    </row>
    <row r="65" spans="1:14">
      <c r="A65" s="180" t="s">
        <v>133</v>
      </c>
      <c r="C65" s="168">
        <f t="shared" si="23"/>
        <v>-348.56243999999998</v>
      </c>
      <c r="D65" s="168">
        <f t="shared" si="23"/>
        <v>-809.00911999999994</v>
      </c>
      <c r="E65" s="168">
        <f t="shared" si="24"/>
        <v>172.12960000000001</v>
      </c>
      <c r="F65" s="168">
        <f t="shared" si="25"/>
        <v>0</v>
      </c>
      <c r="G65" s="168">
        <f t="shared" si="27"/>
        <v>2569.0342799999999</v>
      </c>
      <c r="H65" s="168">
        <f t="shared" si="28"/>
        <v>974.75167999999985</v>
      </c>
      <c r="I65" s="168">
        <v>0</v>
      </c>
      <c r="J65" s="168">
        <f t="shared" si="26"/>
        <v>-154.91664</v>
      </c>
      <c r="K65" s="168">
        <f t="shared" si="29"/>
        <v>2403.4273600000001</v>
      </c>
      <c r="N65" s="168"/>
    </row>
    <row r="66" spans="1:14">
      <c r="A66" s="180" t="s">
        <v>134</v>
      </c>
      <c r="C66" s="168">
        <f t="shared" si="23"/>
        <v>0</v>
      </c>
      <c r="D66" s="168">
        <f t="shared" si="23"/>
        <v>-16574.754240000002</v>
      </c>
      <c r="E66" s="168">
        <f t="shared" si="24"/>
        <v>4604.0983999999999</v>
      </c>
      <c r="F66" s="168">
        <f t="shared" si="25"/>
        <v>0</v>
      </c>
      <c r="G66" s="168">
        <f t="shared" si="27"/>
        <v>52947.131600000001</v>
      </c>
      <c r="H66" s="168">
        <f t="shared" si="28"/>
        <v>19174.776720000002</v>
      </c>
      <c r="I66" s="168">
        <v>0</v>
      </c>
      <c r="J66" s="168">
        <f t="shared" si="26"/>
        <v>-4143.6885600000005</v>
      </c>
      <c r="K66" s="168">
        <f t="shared" si="29"/>
        <v>56007.563920000001</v>
      </c>
      <c r="N66" s="168"/>
    </row>
    <row r="67" spans="1:14">
      <c r="A67" s="180" t="s">
        <v>135</v>
      </c>
      <c r="C67" s="168">
        <f t="shared" si="23"/>
        <v>-152.14634999999998</v>
      </c>
      <c r="D67" s="168">
        <f t="shared" si="23"/>
        <v>-270.48240000000004</v>
      </c>
      <c r="E67" s="168">
        <f t="shared" si="24"/>
        <v>75.134</v>
      </c>
      <c r="F67" s="168">
        <f t="shared" si="25"/>
        <v>0</v>
      </c>
      <c r="G67" s="168">
        <f t="shared" si="27"/>
        <v>864.04099999999994</v>
      </c>
      <c r="H67" s="168">
        <f t="shared" si="28"/>
        <v>344.92930999999976</v>
      </c>
      <c r="I67" s="168">
        <v>0</v>
      </c>
      <c r="J67" s="168">
        <f t="shared" si="26"/>
        <v>-67.62060000000001</v>
      </c>
      <c r="K67" s="168">
        <f t="shared" si="29"/>
        <v>793.85495999999966</v>
      </c>
      <c r="N67" s="168"/>
    </row>
    <row r="68" spans="1:14">
      <c r="A68" s="180" t="s">
        <v>136</v>
      </c>
      <c r="C68" s="168">
        <f t="shared" ref="C68:E68" si="30">$H9*C51+$H10*C52</f>
        <v>0</v>
      </c>
      <c r="D68" s="168">
        <f t="shared" si="30"/>
        <v>-4992.5831699999999</v>
      </c>
      <c r="E68" s="168">
        <f t="shared" si="30"/>
        <v>0</v>
      </c>
      <c r="F68" s="168">
        <f>$H9*F51+$H10*F52</f>
        <v>0</v>
      </c>
      <c r="G68" s="168">
        <f>$H9*G51+$H10*G52</f>
        <v>15944.05593</v>
      </c>
      <c r="H68" s="168">
        <f>($F9*H51)+(I51*G9)+(F10*H52)+(G10*I52)</f>
        <v>7925.3106200000038</v>
      </c>
      <c r="I68" s="168">
        <v>0</v>
      </c>
      <c r="J68" s="168">
        <f>$H9*J51+$H10*J52</f>
        <v>-1878.9291499999999</v>
      </c>
      <c r="K68" s="168">
        <f t="shared" si="29"/>
        <v>16997.854230000004</v>
      </c>
      <c r="N68" s="168"/>
    </row>
    <row r="69" spans="1:14">
      <c r="A69" s="180" t="s">
        <v>180</v>
      </c>
      <c r="C69" s="168">
        <f>$H11*C53</f>
        <v>0</v>
      </c>
      <c r="D69" s="168">
        <f>$H11*D53</f>
        <v>0</v>
      </c>
      <c r="E69" s="168">
        <f t="shared" ref="C69:F71" si="31">$H11*E53</f>
        <v>0</v>
      </c>
      <c r="F69" s="168">
        <f t="shared" si="31"/>
        <v>0</v>
      </c>
      <c r="G69" s="168">
        <f t="shared" ref="G69" si="32">$H11*G53</f>
        <v>0</v>
      </c>
      <c r="H69" s="168">
        <f>($F11*H52)+(I52*G11)</f>
        <v>0</v>
      </c>
      <c r="I69" s="168">
        <v>0</v>
      </c>
      <c r="J69" s="168">
        <f>$H11*J53</f>
        <v>0</v>
      </c>
      <c r="K69" s="168">
        <f t="shared" si="29"/>
        <v>0</v>
      </c>
      <c r="N69" s="168"/>
    </row>
    <row r="70" spans="1:14">
      <c r="A70" s="180" t="s">
        <v>137</v>
      </c>
      <c r="C70" s="168">
        <f t="shared" si="31"/>
        <v>0</v>
      </c>
      <c r="D70" s="168">
        <f t="shared" si="31"/>
        <v>2144.623</v>
      </c>
      <c r="E70" s="168">
        <f t="shared" si="31"/>
        <v>-659.88400000000001</v>
      </c>
      <c r="F70" s="168">
        <f t="shared" si="31"/>
        <v>0</v>
      </c>
      <c r="G70" s="168">
        <f t="shared" ref="G70" si="33">$H12*G54</f>
        <v>-7143.2442999999994</v>
      </c>
      <c r="H70" s="168">
        <f t="shared" ref="H70:H71" si="34">($F12*H53)+(I53*G12)</f>
        <v>-1197.7495800000006</v>
      </c>
      <c r="I70" s="168">
        <v>0</v>
      </c>
      <c r="J70" s="168">
        <f>$H12*J54</f>
        <v>610.39269999999999</v>
      </c>
      <c r="K70" s="168">
        <f t="shared" si="29"/>
        <v>-6245.8621799999992</v>
      </c>
      <c r="N70" s="168"/>
    </row>
    <row r="71" spans="1:14">
      <c r="A71" s="180" t="s">
        <v>138</v>
      </c>
      <c r="C71" s="168">
        <f t="shared" si="31"/>
        <v>115.29701999999999</v>
      </c>
      <c r="D71" s="168">
        <f t="shared" si="31"/>
        <v>185.0446</v>
      </c>
      <c r="E71" s="168">
        <f t="shared" si="31"/>
        <v>-56.936800000000005</v>
      </c>
      <c r="F71" s="168">
        <f t="shared" si="31"/>
        <v>0</v>
      </c>
      <c r="G71" s="168">
        <f t="shared" ref="G71" si="35">$H13*G55</f>
        <v>-616.34085999999991</v>
      </c>
      <c r="H71" s="168">
        <f t="shared" si="34"/>
        <v>-115.81458000000003</v>
      </c>
      <c r="I71" s="168">
        <v>0</v>
      </c>
      <c r="J71" s="168">
        <f>$H13*J55</f>
        <v>52.666539999999998</v>
      </c>
      <c r="K71" s="168">
        <f t="shared" si="29"/>
        <v>-436.08407999999997</v>
      </c>
      <c r="N71" s="168"/>
    </row>
    <row r="72" spans="1:14">
      <c r="A72" s="180" t="s">
        <v>192</v>
      </c>
      <c r="C72" s="168">
        <f>($H14+$H15)*C56+$H16*C57</f>
        <v>0</v>
      </c>
      <c r="D72" s="168">
        <f>($H14+$H15)*D56+$H16*D57</f>
        <v>0</v>
      </c>
      <c r="E72" s="168">
        <f>($H14+$H15)*E56+$H16*E57</f>
        <v>0</v>
      </c>
      <c r="F72" s="168">
        <f>($H14+$H15)*F56+$H16*F57</f>
        <v>0</v>
      </c>
      <c r="G72" s="168">
        <f>($H14+$H15)*G56+$H16*G57</f>
        <v>0</v>
      </c>
      <c r="H72" s="168">
        <v>0</v>
      </c>
      <c r="I72" s="168">
        <v>0</v>
      </c>
      <c r="J72" s="168">
        <f>($H14+$H15)*J56+$H16*J57</f>
        <v>0</v>
      </c>
      <c r="K72" s="168">
        <f t="shared" si="29"/>
        <v>0</v>
      </c>
    </row>
    <row r="73" spans="1:14">
      <c r="A73" s="157"/>
      <c r="C73" s="193">
        <f t="shared" ref="C73:J73" si="36">SUM(C62:C72)</f>
        <v>-9110.3761800000011</v>
      </c>
      <c r="D73" s="193">
        <f>SUM(D62:D72)</f>
        <v>-42658.623149999992</v>
      </c>
      <c r="E73" s="193">
        <f t="shared" si="36"/>
        <v>53567.103650000005</v>
      </c>
      <c r="F73" s="193">
        <f t="shared" si="36"/>
        <v>-1292.3831700000001</v>
      </c>
      <c r="G73" s="337">
        <f t="shared" si="36"/>
        <v>133579.84307999999</v>
      </c>
      <c r="H73" s="193">
        <f t="shared" si="36"/>
        <v>55778.537470000017</v>
      </c>
      <c r="I73" s="193">
        <f t="shared" si="36"/>
        <v>0</v>
      </c>
      <c r="J73" s="193">
        <f t="shared" si="36"/>
        <v>-10593.630850000001</v>
      </c>
      <c r="K73" s="193">
        <f>SUM(K62:K72)</f>
        <v>179270.47085000001</v>
      </c>
    </row>
    <row r="75" spans="1:14">
      <c r="A75" s="152" t="s">
        <v>19</v>
      </c>
      <c r="B75" s="152"/>
      <c r="C75" s="168">
        <f t="shared" ref="C75:J75" si="37">C62+C63</f>
        <v>-8724.9644100000005</v>
      </c>
      <c r="D75" s="168">
        <f t="shared" si="37"/>
        <v>-15295.616619999999</v>
      </c>
      <c r="E75" s="168">
        <f t="shared" si="37"/>
        <v>47933.446450000003</v>
      </c>
      <c r="F75" s="168">
        <f t="shared" si="37"/>
        <v>-1292.3831700000001</v>
      </c>
      <c r="G75" s="168">
        <f t="shared" si="37"/>
        <v>46640.859129999997</v>
      </c>
      <c r="H75" s="168">
        <f t="shared" si="37"/>
        <v>19542.630050000011</v>
      </c>
      <c r="I75" s="168">
        <f t="shared" si="37"/>
        <v>0</v>
      </c>
      <c r="J75" s="168">
        <f t="shared" si="37"/>
        <v>-3662.3307400000003</v>
      </c>
      <c r="K75" s="168">
        <f>K62+K63</f>
        <v>85141.640690000015</v>
      </c>
    </row>
    <row r="76" spans="1:14">
      <c r="A76" s="152"/>
      <c r="B76" s="152"/>
      <c r="C76" s="168"/>
      <c r="D76" s="168"/>
      <c r="E76" s="168"/>
      <c r="F76" s="168"/>
      <c r="G76" s="168"/>
      <c r="H76" s="168"/>
      <c r="I76" s="168"/>
      <c r="J76" s="168"/>
      <c r="K76" s="168"/>
    </row>
    <row r="77" spans="1:14" ht="15.75" customHeight="1">
      <c r="A77" s="152" t="s">
        <v>184</v>
      </c>
      <c r="B77" s="152"/>
      <c r="C77" s="176">
        <f t="shared" ref="C77:J77" si="38">SUM(C64:C67,C69:C71)</f>
        <v>-385.41176999999999</v>
      </c>
      <c r="D77" s="176">
        <f>SUM(D64:D67,D69:D71)</f>
        <v>-22370.423360000001</v>
      </c>
      <c r="E77" s="176">
        <f>SUM(E64:E67,E69:E71)</f>
        <v>5633.6571999999996</v>
      </c>
      <c r="F77" s="176">
        <f>SUM(F64:F67,F69:F71)</f>
        <v>0</v>
      </c>
      <c r="G77" s="176">
        <f t="shared" si="38"/>
        <v>70994.928019999992</v>
      </c>
      <c r="H77" s="176">
        <f t="shared" si="38"/>
        <v>28310.596800000003</v>
      </c>
      <c r="I77" s="176">
        <f t="shared" si="38"/>
        <v>0</v>
      </c>
      <c r="J77" s="176">
        <f t="shared" si="38"/>
        <v>-5052.3709600000002</v>
      </c>
      <c r="K77" s="176">
        <f>SUM(K64:K67,K69:K71)</f>
        <v>77130.975930000015</v>
      </c>
    </row>
    <row r="79" spans="1:14">
      <c r="A79" s="1" t="s">
        <v>215</v>
      </c>
    </row>
    <row r="80" spans="1:14">
      <c r="A80" s="1" t="s">
        <v>223</v>
      </c>
    </row>
    <row r="81" spans="1:14" ht="15.75" customHeight="1">
      <c r="A81" s="194" t="s">
        <v>222</v>
      </c>
      <c r="B81" s="194"/>
      <c r="C81" s="194"/>
      <c r="D81" s="194"/>
      <c r="E81" s="194"/>
    </row>
    <row r="82" spans="1:14" ht="27.6">
      <c r="A82" s="194"/>
      <c r="B82" s="357" t="s">
        <v>216</v>
      </c>
      <c r="C82" s="357" t="s">
        <v>217</v>
      </c>
      <c r="D82" s="357" t="s">
        <v>218</v>
      </c>
      <c r="E82" s="357" t="s">
        <v>221</v>
      </c>
      <c r="G82" s="402" t="s">
        <v>381</v>
      </c>
      <c r="H82" s="402"/>
      <c r="I82" s="402"/>
      <c r="J82" s="402"/>
      <c r="M82" s="358"/>
      <c r="N82" s="358"/>
    </row>
    <row r="83" spans="1:14">
      <c r="A83" s="359" t="s">
        <v>370</v>
      </c>
      <c r="B83" s="361">
        <v>1</v>
      </c>
      <c r="C83" s="362">
        <v>873927.6</v>
      </c>
      <c r="D83" s="358">
        <f>75508.54-C83*SUM(C51:G51,I51:J51)</f>
        <v>73367.417379999999</v>
      </c>
      <c r="E83" s="358">
        <f>500*B83</f>
        <v>500</v>
      </c>
      <c r="F83" s="360" t="s">
        <v>219</v>
      </c>
      <c r="H83" s="361"/>
      <c r="I83" s="362"/>
      <c r="J83" s="358"/>
      <c r="K83" s="358"/>
      <c r="L83" s="360"/>
    </row>
    <row r="84" spans="1:14">
      <c r="A84" s="363" t="s">
        <v>258</v>
      </c>
      <c r="B84" s="364">
        <f>SUM(B83:B83)</f>
        <v>1</v>
      </c>
      <c r="C84" s="365">
        <f>SUM(C83:C83)</f>
        <v>873927.6</v>
      </c>
      <c r="D84" s="366">
        <f>SUM(D83:D83)</f>
        <v>73367.417379999999</v>
      </c>
      <c r="E84" s="366">
        <f>SUM(E83:E83)</f>
        <v>500</v>
      </c>
    </row>
    <row r="85" spans="1:14">
      <c r="A85" s="194"/>
      <c r="B85" s="194"/>
      <c r="C85" s="194"/>
      <c r="D85" s="194"/>
      <c r="E85" s="194"/>
    </row>
    <row r="86" spans="1:14">
      <c r="A86" s="346"/>
      <c r="B86" s="361"/>
      <c r="C86" s="362"/>
      <c r="D86" s="358"/>
      <c r="E86" s="358"/>
    </row>
    <row r="87" spans="1:14">
      <c r="B87" s="361"/>
      <c r="C87" s="362"/>
      <c r="D87" s="358"/>
      <c r="E87" s="358"/>
    </row>
    <row r="88" spans="1:14" ht="9" customHeight="1"/>
  </sheetData>
  <mergeCells count="5">
    <mergeCell ref="A1:I1"/>
    <mergeCell ref="H56:H57"/>
    <mergeCell ref="G82:J82"/>
    <mergeCell ref="I56:I57"/>
    <mergeCell ref="J1:K1"/>
  </mergeCells>
  <printOptions horizontalCentered="1"/>
  <pageMargins left="0.45" right="0.45" top="0.5" bottom="0.5" header="0.3" footer="0.3"/>
  <pageSetup scale="75" orientation="landscape" r:id="rId1"/>
  <headerFooter>
    <oddFooter>&amp;L&amp;F / &amp;A&amp;RPage &amp;P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AE88"/>
  <sheetViews>
    <sheetView zoomScaleNormal="100" workbookViewId="0">
      <selection activeCell="J3" sqref="J3"/>
    </sheetView>
  </sheetViews>
  <sheetFormatPr defaultColWidth="9.109375" defaultRowHeight="13.8"/>
  <cols>
    <col min="1" max="1" width="14.6640625" style="1" customWidth="1"/>
    <col min="2" max="2" width="10.109375" style="1" customWidth="1"/>
    <col min="3" max="3" width="16.33203125" style="1" customWidth="1"/>
    <col min="4" max="4" width="18.6640625" style="1" customWidth="1"/>
    <col min="5" max="5" width="15.5546875" style="1" customWidth="1"/>
    <col min="6" max="6" width="14.6640625" style="1" bestFit="1" customWidth="1"/>
    <col min="7" max="7" width="15.5546875" style="1" customWidth="1"/>
    <col min="8" max="8" width="13.5546875" style="1" bestFit="1" customWidth="1"/>
    <col min="9" max="9" width="14.5546875" style="1" bestFit="1" customWidth="1"/>
    <col min="10" max="10" width="13.109375" style="1" bestFit="1" customWidth="1"/>
    <col min="11" max="11" width="14.5546875" style="1" customWidth="1"/>
    <col min="12" max="12" width="13.44140625" style="1" bestFit="1" customWidth="1"/>
    <col min="13" max="13" width="15.6640625" style="1" customWidth="1"/>
    <col min="14" max="14" width="10.88671875" style="1" customWidth="1"/>
    <col min="15" max="15" width="12.44140625" style="1" customWidth="1"/>
    <col min="16" max="16" width="13.33203125" style="1" customWidth="1"/>
    <col min="17" max="17" width="16" style="1" customWidth="1"/>
    <col min="18" max="18" width="10" style="1" customWidth="1"/>
    <col min="19" max="19" width="17.6640625" style="1" customWidth="1"/>
    <col min="20" max="20" width="13.44140625" style="1" customWidth="1"/>
    <col min="21" max="21" width="10.5546875" style="1" customWidth="1"/>
    <col min="22" max="22" width="13.88671875" style="1" customWidth="1"/>
    <col min="23" max="23" width="2.88671875" style="1" customWidth="1"/>
    <col min="24" max="24" width="13.6640625" style="1" customWidth="1"/>
    <col min="25" max="25" width="1.6640625" style="1" customWidth="1"/>
    <col min="26" max="27" width="13.6640625" style="1" customWidth="1"/>
    <col min="28" max="28" width="11.6640625" style="1" customWidth="1"/>
    <col min="29" max="29" width="13.6640625" style="1" customWidth="1"/>
    <col min="30" max="16384" width="9.109375" style="1"/>
  </cols>
  <sheetData>
    <row r="1" spans="1:31" ht="14.4">
      <c r="A1" s="399" t="s">
        <v>172</v>
      </c>
      <c r="B1" s="399"/>
      <c r="C1" s="399"/>
      <c r="D1" s="399"/>
      <c r="E1" s="399"/>
      <c r="F1" s="399"/>
      <c r="G1" s="399"/>
      <c r="H1" s="399"/>
      <c r="I1" s="399"/>
      <c r="M1" s="151" t="s">
        <v>234</v>
      </c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 t="s">
        <v>235</v>
      </c>
      <c r="AA1" s="224" t="s">
        <v>298</v>
      </c>
      <c r="AB1" s="151"/>
      <c r="AC1" s="151" t="s">
        <v>237</v>
      </c>
      <c r="AD1" s="224" t="s">
        <v>297</v>
      </c>
      <c r="AE1" s="151"/>
    </row>
    <row r="2" spans="1:31" ht="26.4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  <c r="M2" s="151"/>
      <c r="N2" s="151"/>
      <c r="O2" s="287" t="str">
        <f>AA1&amp;" Billed Schedule 75 Revenue"</f>
        <v>September Billed Schedule 75 Revenue</v>
      </c>
      <c r="P2" s="287" t="str">
        <f>AA1&amp;" Billed kWhs"</f>
        <v>September Billed kWhs</v>
      </c>
      <c r="Q2" s="287" t="str">
        <f>AA1&amp;" Unbilled kWhs"</f>
        <v>September Unbilled kWhs</v>
      </c>
      <c r="R2" s="287" t="s">
        <v>238</v>
      </c>
      <c r="S2" s="287" t="s">
        <v>239</v>
      </c>
      <c r="T2" s="287" t="str">
        <f>AD1&amp;" Unbilled kWhs reversal"</f>
        <v>August Unbilled kWhs reversal</v>
      </c>
      <c r="U2" s="287" t="s">
        <v>238</v>
      </c>
      <c r="V2" s="287" t="str">
        <f>AD1&amp;" Schedule 75 Unbilled Reversal"</f>
        <v>August Schedule 75 Unbilled Reversal</v>
      </c>
      <c r="W2" s="151"/>
      <c r="X2" s="287" t="str">
        <f>"Total "&amp;AA1&amp;" Schedule 75 Revenue"</f>
        <v>Total September Schedule 75 Revenue</v>
      </c>
      <c r="Y2" s="151"/>
      <c r="Z2" s="287" t="str">
        <f>"Calendar "&amp;AA1&amp;" Usage"</f>
        <v>Calendar September Usage</v>
      </c>
      <c r="AA2" s="287" t="str">
        <f>R2</f>
        <v>11/1/2017 rate</v>
      </c>
      <c r="AB2" s="287" t="s">
        <v>240</v>
      </c>
      <c r="AC2" s="287" t="s">
        <v>241</v>
      </c>
      <c r="AD2" s="287" t="str">
        <f>"implied "&amp;AD1&amp;" unbilled/Cancel-Rebill True-up kWhs"</f>
        <v>implied August unbilled/Cancel-Rebill True-up kWhs</v>
      </c>
      <c r="AE2" s="151"/>
    </row>
    <row r="3" spans="1:31" ht="14.4">
      <c r="A3" s="180" t="s">
        <v>131</v>
      </c>
      <c r="B3" s="152"/>
      <c r="C3" s="158">
        <v>213728</v>
      </c>
      <c r="D3" s="282"/>
      <c r="E3" s="182">
        <v>165623441.081</v>
      </c>
      <c r="F3" s="182">
        <v>-97955627</v>
      </c>
      <c r="G3" s="182">
        <v>71433400</v>
      </c>
      <c r="H3" s="189">
        <f>SUM(F3:G3)</f>
        <v>-26522227</v>
      </c>
      <c r="I3" s="159">
        <f>E3+H3</f>
        <v>139101214.081</v>
      </c>
      <c r="J3" s="282">
        <f>I3/C3</f>
        <v>650.83290013942951</v>
      </c>
      <c r="K3" s="341">
        <f>D24/E3</f>
        <v>9.1121886198579388E-2</v>
      </c>
      <c r="M3" s="151" t="s">
        <v>242</v>
      </c>
      <c r="N3" s="151"/>
      <c r="O3" s="214">
        <v>737048.88</v>
      </c>
      <c r="P3" s="225">
        <f t="shared" ref="P3:P8" si="0">E3</f>
        <v>165623441.081</v>
      </c>
      <c r="Q3" s="225">
        <f t="shared" ref="Q3:Q8" si="1">G3</f>
        <v>71433400</v>
      </c>
      <c r="R3" s="206">
        <v>4.45E-3</v>
      </c>
      <c r="S3" s="215">
        <f>Q3*R3</f>
        <v>317878.63</v>
      </c>
      <c r="T3" s="225">
        <f t="shared" ref="T3:T8" si="2">F3</f>
        <v>-97955627</v>
      </c>
      <c r="U3" s="206">
        <v>4.45E-3</v>
      </c>
      <c r="V3" s="216">
        <f>T3*U3</f>
        <v>-435902.54015000002</v>
      </c>
      <c r="W3" s="151"/>
      <c r="X3" s="150">
        <f>O3+S3+V3</f>
        <v>619024.96984999999</v>
      </c>
      <c r="Y3" s="151"/>
      <c r="Z3" s="95">
        <f>P3+Q3+T3</f>
        <v>139101214.081</v>
      </c>
      <c r="AA3" s="170">
        <f>R3</f>
        <v>4.45E-3</v>
      </c>
      <c r="AB3" s="217">
        <f>Z3*AA3</f>
        <v>619000.40266044997</v>
      </c>
      <c r="AC3" s="150">
        <f>X3-AB3</f>
        <v>24.567189550027251</v>
      </c>
      <c r="AD3" s="95">
        <f>AC3/AA3</f>
        <v>5520.7167528151131</v>
      </c>
      <c r="AE3" s="218">
        <f>AC3/X3</f>
        <v>3.968691207396737E-5</v>
      </c>
    </row>
    <row r="4" spans="1:31" ht="14.4">
      <c r="A4" s="180" t="s">
        <v>178</v>
      </c>
      <c r="B4" s="152"/>
      <c r="C4" s="158">
        <v>394</v>
      </c>
      <c r="D4" s="282"/>
      <c r="E4" s="182">
        <v>278108.527</v>
      </c>
      <c r="F4" s="182">
        <v>-160450</v>
      </c>
      <c r="G4" s="182">
        <v>119949</v>
      </c>
      <c r="H4" s="189">
        <f t="shared" ref="H4:H16" si="3">SUM(F4:G4)</f>
        <v>-40501</v>
      </c>
      <c r="I4" s="159">
        <f t="shared" ref="I4:I16" si="4">E4+H4</f>
        <v>237607.527</v>
      </c>
      <c r="J4" s="282">
        <f t="shared" ref="J4:J14" si="5">I4/C4</f>
        <v>603.06478934010158</v>
      </c>
      <c r="K4" s="341">
        <f t="shared" ref="K4:K8" si="6">D25/E4</f>
        <v>9.1305111259677413E-2</v>
      </c>
      <c r="M4" s="151" t="s">
        <v>243</v>
      </c>
      <c r="N4" s="151"/>
      <c r="O4" s="214">
        <v>1237.6099999999999</v>
      </c>
      <c r="P4" s="225">
        <f t="shared" si="0"/>
        <v>278108.527</v>
      </c>
      <c r="Q4" s="225">
        <f t="shared" si="1"/>
        <v>119949</v>
      </c>
      <c r="R4" s="206">
        <v>4.45E-3</v>
      </c>
      <c r="S4" s="215">
        <f>Q4*R4</f>
        <v>533.77305000000001</v>
      </c>
      <c r="T4" s="225">
        <f t="shared" si="2"/>
        <v>-160450</v>
      </c>
      <c r="U4" s="206">
        <v>4.45E-3</v>
      </c>
      <c r="V4" s="216">
        <f t="shared" ref="V4:V11" si="7">T4*U4</f>
        <v>-714.00249999999994</v>
      </c>
      <c r="W4" s="151"/>
      <c r="X4" s="150">
        <f t="shared" ref="X4:X11" si="8">O4+S4+V4</f>
        <v>1057.3805499999999</v>
      </c>
      <c r="Y4" s="151"/>
      <c r="Z4" s="95">
        <f t="shared" ref="Z4:Z11" si="9">P4+Q4+T4</f>
        <v>237607.527</v>
      </c>
      <c r="AA4" s="170">
        <f t="shared" ref="AA4:AA11" si="10">R4</f>
        <v>4.45E-3</v>
      </c>
      <c r="AB4" s="217">
        <f t="shared" ref="AB4:AB11" si="11">Z4*AA4</f>
        <v>1057.3534951500001</v>
      </c>
      <c r="AC4" s="150">
        <f t="shared" ref="AC4:AC11" si="12">X4-AB4</f>
        <v>2.7054849999785802E-2</v>
      </c>
      <c r="AD4" s="95">
        <f t="shared" ref="AD4:AD11" si="13">AC4/AA4</f>
        <v>6.0797415729855731</v>
      </c>
      <c r="AE4" s="218">
        <f t="shared" ref="AE4:AE12" si="14">AC4/X4</f>
        <v>2.5586672650433948E-5</v>
      </c>
    </row>
    <row r="5" spans="1:31" ht="14.4">
      <c r="A5" s="180" t="s">
        <v>132</v>
      </c>
      <c r="B5" s="152"/>
      <c r="C5" s="158">
        <v>22047</v>
      </c>
      <c r="D5" s="282"/>
      <c r="E5" s="182">
        <v>44553774.217</v>
      </c>
      <c r="F5" s="182">
        <v>-24350340</v>
      </c>
      <c r="G5" s="182">
        <v>19139293</v>
      </c>
      <c r="H5" s="189">
        <f t="shared" si="3"/>
        <v>-5211047</v>
      </c>
      <c r="I5" s="159">
        <f t="shared" si="4"/>
        <v>39342727.217</v>
      </c>
      <c r="J5" s="282">
        <f t="shared" si="5"/>
        <v>1784.4934556629021</v>
      </c>
      <c r="K5" s="341">
        <f t="shared" si="6"/>
        <v>0.11914979669611139</v>
      </c>
      <c r="M5" s="151" t="s">
        <v>244</v>
      </c>
      <c r="N5" s="151"/>
      <c r="O5" s="214">
        <v>17819.62</v>
      </c>
      <c r="P5" s="225">
        <f t="shared" si="0"/>
        <v>44553774.217</v>
      </c>
      <c r="Q5" s="225">
        <f t="shared" si="1"/>
        <v>19139293</v>
      </c>
      <c r="R5" s="219">
        <v>4.0000000000000002E-4</v>
      </c>
      <c r="S5" s="215">
        <f>Q5*R5</f>
        <v>7655.7172</v>
      </c>
      <c r="T5" s="225">
        <f t="shared" si="2"/>
        <v>-24350340</v>
      </c>
      <c r="U5" s="219">
        <v>4.0000000000000002E-4</v>
      </c>
      <c r="V5" s="216">
        <f t="shared" si="7"/>
        <v>-9740.1360000000004</v>
      </c>
      <c r="W5" s="151"/>
      <c r="X5" s="150">
        <f t="shared" si="8"/>
        <v>15735.201199999998</v>
      </c>
      <c r="Y5" s="151"/>
      <c r="Z5" s="95">
        <f t="shared" si="9"/>
        <v>39342727.217</v>
      </c>
      <c r="AA5" s="220">
        <f t="shared" si="10"/>
        <v>4.0000000000000002E-4</v>
      </c>
      <c r="AB5" s="217">
        <f t="shared" si="11"/>
        <v>15737.090886800001</v>
      </c>
      <c r="AC5" s="150">
        <f t="shared" si="12"/>
        <v>-1.8896868000028917</v>
      </c>
      <c r="AD5" s="95">
        <f t="shared" si="13"/>
        <v>-4724.2170000072292</v>
      </c>
      <c r="AE5" s="218">
        <f t="shared" si="14"/>
        <v>-1.2009295438833613E-4</v>
      </c>
    </row>
    <row r="6" spans="1:31" ht="14.4">
      <c r="A6" s="180" t="s">
        <v>133</v>
      </c>
      <c r="B6" s="152"/>
      <c r="C6" s="158">
        <v>9398</v>
      </c>
      <c r="D6" s="282"/>
      <c r="E6" s="182">
        <v>3958714.09</v>
      </c>
      <c r="F6" s="182">
        <v>-1988697</v>
      </c>
      <c r="G6" s="182">
        <v>1707404</v>
      </c>
      <c r="H6" s="189">
        <f t="shared" si="3"/>
        <v>-281293</v>
      </c>
      <c r="I6" s="159">
        <f t="shared" si="4"/>
        <v>3677421.09</v>
      </c>
      <c r="J6" s="282">
        <f t="shared" si="5"/>
        <v>391.29826452436686</v>
      </c>
      <c r="K6" s="341">
        <f t="shared" si="6"/>
        <v>0.15879991474706373</v>
      </c>
      <c r="M6" s="151" t="s">
        <v>245</v>
      </c>
      <c r="N6" s="151"/>
      <c r="O6" s="214">
        <v>1582.15</v>
      </c>
      <c r="P6" s="225">
        <f t="shared" si="0"/>
        <v>3958714.09</v>
      </c>
      <c r="Q6" s="225">
        <f t="shared" si="1"/>
        <v>1707404</v>
      </c>
      <c r="R6" s="219">
        <v>4.0000000000000002E-4</v>
      </c>
      <c r="S6" s="215">
        <f t="shared" ref="S6:S11" si="15">Q6*R6</f>
        <v>682.96160000000009</v>
      </c>
      <c r="T6" s="225">
        <f t="shared" si="2"/>
        <v>-1988697</v>
      </c>
      <c r="U6" s="219">
        <v>4.0000000000000002E-4</v>
      </c>
      <c r="V6" s="216">
        <f t="shared" si="7"/>
        <v>-795.47880000000009</v>
      </c>
      <c r="W6" s="151"/>
      <c r="X6" s="150">
        <f t="shared" si="8"/>
        <v>1469.6328000000001</v>
      </c>
      <c r="Y6" s="151"/>
      <c r="Z6" s="95">
        <f t="shared" si="9"/>
        <v>3677421.09</v>
      </c>
      <c r="AA6" s="220">
        <f t="shared" si="10"/>
        <v>4.0000000000000002E-4</v>
      </c>
      <c r="AB6" s="217">
        <f t="shared" si="11"/>
        <v>1470.9684360000001</v>
      </c>
      <c r="AC6" s="150">
        <f t="shared" si="12"/>
        <v>-1.3356360000000222</v>
      </c>
      <c r="AD6" s="95">
        <f t="shared" si="13"/>
        <v>-3339.0900000000556</v>
      </c>
      <c r="AE6" s="218">
        <f t="shared" si="14"/>
        <v>-9.0882293862794988E-4</v>
      </c>
    </row>
    <row r="7" spans="1:31" ht="14.4">
      <c r="A7" s="180" t="s">
        <v>134</v>
      </c>
      <c r="B7" s="152"/>
      <c r="C7" s="158">
        <v>1810</v>
      </c>
      <c r="D7" s="282"/>
      <c r="E7" s="182">
        <v>111231103.263</v>
      </c>
      <c r="F7" s="182">
        <v>-58149012</v>
      </c>
      <c r="G7" s="182">
        <v>47703446</v>
      </c>
      <c r="H7" s="189">
        <f t="shared" si="3"/>
        <v>-10445566</v>
      </c>
      <c r="I7" s="159">
        <f t="shared" si="4"/>
        <v>100785537.263</v>
      </c>
      <c r="J7" s="282">
        <f t="shared" si="5"/>
        <v>55682.61727237569</v>
      </c>
      <c r="K7" s="341">
        <f t="shared" si="6"/>
        <v>9.2546109928087053E-2</v>
      </c>
      <c r="M7" s="151" t="s">
        <v>246</v>
      </c>
      <c r="N7" s="151"/>
      <c r="O7" s="214">
        <v>44492.54</v>
      </c>
      <c r="P7" s="225">
        <f t="shared" si="0"/>
        <v>111231103.263</v>
      </c>
      <c r="Q7" s="225">
        <f t="shared" si="1"/>
        <v>47703446</v>
      </c>
      <c r="R7" s="219">
        <v>4.0000000000000002E-4</v>
      </c>
      <c r="S7" s="215">
        <f t="shared" si="15"/>
        <v>19081.378400000001</v>
      </c>
      <c r="T7" s="225">
        <f t="shared" si="2"/>
        <v>-58149012</v>
      </c>
      <c r="U7" s="219">
        <v>4.0000000000000002E-4</v>
      </c>
      <c r="V7" s="216">
        <f t="shared" si="7"/>
        <v>-23259.604800000001</v>
      </c>
      <c r="W7" s="151"/>
      <c r="X7" s="150">
        <f t="shared" si="8"/>
        <v>40314.313600000001</v>
      </c>
      <c r="Y7" s="151"/>
      <c r="Z7" s="95">
        <f t="shared" si="9"/>
        <v>100785537.26300001</v>
      </c>
      <c r="AA7" s="220">
        <f t="shared" si="10"/>
        <v>4.0000000000000002E-4</v>
      </c>
      <c r="AB7" s="217">
        <f t="shared" si="11"/>
        <v>40314.21490520001</v>
      </c>
      <c r="AC7" s="150">
        <f t="shared" si="12"/>
        <v>9.8694799991790205E-2</v>
      </c>
      <c r="AD7" s="95">
        <f t="shared" si="13"/>
        <v>246.73699997947551</v>
      </c>
      <c r="AE7" s="218">
        <f t="shared" si="14"/>
        <v>2.4481329626753265E-6</v>
      </c>
    </row>
    <row r="8" spans="1:31" ht="14.4">
      <c r="A8" s="180" t="s">
        <v>135</v>
      </c>
      <c r="B8" s="152"/>
      <c r="C8" s="158">
        <v>49</v>
      </c>
      <c r="D8" s="282"/>
      <c r="E8" s="182">
        <v>2479779.6800000002</v>
      </c>
      <c r="F8" s="182">
        <v>-1228440</v>
      </c>
      <c r="G8" s="182">
        <v>1069536</v>
      </c>
      <c r="H8" s="189">
        <f t="shared" si="3"/>
        <v>-158904</v>
      </c>
      <c r="I8" s="159">
        <f t="shared" si="4"/>
        <v>2320875.6800000002</v>
      </c>
      <c r="J8" s="282">
        <f t="shared" si="5"/>
        <v>47364.809795918372</v>
      </c>
      <c r="K8" s="341">
        <f t="shared" si="6"/>
        <v>9.1171970567965929E-2</v>
      </c>
      <c r="M8" s="151" t="s">
        <v>247</v>
      </c>
      <c r="N8" s="151"/>
      <c r="O8" s="214">
        <v>991.89</v>
      </c>
      <c r="P8" s="225">
        <f t="shared" si="0"/>
        <v>2479779.6800000002</v>
      </c>
      <c r="Q8" s="225">
        <f t="shared" si="1"/>
        <v>1069536</v>
      </c>
      <c r="R8" s="219">
        <v>4.0000000000000002E-4</v>
      </c>
      <c r="S8" s="215">
        <f t="shared" si="15"/>
        <v>427.81440000000003</v>
      </c>
      <c r="T8" s="225">
        <f t="shared" si="2"/>
        <v>-1228440</v>
      </c>
      <c r="U8" s="219">
        <v>4.0000000000000002E-4</v>
      </c>
      <c r="V8" s="216">
        <f t="shared" si="7"/>
        <v>-491.37600000000003</v>
      </c>
      <c r="W8" s="151"/>
      <c r="X8" s="150">
        <f t="shared" si="8"/>
        <v>928.3284000000001</v>
      </c>
      <c r="Y8" s="151"/>
      <c r="Z8" s="95">
        <f t="shared" si="9"/>
        <v>2320875.6800000002</v>
      </c>
      <c r="AA8" s="220">
        <f t="shared" si="10"/>
        <v>4.0000000000000002E-4</v>
      </c>
      <c r="AB8" s="217">
        <f t="shared" si="11"/>
        <v>928.35027200000013</v>
      </c>
      <c r="AC8" s="150">
        <f t="shared" si="12"/>
        <v>-2.1872000000030312E-2</v>
      </c>
      <c r="AD8" s="95">
        <f t="shared" si="13"/>
        <v>-54.680000000075779</v>
      </c>
      <c r="AE8" s="218">
        <f t="shared" si="14"/>
        <v>-2.356062789852202E-5</v>
      </c>
    </row>
    <row r="9" spans="1:31" ht="14.4">
      <c r="A9" s="180" t="s">
        <v>136</v>
      </c>
      <c r="B9" s="152"/>
      <c r="C9" s="158">
        <v>23</v>
      </c>
      <c r="D9" s="194"/>
      <c r="E9" s="182">
        <f>98727948.69-E10</f>
        <v>63279545.089999996</v>
      </c>
      <c r="F9" s="182">
        <v>-63894442</v>
      </c>
      <c r="G9" s="182">
        <f>89933574-G10</f>
        <v>54933574</v>
      </c>
      <c r="H9" s="189">
        <f t="shared" si="3"/>
        <v>-8960868</v>
      </c>
      <c r="I9" s="159">
        <f t="shared" si="4"/>
        <v>54318677.089999996</v>
      </c>
      <c r="J9" s="282">
        <f>(I9+I10)/C9</f>
        <v>3902916.5517391302</v>
      </c>
      <c r="K9" s="341">
        <f>I30/(I9+I10)</f>
        <v>6.1021759161988848E-2</v>
      </c>
      <c r="M9" s="151" t="s">
        <v>248</v>
      </c>
      <c r="N9" s="151"/>
      <c r="O9" s="214">
        <v>2303.09</v>
      </c>
      <c r="P9" s="225">
        <f>E11</f>
        <v>5757755.392</v>
      </c>
      <c r="Q9" s="225">
        <f>G11</f>
        <v>0</v>
      </c>
      <c r="R9" s="219">
        <v>4.0000000000000002E-4</v>
      </c>
      <c r="S9" s="215">
        <f t="shared" si="15"/>
        <v>0</v>
      </c>
      <c r="T9" s="225">
        <f>F11</f>
        <v>0</v>
      </c>
      <c r="U9" s="219">
        <v>4.0000000000000002E-4</v>
      </c>
      <c r="V9" s="216">
        <f t="shared" si="7"/>
        <v>0</v>
      </c>
      <c r="W9" s="151"/>
      <c r="X9" s="150">
        <f t="shared" si="8"/>
        <v>2303.09</v>
      </c>
      <c r="Y9" s="151"/>
      <c r="Z9" s="95">
        <f t="shared" si="9"/>
        <v>5757755.392</v>
      </c>
      <c r="AA9" s="220">
        <f t="shared" si="10"/>
        <v>4.0000000000000002E-4</v>
      </c>
      <c r="AB9" s="217">
        <f t="shared" si="11"/>
        <v>2303.1021568000001</v>
      </c>
      <c r="AC9" s="150">
        <f t="shared" si="12"/>
        <v>-1.2156799999957002E-2</v>
      </c>
      <c r="AD9" s="95">
        <f t="shared" si="13"/>
        <v>-30.391999999892505</v>
      </c>
      <c r="AE9" s="218">
        <f t="shared" si="14"/>
        <v>-5.2784737027024572E-6</v>
      </c>
    </row>
    <row r="10" spans="1:31" ht="14.4">
      <c r="A10" s="180" t="s">
        <v>179</v>
      </c>
      <c r="B10" s="152"/>
      <c r="C10" s="158"/>
      <c r="D10" s="194"/>
      <c r="E10" s="182">
        <v>35448403.600000001</v>
      </c>
      <c r="F10" s="182">
        <v>-35000000</v>
      </c>
      <c r="G10" s="182">
        <v>35000000</v>
      </c>
      <c r="H10" s="189">
        <f t="shared" si="3"/>
        <v>0</v>
      </c>
      <c r="I10" s="159">
        <f t="shared" si="4"/>
        <v>35448403.600000001</v>
      </c>
      <c r="J10" s="282"/>
      <c r="M10" s="151" t="s">
        <v>249</v>
      </c>
      <c r="N10" s="151"/>
      <c r="O10" s="214">
        <v>6713.83</v>
      </c>
      <c r="P10" s="225">
        <f>E12</f>
        <v>16784962.872000001</v>
      </c>
      <c r="Q10" s="225">
        <f>G12</f>
        <v>5938288</v>
      </c>
      <c r="R10" s="219">
        <v>4.0000000000000002E-4</v>
      </c>
      <c r="S10" s="215">
        <f t="shared" si="15"/>
        <v>2375.3152</v>
      </c>
      <c r="T10" s="225">
        <f>F12</f>
        <v>-7219225</v>
      </c>
      <c r="U10" s="219">
        <v>4.0000000000000002E-4</v>
      </c>
      <c r="V10" s="216">
        <f t="shared" si="7"/>
        <v>-2887.69</v>
      </c>
      <c r="W10" s="151"/>
      <c r="X10" s="150">
        <f>O10+S10+V10</f>
        <v>6201.4551999999985</v>
      </c>
      <c r="Y10" s="151"/>
      <c r="Z10" s="95">
        <f t="shared" si="9"/>
        <v>15504025.872000001</v>
      </c>
      <c r="AA10" s="220">
        <f t="shared" si="10"/>
        <v>4.0000000000000002E-4</v>
      </c>
      <c r="AB10" s="217">
        <f t="shared" si="11"/>
        <v>6201.6103488000008</v>
      </c>
      <c r="AC10" s="150">
        <f t="shared" si="12"/>
        <v>-0.15514880000228004</v>
      </c>
      <c r="AD10" s="95">
        <f t="shared" si="13"/>
        <v>-387.8720000057001</v>
      </c>
      <c r="AE10" s="218">
        <f t="shared" si="14"/>
        <v>-2.5018128003614391E-5</v>
      </c>
    </row>
    <row r="11" spans="1:31" ht="14.4">
      <c r="A11" s="180" t="s">
        <v>180</v>
      </c>
      <c r="B11" s="152"/>
      <c r="C11" s="158">
        <v>49</v>
      </c>
      <c r="D11" s="282"/>
      <c r="E11" s="182">
        <v>5757755.392</v>
      </c>
      <c r="F11" s="182">
        <v>0</v>
      </c>
      <c r="G11" s="182">
        <v>0</v>
      </c>
      <c r="H11" s="189">
        <f t="shared" si="3"/>
        <v>0</v>
      </c>
      <c r="I11" s="159">
        <f t="shared" si="4"/>
        <v>5757755.392</v>
      </c>
      <c r="J11" s="282">
        <f t="shared" si="5"/>
        <v>117505.21208163265</v>
      </c>
      <c r="K11" s="341">
        <f>I31/I11</f>
        <v>6.9530201049569001E-2</v>
      </c>
      <c r="M11" s="151" t="s">
        <v>250</v>
      </c>
      <c r="N11" s="151"/>
      <c r="O11" s="214">
        <v>502.44</v>
      </c>
      <c r="P11" s="225">
        <f>E13</f>
        <v>1256229.7250000001</v>
      </c>
      <c r="Q11" s="225">
        <f>G13</f>
        <v>373828</v>
      </c>
      <c r="R11" s="219">
        <v>4.0000000000000002E-4</v>
      </c>
      <c r="S11" s="215">
        <f t="shared" si="15"/>
        <v>149.53120000000001</v>
      </c>
      <c r="T11" s="225">
        <f>F13</f>
        <v>-623328</v>
      </c>
      <c r="U11" s="219">
        <v>4.0000000000000002E-4</v>
      </c>
      <c r="V11" s="216">
        <f t="shared" si="7"/>
        <v>-249.33120000000002</v>
      </c>
      <c r="W11" s="151"/>
      <c r="X11" s="150">
        <f t="shared" si="8"/>
        <v>402.63999999999993</v>
      </c>
      <c r="Y11" s="151"/>
      <c r="Z11" s="95">
        <f t="shared" si="9"/>
        <v>1006729.7250000001</v>
      </c>
      <c r="AA11" s="220">
        <f t="shared" si="10"/>
        <v>4.0000000000000002E-4</v>
      </c>
      <c r="AB11" s="217">
        <f t="shared" si="11"/>
        <v>402.69189000000006</v>
      </c>
      <c r="AC11" s="150">
        <f t="shared" si="12"/>
        <v>-5.1890000000128111E-2</v>
      </c>
      <c r="AD11" s="95">
        <f t="shared" si="13"/>
        <v>-129.72500000032028</v>
      </c>
      <c r="AE11" s="218">
        <f t="shared" si="14"/>
        <v>-1.2887442877043543E-4</v>
      </c>
    </row>
    <row r="12" spans="1:31" ht="14.4">
      <c r="A12" s="180" t="s">
        <v>137</v>
      </c>
      <c r="B12" s="152"/>
      <c r="C12" s="158">
        <v>1181</v>
      </c>
      <c r="D12" s="282"/>
      <c r="E12" s="182">
        <v>16784962.872000001</v>
      </c>
      <c r="F12" s="182">
        <v>-7219225</v>
      </c>
      <c r="G12" s="182">
        <v>5938288</v>
      </c>
      <c r="H12" s="189">
        <f t="shared" si="3"/>
        <v>-1280937</v>
      </c>
      <c r="I12" s="159">
        <f t="shared" si="4"/>
        <v>15504025.872000001</v>
      </c>
      <c r="J12" s="282">
        <f t="shared" si="5"/>
        <v>13127.879654530061</v>
      </c>
      <c r="K12" s="341">
        <f t="shared" ref="K12:K14" si="16">I32/I12</f>
        <v>8.2158344565228927E-2</v>
      </c>
      <c r="M12" s="151"/>
      <c r="N12" s="151"/>
      <c r="O12" s="221">
        <f>SUM(O3:O11)</f>
        <v>812692.04999999993</v>
      </c>
      <c r="P12" s="51">
        <f>SUM(P3:P11)</f>
        <v>351923868.84700006</v>
      </c>
      <c r="Q12" s="51">
        <f>SUM(Q3:Q11)</f>
        <v>147485144</v>
      </c>
      <c r="R12" s="151"/>
      <c r="S12" s="221">
        <f>SUM(S3:S11)</f>
        <v>348785.12105000002</v>
      </c>
      <c r="T12" s="51">
        <f>SUM(T3:T11)</f>
        <v>-191675119</v>
      </c>
      <c r="U12" s="151"/>
      <c r="V12" s="221">
        <f>SUM(V3:V11)</f>
        <v>-474040.15945000004</v>
      </c>
      <c r="W12" s="151"/>
      <c r="X12" s="221">
        <f>SUM(X3:X11)</f>
        <v>687437.01159999997</v>
      </c>
      <c r="Y12" s="151"/>
      <c r="Z12" s="51">
        <f>SUM(Z3:Z11)</f>
        <v>307733893.84700006</v>
      </c>
      <c r="AA12" s="151"/>
      <c r="AB12" s="51">
        <f>SUM(AB3:AB11)</f>
        <v>687415.78505119996</v>
      </c>
      <c r="AC12" s="221">
        <f>SUM(AC3:AC11)</f>
        <v>21.226548800013518</v>
      </c>
      <c r="AD12" s="51">
        <f>SUM(AD3:AD11)</f>
        <v>-2892.4425056456994</v>
      </c>
      <c r="AE12" s="218">
        <f t="shared" si="14"/>
        <v>3.087780908189541E-5</v>
      </c>
    </row>
    <row r="13" spans="1:31" ht="14.4">
      <c r="A13" s="180" t="s">
        <v>138</v>
      </c>
      <c r="B13" s="152"/>
      <c r="C13" s="158">
        <v>1184</v>
      </c>
      <c r="D13" s="282"/>
      <c r="E13" s="182">
        <v>1256229.7250000001</v>
      </c>
      <c r="F13" s="182">
        <v>-623328</v>
      </c>
      <c r="G13" s="182">
        <v>373828</v>
      </c>
      <c r="H13" s="189">
        <f t="shared" si="3"/>
        <v>-249500</v>
      </c>
      <c r="I13" s="159">
        <f t="shared" si="4"/>
        <v>1006729.7250000001</v>
      </c>
      <c r="J13" s="282">
        <f t="shared" si="5"/>
        <v>850.2784839527028</v>
      </c>
      <c r="K13" s="341">
        <f t="shared" si="16"/>
        <v>0.11085159250661838</v>
      </c>
      <c r="M13" s="151"/>
      <c r="N13" s="151"/>
      <c r="O13" s="151"/>
      <c r="P13" s="151"/>
      <c r="Q13" s="151"/>
      <c r="R13" s="151"/>
      <c r="S13" s="151"/>
      <c r="T13" s="151"/>
      <c r="U13" s="222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</row>
    <row r="14" spans="1:31" ht="14.4">
      <c r="A14" s="180" t="s">
        <v>181</v>
      </c>
      <c r="B14" s="152"/>
      <c r="C14" s="158">
        <v>421</v>
      </c>
      <c r="D14" s="194"/>
      <c r="E14" s="182">
        <v>895809.2</v>
      </c>
      <c r="F14" s="182"/>
      <c r="G14" s="182"/>
      <c r="H14" s="189"/>
      <c r="I14" s="159">
        <f t="shared" si="4"/>
        <v>895809.2</v>
      </c>
      <c r="J14" s="282">
        <f t="shared" si="5"/>
        <v>2127.8128266033254</v>
      </c>
      <c r="K14" s="341">
        <f t="shared" si="16"/>
        <v>0.61627743943688007</v>
      </c>
      <c r="M14" s="151"/>
      <c r="N14" s="151"/>
      <c r="O14" s="151"/>
      <c r="P14" s="151"/>
      <c r="Q14" s="151"/>
      <c r="R14" s="151"/>
      <c r="S14" s="151"/>
      <c r="T14" s="151"/>
      <c r="U14" s="222" t="s">
        <v>251</v>
      </c>
      <c r="V14" s="151" t="s">
        <v>252</v>
      </c>
      <c r="W14" s="151"/>
      <c r="X14" s="170">
        <v>0.95332300000000003</v>
      </c>
      <c r="Y14" s="151"/>
      <c r="Z14" s="151"/>
      <c r="AA14" s="151" t="s">
        <v>253</v>
      </c>
      <c r="AB14" s="151" t="s">
        <v>254</v>
      </c>
      <c r="AC14" s="151"/>
      <c r="AD14" s="151" t="s">
        <v>255</v>
      </c>
      <c r="AE14" s="151"/>
    </row>
    <row r="15" spans="1:31" ht="14.4">
      <c r="A15" s="180" t="s">
        <v>182</v>
      </c>
      <c r="B15" s="152"/>
      <c r="C15" s="158"/>
      <c r="D15" s="194"/>
      <c r="E15" s="182">
        <v>422618.8</v>
      </c>
      <c r="F15" s="182"/>
      <c r="G15" s="182"/>
      <c r="H15" s="189">
        <f t="shared" si="3"/>
        <v>0</v>
      </c>
      <c r="I15" s="159">
        <f t="shared" si="4"/>
        <v>422618.8</v>
      </c>
      <c r="J15" s="282"/>
      <c r="M15" s="151"/>
      <c r="N15" s="151"/>
      <c r="O15" s="151"/>
      <c r="P15" s="151"/>
      <c r="Q15" s="151"/>
      <c r="R15" s="151"/>
      <c r="S15" s="151"/>
      <c r="T15" s="151" t="s">
        <v>142</v>
      </c>
      <c r="U15" s="151" t="s">
        <v>256</v>
      </c>
      <c r="V15" s="151"/>
      <c r="W15" s="151"/>
      <c r="X15" s="223">
        <f>(X3+X4)*X14</f>
        <v>591138.76653037919</v>
      </c>
      <c r="Y15" s="151"/>
      <c r="Z15" s="151" t="s">
        <v>19</v>
      </c>
      <c r="AA15" s="50">
        <f>P3+P4+Q3+Q4+T3+T4</f>
        <v>139338821.60800001</v>
      </c>
      <c r="AB15" s="170">
        <v>4.2399999999999998E-3</v>
      </c>
      <c r="AC15" s="150">
        <f>AA15*AB15</f>
        <v>590796.60361792007</v>
      </c>
      <c r="AD15" s="150">
        <f>X15-AC15</f>
        <v>342.1629124591127</v>
      </c>
      <c r="AE15" s="218">
        <f>AD15/X15</f>
        <v>5.7881995198419899E-4</v>
      </c>
    </row>
    <row r="16" spans="1:31" ht="14.4">
      <c r="A16" s="180" t="s">
        <v>183</v>
      </c>
      <c r="B16" s="152"/>
      <c r="C16" s="158"/>
      <c r="D16" s="195"/>
      <c r="E16" s="182">
        <v>217027.03</v>
      </c>
      <c r="F16" s="182"/>
      <c r="G16" s="182"/>
      <c r="H16" s="189">
        <f t="shared" si="3"/>
        <v>0</v>
      </c>
      <c r="I16" s="159">
        <f t="shared" si="4"/>
        <v>217027.03</v>
      </c>
      <c r="J16" s="282"/>
      <c r="M16" s="151"/>
      <c r="N16" s="151"/>
      <c r="O16" s="151"/>
      <c r="P16" s="151"/>
      <c r="Q16" s="151"/>
      <c r="R16" s="151"/>
      <c r="S16" s="151"/>
      <c r="T16" s="151" t="s">
        <v>142</v>
      </c>
      <c r="U16" s="151" t="s">
        <v>257</v>
      </c>
      <c r="V16" s="151"/>
      <c r="W16" s="151"/>
      <c r="X16" s="223">
        <f>SUM(X5:X11)*X14</f>
        <v>64210.747679167587</v>
      </c>
      <c r="Y16" s="151"/>
      <c r="Z16" s="151" t="s">
        <v>184</v>
      </c>
      <c r="AA16" s="50">
        <f>SUM(P5:Q11,T5:T11)</f>
        <v>168395072.23899999</v>
      </c>
      <c r="AB16" s="170">
        <v>3.8000000000000002E-4</v>
      </c>
      <c r="AC16" s="150">
        <f>AA16*AB16</f>
        <v>63990.12745082</v>
      </c>
      <c r="AD16" s="150">
        <f>X16-AC16</f>
        <v>220.62022834758682</v>
      </c>
      <c r="AE16" s="218">
        <f>AD16/X16</f>
        <v>3.4358769570777699E-3</v>
      </c>
    </row>
    <row r="17" spans="1:26" ht="14.4">
      <c r="A17" s="152"/>
      <c r="B17" s="152"/>
      <c r="C17" s="160">
        <f>SUM(C3:C16)</f>
        <v>250284</v>
      </c>
      <c r="E17" s="160">
        <f>SUM(E3:E16)</f>
        <v>452187272.56700003</v>
      </c>
      <c r="F17" s="160">
        <f>SUM(F3:F16)</f>
        <v>-290569561</v>
      </c>
      <c r="G17" s="160">
        <f>SUM(G3:G16)</f>
        <v>237418718</v>
      </c>
      <c r="H17" s="160">
        <f>SUM(H3:H16)</f>
        <v>-53150843</v>
      </c>
      <c r="I17" s="160">
        <f>SUM(I3:I16)</f>
        <v>399036429.56700003</v>
      </c>
      <c r="Z17" s="151" t="s">
        <v>236</v>
      </c>
    </row>
    <row r="18" spans="1:26" ht="14.4" thickBot="1">
      <c r="A18" s="152"/>
      <c r="B18" s="152"/>
      <c r="C18" s="152"/>
      <c r="E18" s="152"/>
      <c r="F18" s="152"/>
      <c r="G18" s="152"/>
      <c r="I18" s="152"/>
    </row>
    <row r="19" spans="1:26">
      <c r="A19" s="152" t="s">
        <v>19</v>
      </c>
      <c r="B19" s="152"/>
      <c r="C19" s="161">
        <f>C3+C4</f>
        <v>214122</v>
      </c>
      <c r="E19" s="162">
        <f>E3+E4</f>
        <v>165901549.60800001</v>
      </c>
      <c r="F19" s="162">
        <f>F3+F4</f>
        <v>-98116077</v>
      </c>
      <c r="G19" s="162">
        <f>G3+G4</f>
        <v>71553349</v>
      </c>
      <c r="H19" s="162">
        <f>H3+H4</f>
        <v>-26562728</v>
      </c>
      <c r="I19" s="161">
        <f>I3+I4</f>
        <v>139338821.60800001</v>
      </c>
    </row>
    <row r="20" spans="1:26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26" ht="14.4" thickBot="1">
      <c r="A21" s="152" t="s">
        <v>184</v>
      </c>
      <c r="B21" s="152"/>
      <c r="C21" s="177">
        <f>SUM(C5:C8,C11:C13)</f>
        <v>35718</v>
      </c>
      <c r="E21" s="178">
        <f>SUM(E5:E8,E11:E13)</f>
        <v>186022319.23899999</v>
      </c>
      <c r="F21" s="178">
        <f>SUM(F5:F8,F11:F13)</f>
        <v>-93559042</v>
      </c>
      <c r="G21" s="178">
        <f>SUM(G5:G8,G11:G13)</f>
        <v>75931795</v>
      </c>
      <c r="H21" s="178">
        <f>SUM(H5:H8,H11:H13)</f>
        <v>-17627247</v>
      </c>
      <c r="I21" s="177">
        <f>SUM(I5:I8,I11:I13)</f>
        <v>168395072.23899999</v>
      </c>
    </row>
    <row r="22" spans="1:26">
      <c r="A22" s="152"/>
      <c r="B22" s="152"/>
      <c r="C22" s="152"/>
      <c r="D22" s="152"/>
      <c r="E22" s="152"/>
    </row>
    <row r="23" spans="1:26" ht="53.4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</row>
    <row r="24" spans="1:26">
      <c r="A24" s="180" t="s">
        <v>131</v>
      </c>
      <c r="B24" s="152"/>
      <c r="C24" s="181">
        <v>1971933.5</v>
      </c>
      <c r="D24" s="181">
        <v>15091920.35</v>
      </c>
      <c r="E24" s="183">
        <v>-9325368</v>
      </c>
      <c r="F24" s="183">
        <v>7160987</v>
      </c>
      <c r="G24" s="174">
        <f>SUM(D24:F24)</f>
        <v>12927539.35</v>
      </c>
      <c r="H24" s="174">
        <f>-K62</f>
        <v>105370.85999</v>
      </c>
      <c r="I24" s="174">
        <f>SUM(G24:H24)</f>
        <v>13032910.20999</v>
      </c>
    </row>
    <row r="25" spans="1:26">
      <c r="A25" s="180" t="s">
        <v>178</v>
      </c>
      <c r="B25" s="152"/>
      <c r="C25" s="181">
        <v>3600</v>
      </c>
      <c r="D25" s="181">
        <v>25392.73</v>
      </c>
      <c r="E25" s="183">
        <v>-10431</v>
      </c>
      <c r="F25" s="183">
        <v>8415</v>
      </c>
      <c r="G25" s="174">
        <f t="shared" ref="G25:G33" si="17">SUM(D25:F25)</f>
        <v>23376.73</v>
      </c>
      <c r="H25" s="174">
        <f t="shared" ref="H25:H30" si="18">-K63</f>
        <v>-1125.7597700000001</v>
      </c>
      <c r="I25" s="174">
        <f t="shared" ref="I25:I34" si="19">SUM(G25:H25)</f>
        <v>22250.970229999999</v>
      </c>
    </row>
    <row r="26" spans="1:26">
      <c r="A26" s="180" t="s">
        <v>132</v>
      </c>
      <c r="B26" s="152"/>
      <c r="C26" s="181">
        <v>449658.68</v>
      </c>
      <c r="D26" s="181">
        <v>5308573.1399999997</v>
      </c>
      <c r="E26" s="183">
        <v>-2833870</v>
      </c>
      <c r="F26" s="183">
        <v>2301471</v>
      </c>
      <c r="G26" s="174">
        <f t="shared" si="17"/>
        <v>4776174.1399999997</v>
      </c>
      <c r="H26" s="174">
        <f t="shared" si="18"/>
        <v>-3187.0400500000078</v>
      </c>
      <c r="I26" s="174">
        <f t="shared" si="19"/>
        <v>4772987.0999499997</v>
      </c>
    </row>
    <row r="27" spans="1:26">
      <c r="A27" s="180" t="s">
        <v>133</v>
      </c>
      <c r="B27" s="152"/>
      <c r="C27" s="181">
        <v>189997.3</v>
      </c>
      <c r="D27" s="181">
        <v>628643.46</v>
      </c>
      <c r="E27" s="183">
        <v>-323447</v>
      </c>
      <c r="F27" s="183">
        <v>295992</v>
      </c>
      <c r="G27" s="174">
        <f t="shared" si="17"/>
        <v>601188.46</v>
      </c>
      <c r="H27" s="174">
        <f t="shared" si="18"/>
        <v>-1303.3958600000001</v>
      </c>
      <c r="I27" s="174">
        <f t="shared" si="19"/>
        <v>599885.06413999991</v>
      </c>
    </row>
    <row r="28" spans="1:26">
      <c r="A28" s="180" t="s">
        <v>134</v>
      </c>
      <c r="B28" s="152"/>
      <c r="C28" s="181">
        <v>906956.66</v>
      </c>
      <c r="D28" s="181">
        <v>10294005.91</v>
      </c>
      <c r="E28" s="183">
        <v>-4748079</v>
      </c>
      <c r="F28" s="183">
        <v>4029997</v>
      </c>
      <c r="G28" s="174">
        <f t="shared" si="17"/>
        <v>9575923.9100000001</v>
      </c>
      <c r="H28" s="174">
        <f t="shared" si="18"/>
        <v>-9744.1374800000012</v>
      </c>
      <c r="I28" s="174">
        <f t="shared" si="19"/>
        <v>9566179.7725200001</v>
      </c>
    </row>
    <row r="29" spans="1:26">
      <c r="A29" s="180" t="s">
        <v>135</v>
      </c>
      <c r="B29" s="152"/>
      <c r="C29" s="181">
        <v>24316.67</v>
      </c>
      <c r="D29" s="181">
        <v>226086.39999999999</v>
      </c>
      <c r="E29" s="183">
        <v>-102634</v>
      </c>
      <c r="F29" s="183">
        <v>92924</v>
      </c>
      <c r="G29" s="174">
        <f t="shared" si="17"/>
        <v>216376.4</v>
      </c>
      <c r="H29" s="174">
        <f t="shared" si="18"/>
        <v>-600.15863999999999</v>
      </c>
      <c r="I29" s="174">
        <f t="shared" si="19"/>
        <v>215776.24135999999</v>
      </c>
    </row>
    <row r="30" spans="1:26">
      <c r="A30" s="180" t="s">
        <v>136</v>
      </c>
      <c r="B30" s="152"/>
      <c r="C30" s="181">
        <v>552000</v>
      </c>
      <c r="D30" s="181">
        <f>5971730.13-82017.43</f>
        <v>5889712.7000000002</v>
      </c>
      <c r="E30" s="183">
        <v>-6159064</v>
      </c>
      <c r="F30" s="183">
        <v>5790051</v>
      </c>
      <c r="G30" s="174">
        <f t="shared" si="17"/>
        <v>5520699.7000000002</v>
      </c>
      <c r="H30" s="174">
        <f t="shared" si="18"/>
        <v>-42954.521459999996</v>
      </c>
      <c r="I30" s="174">
        <f t="shared" si="19"/>
        <v>5477745.1785399998</v>
      </c>
      <c r="J30" s="283"/>
    </row>
    <row r="31" spans="1:26">
      <c r="A31" s="180" t="s">
        <v>180</v>
      </c>
      <c r="B31" s="152"/>
      <c r="C31" s="181">
        <v>980</v>
      </c>
      <c r="D31" s="181">
        <v>400337.89</v>
      </c>
      <c r="E31" s="183">
        <v>0</v>
      </c>
      <c r="F31" s="183">
        <v>0</v>
      </c>
      <c r="G31" s="174">
        <f t="shared" si="17"/>
        <v>400337.89</v>
      </c>
      <c r="H31" s="174">
        <f>-K69</f>
        <v>0</v>
      </c>
      <c r="I31" s="174">
        <f t="shared" si="19"/>
        <v>400337.89</v>
      </c>
    </row>
    <row r="32" spans="1:26">
      <c r="A32" s="180" t="s">
        <v>137</v>
      </c>
      <c r="B32" s="152"/>
      <c r="C32" s="181">
        <v>23700</v>
      </c>
      <c r="D32" s="181">
        <v>1342462.42</v>
      </c>
      <c r="E32" s="183">
        <v>-422754</v>
      </c>
      <c r="F32" s="183">
        <v>355569</v>
      </c>
      <c r="G32" s="174">
        <f t="shared" si="17"/>
        <v>1275277.42</v>
      </c>
      <c r="H32" s="174">
        <f>-K70</f>
        <v>-1492.3202600000006</v>
      </c>
      <c r="I32" s="174">
        <f t="shared" si="19"/>
        <v>1273785.09974</v>
      </c>
    </row>
    <row r="33" spans="1:15">
      <c r="A33" s="180" t="s">
        <v>138</v>
      </c>
      <c r="B33" s="152"/>
      <c r="C33" s="181">
        <v>23880</v>
      </c>
      <c r="D33" s="181">
        <v>130157.16</v>
      </c>
      <c r="E33" s="183">
        <v>-61055</v>
      </c>
      <c r="F33" s="183">
        <v>42268</v>
      </c>
      <c r="G33" s="174">
        <f t="shared" si="17"/>
        <v>111370.16</v>
      </c>
      <c r="H33" s="174">
        <f>-K71</f>
        <v>227.43324000000024</v>
      </c>
      <c r="I33" s="174">
        <f t="shared" si="19"/>
        <v>111597.59324</v>
      </c>
    </row>
    <row r="34" spans="1:15">
      <c r="A34" s="180" t="s">
        <v>192</v>
      </c>
      <c r="B34" s="152"/>
      <c r="C34" s="174"/>
      <c r="D34" s="181">
        <v>552067</v>
      </c>
      <c r="E34" s="181"/>
      <c r="F34" s="181"/>
      <c r="G34" s="174">
        <f>SUM(D34:F34)</f>
        <v>552067</v>
      </c>
      <c r="H34" s="174"/>
      <c r="I34" s="174">
        <f t="shared" si="19"/>
        <v>552067</v>
      </c>
    </row>
    <row r="35" spans="1:15">
      <c r="A35" s="180" t="s">
        <v>193</v>
      </c>
      <c r="B35" s="152"/>
      <c r="C35" s="194"/>
      <c r="D35" s="181">
        <v>2015524.82</v>
      </c>
      <c r="E35" s="181"/>
      <c r="F35" s="181"/>
      <c r="G35" s="174"/>
      <c r="H35" s="174"/>
      <c r="I35" s="174"/>
    </row>
    <row r="36" spans="1:15">
      <c r="A36" s="180" t="s">
        <v>194</v>
      </c>
      <c r="B36" s="152"/>
      <c r="C36" s="194"/>
      <c r="D36" s="181">
        <v>1565796.01</v>
      </c>
      <c r="E36" s="181"/>
      <c r="F36" s="181"/>
      <c r="G36" s="174"/>
      <c r="H36" s="174"/>
      <c r="I36" s="174"/>
    </row>
    <row r="37" spans="1:15">
      <c r="A37" s="152"/>
      <c r="B37" s="152"/>
      <c r="C37" s="166">
        <f t="shared" ref="C37:I37" si="20">SUM(C24:C36)</f>
        <v>4147022.81</v>
      </c>
      <c r="D37" s="166">
        <f t="shared" si="20"/>
        <v>43470679.989999995</v>
      </c>
      <c r="E37" s="166">
        <f t="shared" si="20"/>
        <v>-23986702</v>
      </c>
      <c r="F37" s="166">
        <f t="shared" si="20"/>
        <v>20077674</v>
      </c>
      <c r="G37" s="166">
        <f t="shared" si="20"/>
        <v>35980331.159999996</v>
      </c>
      <c r="H37" s="166">
        <f t="shared" si="20"/>
        <v>45190.959709999981</v>
      </c>
      <c r="I37" s="166">
        <f t="shared" si="20"/>
        <v>36025522.119709998</v>
      </c>
    </row>
    <row r="38" spans="1:15" ht="14.4" thickBot="1">
      <c r="A38" s="152"/>
      <c r="B38" s="152"/>
      <c r="D38" s="167"/>
      <c r="E38" s="152"/>
      <c r="F38" s="152"/>
    </row>
    <row r="39" spans="1:15">
      <c r="A39" s="152" t="s">
        <v>19</v>
      </c>
      <c r="B39" s="152"/>
      <c r="C39" s="169">
        <f t="shared" ref="C39:I39" si="21">C24+C25</f>
        <v>1975533.5</v>
      </c>
      <c r="D39" s="168">
        <f t="shared" si="21"/>
        <v>15117313.08</v>
      </c>
      <c r="E39" s="168">
        <f t="shared" si="21"/>
        <v>-9335799</v>
      </c>
      <c r="F39" s="168">
        <f t="shared" si="21"/>
        <v>7169402</v>
      </c>
      <c r="G39" s="168">
        <f t="shared" si="21"/>
        <v>12950916.08</v>
      </c>
      <c r="H39" s="168">
        <f t="shared" si="21"/>
        <v>104245.10021999999</v>
      </c>
      <c r="I39" s="169">
        <f t="shared" si="21"/>
        <v>13055161.18022</v>
      </c>
    </row>
    <row r="40" spans="1:15" ht="6" customHeight="1">
      <c r="A40" s="152"/>
      <c r="B40" s="152"/>
      <c r="C40" s="173"/>
      <c r="D40" s="168"/>
      <c r="E40" s="152"/>
      <c r="F40" s="152"/>
      <c r="I40" s="190"/>
    </row>
    <row r="41" spans="1:15" ht="14.4" thickBot="1">
      <c r="A41" s="152" t="s">
        <v>184</v>
      </c>
      <c r="B41" s="152"/>
      <c r="C41" s="175">
        <f>SUM(C26:C29,C31:C33)</f>
        <v>1619489.31</v>
      </c>
      <c r="D41" s="176">
        <f t="shared" ref="D41:I41" si="22">SUM(D26:D29,D31:D33)</f>
        <v>18330266.379999999</v>
      </c>
      <c r="E41" s="176">
        <f t="shared" si="22"/>
        <v>-8491839</v>
      </c>
      <c r="F41" s="176">
        <f t="shared" si="22"/>
        <v>7118221</v>
      </c>
      <c r="G41" s="176">
        <f t="shared" si="22"/>
        <v>16956648.379999999</v>
      </c>
      <c r="H41" s="176">
        <f t="shared" si="22"/>
        <v>-16099.619050000008</v>
      </c>
      <c r="I41" s="175">
        <f t="shared" si="22"/>
        <v>16940548.760949999</v>
      </c>
    </row>
    <row r="42" spans="1:15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15">
      <c r="C43" s="191">
        <v>43040</v>
      </c>
      <c r="D43" s="191">
        <v>43252</v>
      </c>
      <c r="E43" s="196">
        <v>43040</v>
      </c>
      <c r="F43" s="192">
        <v>42278</v>
      </c>
      <c r="G43" s="191">
        <v>42948</v>
      </c>
      <c r="H43" s="191">
        <v>43344</v>
      </c>
      <c r="I43" s="191">
        <v>43009</v>
      </c>
      <c r="J43" s="191">
        <v>42380</v>
      </c>
      <c r="K43" s="191">
        <v>43282</v>
      </c>
      <c r="L43" s="191"/>
      <c r="M43" s="196"/>
    </row>
    <row r="44" spans="1:15" ht="39.6">
      <c r="A44" s="179" t="s">
        <v>195</v>
      </c>
      <c r="B44" s="154"/>
      <c r="C44" s="165" t="s">
        <v>196</v>
      </c>
      <c r="D44" s="165" t="s">
        <v>312</v>
      </c>
      <c r="E44" s="165" t="s">
        <v>213</v>
      </c>
      <c r="F44" s="165" t="s">
        <v>197</v>
      </c>
      <c r="G44" s="165" t="s">
        <v>198</v>
      </c>
      <c r="H44" s="165" t="s">
        <v>198</v>
      </c>
      <c r="I44" s="165" t="s">
        <v>199</v>
      </c>
      <c r="J44" s="165" t="s">
        <v>200</v>
      </c>
      <c r="K44" s="165" t="s">
        <v>201</v>
      </c>
      <c r="L44" s="165"/>
      <c r="N44" s="211" t="s">
        <v>229</v>
      </c>
      <c r="O44" s="194" t="s">
        <v>230</v>
      </c>
    </row>
    <row r="45" spans="1:15">
      <c r="A45" s="180" t="s">
        <v>131</v>
      </c>
      <c r="B45" s="152"/>
      <c r="C45" s="171">
        <v>-8.0999999999999996E-4</v>
      </c>
      <c r="D45" s="171">
        <v>-1.42E-3</v>
      </c>
      <c r="E45" s="171">
        <v>4.45E-3</v>
      </c>
      <c r="F45" s="171"/>
      <c r="G45" s="171">
        <v>3.4399999999999999E-3</v>
      </c>
      <c r="H45" s="171">
        <v>4.3299999999999996E-3</v>
      </c>
      <c r="I45" s="171">
        <v>1.0499999999999999E-3</v>
      </c>
      <c r="J45" s="171">
        <v>0</v>
      </c>
      <c r="K45" s="171">
        <v>-3.4000000000000002E-4</v>
      </c>
      <c r="L45" s="171"/>
      <c r="N45" s="171">
        <f>SUM(B45:K45)-G45-H45</f>
        <v>2.9299999999999994E-3</v>
      </c>
      <c r="O45" s="335">
        <f>N45*H3+F3*G45+G3*H45</f>
        <v>-105370.85998999997</v>
      </c>
    </row>
    <row r="46" spans="1:15">
      <c r="A46" s="180" t="s">
        <v>178</v>
      </c>
      <c r="B46" s="152"/>
      <c r="C46" s="171">
        <v>-8.0999999999999996E-4</v>
      </c>
      <c r="D46" s="171">
        <v>-1.42E-3</v>
      </c>
      <c r="E46" s="171">
        <v>4.45E-3</v>
      </c>
      <c r="F46" s="171">
        <v>-3.1530000000000002E-2</v>
      </c>
      <c r="G46" s="171">
        <v>3.4399999999999999E-3</v>
      </c>
      <c r="H46" s="171">
        <v>4.3299999999999996E-3</v>
      </c>
      <c r="I46" s="171">
        <v>1.0499999999999999E-3</v>
      </c>
      <c r="J46" s="171">
        <v>0</v>
      </c>
      <c r="K46" s="171">
        <v>-3.4000000000000002E-4</v>
      </c>
      <c r="L46" s="171"/>
      <c r="N46" s="171">
        <f t="shared" ref="N46:N57" si="23">SUM(B46:K46)-G46-H46</f>
        <v>-2.8600000000000004E-2</v>
      </c>
      <c r="O46" s="335">
        <f t="shared" ref="O46:O57" si="24">N46*H4+F4*G46+G4*H46</f>
        <v>1125.7597700000001</v>
      </c>
    </row>
    <row r="47" spans="1:15">
      <c r="A47" s="180" t="s">
        <v>132</v>
      </c>
      <c r="B47" s="152"/>
      <c r="C47" s="171">
        <v>0</v>
      </c>
      <c r="D47" s="171">
        <v>-1.8799999999999999E-3</v>
      </c>
      <c r="E47" s="171">
        <v>4.0000000000000002E-4</v>
      </c>
      <c r="F47" s="171"/>
      <c r="G47" s="171">
        <v>4.6299999999999996E-3</v>
      </c>
      <c r="H47" s="171">
        <v>5.9699999999999996E-3</v>
      </c>
      <c r="I47" s="171">
        <v>1.5200000000000001E-3</v>
      </c>
      <c r="J47" s="171">
        <v>0</v>
      </c>
      <c r="K47" s="171">
        <v>-3.6000000000000002E-4</v>
      </c>
      <c r="L47" s="171"/>
      <c r="N47" s="171">
        <f t="shared" si="23"/>
        <v>-3.1999999999999824E-4</v>
      </c>
      <c r="O47" s="335">
        <f t="shared" si="24"/>
        <v>3187.040049999996</v>
      </c>
    </row>
    <row r="48" spans="1:15">
      <c r="A48" s="180" t="s">
        <v>133</v>
      </c>
      <c r="B48" s="152"/>
      <c r="C48" s="171">
        <v>-8.0999999999999996E-4</v>
      </c>
      <c r="D48" s="171">
        <v>-1.8799999999999999E-3</v>
      </c>
      <c r="E48" s="171">
        <v>4.0000000000000002E-4</v>
      </c>
      <c r="F48" s="171"/>
      <c r="G48" s="171">
        <v>4.6299999999999996E-3</v>
      </c>
      <c r="H48" s="171">
        <v>5.9699999999999996E-3</v>
      </c>
      <c r="I48" s="171">
        <v>1.5200000000000001E-3</v>
      </c>
      <c r="J48" s="171">
        <v>0</v>
      </c>
      <c r="K48" s="171">
        <v>-3.6000000000000002E-4</v>
      </c>
      <c r="L48" s="171"/>
      <c r="N48" s="171">
        <f t="shared" si="23"/>
        <v>-1.1299999999999982E-3</v>
      </c>
      <c r="O48" s="335">
        <f t="shared" si="24"/>
        <v>1303.3958600000005</v>
      </c>
    </row>
    <row r="49" spans="1:15" ht="14.4" customHeight="1">
      <c r="A49" s="180" t="s">
        <v>134</v>
      </c>
      <c r="B49" s="152"/>
      <c r="C49" s="171">
        <v>0</v>
      </c>
      <c r="D49" s="171">
        <v>-1.4400000000000001E-3</v>
      </c>
      <c r="E49" s="171">
        <v>4.0000000000000002E-4</v>
      </c>
      <c r="F49" s="171"/>
      <c r="G49" s="171">
        <v>3.6600000000000001E-3</v>
      </c>
      <c r="H49" s="171">
        <v>4.5999999999999999E-3</v>
      </c>
      <c r="I49" s="171">
        <v>1.1000000000000001E-3</v>
      </c>
      <c r="J49" s="171">
        <v>0</v>
      </c>
      <c r="K49" s="171">
        <v>-3.6000000000000002E-4</v>
      </c>
      <c r="L49" s="171"/>
      <c r="N49" s="171">
        <f t="shared" si="23"/>
        <v>-2.9999999999999992E-4</v>
      </c>
      <c r="O49" s="335">
        <f t="shared" si="24"/>
        <v>9744.1374800000049</v>
      </c>
    </row>
    <row r="50" spans="1:15">
      <c r="A50" s="180" t="s">
        <v>135</v>
      </c>
      <c r="B50" s="152"/>
      <c r="C50" s="171">
        <v>-8.0999999999999996E-4</v>
      </c>
      <c r="D50" s="171">
        <v>-1.4400000000000001E-3</v>
      </c>
      <c r="E50" s="171">
        <v>4.0000000000000002E-4</v>
      </c>
      <c r="F50" s="171"/>
      <c r="G50" s="171">
        <v>3.6600000000000001E-3</v>
      </c>
      <c r="H50" s="171">
        <v>4.5999999999999999E-3</v>
      </c>
      <c r="I50" s="171">
        <v>1.1000000000000001E-3</v>
      </c>
      <c r="J50" s="171">
        <v>0</v>
      </c>
      <c r="K50" s="171">
        <v>-3.6000000000000002E-4</v>
      </c>
      <c r="L50" s="171"/>
      <c r="N50" s="171">
        <f t="shared" si="23"/>
        <v>-1.1099999999999999E-3</v>
      </c>
      <c r="O50" s="335">
        <f t="shared" si="24"/>
        <v>600.15863999999965</v>
      </c>
    </row>
    <row r="51" spans="1:15">
      <c r="A51" s="180" t="s">
        <v>136</v>
      </c>
      <c r="B51" s="152"/>
      <c r="C51" s="171">
        <v>0</v>
      </c>
      <c r="D51" s="171">
        <v>-9.3000000000000005E-4</v>
      </c>
      <c r="E51" s="171">
        <v>0</v>
      </c>
      <c r="F51" s="171"/>
      <c r="G51" s="171">
        <v>2.32E-3</v>
      </c>
      <c r="H51" s="171">
        <v>2.97E-3</v>
      </c>
      <c r="I51" s="171">
        <v>6.8999999999999997E-4</v>
      </c>
      <c r="J51" s="171">
        <v>0</v>
      </c>
      <c r="K51" s="171">
        <v>-3.5E-4</v>
      </c>
      <c r="L51" s="171"/>
      <c r="N51" s="171">
        <f t="shared" si="23"/>
        <v>-5.8999999999999981E-4</v>
      </c>
      <c r="O51" s="335">
        <f t="shared" si="24"/>
        <v>20204.521459999989</v>
      </c>
    </row>
    <row r="52" spans="1:15">
      <c r="A52" s="180" t="s">
        <v>179</v>
      </c>
      <c r="B52" s="152"/>
      <c r="C52" s="171">
        <v>0</v>
      </c>
      <c r="D52" s="171">
        <v>0</v>
      </c>
      <c r="E52" s="171">
        <v>0</v>
      </c>
      <c r="F52" s="171"/>
      <c r="G52" s="171">
        <v>2.32E-3</v>
      </c>
      <c r="H52" s="171">
        <v>2.97E-3</v>
      </c>
      <c r="I52" s="171">
        <v>0</v>
      </c>
      <c r="J52" s="171">
        <v>0</v>
      </c>
      <c r="K52" s="171">
        <v>-3.5E-4</v>
      </c>
      <c r="L52" s="171"/>
      <c r="N52" s="171">
        <f t="shared" si="23"/>
        <v>-3.5000000000000005E-4</v>
      </c>
      <c r="O52" s="335">
        <f t="shared" si="24"/>
        <v>22750</v>
      </c>
    </row>
    <row r="53" spans="1:15">
      <c r="A53" s="180" t="s">
        <v>180</v>
      </c>
      <c r="B53" s="152"/>
      <c r="C53" s="171">
        <v>0</v>
      </c>
      <c r="D53" s="171">
        <v>-1.2999999999999999E-3</v>
      </c>
      <c r="E53" s="171">
        <v>4.0000000000000002E-4</v>
      </c>
      <c r="F53" s="171"/>
      <c r="G53" s="171">
        <v>3.4099999999999998E-3</v>
      </c>
      <c r="H53" s="171">
        <v>4.3299999999999996E-3</v>
      </c>
      <c r="I53" s="171">
        <v>9.6000000000000002E-4</v>
      </c>
      <c r="J53" s="171">
        <v>0</v>
      </c>
      <c r="K53" s="171">
        <v>-3.6999999999999999E-4</v>
      </c>
      <c r="L53" s="171"/>
      <c r="N53" s="171">
        <f t="shared" si="23"/>
        <v>-3.0999999999999951E-4</v>
      </c>
      <c r="O53" s="335">
        <f t="shared" si="24"/>
        <v>0</v>
      </c>
    </row>
    <row r="54" spans="1:15">
      <c r="A54" s="180" t="s">
        <v>137</v>
      </c>
      <c r="B54" s="152"/>
      <c r="C54" s="171">
        <v>0</v>
      </c>
      <c r="D54" s="171">
        <v>-1.2999999999999999E-3</v>
      </c>
      <c r="E54" s="171">
        <v>4.0000000000000002E-4</v>
      </c>
      <c r="F54" s="171"/>
      <c r="G54" s="171">
        <v>3.4099999999999998E-3</v>
      </c>
      <c r="H54" s="171">
        <v>4.3299999999999996E-3</v>
      </c>
      <c r="I54" s="171">
        <v>9.6000000000000002E-4</v>
      </c>
      <c r="J54" s="171">
        <v>0</v>
      </c>
      <c r="K54" s="171">
        <v>-3.6999999999999999E-4</v>
      </c>
      <c r="L54" s="171"/>
      <c r="N54" s="171">
        <f t="shared" si="23"/>
        <v>-3.0999999999999951E-4</v>
      </c>
      <c r="O54" s="335">
        <f t="shared" si="24"/>
        <v>1492.3202600000004</v>
      </c>
    </row>
    <row r="55" spans="1:15">
      <c r="A55" s="180" t="s">
        <v>138</v>
      </c>
      <c r="B55" s="152"/>
      <c r="C55" s="171">
        <v>-8.0999999999999996E-4</v>
      </c>
      <c r="D55" s="171">
        <v>-1.2999999999999999E-3</v>
      </c>
      <c r="E55" s="171">
        <v>4.0000000000000002E-4</v>
      </c>
      <c r="F55" s="171"/>
      <c r="G55" s="171">
        <v>3.4099999999999998E-3</v>
      </c>
      <c r="H55" s="171">
        <v>4.3299999999999996E-3</v>
      </c>
      <c r="I55" s="171">
        <v>9.6000000000000002E-4</v>
      </c>
      <c r="J55" s="171">
        <v>0</v>
      </c>
      <c r="K55" s="171">
        <v>-3.6999999999999999E-4</v>
      </c>
      <c r="L55" s="171"/>
      <c r="N55" s="171">
        <f t="shared" si="23"/>
        <v>-1.1199999999999995E-3</v>
      </c>
      <c r="O55" s="335">
        <f t="shared" si="24"/>
        <v>-227.4332400000003</v>
      </c>
    </row>
    <row r="56" spans="1:15">
      <c r="A56" s="180" t="s">
        <v>192</v>
      </c>
      <c r="B56" s="152"/>
      <c r="C56" s="171">
        <v>0</v>
      </c>
      <c r="D56" s="171">
        <v>0</v>
      </c>
      <c r="E56" s="171">
        <v>0</v>
      </c>
      <c r="F56" s="171"/>
      <c r="G56" s="186">
        <v>1.2149999999999999E-2</v>
      </c>
      <c r="H56" s="186">
        <v>1.013E-2</v>
      </c>
      <c r="I56" s="401" t="s">
        <v>214</v>
      </c>
      <c r="J56" s="171">
        <v>0</v>
      </c>
      <c r="K56" s="186">
        <v>-4.8000000000000001E-4</v>
      </c>
      <c r="L56" s="186"/>
      <c r="N56" s="171">
        <f t="shared" si="23"/>
        <v>-4.7999999999999952E-4</v>
      </c>
      <c r="O56" s="335">
        <f t="shared" si="24"/>
        <v>0</v>
      </c>
    </row>
    <row r="57" spans="1:15">
      <c r="A57" s="180" t="s">
        <v>183</v>
      </c>
      <c r="B57" s="152"/>
      <c r="C57" s="171">
        <v>-8.0999999999999996E-4</v>
      </c>
      <c r="D57" s="171">
        <v>0</v>
      </c>
      <c r="E57" s="171">
        <v>0</v>
      </c>
      <c r="F57" s="171"/>
      <c r="G57" s="186">
        <v>1.2149999999999999E-2</v>
      </c>
      <c r="H57" s="186">
        <v>1.013E-2</v>
      </c>
      <c r="I57" s="401"/>
      <c r="J57" s="171">
        <v>0</v>
      </c>
      <c r="K57" s="186">
        <v>-4.8000000000000001E-4</v>
      </c>
      <c r="L57" s="186"/>
      <c r="N57" s="171">
        <f t="shared" si="23"/>
        <v>-1.2900000000000012E-3</v>
      </c>
      <c r="O57" s="335">
        <f t="shared" si="24"/>
        <v>0</v>
      </c>
    </row>
    <row r="58" spans="1:15">
      <c r="A58" s="180"/>
      <c r="B58" s="152"/>
      <c r="C58" s="171"/>
      <c r="D58" s="171"/>
      <c r="E58" s="171"/>
      <c r="F58" s="171"/>
      <c r="G58" s="186"/>
      <c r="H58" s="336"/>
      <c r="I58" s="171"/>
      <c r="J58" s="186"/>
      <c r="K58" s="171"/>
      <c r="L58" s="212"/>
      <c r="M58" s="335"/>
      <c r="N58" s="194"/>
    </row>
    <row r="59" spans="1:15">
      <c r="A59" s="180"/>
      <c r="B59" s="152"/>
      <c r="C59" s="171"/>
      <c r="D59" s="171"/>
      <c r="E59" s="171"/>
      <c r="F59" s="171"/>
      <c r="G59" s="186"/>
      <c r="H59" s="336"/>
      <c r="I59" s="171"/>
      <c r="J59" s="186"/>
      <c r="K59" s="171"/>
      <c r="L59" s="212"/>
      <c r="M59" s="335"/>
      <c r="N59" s="194"/>
    </row>
    <row r="60" spans="1:15">
      <c r="F60" s="152"/>
      <c r="M60" s="335"/>
      <c r="N60" s="335">
        <f>SUM(O45:O57)</f>
        <v>-45190.959709999974</v>
      </c>
    </row>
    <row r="61" spans="1:15" ht="41.4" customHeight="1">
      <c r="A61" s="179" t="s">
        <v>202</v>
      </c>
      <c r="B61" s="154"/>
      <c r="C61" s="172" t="s">
        <v>368</v>
      </c>
      <c r="D61" s="172" t="s">
        <v>312</v>
      </c>
      <c r="E61" s="172" t="s">
        <v>213</v>
      </c>
      <c r="F61" s="172" t="s">
        <v>203</v>
      </c>
      <c r="G61" s="172" t="s">
        <v>204</v>
      </c>
      <c r="H61" s="172" t="s">
        <v>205</v>
      </c>
      <c r="I61" s="172" t="s">
        <v>206</v>
      </c>
      <c r="J61" s="172" t="s">
        <v>207</v>
      </c>
      <c r="K61" s="172" t="s">
        <v>208</v>
      </c>
      <c r="N61" s="168"/>
    </row>
    <row r="62" spans="1:15">
      <c r="A62" s="180" t="s">
        <v>131</v>
      </c>
      <c r="C62" s="168">
        <f t="shared" ref="C62:D67" si="25">C45*$H3</f>
        <v>21483.00387</v>
      </c>
      <c r="D62" s="168">
        <f t="shared" si="25"/>
        <v>37661.562340000004</v>
      </c>
      <c r="E62" s="168">
        <f t="shared" ref="E62:E67" si="26">E45*H3</f>
        <v>-118023.91015</v>
      </c>
      <c r="F62" s="168">
        <f t="shared" ref="F62:F67" si="27">$H3*F45</f>
        <v>0</v>
      </c>
      <c r="G62" s="168">
        <f>($F3*G45)+(G3*H45)</f>
        <v>-27660.734880000004</v>
      </c>
      <c r="H62" s="168">
        <f t="shared" ref="H62:H67" si="28">($H3*I45)</f>
        <v>-27848.338349999998</v>
      </c>
      <c r="I62" s="168">
        <f t="shared" ref="I62:I67" si="29">$H3*J45</f>
        <v>0</v>
      </c>
      <c r="J62" s="168">
        <f t="shared" ref="J62:J67" si="30">K45*H3</f>
        <v>9017.5571799999998</v>
      </c>
      <c r="K62" s="168">
        <f>SUM(C62:J62)</f>
        <v>-105370.85999</v>
      </c>
      <c r="N62" s="168"/>
    </row>
    <row r="63" spans="1:15">
      <c r="A63" s="180" t="s">
        <v>178</v>
      </c>
      <c r="C63" s="168">
        <f t="shared" si="25"/>
        <v>32.805810000000001</v>
      </c>
      <c r="D63" s="168">
        <f t="shared" si="25"/>
        <v>57.511420000000001</v>
      </c>
      <c r="E63" s="168">
        <f t="shared" si="26"/>
        <v>-180.22944999999999</v>
      </c>
      <c r="F63" s="168">
        <f t="shared" si="27"/>
        <v>1276.9965300000001</v>
      </c>
      <c r="G63" s="168">
        <f t="shared" ref="G63:G67" si="31">($F4*G46)+(G4*H46)</f>
        <v>-32.568830000000048</v>
      </c>
      <c r="H63" s="168">
        <f t="shared" si="28"/>
        <v>-42.526049999999998</v>
      </c>
      <c r="I63" s="168">
        <f t="shared" si="29"/>
        <v>0</v>
      </c>
      <c r="J63" s="168">
        <f t="shared" si="30"/>
        <v>13.770340000000001</v>
      </c>
      <c r="K63" s="168">
        <f t="shared" ref="K63:K72" si="32">SUM(C63:J63)</f>
        <v>1125.7597700000001</v>
      </c>
      <c r="N63" s="168"/>
    </row>
    <row r="64" spans="1:15">
      <c r="A64" s="180" t="s">
        <v>132</v>
      </c>
      <c r="C64" s="168">
        <f t="shared" si="25"/>
        <v>0</v>
      </c>
      <c r="D64" s="168">
        <f t="shared" si="25"/>
        <v>9796.76836</v>
      </c>
      <c r="E64" s="168">
        <f t="shared" si="26"/>
        <v>-2084.4187999999999</v>
      </c>
      <c r="F64" s="168">
        <f t="shared" si="27"/>
        <v>0</v>
      </c>
      <c r="G64" s="168">
        <f t="shared" si="31"/>
        <v>1519.505010000008</v>
      </c>
      <c r="H64" s="168">
        <f t="shared" si="28"/>
        <v>-7920.7914400000009</v>
      </c>
      <c r="I64" s="168">
        <f t="shared" si="29"/>
        <v>0</v>
      </c>
      <c r="J64" s="168">
        <f t="shared" si="30"/>
        <v>1875.9769200000001</v>
      </c>
      <c r="K64" s="168">
        <f t="shared" si="32"/>
        <v>3187.0400500000078</v>
      </c>
      <c r="N64" s="168"/>
    </row>
    <row r="65" spans="1:14">
      <c r="A65" s="180" t="s">
        <v>133</v>
      </c>
      <c r="C65" s="168">
        <f t="shared" si="25"/>
        <v>227.84733</v>
      </c>
      <c r="D65" s="168">
        <f t="shared" si="25"/>
        <v>528.83083999999997</v>
      </c>
      <c r="E65" s="168">
        <f t="shared" si="26"/>
        <v>-112.5172</v>
      </c>
      <c r="F65" s="168">
        <f t="shared" si="27"/>
        <v>0</v>
      </c>
      <c r="G65" s="168">
        <f t="shared" si="31"/>
        <v>985.53477000000021</v>
      </c>
      <c r="H65" s="168">
        <f t="shared" si="28"/>
        <v>-427.56536</v>
      </c>
      <c r="I65" s="168">
        <f t="shared" si="29"/>
        <v>0</v>
      </c>
      <c r="J65" s="168">
        <f t="shared" si="30"/>
        <v>101.26548000000001</v>
      </c>
      <c r="K65" s="168">
        <f t="shared" si="32"/>
        <v>1303.3958600000001</v>
      </c>
      <c r="N65" s="168"/>
    </row>
    <row r="66" spans="1:14">
      <c r="A66" s="180" t="s">
        <v>134</v>
      </c>
      <c r="C66" s="168">
        <f t="shared" si="25"/>
        <v>0</v>
      </c>
      <c r="D66" s="168">
        <f t="shared" si="25"/>
        <v>15041.615040000001</v>
      </c>
      <c r="E66" s="168">
        <f t="shared" si="26"/>
        <v>-4178.2264000000005</v>
      </c>
      <c r="F66" s="168">
        <f t="shared" si="27"/>
        <v>0</v>
      </c>
      <c r="G66" s="168">
        <f t="shared" si="31"/>
        <v>6610.4676800000016</v>
      </c>
      <c r="H66" s="168">
        <f t="shared" si="28"/>
        <v>-11490.122600000001</v>
      </c>
      <c r="I66" s="168">
        <f t="shared" si="29"/>
        <v>0</v>
      </c>
      <c r="J66" s="168">
        <f t="shared" si="30"/>
        <v>3760.4037600000001</v>
      </c>
      <c r="K66" s="168">
        <f t="shared" si="32"/>
        <v>9744.1374800000012</v>
      </c>
      <c r="N66" s="168"/>
    </row>
    <row r="67" spans="1:14">
      <c r="A67" s="180" t="s">
        <v>135</v>
      </c>
      <c r="C67" s="168">
        <f t="shared" si="25"/>
        <v>128.71223999999998</v>
      </c>
      <c r="D67" s="168">
        <f t="shared" si="25"/>
        <v>228.82176000000001</v>
      </c>
      <c r="E67" s="168">
        <f t="shared" si="26"/>
        <v>-63.561600000000006</v>
      </c>
      <c r="F67" s="168">
        <f t="shared" si="27"/>
        <v>0</v>
      </c>
      <c r="G67" s="168">
        <f t="shared" si="31"/>
        <v>423.77520000000004</v>
      </c>
      <c r="H67" s="168">
        <f t="shared" si="28"/>
        <v>-174.79440000000002</v>
      </c>
      <c r="I67" s="168">
        <f t="shared" si="29"/>
        <v>0</v>
      </c>
      <c r="J67" s="168">
        <f t="shared" si="30"/>
        <v>57.205440000000003</v>
      </c>
      <c r="K67" s="168">
        <f t="shared" si="32"/>
        <v>600.15863999999999</v>
      </c>
      <c r="N67" s="168"/>
    </row>
    <row r="68" spans="1:14">
      <c r="A68" s="180" t="s">
        <v>136</v>
      </c>
      <c r="C68" s="168">
        <f t="shared" ref="C68:E68" si="33">$H9*C51+$H10*C52</f>
        <v>0</v>
      </c>
      <c r="D68" s="168">
        <f t="shared" si="33"/>
        <v>8333.6072400000012</v>
      </c>
      <c r="E68" s="168">
        <f t="shared" si="33"/>
        <v>0</v>
      </c>
      <c r="F68" s="168">
        <f>$H9*F51+$H10*F52</f>
        <v>0</v>
      </c>
      <c r="G68" s="168">
        <f>($F9*G51)+(G9*H51)+(F10*G52)+(G10*H52)</f>
        <v>37667.609339999995</v>
      </c>
      <c r="H68" s="168">
        <f>$H9*I51+$H10*I52</f>
        <v>-6182.99892</v>
      </c>
      <c r="I68" s="168">
        <f>$H9*J51+$H10*J52</f>
        <v>0</v>
      </c>
      <c r="J68" s="168">
        <f>$H9*K51+$H10*K52</f>
        <v>3136.3038000000001</v>
      </c>
      <c r="K68" s="168">
        <f t="shared" si="32"/>
        <v>42954.521459999996</v>
      </c>
      <c r="N68" s="168"/>
    </row>
    <row r="69" spans="1:14">
      <c r="A69" s="180" t="s">
        <v>180</v>
      </c>
      <c r="C69" s="168">
        <f>$H11*C53</f>
        <v>0</v>
      </c>
      <c r="D69" s="168">
        <f>$H11*D53</f>
        <v>0</v>
      </c>
      <c r="E69" s="168">
        <f t="shared" ref="C69:F71" si="34">$H11*E53</f>
        <v>0</v>
      </c>
      <c r="F69" s="168">
        <f t="shared" si="34"/>
        <v>0</v>
      </c>
      <c r="G69" s="168">
        <f>($F11*G53)+(G11*H53)</f>
        <v>0</v>
      </c>
      <c r="H69" s="168">
        <f>($H11*I53)</f>
        <v>0</v>
      </c>
      <c r="I69" s="168">
        <f t="shared" ref="I69:J71" si="35">$H11*J53</f>
        <v>0</v>
      </c>
      <c r="J69" s="168">
        <f t="shared" si="35"/>
        <v>0</v>
      </c>
      <c r="K69" s="168">
        <f t="shared" si="32"/>
        <v>0</v>
      </c>
      <c r="N69" s="168"/>
    </row>
    <row r="70" spans="1:14">
      <c r="A70" s="180" t="s">
        <v>137</v>
      </c>
      <c r="C70" s="168">
        <f t="shared" si="34"/>
        <v>0</v>
      </c>
      <c r="D70" s="168">
        <f t="shared" si="34"/>
        <v>1665.2180999999998</v>
      </c>
      <c r="E70" s="168">
        <f t="shared" si="34"/>
        <v>-512.37480000000005</v>
      </c>
      <c r="F70" s="168">
        <f t="shared" si="34"/>
        <v>0</v>
      </c>
      <c r="G70" s="168">
        <f t="shared" ref="G70" si="36">($F12*G54)+(G12*H54)</f>
        <v>1095.2297900000012</v>
      </c>
      <c r="H70" s="168">
        <f>($H12*I54)</f>
        <v>-1229.6995200000001</v>
      </c>
      <c r="I70" s="168">
        <f t="shared" si="35"/>
        <v>0</v>
      </c>
      <c r="J70" s="168">
        <f t="shared" si="35"/>
        <v>473.94668999999999</v>
      </c>
      <c r="K70" s="168">
        <f t="shared" si="32"/>
        <v>1492.3202600000006</v>
      </c>
      <c r="N70" s="168"/>
    </row>
    <row r="71" spans="1:14">
      <c r="A71" s="180" t="s">
        <v>138</v>
      </c>
      <c r="C71" s="168">
        <f t="shared" si="34"/>
        <v>202.095</v>
      </c>
      <c r="D71" s="168">
        <f t="shared" si="34"/>
        <v>324.34999999999997</v>
      </c>
      <c r="E71" s="168">
        <f t="shared" si="34"/>
        <v>-99.800000000000011</v>
      </c>
      <c r="F71" s="168">
        <f t="shared" si="34"/>
        <v>0</v>
      </c>
      <c r="G71" s="168">
        <f>($F13*G55)+(G13*H55)</f>
        <v>-506.87324000000012</v>
      </c>
      <c r="H71" s="168">
        <f>($H13*I55)</f>
        <v>-239.52</v>
      </c>
      <c r="I71" s="168">
        <f t="shared" si="35"/>
        <v>0</v>
      </c>
      <c r="J71" s="168">
        <f t="shared" si="35"/>
        <v>92.314999999999998</v>
      </c>
      <c r="K71" s="168">
        <f t="shared" si="32"/>
        <v>-227.43324000000024</v>
      </c>
      <c r="N71" s="168"/>
    </row>
    <row r="72" spans="1:14">
      <c r="A72" s="180" t="s">
        <v>192</v>
      </c>
      <c r="C72" s="168">
        <f>($H14+$H15)*C56+$H16*C57</f>
        <v>0</v>
      </c>
      <c r="D72" s="168">
        <f>($H14+$H15)*D56+$H16*D57</f>
        <v>0</v>
      </c>
      <c r="E72" s="168">
        <f>($H14+$H15)*E56+$H16*E57</f>
        <v>0</v>
      </c>
      <c r="F72" s="168">
        <f>($H14+$H15)*F56+$H16*F57</f>
        <v>0</v>
      </c>
      <c r="G72" s="168">
        <f>($F14*G56)+(G14*H56)</f>
        <v>0</v>
      </c>
      <c r="H72" s="168"/>
      <c r="I72" s="168">
        <f>($H14+$H15)*J56+$H16*J57</f>
        <v>0</v>
      </c>
      <c r="J72" s="168">
        <f>($H14+$H15)*K56+$H16*K57</f>
        <v>0</v>
      </c>
      <c r="K72" s="168">
        <f t="shared" si="32"/>
        <v>0</v>
      </c>
    </row>
    <row r="73" spans="1:14">
      <c r="A73" s="157"/>
      <c r="C73" s="193">
        <f t="shared" ref="C73:J73" si="37">SUM(C62:C72)</f>
        <v>22074.464250000005</v>
      </c>
      <c r="D73" s="193">
        <f>SUM(D62:D72)</f>
        <v>73638.285100000023</v>
      </c>
      <c r="E73" s="193">
        <f t="shared" si="37"/>
        <v>-125255.0384</v>
      </c>
      <c r="F73" s="193">
        <f t="shared" si="37"/>
        <v>1276.9965300000001</v>
      </c>
      <c r="G73" s="337">
        <f t="shared" si="37"/>
        <v>20101.944840000004</v>
      </c>
      <c r="H73" s="193">
        <f t="shared" si="37"/>
        <v>-55556.356639999998</v>
      </c>
      <c r="I73" s="193">
        <f t="shared" si="37"/>
        <v>0</v>
      </c>
      <c r="J73" s="193">
        <f t="shared" si="37"/>
        <v>18528.744609999998</v>
      </c>
      <c r="K73" s="193">
        <f>SUM(K62:K72)</f>
        <v>-45190.959709999981</v>
      </c>
    </row>
    <row r="75" spans="1:14">
      <c r="A75" s="152" t="s">
        <v>19</v>
      </c>
      <c r="B75" s="152"/>
      <c r="C75" s="168">
        <f t="shared" ref="C75:J75" si="38">C62+C63</f>
        <v>21515.809680000002</v>
      </c>
      <c r="D75" s="168">
        <f t="shared" si="38"/>
        <v>37719.073760000007</v>
      </c>
      <c r="E75" s="168">
        <f t="shared" si="38"/>
        <v>-118204.13959999999</v>
      </c>
      <c r="F75" s="168">
        <f t="shared" si="38"/>
        <v>1276.9965300000001</v>
      </c>
      <c r="G75" s="168">
        <f t="shared" si="38"/>
        <v>-27693.303710000004</v>
      </c>
      <c r="H75" s="168">
        <f t="shared" si="38"/>
        <v>-27890.864399999999</v>
      </c>
      <c r="I75" s="168">
        <f t="shared" si="38"/>
        <v>0</v>
      </c>
      <c r="J75" s="168">
        <f t="shared" si="38"/>
        <v>9031.3275199999989</v>
      </c>
      <c r="K75" s="168">
        <f>K62+K63</f>
        <v>-104245.10021999999</v>
      </c>
    </row>
    <row r="76" spans="1:14">
      <c r="A76" s="152"/>
      <c r="B76" s="152"/>
      <c r="C76" s="168"/>
      <c r="D76" s="168"/>
      <c r="E76" s="168"/>
      <c r="F76" s="168"/>
      <c r="G76" s="168"/>
      <c r="H76" s="168"/>
      <c r="I76" s="168"/>
      <c r="J76" s="168"/>
      <c r="K76" s="168"/>
    </row>
    <row r="77" spans="1:14" ht="15.75" customHeight="1">
      <c r="A77" s="152" t="s">
        <v>184</v>
      </c>
      <c r="B77" s="152"/>
      <c r="C77" s="176">
        <f t="shared" ref="C77:J77" si="39">SUM(C64:C67,C69:C71)</f>
        <v>558.65457000000004</v>
      </c>
      <c r="D77" s="176">
        <f>SUM(D64:D67,D69:D71)</f>
        <v>27585.604099999997</v>
      </c>
      <c r="E77" s="176">
        <f>SUM(E64:E67,E69:E71)</f>
        <v>-7050.8987999999999</v>
      </c>
      <c r="F77" s="176">
        <f>SUM(F64:F67,F69:F71)</f>
        <v>0</v>
      </c>
      <c r="G77" s="176">
        <f t="shared" si="39"/>
        <v>10127.63921000001</v>
      </c>
      <c r="H77" s="176">
        <f t="shared" si="39"/>
        <v>-21482.493320000005</v>
      </c>
      <c r="I77" s="176">
        <f t="shared" si="39"/>
        <v>0</v>
      </c>
      <c r="J77" s="176">
        <f t="shared" si="39"/>
        <v>6361.1132899999993</v>
      </c>
      <c r="K77" s="176">
        <f>SUM(K64:K67,K69:K71)</f>
        <v>16099.619050000008</v>
      </c>
    </row>
    <row r="79" spans="1:14" ht="14.4">
      <c r="A79" s="151" t="s">
        <v>215</v>
      </c>
      <c r="B79" s="151"/>
      <c r="C79" s="151"/>
      <c r="D79" s="151"/>
      <c r="E79" s="151"/>
      <c r="F79" s="151"/>
    </row>
    <row r="80" spans="1:14" ht="14.4">
      <c r="A80" s="151" t="s">
        <v>223</v>
      </c>
      <c r="B80" s="151"/>
      <c r="C80" s="151"/>
      <c r="D80" s="151"/>
      <c r="E80" s="151"/>
      <c r="F80" s="151"/>
    </row>
    <row r="81" spans="1:14" ht="15.75" customHeight="1">
      <c r="A81" s="170" t="s">
        <v>222</v>
      </c>
      <c r="B81" s="170"/>
      <c r="C81" s="170"/>
      <c r="D81" s="170"/>
      <c r="E81" s="170"/>
      <c r="F81" s="151"/>
    </row>
    <row r="82" spans="1:14" ht="28.8">
      <c r="A82" s="170"/>
      <c r="B82" s="197" t="s">
        <v>216</v>
      </c>
      <c r="C82" s="197" t="s">
        <v>217</v>
      </c>
      <c r="D82" s="197" t="s">
        <v>218</v>
      </c>
      <c r="E82" s="197" t="s">
        <v>221</v>
      </c>
      <c r="F82" s="151"/>
      <c r="G82" s="403" t="s">
        <v>374</v>
      </c>
      <c r="H82" s="403"/>
      <c r="I82" s="403"/>
      <c r="J82" s="403"/>
      <c r="M82" s="200"/>
      <c r="N82" s="200"/>
    </row>
    <row r="83" spans="1:14" ht="14.4">
      <c r="A83" s="329" t="s">
        <v>370</v>
      </c>
      <c r="B83" s="198">
        <v>1</v>
      </c>
      <c r="C83" s="199">
        <v>779045</v>
      </c>
      <c r="D83" s="200">
        <f>70547.97-C83*SUM(N51,H51)</f>
        <v>68693.842900000003</v>
      </c>
      <c r="E83" s="200">
        <f>500*B83</f>
        <v>500</v>
      </c>
      <c r="F83" s="201" t="s">
        <v>219</v>
      </c>
      <c r="H83" s="198"/>
      <c r="I83" s="199"/>
      <c r="J83" s="200"/>
      <c r="K83" s="200"/>
      <c r="L83" s="201"/>
    </row>
    <row r="84" spans="1:14" ht="14.4">
      <c r="A84" s="202" t="s">
        <v>258</v>
      </c>
      <c r="B84" s="203">
        <f>SUM(B83:B83)</f>
        <v>1</v>
      </c>
      <c r="C84" s="204">
        <f>SUM(C83:C83)</f>
        <v>779045</v>
      </c>
      <c r="D84" s="205">
        <f>SUM(D83:D83)</f>
        <v>68693.842900000003</v>
      </c>
      <c r="E84" s="205">
        <f>SUM(E83:E83)</f>
        <v>500</v>
      </c>
      <c r="F84" s="151"/>
    </row>
    <row r="85" spans="1:14" ht="14.4">
      <c r="A85" s="170"/>
      <c r="B85" s="170"/>
      <c r="C85" s="170"/>
      <c r="D85" s="170"/>
      <c r="E85" s="170"/>
      <c r="F85" s="151"/>
    </row>
    <row r="86" spans="1:14" ht="14.4">
      <c r="A86" s="206"/>
      <c r="B86" s="198"/>
      <c r="C86" s="199"/>
      <c r="D86" s="200"/>
      <c r="E86" s="200"/>
      <c r="F86" s="151"/>
    </row>
    <row r="87" spans="1:14" ht="14.4">
      <c r="B87" s="198"/>
      <c r="C87" s="199"/>
      <c r="D87" s="200"/>
      <c r="E87" s="200"/>
    </row>
    <row r="88" spans="1:14" ht="9" customHeight="1"/>
  </sheetData>
  <mergeCells count="3">
    <mergeCell ref="A1:I1"/>
    <mergeCell ref="I56:I57"/>
    <mergeCell ref="G82:J82"/>
  </mergeCells>
  <printOptions horizontalCentered="1"/>
  <pageMargins left="0.7" right="0.7" top="0.5" bottom="0.5" header="0.3" footer="0.3"/>
  <pageSetup scale="75" fitToHeight="3" orientation="landscape" r:id="rId1"/>
  <headerFooter>
    <oddFooter>&amp;L&amp;F / &amp;A&amp;RPage &amp;P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AE88"/>
  <sheetViews>
    <sheetView zoomScaleNormal="100" workbookViewId="0">
      <selection activeCell="A35" sqref="A1:XFD1048576"/>
    </sheetView>
  </sheetViews>
  <sheetFormatPr defaultColWidth="9.109375" defaultRowHeight="13.8"/>
  <cols>
    <col min="1" max="1" width="14.6640625" style="1" customWidth="1"/>
    <col min="2" max="2" width="10.109375" style="1" customWidth="1"/>
    <col min="3" max="3" width="16.33203125" style="1" customWidth="1"/>
    <col min="4" max="4" width="18.6640625" style="1" customWidth="1"/>
    <col min="5" max="5" width="15.5546875" style="1" customWidth="1"/>
    <col min="6" max="6" width="14.6640625" style="1" bestFit="1" customWidth="1"/>
    <col min="7" max="7" width="15.5546875" style="1" customWidth="1"/>
    <col min="8" max="8" width="13.5546875" style="1" bestFit="1" customWidth="1"/>
    <col min="9" max="9" width="14.5546875" style="1" bestFit="1" customWidth="1"/>
    <col min="10" max="10" width="12.109375" style="1" bestFit="1" customWidth="1"/>
    <col min="11" max="11" width="12.6640625" style="1" customWidth="1"/>
    <col min="12" max="12" width="13.44140625" style="1" bestFit="1" customWidth="1"/>
    <col min="13" max="13" width="15.6640625" style="1" customWidth="1"/>
    <col min="14" max="14" width="10.88671875" style="1" customWidth="1"/>
    <col min="15" max="15" width="12.44140625" style="1" customWidth="1"/>
    <col min="16" max="16" width="13.33203125" style="1" customWidth="1"/>
    <col min="17" max="17" width="16" style="1" customWidth="1"/>
    <col min="18" max="18" width="10" style="1" customWidth="1"/>
    <col min="19" max="19" width="17.6640625" style="1" customWidth="1"/>
    <col min="20" max="20" width="13.44140625" style="1" customWidth="1"/>
    <col min="21" max="21" width="10.5546875" style="1" customWidth="1"/>
    <col min="22" max="22" width="13.88671875" style="1" customWidth="1"/>
    <col min="23" max="23" width="2.88671875" style="1" customWidth="1"/>
    <col min="24" max="24" width="13.6640625" style="1" customWidth="1"/>
    <col min="25" max="25" width="1.6640625" style="1" customWidth="1"/>
    <col min="26" max="27" width="13.6640625" style="1" customWidth="1"/>
    <col min="28" max="28" width="11.6640625" style="1" customWidth="1"/>
    <col min="29" max="29" width="13.6640625" style="1" customWidth="1"/>
    <col min="30" max="16384" width="9.109375" style="1"/>
  </cols>
  <sheetData>
    <row r="1" spans="1:31" ht="14.4">
      <c r="A1" s="399" t="s">
        <v>172</v>
      </c>
      <c r="B1" s="399"/>
      <c r="C1" s="399"/>
      <c r="D1" s="399"/>
      <c r="E1" s="399"/>
      <c r="F1" s="399"/>
      <c r="G1" s="399"/>
      <c r="H1" s="399"/>
      <c r="I1" s="399"/>
      <c r="M1" s="151" t="s">
        <v>234</v>
      </c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 t="s">
        <v>235</v>
      </c>
      <c r="AA1" s="224" t="s">
        <v>297</v>
      </c>
      <c r="AB1" s="151"/>
      <c r="AC1" s="151" t="s">
        <v>237</v>
      </c>
      <c r="AD1" s="224" t="s">
        <v>296</v>
      </c>
      <c r="AE1" s="151"/>
    </row>
    <row r="2" spans="1:31" ht="26.4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  <c r="M2" s="151"/>
      <c r="N2" s="151"/>
      <c r="O2" s="287" t="str">
        <f>AA1&amp;" Billed Schedule 75 Revenue"</f>
        <v>August Billed Schedule 75 Revenue</v>
      </c>
      <c r="P2" s="287" t="str">
        <f>AA1&amp;" Billed kWhs"</f>
        <v>August Billed kWhs</v>
      </c>
      <c r="Q2" s="287" t="str">
        <f>AA1&amp;" Unbilled kWhs"</f>
        <v>August Unbilled kWhs</v>
      </c>
      <c r="R2" s="287" t="s">
        <v>238</v>
      </c>
      <c r="S2" s="287" t="s">
        <v>239</v>
      </c>
      <c r="T2" s="287" t="str">
        <f>AD1&amp;" Unbilled kWhs reversal"</f>
        <v>July Unbilled kWhs reversal</v>
      </c>
      <c r="U2" s="287" t="s">
        <v>238</v>
      </c>
      <c r="V2" s="287" t="str">
        <f>AD1&amp;" Schedule 75 Unbilled Reversal"</f>
        <v>July Schedule 75 Unbilled Reversal</v>
      </c>
      <c r="W2" s="151"/>
      <c r="X2" s="287" t="str">
        <f>"Total "&amp;AA1&amp;" Schedule 75 Revenue"</f>
        <v>Total August Schedule 75 Revenue</v>
      </c>
      <c r="Y2" s="151"/>
      <c r="Z2" s="287" t="str">
        <f>"Calendar "&amp;AA1&amp;" Usage"</f>
        <v>Calendar August Usage</v>
      </c>
      <c r="AA2" s="287" t="str">
        <f>R2</f>
        <v>11/1/2017 rate</v>
      </c>
      <c r="AB2" s="287" t="s">
        <v>240</v>
      </c>
      <c r="AC2" s="287" t="s">
        <v>241</v>
      </c>
      <c r="AD2" s="287" t="str">
        <f>"implied "&amp;AD1&amp;" unbilled/Cancel-Rebill True-up kWhs"</f>
        <v>implied July unbilled/Cancel-Rebill True-up kWhs</v>
      </c>
      <c r="AE2" s="151"/>
    </row>
    <row r="3" spans="1:31" ht="14.4">
      <c r="A3" s="180" t="s">
        <v>131</v>
      </c>
      <c r="B3" s="152"/>
      <c r="C3" s="158">
        <v>215250</v>
      </c>
      <c r="D3" s="282"/>
      <c r="E3" s="182">
        <v>204769910.78900999</v>
      </c>
      <c r="F3" s="182">
        <v>-100822517</v>
      </c>
      <c r="G3" s="182">
        <f>103479910-5524283</f>
        <v>97955627</v>
      </c>
      <c r="H3" s="189">
        <f>SUM(F3:G3)</f>
        <v>-2866890</v>
      </c>
      <c r="I3" s="159">
        <f>E3+H3</f>
        <v>201903020.78900999</v>
      </c>
      <c r="J3" s="282"/>
      <c r="M3" s="151" t="s">
        <v>242</v>
      </c>
      <c r="N3" s="151"/>
      <c r="O3" s="214">
        <v>911249.75</v>
      </c>
      <c r="P3" s="225">
        <f t="shared" ref="P3:P8" si="0">E3</f>
        <v>204769910.78900999</v>
      </c>
      <c r="Q3" s="225">
        <f t="shared" ref="Q3:Q8" si="1">G3</f>
        <v>97955627</v>
      </c>
      <c r="R3" s="206">
        <v>4.45E-3</v>
      </c>
      <c r="S3" s="215">
        <f>Q3*R3</f>
        <v>435902.54015000002</v>
      </c>
      <c r="T3" s="225">
        <f t="shared" ref="T3:T8" si="2">F3</f>
        <v>-100822517</v>
      </c>
      <c r="U3" s="206">
        <v>4.45E-3</v>
      </c>
      <c r="V3" s="216">
        <f>T3*U3</f>
        <v>-448660.20065000001</v>
      </c>
      <c r="W3" s="151"/>
      <c r="X3" s="150">
        <f>O3+S3+V3</f>
        <v>898492.0895</v>
      </c>
      <c r="Y3" s="151"/>
      <c r="Z3" s="95">
        <f>P3+Q3+T3</f>
        <v>201903020.78900999</v>
      </c>
      <c r="AA3" s="170">
        <f>R3</f>
        <v>4.45E-3</v>
      </c>
      <c r="AB3" s="217">
        <f>Z3*AA3</f>
        <v>898468.44251109438</v>
      </c>
      <c r="AC3" s="150">
        <f>X3-AB3</f>
        <v>23.646988905617036</v>
      </c>
      <c r="AD3" s="95">
        <f>AC3/AA3</f>
        <v>5313.9300911498958</v>
      </c>
      <c r="AE3" s="218">
        <f>AC3/X3</f>
        <v>2.6318527655347863E-5</v>
      </c>
    </row>
    <row r="4" spans="1:31" ht="14.4">
      <c r="A4" s="180" t="s">
        <v>178</v>
      </c>
      <c r="B4" s="152"/>
      <c r="C4" s="158">
        <v>398</v>
      </c>
      <c r="D4" s="282"/>
      <c r="E4" s="182">
        <v>335409.13400000002</v>
      </c>
      <c r="F4" s="182">
        <v>-173265</v>
      </c>
      <c r="G4" s="182">
        <v>160450</v>
      </c>
      <c r="H4" s="189">
        <f t="shared" ref="H4:H16" si="3">SUM(F4:G4)</f>
        <v>-12815</v>
      </c>
      <c r="I4" s="159">
        <f t="shared" ref="I4:I16" si="4">E4+H4</f>
        <v>322594.13400000002</v>
      </c>
      <c r="J4" s="282"/>
      <c r="M4" s="151" t="s">
        <v>243</v>
      </c>
      <c r="N4" s="151"/>
      <c r="O4" s="214">
        <v>1492.65</v>
      </c>
      <c r="P4" s="225">
        <f t="shared" si="0"/>
        <v>335409.13400000002</v>
      </c>
      <c r="Q4" s="225">
        <f t="shared" si="1"/>
        <v>160450</v>
      </c>
      <c r="R4" s="206">
        <v>4.45E-3</v>
      </c>
      <c r="S4" s="215">
        <f>Q4*R4</f>
        <v>714.00249999999994</v>
      </c>
      <c r="T4" s="225">
        <f t="shared" si="2"/>
        <v>-173265</v>
      </c>
      <c r="U4" s="206">
        <v>4.45E-3</v>
      </c>
      <c r="V4" s="216">
        <f t="shared" ref="V4:V11" si="5">T4*U4</f>
        <v>-771.02925000000005</v>
      </c>
      <c r="W4" s="151"/>
      <c r="X4" s="150">
        <f t="shared" ref="X4:X11" si="6">O4+S4+V4</f>
        <v>1435.6232500000001</v>
      </c>
      <c r="Y4" s="151"/>
      <c r="Z4" s="95">
        <f t="shared" ref="Z4:Z11" si="7">P4+Q4+T4</f>
        <v>322594.13400000002</v>
      </c>
      <c r="AA4" s="170">
        <f t="shared" ref="AA4:AA11" si="8">R4</f>
        <v>4.45E-3</v>
      </c>
      <c r="AB4" s="217">
        <f t="shared" ref="AB4:AB11" si="9">Z4*AA4</f>
        <v>1435.5438963000001</v>
      </c>
      <c r="AC4" s="150">
        <f t="shared" ref="AC4:AC11" si="10">X4-AB4</f>
        <v>7.9353699999956007E-2</v>
      </c>
      <c r="AD4" s="95">
        <f t="shared" ref="AD4:AD11" si="11">AC4/AA4</f>
        <v>17.832292134821575</v>
      </c>
      <c r="AE4" s="218">
        <f t="shared" ref="AE4:AE12" si="12">AC4/X4</f>
        <v>5.5274738689245941E-5</v>
      </c>
    </row>
    <row r="5" spans="1:31" ht="14.4">
      <c r="A5" s="180" t="s">
        <v>132</v>
      </c>
      <c r="B5" s="152"/>
      <c r="C5" s="158">
        <v>22870</v>
      </c>
      <c r="D5" s="282"/>
      <c r="E5" s="182">
        <v>51053201.441</v>
      </c>
      <c r="F5" s="182">
        <v>-27487278</v>
      </c>
      <c r="G5" s="182">
        <v>24350340</v>
      </c>
      <c r="H5" s="189">
        <f t="shared" si="3"/>
        <v>-3136938</v>
      </c>
      <c r="I5" s="159">
        <f t="shared" si="4"/>
        <v>47916263.441</v>
      </c>
      <c r="J5" s="282"/>
      <c r="M5" s="151" t="s">
        <v>244</v>
      </c>
      <c r="N5" s="151"/>
      <c r="O5" s="214">
        <v>20420.080000000002</v>
      </c>
      <c r="P5" s="225">
        <f t="shared" si="0"/>
        <v>51053201.441</v>
      </c>
      <c r="Q5" s="225">
        <f t="shared" si="1"/>
        <v>24350340</v>
      </c>
      <c r="R5" s="219">
        <v>4.0000000000000002E-4</v>
      </c>
      <c r="S5" s="215">
        <f>Q5*R5</f>
        <v>9740.1360000000004</v>
      </c>
      <c r="T5" s="225">
        <f t="shared" si="2"/>
        <v>-27487278</v>
      </c>
      <c r="U5" s="219">
        <v>4.0000000000000002E-4</v>
      </c>
      <c r="V5" s="216">
        <f t="shared" si="5"/>
        <v>-10994.9112</v>
      </c>
      <c r="W5" s="151"/>
      <c r="X5" s="150">
        <f t="shared" si="6"/>
        <v>19165.304799999998</v>
      </c>
      <c r="Y5" s="151"/>
      <c r="Z5" s="95">
        <f t="shared" si="7"/>
        <v>47916263.441</v>
      </c>
      <c r="AA5" s="220">
        <f t="shared" si="8"/>
        <v>4.0000000000000002E-4</v>
      </c>
      <c r="AB5" s="217">
        <f t="shared" si="9"/>
        <v>19166.5053764</v>
      </c>
      <c r="AC5" s="150">
        <f t="shared" si="10"/>
        <v>-1.2005764000023191</v>
      </c>
      <c r="AD5" s="95">
        <f t="shared" si="11"/>
        <v>-3001.4410000057978</v>
      </c>
      <c r="AE5" s="218">
        <f t="shared" si="12"/>
        <v>-6.2643219741661461E-5</v>
      </c>
    </row>
    <row r="6" spans="1:31" ht="14.4">
      <c r="A6" s="180" t="s">
        <v>133</v>
      </c>
      <c r="B6" s="152"/>
      <c r="C6" s="158">
        <v>9482</v>
      </c>
      <c r="D6" s="282"/>
      <c r="E6" s="182">
        <v>4157216.8590000002</v>
      </c>
      <c r="F6" s="182">
        <v>-2278873</v>
      </c>
      <c r="G6" s="182">
        <v>1988697</v>
      </c>
      <c r="H6" s="189">
        <f t="shared" si="3"/>
        <v>-290176</v>
      </c>
      <c r="I6" s="159">
        <f t="shared" si="4"/>
        <v>3867040.8590000002</v>
      </c>
      <c r="J6" s="282"/>
      <c r="M6" s="151" t="s">
        <v>245</v>
      </c>
      <c r="N6" s="151"/>
      <c r="O6" s="214">
        <v>1662.17</v>
      </c>
      <c r="P6" s="225">
        <f t="shared" si="0"/>
        <v>4157216.8590000002</v>
      </c>
      <c r="Q6" s="225">
        <f t="shared" si="1"/>
        <v>1988697</v>
      </c>
      <c r="R6" s="219">
        <v>4.0000000000000002E-4</v>
      </c>
      <c r="S6" s="215">
        <f t="shared" ref="S6:S11" si="13">Q6*R6</f>
        <v>795.47880000000009</v>
      </c>
      <c r="T6" s="225">
        <f t="shared" si="2"/>
        <v>-2278873</v>
      </c>
      <c r="U6" s="219">
        <v>4.0000000000000002E-4</v>
      </c>
      <c r="V6" s="216">
        <f t="shared" si="5"/>
        <v>-911.54920000000004</v>
      </c>
      <c r="W6" s="151"/>
      <c r="X6" s="150">
        <f t="shared" si="6"/>
        <v>1546.0996</v>
      </c>
      <c r="Y6" s="151"/>
      <c r="Z6" s="95">
        <f t="shared" si="7"/>
        <v>3867040.8590000002</v>
      </c>
      <c r="AA6" s="220">
        <f t="shared" si="8"/>
        <v>4.0000000000000002E-4</v>
      </c>
      <c r="AB6" s="217">
        <f t="shared" si="9"/>
        <v>1546.8163436000002</v>
      </c>
      <c r="AC6" s="150">
        <f t="shared" si="10"/>
        <v>-0.71674360000019988</v>
      </c>
      <c r="AD6" s="95">
        <f t="shared" si="11"/>
        <v>-1791.8590000004997</v>
      </c>
      <c r="AE6" s="218">
        <f t="shared" si="12"/>
        <v>-4.6358177700854449E-4</v>
      </c>
    </row>
    <row r="7" spans="1:31" ht="14.4">
      <c r="A7" s="180" t="s">
        <v>134</v>
      </c>
      <c r="B7" s="152"/>
      <c r="C7" s="158">
        <v>1857</v>
      </c>
      <c r="D7" s="282"/>
      <c r="E7" s="182">
        <v>122191477.355</v>
      </c>
      <c r="F7" s="182">
        <v>-69470717</v>
      </c>
      <c r="G7" s="182">
        <v>58149012</v>
      </c>
      <c r="H7" s="189">
        <f t="shared" si="3"/>
        <v>-11321705</v>
      </c>
      <c r="I7" s="159">
        <f t="shared" si="4"/>
        <v>110869772.355</v>
      </c>
      <c r="J7" s="282"/>
      <c r="M7" s="151" t="s">
        <v>246</v>
      </c>
      <c r="N7" s="151"/>
      <c r="O7" s="214">
        <v>48876.46</v>
      </c>
      <c r="P7" s="225">
        <f t="shared" si="0"/>
        <v>122191477.355</v>
      </c>
      <c r="Q7" s="225">
        <f t="shared" si="1"/>
        <v>58149012</v>
      </c>
      <c r="R7" s="219">
        <v>4.0000000000000002E-4</v>
      </c>
      <c r="S7" s="215">
        <f t="shared" si="13"/>
        <v>23259.604800000001</v>
      </c>
      <c r="T7" s="225">
        <f t="shared" si="2"/>
        <v>-69470717</v>
      </c>
      <c r="U7" s="219">
        <v>4.0000000000000002E-4</v>
      </c>
      <c r="V7" s="216">
        <f t="shared" si="5"/>
        <v>-27788.286800000002</v>
      </c>
      <c r="W7" s="151"/>
      <c r="X7" s="150">
        <f t="shared" si="6"/>
        <v>44347.777999999991</v>
      </c>
      <c r="Y7" s="151"/>
      <c r="Z7" s="95">
        <f t="shared" si="7"/>
        <v>110869772.35500002</v>
      </c>
      <c r="AA7" s="220">
        <f t="shared" si="8"/>
        <v>4.0000000000000002E-4</v>
      </c>
      <c r="AB7" s="217">
        <f t="shared" si="9"/>
        <v>44347.908942000009</v>
      </c>
      <c r="AC7" s="150">
        <f t="shared" si="10"/>
        <v>-0.13094200001796708</v>
      </c>
      <c r="AD7" s="95">
        <f t="shared" si="11"/>
        <v>-327.35500004491769</v>
      </c>
      <c r="AE7" s="218">
        <f t="shared" si="12"/>
        <v>-2.9526169274583973E-6</v>
      </c>
    </row>
    <row r="8" spans="1:31" ht="14.4">
      <c r="A8" s="180" t="s">
        <v>135</v>
      </c>
      <c r="B8" s="152"/>
      <c r="C8" s="158">
        <v>47</v>
      </c>
      <c r="D8" s="282"/>
      <c r="E8" s="182">
        <v>2567959.92</v>
      </c>
      <c r="F8" s="182">
        <v>-1380771</v>
      </c>
      <c r="G8" s="182">
        <v>1228440</v>
      </c>
      <c r="H8" s="189">
        <f t="shared" si="3"/>
        <v>-152331</v>
      </c>
      <c r="I8" s="159">
        <f t="shared" si="4"/>
        <v>2415628.92</v>
      </c>
      <c r="J8" s="282"/>
      <c r="M8" s="151" t="s">
        <v>247</v>
      </c>
      <c r="N8" s="151"/>
      <c r="O8" s="214">
        <v>1027.19</v>
      </c>
      <c r="P8" s="225">
        <f t="shared" si="0"/>
        <v>2567959.92</v>
      </c>
      <c r="Q8" s="225">
        <f t="shared" si="1"/>
        <v>1228440</v>
      </c>
      <c r="R8" s="219">
        <v>4.0000000000000002E-4</v>
      </c>
      <c r="S8" s="215">
        <f t="shared" si="13"/>
        <v>491.37600000000003</v>
      </c>
      <c r="T8" s="225">
        <f t="shared" si="2"/>
        <v>-1380771</v>
      </c>
      <c r="U8" s="219">
        <v>4.0000000000000002E-4</v>
      </c>
      <c r="V8" s="216">
        <f t="shared" si="5"/>
        <v>-552.30840000000001</v>
      </c>
      <c r="W8" s="151"/>
      <c r="X8" s="150">
        <f t="shared" si="6"/>
        <v>966.25760000000002</v>
      </c>
      <c r="Y8" s="151"/>
      <c r="Z8" s="95">
        <f t="shared" si="7"/>
        <v>2415628.92</v>
      </c>
      <c r="AA8" s="220">
        <f t="shared" si="8"/>
        <v>4.0000000000000002E-4</v>
      </c>
      <c r="AB8" s="217">
        <f t="shared" si="9"/>
        <v>966.25156800000002</v>
      </c>
      <c r="AC8" s="150">
        <f t="shared" si="10"/>
        <v>6.0320000000047003E-3</v>
      </c>
      <c r="AD8" s="95">
        <f t="shared" si="11"/>
        <v>15.080000000011751</v>
      </c>
      <c r="AE8" s="218">
        <f t="shared" si="12"/>
        <v>6.2426417137673222E-6</v>
      </c>
    </row>
    <row r="9" spans="1:31" ht="14.4">
      <c r="A9" s="180" t="s">
        <v>136</v>
      </c>
      <c r="B9" s="152"/>
      <c r="C9" s="158">
        <v>23</v>
      </c>
      <c r="D9" s="194"/>
      <c r="E9" s="182">
        <f>95462593.19-E10</f>
        <v>60685021.189999998</v>
      </c>
      <c r="F9" s="182">
        <f>-95141639-F10</f>
        <v>-60141639</v>
      </c>
      <c r="G9" s="182">
        <f>98894442-G10</f>
        <v>63894442</v>
      </c>
      <c r="H9" s="189">
        <f t="shared" si="3"/>
        <v>3752803</v>
      </c>
      <c r="I9" s="159">
        <f t="shared" si="4"/>
        <v>64437824.189999998</v>
      </c>
      <c r="J9" s="282"/>
      <c r="M9" s="151" t="s">
        <v>248</v>
      </c>
      <c r="N9" s="151"/>
      <c r="O9" s="214">
        <v>2525.34</v>
      </c>
      <c r="P9" s="225">
        <f>E11</f>
        <v>6313288.5669999998</v>
      </c>
      <c r="Q9" s="225">
        <f>G11</f>
        <v>0</v>
      </c>
      <c r="R9" s="219">
        <v>4.0000000000000002E-4</v>
      </c>
      <c r="S9" s="215">
        <f t="shared" si="13"/>
        <v>0</v>
      </c>
      <c r="T9" s="225">
        <f>F11</f>
        <v>0</v>
      </c>
      <c r="U9" s="219">
        <v>4.0000000000000002E-4</v>
      </c>
      <c r="V9" s="216">
        <f t="shared" si="5"/>
        <v>0</v>
      </c>
      <c r="W9" s="151"/>
      <c r="X9" s="150">
        <f t="shared" si="6"/>
        <v>2525.34</v>
      </c>
      <c r="Y9" s="151"/>
      <c r="Z9" s="95">
        <f t="shared" si="7"/>
        <v>6313288.5669999998</v>
      </c>
      <c r="AA9" s="220">
        <f t="shared" si="8"/>
        <v>4.0000000000000002E-4</v>
      </c>
      <c r="AB9" s="217">
        <f t="shared" si="9"/>
        <v>2525.3154267999998</v>
      </c>
      <c r="AC9" s="150">
        <f t="shared" si="10"/>
        <v>2.4573200000304496E-2</v>
      </c>
      <c r="AD9" s="95">
        <f t="shared" si="11"/>
        <v>61.43300000076124</v>
      </c>
      <c r="AE9" s="218">
        <f t="shared" si="12"/>
        <v>9.730650130400063E-6</v>
      </c>
    </row>
    <row r="10" spans="1:31" ht="14.4">
      <c r="A10" s="180" t="s">
        <v>179</v>
      </c>
      <c r="B10" s="152"/>
      <c r="C10" s="158"/>
      <c r="D10" s="194"/>
      <c r="E10" s="182">
        <v>34777572</v>
      </c>
      <c r="F10" s="182">
        <v>-35000000</v>
      </c>
      <c r="G10" s="182">
        <v>35000000</v>
      </c>
      <c r="H10" s="189">
        <f t="shared" si="3"/>
        <v>0</v>
      </c>
      <c r="I10" s="159">
        <f t="shared" si="4"/>
        <v>34777572</v>
      </c>
      <c r="J10" s="282"/>
      <c r="M10" s="151" t="s">
        <v>249</v>
      </c>
      <c r="N10" s="151"/>
      <c r="O10" s="214">
        <v>7928.43</v>
      </c>
      <c r="P10" s="225">
        <f>E12</f>
        <v>19821419.405000001</v>
      </c>
      <c r="Q10" s="225">
        <f>G12</f>
        <v>7219225</v>
      </c>
      <c r="R10" s="219">
        <v>4.0000000000000002E-4</v>
      </c>
      <c r="S10" s="215">
        <f t="shared" si="13"/>
        <v>2887.69</v>
      </c>
      <c r="T10" s="225">
        <f>F12</f>
        <v>-6510007</v>
      </c>
      <c r="U10" s="219">
        <v>4.0000000000000002E-4</v>
      </c>
      <c r="V10" s="216">
        <f t="shared" si="5"/>
        <v>-2604.0028000000002</v>
      </c>
      <c r="W10" s="151"/>
      <c r="X10" s="150">
        <f>O10+S10+V10</f>
        <v>8212.1172000000006</v>
      </c>
      <c r="Y10" s="151"/>
      <c r="Z10" s="95">
        <f t="shared" si="7"/>
        <v>20530637.405000001</v>
      </c>
      <c r="AA10" s="220">
        <f t="shared" si="8"/>
        <v>4.0000000000000002E-4</v>
      </c>
      <c r="AB10" s="217">
        <f t="shared" si="9"/>
        <v>8212.2549620000009</v>
      </c>
      <c r="AC10" s="150">
        <f t="shared" si="10"/>
        <v>-0.13776200000029348</v>
      </c>
      <c r="AD10" s="95">
        <f t="shared" si="11"/>
        <v>-344.40500000073371</v>
      </c>
      <c r="AE10" s="218">
        <f t="shared" si="12"/>
        <v>-1.6775454690331682E-5</v>
      </c>
    </row>
    <row r="11" spans="1:31" ht="14.4">
      <c r="A11" s="180" t="s">
        <v>180</v>
      </c>
      <c r="B11" s="152"/>
      <c r="C11" s="158">
        <v>50</v>
      </c>
      <c r="D11" s="282"/>
      <c r="E11" s="182">
        <v>6313288.5669999998</v>
      </c>
      <c r="F11" s="182">
        <v>0</v>
      </c>
      <c r="G11" s="182">
        <v>0</v>
      </c>
      <c r="H11" s="189">
        <f t="shared" si="3"/>
        <v>0</v>
      </c>
      <c r="I11" s="159">
        <f t="shared" si="4"/>
        <v>6313288.5669999998</v>
      </c>
      <c r="J11" s="282"/>
      <c r="M11" s="151" t="s">
        <v>250</v>
      </c>
      <c r="N11" s="151"/>
      <c r="O11" s="214">
        <v>752.44</v>
      </c>
      <c r="P11" s="225">
        <f>E13</f>
        <v>1881129.7009999999</v>
      </c>
      <c r="Q11" s="225">
        <f>G13</f>
        <v>623328</v>
      </c>
      <c r="R11" s="219">
        <v>4.0000000000000002E-4</v>
      </c>
      <c r="S11" s="215">
        <f t="shared" si="13"/>
        <v>249.33120000000002</v>
      </c>
      <c r="T11" s="225">
        <f>F13</f>
        <v>-605650</v>
      </c>
      <c r="U11" s="219">
        <v>4.0000000000000002E-4</v>
      </c>
      <c r="V11" s="216">
        <f t="shared" si="5"/>
        <v>-242.26000000000002</v>
      </c>
      <c r="W11" s="151"/>
      <c r="X11" s="150">
        <f t="shared" si="6"/>
        <v>759.51120000000014</v>
      </c>
      <c r="Y11" s="151"/>
      <c r="Z11" s="95">
        <f t="shared" si="7"/>
        <v>1898807.7009999999</v>
      </c>
      <c r="AA11" s="220">
        <f t="shared" si="8"/>
        <v>4.0000000000000002E-4</v>
      </c>
      <c r="AB11" s="217">
        <f t="shared" si="9"/>
        <v>759.52308040000003</v>
      </c>
      <c r="AC11" s="150">
        <f t="shared" si="10"/>
        <v>-1.1880399999881774E-2</v>
      </c>
      <c r="AD11" s="95">
        <f t="shared" si="11"/>
        <v>-29.700999999704436</v>
      </c>
      <c r="AE11" s="218">
        <f t="shared" si="12"/>
        <v>-1.5642165645327906E-5</v>
      </c>
    </row>
    <row r="12" spans="1:31" ht="14.4">
      <c r="A12" s="180" t="s">
        <v>137</v>
      </c>
      <c r="B12" s="152"/>
      <c r="C12" s="158">
        <v>1214</v>
      </c>
      <c r="D12" s="282"/>
      <c r="E12" s="182">
        <v>19821419.405000001</v>
      </c>
      <c r="F12" s="182">
        <v>-6510007</v>
      </c>
      <c r="G12" s="182">
        <v>7219225</v>
      </c>
      <c r="H12" s="189">
        <f t="shared" si="3"/>
        <v>709218</v>
      </c>
      <c r="I12" s="159">
        <f t="shared" si="4"/>
        <v>20530637.405000001</v>
      </c>
      <c r="J12" s="282"/>
      <c r="M12" s="151"/>
      <c r="N12" s="151"/>
      <c r="O12" s="221">
        <f>SUM(O3:O11)</f>
        <v>995934.50999999989</v>
      </c>
      <c r="P12" s="51">
        <f>SUM(P3:P11)</f>
        <v>413091013.1710099</v>
      </c>
      <c r="Q12" s="51">
        <f>SUM(Q3:Q11)</f>
        <v>191675119</v>
      </c>
      <c r="R12" s="151"/>
      <c r="S12" s="221">
        <f>SUM(S3:S11)</f>
        <v>474040.15945000004</v>
      </c>
      <c r="T12" s="51">
        <f>SUM(T3:T11)</f>
        <v>-208729078</v>
      </c>
      <c r="U12" s="151"/>
      <c r="V12" s="221">
        <f>SUM(V3:V11)</f>
        <v>-492524.54830000002</v>
      </c>
      <c r="W12" s="151"/>
      <c r="X12" s="221">
        <f>SUM(X3:X11)</f>
        <v>977450.1211499999</v>
      </c>
      <c r="Y12" s="151"/>
      <c r="Z12" s="51">
        <f>SUM(Z3:Z11)</f>
        <v>396037054.1710099</v>
      </c>
      <c r="AA12" s="151"/>
      <c r="AB12" s="51">
        <f>SUM(AB3:AB11)</f>
        <v>977428.56210659433</v>
      </c>
      <c r="AC12" s="221">
        <f>SUM(AC3:AC11)</f>
        <v>21.55904340559664</v>
      </c>
      <c r="AD12" s="51">
        <f>SUM(AD3:AD11)</f>
        <v>-86.485616766162821</v>
      </c>
      <c r="AE12" s="218">
        <f t="shared" si="12"/>
        <v>2.2056412843073533E-5</v>
      </c>
    </row>
    <row r="13" spans="1:31" ht="14.4">
      <c r="A13" s="180" t="s">
        <v>138</v>
      </c>
      <c r="B13" s="152"/>
      <c r="C13" s="158">
        <v>1209</v>
      </c>
      <c r="D13" s="282"/>
      <c r="E13" s="182">
        <v>1881129.7009999999</v>
      </c>
      <c r="F13" s="182">
        <v>-605650</v>
      </c>
      <c r="G13" s="182">
        <v>623328</v>
      </c>
      <c r="H13" s="189">
        <f t="shared" si="3"/>
        <v>17678</v>
      </c>
      <c r="I13" s="159">
        <f t="shared" si="4"/>
        <v>1898807.7009999999</v>
      </c>
      <c r="J13" s="282"/>
      <c r="M13" s="151"/>
      <c r="N13" s="151"/>
      <c r="O13" s="151"/>
      <c r="P13" s="151"/>
      <c r="Q13" s="151"/>
      <c r="R13" s="151"/>
      <c r="S13" s="151"/>
      <c r="T13" s="151"/>
      <c r="U13" s="222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</row>
    <row r="14" spans="1:31" ht="14.4">
      <c r="A14" s="180" t="s">
        <v>181</v>
      </c>
      <c r="B14" s="152"/>
      <c r="C14" s="158">
        <v>416</v>
      </c>
      <c r="D14" s="194"/>
      <c r="E14" s="182">
        <v>944989.42</v>
      </c>
      <c r="F14" s="182"/>
      <c r="G14" s="182"/>
      <c r="H14" s="189"/>
      <c r="I14" s="159">
        <f t="shared" si="4"/>
        <v>944989.42</v>
      </c>
      <c r="M14" s="151"/>
      <c r="N14" s="151"/>
      <c r="O14" s="151"/>
      <c r="P14" s="151"/>
      <c r="Q14" s="151"/>
      <c r="R14" s="151"/>
      <c r="S14" s="151"/>
      <c r="T14" s="151"/>
      <c r="U14" s="222" t="s">
        <v>251</v>
      </c>
      <c r="V14" s="151" t="s">
        <v>252</v>
      </c>
      <c r="W14" s="151"/>
      <c r="X14" s="170">
        <v>0.95332300000000003</v>
      </c>
      <c r="Y14" s="151"/>
      <c r="Z14" s="151"/>
      <c r="AA14" s="151" t="s">
        <v>253</v>
      </c>
      <c r="AB14" s="151" t="s">
        <v>254</v>
      </c>
      <c r="AC14" s="151"/>
      <c r="AD14" s="151" t="s">
        <v>255</v>
      </c>
      <c r="AE14" s="151"/>
    </row>
    <row r="15" spans="1:31" ht="14.4">
      <c r="A15" s="180" t="s">
        <v>182</v>
      </c>
      <c r="B15" s="152"/>
      <c r="C15" s="158"/>
      <c r="D15" s="194"/>
      <c r="E15" s="182">
        <v>415332.44</v>
      </c>
      <c r="F15" s="182"/>
      <c r="G15" s="182"/>
      <c r="H15" s="189">
        <f t="shared" si="3"/>
        <v>0</v>
      </c>
      <c r="I15" s="159">
        <f t="shared" si="4"/>
        <v>415332.44</v>
      </c>
      <c r="M15" s="151"/>
      <c r="N15" s="151"/>
      <c r="O15" s="151"/>
      <c r="P15" s="151"/>
      <c r="Q15" s="151"/>
      <c r="R15" s="151"/>
      <c r="S15" s="151"/>
      <c r="T15" s="151" t="s">
        <v>142</v>
      </c>
      <c r="U15" s="151" t="s">
        <v>256</v>
      </c>
      <c r="V15" s="151"/>
      <c r="W15" s="151"/>
      <c r="X15" s="223">
        <f>(X3+X4)*X14</f>
        <v>857921.78690196818</v>
      </c>
      <c r="Y15" s="151"/>
      <c r="Z15" s="151" t="s">
        <v>19</v>
      </c>
      <c r="AA15" s="50">
        <f>P3+P4+Q3+Q4+T3+T4</f>
        <v>202225614.92300999</v>
      </c>
      <c r="AB15" s="170">
        <v>4.2399999999999998E-3</v>
      </c>
      <c r="AC15" s="150">
        <f>AA15*AB15</f>
        <v>857436.60727356235</v>
      </c>
      <c r="AD15" s="150">
        <f>X15-AC15</f>
        <v>485.17962840583641</v>
      </c>
      <c r="AE15" s="218">
        <f>AD15/X15</f>
        <v>5.6552897456755723E-4</v>
      </c>
    </row>
    <row r="16" spans="1:31" ht="14.4">
      <c r="A16" s="180" t="s">
        <v>183</v>
      </c>
      <c r="B16" s="152"/>
      <c r="C16" s="158"/>
      <c r="D16" s="195"/>
      <c r="E16" s="182">
        <v>218547.3</v>
      </c>
      <c r="F16" s="182"/>
      <c r="G16" s="182"/>
      <c r="H16" s="189">
        <f t="shared" si="3"/>
        <v>0</v>
      </c>
      <c r="I16" s="159">
        <f t="shared" si="4"/>
        <v>218547.3</v>
      </c>
      <c r="M16" s="151"/>
      <c r="N16" s="151"/>
      <c r="O16" s="151"/>
      <c r="P16" s="151"/>
      <c r="Q16" s="151"/>
      <c r="R16" s="151"/>
      <c r="S16" s="151"/>
      <c r="T16" s="151" t="s">
        <v>142</v>
      </c>
      <c r="U16" s="151" t="s">
        <v>257</v>
      </c>
      <c r="V16" s="151"/>
      <c r="W16" s="151"/>
      <c r="X16" s="223">
        <f>SUM(X5:X11)*X14</f>
        <v>73903.894943113177</v>
      </c>
      <c r="Y16" s="151"/>
      <c r="Z16" s="151" t="s">
        <v>184</v>
      </c>
      <c r="AA16" s="50">
        <f>SUM(P5:Q11,T5:T11)</f>
        <v>193811439.24799991</v>
      </c>
      <c r="AB16" s="170">
        <v>3.8000000000000002E-4</v>
      </c>
      <c r="AC16" s="150">
        <f>AA16*AB16</f>
        <v>73648.34691423997</v>
      </c>
      <c r="AD16" s="150">
        <f>X16-AC16</f>
        <v>255.54802887320693</v>
      </c>
      <c r="AE16" s="218">
        <f>AD16/X16</f>
        <v>3.4578425003162906E-3</v>
      </c>
    </row>
    <row r="17" spans="1:26" ht="14.4">
      <c r="A17" s="152"/>
      <c r="B17" s="152"/>
      <c r="C17" s="160">
        <f>SUM(C3:C16)</f>
        <v>252816</v>
      </c>
      <c r="E17" s="160">
        <f>SUM(E3:E16)</f>
        <v>510132475.52100998</v>
      </c>
      <c r="F17" s="160">
        <f>SUM(F3:F16)</f>
        <v>-303870717</v>
      </c>
      <c r="G17" s="160">
        <f>SUM(G3:G16)</f>
        <v>290569561</v>
      </c>
      <c r="H17" s="160">
        <f>SUM(H3:H16)</f>
        <v>-13301156</v>
      </c>
      <c r="I17" s="160">
        <f>SUM(I3:I16)</f>
        <v>496831319.52100998</v>
      </c>
      <c r="Z17" s="151" t="s">
        <v>236</v>
      </c>
    </row>
    <row r="18" spans="1:26" ht="14.4" thickBot="1">
      <c r="A18" s="152"/>
      <c r="B18" s="152"/>
      <c r="C18" s="152"/>
      <c r="E18" s="152"/>
      <c r="F18" s="152"/>
      <c r="G18" s="152"/>
      <c r="I18" s="152"/>
    </row>
    <row r="19" spans="1:26">
      <c r="A19" s="152" t="s">
        <v>19</v>
      </c>
      <c r="B19" s="152"/>
      <c r="C19" s="161">
        <f>C3+C4</f>
        <v>215648</v>
      </c>
      <c r="E19" s="162">
        <f>E3+E4</f>
        <v>205105319.92300999</v>
      </c>
      <c r="F19" s="162">
        <f>F3+F4</f>
        <v>-100995782</v>
      </c>
      <c r="G19" s="162">
        <f>G3+G4</f>
        <v>98116077</v>
      </c>
      <c r="H19" s="162">
        <f>H3+H4</f>
        <v>-2879705</v>
      </c>
      <c r="I19" s="161">
        <f>I3+I4</f>
        <v>202225614.92300999</v>
      </c>
    </row>
    <row r="20" spans="1:26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26" ht="14.4" thickBot="1">
      <c r="A21" s="152" t="s">
        <v>184</v>
      </c>
      <c r="B21" s="152"/>
      <c r="C21" s="177">
        <f>SUM(C5:C8,C11:C13)</f>
        <v>36729</v>
      </c>
      <c r="E21" s="178">
        <f>SUM(E5:E8,E11:E13)</f>
        <v>207985693.248</v>
      </c>
      <c r="F21" s="178">
        <f>SUM(F5:F8,F11:F13)</f>
        <v>-107733296</v>
      </c>
      <c r="G21" s="178">
        <f>SUM(G5:G8,G11:G13)</f>
        <v>93559042</v>
      </c>
      <c r="H21" s="178">
        <f>SUM(H5:H8,H11:H13)</f>
        <v>-14174254</v>
      </c>
      <c r="I21" s="177">
        <f>SUM(I5:I8,I11:I13)</f>
        <v>193811439.248</v>
      </c>
    </row>
    <row r="22" spans="1:26">
      <c r="A22" s="152"/>
      <c r="B22" s="152"/>
      <c r="C22" s="152"/>
      <c r="D22" s="152"/>
      <c r="E22" s="152"/>
    </row>
    <row r="23" spans="1:26" ht="53.4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</row>
    <row r="24" spans="1:26">
      <c r="A24" s="180" t="s">
        <v>131</v>
      </c>
      <c r="B24" s="152"/>
      <c r="C24" s="181">
        <v>2005822</v>
      </c>
      <c r="D24" s="181">
        <v>18569826.27</v>
      </c>
      <c r="E24" s="183">
        <v>-9462718</v>
      </c>
      <c r="F24" s="183">
        <f>9793551-468183</f>
        <v>9325368</v>
      </c>
      <c r="G24" s="174">
        <f>SUM(D24:F24)</f>
        <v>18432476.27</v>
      </c>
      <c r="H24" s="174">
        <f>-K62</f>
        <v>18262.0893</v>
      </c>
      <c r="I24" s="174">
        <f>SUM(G24:H24)</f>
        <v>18450738.359299999</v>
      </c>
    </row>
    <row r="25" spans="1:26">
      <c r="A25" s="180" t="s">
        <v>178</v>
      </c>
      <c r="B25" s="152"/>
      <c r="C25" s="181">
        <v>3627</v>
      </c>
      <c r="D25" s="181">
        <v>30271.19</v>
      </c>
      <c r="E25" s="183">
        <v>-10940</v>
      </c>
      <c r="F25" s="183">
        <v>10431</v>
      </c>
      <c r="G25" s="174">
        <f t="shared" ref="G25:G33" si="14">SUM(D25:F25)</f>
        <v>29762.19</v>
      </c>
      <c r="H25" s="174">
        <f t="shared" ref="H25:H30" si="15">-K63</f>
        <v>-322.42540000000002</v>
      </c>
      <c r="I25" s="174">
        <f t="shared" ref="I25:I34" si="16">SUM(G25:H25)</f>
        <v>29439.764599999999</v>
      </c>
    </row>
    <row r="26" spans="1:26">
      <c r="A26" s="180" t="s">
        <v>132</v>
      </c>
      <c r="B26" s="152"/>
      <c r="C26" s="181">
        <v>464821.38</v>
      </c>
      <c r="D26" s="181">
        <v>5952898.5599999996</v>
      </c>
      <c r="E26" s="183">
        <v>-3169019</v>
      </c>
      <c r="F26" s="183">
        <v>2833870</v>
      </c>
      <c r="G26" s="174">
        <f t="shared" si="14"/>
        <v>5617749.5599999996</v>
      </c>
      <c r="H26" s="174">
        <f t="shared" si="15"/>
        <v>13520.20278</v>
      </c>
      <c r="I26" s="174">
        <f t="shared" si="16"/>
        <v>5631269.7627799995</v>
      </c>
    </row>
    <row r="27" spans="1:26">
      <c r="A27" s="180" t="s">
        <v>133</v>
      </c>
      <c r="B27" s="152"/>
      <c r="C27" s="181">
        <v>192259.85</v>
      </c>
      <c r="D27" s="181">
        <v>652570.77</v>
      </c>
      <c r="E27" s="183">
        <v>-356004</v>
      </c>
      <c r="F27" s="183">
        <v>323447</v>
      </c>
      <c r="G27" s="174">
        <f t="shared" si="14"/>
        <v>620013.77</v>
      </c>
      <c r="H27" s="174">
        <f t="shared" si="15"/>
        <v>1015.616</v>
      </c>
      <c r="I27" s="174">
        <f t="shared" si="16"/>
        <v>621029.38600000006</v>
      </c>
    </row>
    <row r="28" spans="1:26">
      <c r="A28" s="180" t="s">
        <v>134</v>
      </c>
      <c r="B28" s="152"/>
      <c r="C28" s="181">
        <v>932206.69</v>
      </c>
      <c r="D28" s="181">
        <v>11170765.199999999</v>
      </c>
      <c r="E28" s="183">
        <v>-5550104</v>
      </c>
      <c r="F28" s="183">
        <v>4748079</v>
      </c>
      <c r="G28" s="174">
        <f t="shared" si="14"/>
        <v>10368740.199999999</v>
      </c>
      <c r="H28" s="174">
        <f t="shared" si="15"/>
        <v>38040.928799999994</v>
      </c>
      <c r="I28" s="174">
        <f t="shared" si="16"/>
        <v>10406781.128799999</v>
      </c>
    </row>
    <row r="29" spans="1:26">
      <c r="A29" s="180" t="s">
        <v>135</v>
      </c>
      <c r="B29" s="152"/>
      <c r="C29" s="181">
        <v>23500</v>
      </c>
      <c r="D29" s="181">
        <v>231940.55</v>
      </c>
      <c r="E29" s="183">
        <v>-113215</v>
      </c>
      <c r="F29" s="183">
        <v>102634</v>
      </c>
      <c r="G29" s="174">
        <f t="shared" si="14"/>
        <v>221359.55</v>
      </c>
      <c r="H29" s="174">
        <f t="shared" si="15"/>
        <v>388.44405</v>
      </c>
      <c r="I29" s="174">
        <f t="shared" si="16"/>
        <v>221747.99404999998</v>
      </c>
    </row>
    <row r="30" spans="1:26">
      <c r="A30" s="180" t="s">
        <v>136</v>
      </c>
      <c r="B30" s="152"/>
      <c r="C30" s="181">
        <v>552000</v>
      </c>
      <c r="D30" s="181">
        <f>5810299.37-83842.56</f>
        <v>5726456.8100000005</v>
      </c>
      <c r="E30" s="183">
        <v>-5944302</v>
      </c>
      <c r="F30" s="183">
        <v>6159064</v>
      </c>
      <c r="G30" s="174">
        <f t="shared" si="14"/>
        <v>5941218.8100000005</v>
      </c>
      <c r="H30" s="174">
        <f t="shared" si="15"/>
        <v>-6492.349189999999</v>
      </c>
      <c r="I30" s="174">
        <f t="shared" si="16"/>
        <v>5934726.4608100001</v>
      </c>
      <c r="J30" s="283"/>
    </row>
    <row r="31" spans="1:26">
      <c r="A31" s="180" t="s">
        <v>180</v>
      </c>
      <c r="B31" s="152"/>
      <c r="C31" s="181">
        <v>1000</v>
      </c>
      <c r="D31" s="181">
        <v>438933.13</v>
      </c>
      <c r="E31" s="183">
        <v>0</v>
      </c>
      <c r="F31" s="183">
        <v>0</v>
      </c>
      <c r="G31" s="174">
        <f t="shared" si="14"/>
        <v>438933.13</v>
      </c>
      <c r="H31" s="174">
        <f>-K69</f>
        <v>0</v>
      </c>
      <c r="I31" s="174">
        <f t="shared" si="16"/>
        <v>438933.13</v>
      </c>
    </row>
    <row r="32" spans="1:26">
      <c r="A32" s="180" t="s">
        <v>137</v>
      </c>
      <c r="B32" s="152"/>
      <c r="C32" s="181">
        <v>24320</v>
      </c>
      <c r="D32" s="181">
        <v>1565156.87</v>
      </c>
      <c r="E32" s="183">
        <v>-373901</v>
      </c>
      <c r="F32" s="183">
        <v>422754</v>
      </c>
      <c r="G32" s="174">
        <f t="shared" si="14"/>
        <v>1614009.87</v>
      </c>
      <c r="H32" s="174">
        <f>-K70</f>
        <v>-2198.5758000000001</v>
      </c>
      <c r="I32" s="174">
        <f t="shared" si="16"/>
        <v>1611811.2942000001</v>
      </c>
    </row>
    <row r="33" spans="1:14">
      <c r="A33" s="180" t="s">
        <v>138</v>
      </c>
      <c r="B33" s="152"/>
      <c r="C33" s="181">
        <v>24360</v>
      </c>
      <c r="D33" s="181">
        <v>178504.25</v>
      </c>
      <c r="E33" s="183">
        <v>-60038</v>
      </c>
      <c r="F33" s="183">
        <v>61055</v>
      </c>
      <c r="G33" s="174">
        <f t="shared" si="14"/>
        <v>179521.25</v>
      </c>
      <c r="H33" s="174">
        <f>-K71</f>
        <v>-40.482620000000004</v>
      </c>
      <c r="I33" s="174">
        <f t="shared" si="16"/>
        <v>179480.76738</v>
      </c>
    </row>
    <row r="34" spans="1:14">
      <c r="A34" s="180" t="s">
        <v>192</v>
      </c>
      <c r="B34" s="152"/>
      <c r="C34" s="174"/>
      <c r="D34" s="181">
        <v>562542.55000000005</v>
      </c>
      <c r="E34" s="181"/>
      <c r="F34" s="181"/>
      <c r="G34" s="174">
        <f>SUM(D34:F34)</f>
        <v>562542.55000000005</v>
      </c>
      <c r="H34" s="174"/>
      <c r="I34" s="174">
        <f t="shared" si="16"/>
        <v>562542.55000000005</v>
      </c>
    </row>
    <row r="35" spans="1:14">
      <c r="A35" s="180" t="s">
        <v>193</v>
      </c>
      <c r="B35" s="152"/>
      <c r="C35" s="194"/>
      <c r="D35" s="181">
        <v>2190910.1</v>
      </c>
      <c r="E35" s="181"/>
      <c r="F35" s="181"/>
      <c r="G35" s="174"/>
      <c r="H35" s="174"/>
      <c r="I35" s="174"/>
    </row>
    <row r="36" spans="1:14">
      <c r="A36" s="180" t="s">
        <v>194</v>
      </c>
      <c r="B36" s="152"/>
      <c r="C36" s="194"/>
      <c r="D36" s="181">
        <v>1745180.94</v>
      </c>
      <c r="E36" s="181"/>
      <c r="F36" s="181"/>
      <c r="G36" s="174"/>
      <c r="H36" s="174"/>
      <c r="I36" s="174"/>
    </row>
    <row r="37" spans="1:14">
      <c r="A37" s="152"/>
      <c r="B37" s="152"/>
      <c r="C37" s="166">
        <f t="shared" ref="C37:I37" si="17">SUM(C24:C36)</f>
        <v>4223916.92</v>
      </c>
      <c r="D37" s="166">
        <f t="shared" si="17"/>
        <v>49015957.18999999</v>
      </c>
      <c r="E37" s="166">
        <f t="shared" si="17"/>
        <v>-25040241</v>
      </c>
      <c r="F37" s="166">
        <f t="shared" si="17"/>
        <v>23986702</v>
      </c>
      <c r="G37" s="166">
        <f t="shared" si="17"/>
        <v>44026327.149999991</v>
      </c>
      <c r="H37" s="166">
        <f t="shared" si="17"/>
        <v>62173.447919999999</v>
      </c>
      <c r="I37" s="166">
        <f t="shared" si="17"/>
        <v>44088500.597920001</v>
      </c>
    </row>
    <row r="38" spans="1:14" ht="14.4" thickBot="1">
      <c r="A38" s="152"/>
      <c r="B38" s="152"/>
      <c r="D38" s="167"/>
      <c r="E38" s="152"/>
      <c r="F38" s="152"/>
    </row>
    <row r="39" spans="1:14">
      <c r="A39" s="152" t="s">
        <v>19</v>
      </c>
      <c r="B39" s="152"/>
      <c r="C39" s="169">
        <f t="shared" ref="C39:I39" si="18">C24+C25</f>
        <v>2009449</v>
      </c>
      <c r="D39" s="168">
        <f t="shared" si="18"/>
        <v>18600097.460000001</v>
      </c>
      <c r="E39" s="168">
        <f t="shared" si="18"/>
        <v>-9473658</v>
      </c>
      <c r="F39" s="168">
        <f t="shared" si="18"/>
        <v>9335799</v>
      </c>
      <c r="G39" s="168">
        <f t="shared" si="18"/>
        <v>18462238.460000001</v>
      </c>
      <c r="H39" s="168">
        <f t="shared" si="18"/>
        <v>17939.6639</v>
      </c>
      <c r="I39" s="169">
        <f t="shared" si="18"/>
        <v>18480178.1239</v>
      </c>
    </row>
    <row r="40" spans="1:14" ht="6" customHeight="1">
      <c r="A40" s="152"/>
      <c r="B40" s="152"/>
      <c r="C40" s="173"/>
      <c r="D40" s="168"/>
      <c r="E40" s="152"/>
      <c r="F40" s="152"/>
      <c r="I40" s="190"/>
    </row>
    <row r="41" spans="1:14" ht="14.4" thickBot="1">
      <c r="A41" s="152" t="s">
        <v>184</v>
      </c>
      <c r="B41" s="152"/>
      <c r="C41" s="175">
        <f>SUM(C26:C29,C31:C33)</f>
        <v>1662467.92</v>
      </c>
      <c r="D41" s="176">
        <f t="shared" ref="D41:I41" si="19">SUM(D26:D29,D31:D33)</f>
        <v>20190769.330000002</v>
      </c>
      <c r="E41" s="176">
        <f t="shared" si="19"/>
        <v>-9622281</v>
      </c>
      <c r="F41" s="176">
        <f t="shared" si="19"/>
        <v>8491839</v>
      </c>
      <c r="G41" s="176">
        <f t="shared" si="19"/>
        <v>19060327.329999998</v>
      </c>
      <c r="H41" s="176">
        <f t="shared" si="19"/>
        <v>50726.133209999993</v>
      </c>
      <c r="I41" s="175">
        <f t="shared" si="19"/>
        <v>19111053.463209998</v>
      </c>
    </row>
    <row r="42" spans="1:14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14">
      <c r="C43" s="191">
        <v>43040</v>
      </c>
      <c r="D43" s="191">
        <v>43252</v>
      </c>
      <c r="E43" s="196">
        <v>43040</v>
      </c>
      <c r="F43" s="192">
        <v>42278</v>
      </c>
      <c r="G43" s="191">
        <v>42948</v>
      </c>
      <c r="H43" s="191">
        <v>43009</v>
      </c>
      <c r="I43" s="191">
        <v>42380</v>
      </c>
      <c r="J43" s="191">
        <v>43282</v>
      </c>
      <c r="K43" s="191"/>
      <c r="L43" s="196"/>
    </row>
    <row r="44" spans="1:14" ht="39.6">
      <c r="A44" s="179" t="s">
        <v>195</v>
      </c>
      <c r="B44" s="154"/>
      <c r="C44" s="165" t="s">
        <v>196</v>
      </c>
      <c r="D44" s="165" t="s">
        <v>312</v>
      </c>
      <c r="E44" s="165" t="s">
        <v>213</v>
      </c>
      <c r="F44" s="165" t="s">
        <v>197</v>
      </c>
      <c r="G44" s="165" t="s">
        <v>198</v>
      </c>
      <c r="H44" s="165" t="s">
        <v>199</v>
      </c>
      <c r="I44" s="165" t="s">
        <v>200</v>
      </c>
      <c r="J44" s="165" t="s">
        <v>201</v>
      </c>
      <c r="K44" s="165"/>
      <c r="M44" s="211" t="s">
        <v>229</v>
      </c>
      <c r="N44" s="194" t="s">
        <v>230</v>
      </c>
    </row>
    <row r="45" spans="1:14">
      <c r="A45" s="180" t="s">
        <v>131</v>
      </c>
      <c r="B45" s="152"/>
      <c r="C45" s="171">
        <v>-8.0999999999999996E-4</v>
      </c>
      <c r="D45" s="171">
        <v>-1.42E-3</v>
      </c>
      <c r="E45" s="171">
        <v>4.45E-3</v>
      </c>
      <c r="F45" s="171"/>
      <c r="G45" s="171">
        <v>3.4399999999999999E-3</v>
      </c>
      <c r="H45" s="171">
        <v>1.0499999999999999E-3</v>
      </c>
      <c r="I45" s="171">
        <v>0</v>
      </c>
      <c r="J45" s="171">
        <v>-3.4000000000000002E-4</v>
      </c>
      <c r="K45" s="171"/>
      <c r="M45" s="171">
        <f>SUM(B45:J45)</f>
        <v>6.3699999999999998E-3</v>
      </c>
      <c r="N45" s="335">
        <f>M45*H3</f>
        <v>-18262.0893</v>
      </c>
    </row>
    <row r="46" spans="1:14">
      <c r="A46" s="180" t="s">
        <v>178</v>
      </c>
      <c r="B46" s="152"/>
      <c r="C46" s="171">
        <v>-8.0999999999999996E-4</v>
      </c>
      <c r="D46" s="171">
        <v>-1.42E-3</v>
      </c>
      <c r="E46" s="171">
        <v>4.45E-3</v>
      </c>
      <c r="F46" s="171">
        <v>-3.1530000000000002E-2</v>
      </c>
      <c r="G46" s="171">
        <v>3.4399999999999999E-3</v>
      </c>
      <c r="H46" s="171">
        <v>1.0499999999999999E-3</v>
      </c>
      <c r="I46" s="171">
        <v>0</v>
      </c>
      <c r="J46" s="171">
        <v>-3.4000000000000002E-4</v>
      </c>
      <c r="K46" s="171"/>
      <c r="M46" s="171">
        <f t="shared" ref="M46:M57" si="20">SUM(B46:J46)</f>
        <v>-2.5160000000000005E-2</v>
      </c>
      <c r="N46" s="335">
        <f t="shared" ref="N46:N57" si="21">M46*H4</f>
        <v>322.42540000000008</v>
      </c>
    </row>
    <row r="47" spans="1:14">
      <c r="A47" s="180" t="s">
        <v>132</v>
      </c>
      <c r="B47" s="152"/>
      <c r="C47" s="171">
        <v>0</v>
      </c>
      <c r="D47" s="171">
        <v>-1.8799999999999999E-3</v>
      </c>
      <c r="E47" s="171">
        <v>4.0000000000000002E-4</v>
      </c>
      <c r="F47" s="171"/>
      <c r="G47" s="171">
        <v>4.6299999999999996E-3</v>
      </c>
      <c r="H47" s="171">
        <v>1.5200000000000001E-3</v>
      </c>
      <c r="I47" s="171">
        <v>0</v>
      </c>
      <c r="J47" s="171">
        <v>-3.6000000000000002E-4</v>
      </c>
      <c r="K47" s="171"/>
      <c r="M47" s="171">
        <f t="shared" si="20"/>
        <v>4.3099999999999996E-3</v>
      </c>
      <c r="N47" s="335">
        <f t="shared" si="21"/>
        <v>-13520.20278</v>
      </c>
    </row>
    <row r="48" spans="1:14">
      <c r="A48" s="180" t="s">
        <v>133</v>
      </c>
      <c r="B48" s="152"/>
      <c r="C48" s="171">
        <v>-8.0999999999999996E-4</v>
      </c>
      <c r="D48" s="171">
        <v>-1.8799999999999999E-3</v>
      </c>
      <c r="E48" s="171">
        <v>4.0000000000000002E-4</v>
      </c>
      <c r="F48" s="171"/>
      <c r="G48" s="171">
        <v>4.6299999999999996E-3</v>
      </c>
      <c r="H48" s="171">
        <v>1.5200000000000001E-3</v>
      </c>
      <c r="I48" s="171">
        <v>0</v>
      </c>
      <c r="J48" s="171">
        <v>-3.6000000000000002E-4</v>
      </c>
      <c r="K48" s="171"/>
      <c r="M48" s="171">
        <f t="shared" si="20"/>
        <v>3.5000000000000001E-3</v>
      </c>
      <c r="N48" s="335">
        <f t="shared" si="21"/>
        <v>-1015.616</v>
      </c>
    </row>
    <row r="49" spans="1:14" ht="14.4" customHeight="1">
      <c r="A49" s="180" t="s">
        <v>134</v>
      </c>
      <c r="B49" s="152"/>
      <c r="C49" s="171">
        <v>0</v>
      </c>
      <c r="D49" s="171">
        <v>-1.4400000000000001E-3</v>
      </c>
      <c r="E49" s="171">
        <v>4.0000000000000002E-4</v>
      </c>
      <c r="F49" s="171"/>
      <c r="G49" s="171">
        <v>3.6600000000000001E-3</v>
      </c>
      <c r="H49" s="171">
        <v>1.1000000000000001E-3</v>
      </c>
      <c r="I49" s="171">
        <v>0</v>
      </c>
      <c r="J49" s="171">
        <v>-3.6000000000000002E-4</v>
      </c>
      <c r="K49" s="171"/>
      <c r="M49" s="171">
        <f t="shared" si="20"/>
        <v>3.3600000000000001E-3</v>
      </c>
      <c r="N49" s="335">
        <f t="shared" si="21"/>
        <v>-38040.928800000002</v>
      </c>
    </row>
    <row r="50" spans="1:14">
      <c r="A50" s="180" t="s">
        <v>135</v>
      </c>
      <c r="B50" s="152"/>
      <c r="C50" s="171">
        <v>-8.0999999999999996E-4</v>
      </c>
      <c r="D50" s="171">
        <v>-1.4400000000000001E-3</v>
      </c>
      <c r="E50" s="171">
        <v>4.0000000000000002E-4</v>
      </c>
      <c r="F50" s="171"/>
      <c r="G50" s="171">
        <v>3.6600000000000001E-3</v>
      </c>
      <c r="H50" s="171">
        <v>1.1000000000000001E-3</v>
      </c>
      <c r="I50" s="171">
        <v>0</v>
      </c>
      <c r="J50" s="171">
        <v>-3.6000000000000002E-4</v>
      </c>
      <c r="K50" s="171"/>
      <c r="M50" s="171">
        <f t="shared" si="20"/>
        <v>2.5499999999999997E-3</v>
      </c>
      <c r="N50" s="335">
        <f t="shared" si="21"/>
        <v>-388.44404999999995</v>
      </c>
    </row>
    <row r="51" spans="1:14">
      <c r="A51" s="180" t="s">
        <v>136</v>
      </c>
      <c r="B51" s="152"/>
      <c r="C51" s="171">
        <v>0</v>
      </c>
      <c r="D51" s="171">
        <v>-9.3000000000000005E-4</v>
      </c>
      <c r="E51" s="171">
        <v>0</v>
      </c>
      <c r="F51" s="171"/>
      <c r="G51" s="171">
        <v>2.32E-3</v>
      </c>
      <c r="H51" s="171">
        <v>6.8999999999999997E-4</v>
      </c>
      <c r="I51" s="171">
        <v>0</v>
      </c>
      <c r="J51" s="171">
        <v>-3.5E-4</v>
      </c>
      <c r="K51" s="171"/>
      <c r="M51" s="171">
        <f t="shared" si="20"/>
        <v>1.7299999999999998E-3</v>
      </c>
      <c r="N51" s="335">
        <f t="shared" si="21"/>
        <v>6492.349189999999</v>
      </c>
    </row>
    <row r="52" spans="1:14">
      <c r="A52" s="180" t="s">
        <v>179</v>
      </c>
      <c r="B52" s="152"/>
      <c r="C52" s="171">
        <v>0</v>
      </c>
      <c r="D52" s="171">
        <v>0</v>
      </c>
      <c r="E52" s="171">
        <v>0</v>
      </c>
      <c r="F52" s="171"/>
      <c r="G52" s="171">
        <v>2.32E-3</v>
      </c>
      <c r="H52" s="171">
        <v>0</v>
      </c>
      <c r="I52" s="171">
        <v>0</v>
      </c>
      <c r="J52" s="171">
        <v>-3.5E-4</v>
      </c>
      <c r="K52" s="171"/>
      <c r="M52" s="171">
        <f t="shared" si="20"/>
        <v>1.97E-3</v>
      </c>
      <c r="N52" s="335">
        <f t="shared" si="21"/>
        <v>0</v>
      </c>
    </row>
    <row r="53" spans="1:14">
      <c r="A53" s="180" t="s">
        <v>180</v>
      </c>
      <c r="B53" s="152"/>
      <c r="C53" s="171">
        <v>0</v>
      </c>
      <c r="D53" s="171">
        <v>-1.2999999999999999E-3</v>
      </c>
      <c r="E53" s="171">
        <v>4.0000000000000002E-4</v>
      </c>
      <c r="F53" s="171"/>
      <c r="G53" s="171">
        <v>3.4099999999999998E-3</v>
      </c>
      <c r="H53" s="171">
        <v>9.6000000000000002E-4</v>
      </c>
      <c r="I53" s="171">
        <v>0</v>
      </c>
      <c r="J53" s="171">
        <v>-3.6999999999999999E-4</v>
      </c>
      <c r="K53" s="171"/>
      <c r="M53" s="171">
        <f t="shared" si="20"/>
        <v>3.0999999999999999E-3</v>
      </c>
      <c r="N53" s="335">
        <f t="shared" si="21"/>
        <v>0</v>
      </c>
    </row>
    <row r="54" spans="1:14">
      <c r="A54" s="180" t="s">
        <v>137</v>
      </c>
      <c r="B54" s="152"/>
      <c r="C54" s="171">
        <v>0</v>
      </c>
      <c r="D54" s="171">
        <v>-1.2999999999999999E-3</v>
      </c>
      <c r="E54" s="171">
        <v>4.0000000000000002E-4</v>
      </c>
      <c r="F54" s="171"/>
      <c r="G54" s="171">
        <v>3.4099999999999998E-3</v>
      </c>
      <c r="H54" s="171">
        <v>9.6000000000000002E-4</v>
      </c>
      <c r="I54" s="171">
        <v>0</v>
      </c>
      <c r="J54" s="171">
        <v>-3.6999999999999999E-4</v>
      </c>
      <c r="K54" s="171"/>
      <c r="M54" s="171">
        <f t="shared" si="20"/>
        <v>3.0999999999999999E-3</v>
      </c>
      <c r="N54" s="335">
        <f t="shared" si="21"/>
        <v>2198.5758000000001</v>
      </c>
    </row>
    <row r="55" spans="1:14">
      <c r="A55" s="180" t="s">
        <v>138</v>
      </c>
      <c r="B55" s="152"/>
      <c r="C55" s="171">
        <v>-8.0999999999999996E-4</v>
      </c>
      <c r="D55" s="171">
        <v>-1.2999999999999999E-3</v>
      </c>
      <c r="E55" s="171">
        <v>4.0000000000000002E-4</v>
      </c>
      <c r="F55" s="171"/>
      <c r="G55" s="171">
        <v>3.4099999999999998E-3</v>
      </c>
      <c r="H55" s="171">
        <v>9.6000000000000002E-4</v>
      </c>
      <c r="I55" s="171">
        <v>0</v>
      </c>
      <c r="J55" s="171">
        <v>-3.6999999999999999E-4</v>
      </c>
      <c r="K55" s="171"/>
      <c r="M55" s="171">
        <f t="shared" si="20"/>
        <v>2.2899999999999999E-3</v>
      </c>
      <c r="N55" s="335">
        <f t="shared" si="21"/>
        <v>40.482619999999997</v>
      </c>
    </row>
    <row r="56" spans="1:14">
      <c r="A56" s="180" t="s">
        <v>192</v>
      </c>
      <c r="B56" s="152"/>
      <c r="C56" s="171">
        <v>0</v>
      </c>
      <c r="D56" s="171">
        <v>0</v>
      </c>
      <c r="E56" s="171">
        <v>0</v>
      </c>
      <c r="F56" s="171"/>
      <c r="G56" s="186">
        <v>1.2149999999999999E-2</v>
      </c>
      <c r="H56" s="401" t="s">
        <v>214</v>
      </c>
      <c r="I56" s="171">
        <v>0</v>
      </c>
      <c r="J56" s="186">
        <v>-4.8000000000000001E-4</v>
      </c>
      <c r="K56" s="186"/>
      <c r="M56" s="171">
        <f t="shared" si="20"/>
        <v>1.167E-2</v>
      </c>
      <c r="N56" s="335">
        <f t="shared" si="21"/>
        <v>0</v>
      </c>
    </row>
    <row r="57" spans="1:14">
      <c r="A57" s="180" t="s">
        <v>183</v>
      </c>
      <c r="B57" s="152"/>
      <c r="C57" s="171">
        <v>-8.0999999999999996E-4</v>
      </c>
      <c r="D57" s="171">
        <v>0</v>
      </c>
      <c r="E57" s="171">
        <v>0</v>
      </c>
      <c r="F57" s="171"/>
      <c r="G57" s="186">
        <v>1.2149999999999999E-2</v>
      </c>
      <c r="H57" s="401"/>
      <c r="I57" s="171">
        <v>0</v>
      </c>
      <c r="J57" s="186">
        <v>-4.8000000000000001E-4</v>
      </c>
      <c r="K57" s="186"/>
      <c r="M57" s="171">
        <f t="shared" si="20"/>
        <v>1.086E-2</v>
      </c>
      <c r="N57" s="335">
        <f t="shared" si="21"/>
        <v>0</v>
      </c>
    </row>
    <row r="58" spans="1:14">
      <c r="A58" s="180"/>
      <c r="B58" s="152"/>
      <c r="C58" s="171"/>
      <c r="D58" s="171"/>
      <c r="E58" s="171"/>
      <c r="F58" s="171"/>
      <c r="G58" s="186"/>
      <c r="H58" s="333"/>
      <c r="I58" s="171"/>
      <c r="J58" s="186"/>
      <c r="K58" s="171"/>
      <c r="L58" s="212"/>
      <c r="M58" s="335"/>
      <c r="N58" s="194"/>
    </row>
    <row r="59" spans="1:14">
      <c r="A59" s="180"/>
      <c r="B59" s="152"/>
      <c r="C59" s="171"/>
      <c r="D59" s="171"/>
      <c r="E59" s="171"/>
      <c r="F59" s="171"/>
      <c r="G59" s="186"/>
      <c r="H59" s="333"/>
      <c r="I59" s="171"/>
      <c r="J59" s="186"/>
      <c r="K59" s="171"/>
      <c r="L59" s="212"/>
      <c r="M59" s="335"/>
      <c r="N59" s="194"/>
    </row>
    <row r="60" spans="1:14">
      <c r="F60" s="152"/>
      <c r="M60" s="335"/>
      <c r="N60" s="335">
        <f>SUM(N45:N57)</f>
        <v>-62173.447920000013</v>
      </c>
    </row>
    <row r="61" spans="1:14" ht="41.4" customHeight="1">
      <c r="A61" s="179" t="s">
        <v>202</v>
      </c>
      <c r="B61" s="154"/>
      <c r="C61" s="172" t="s">
        <v>368</v>
      </c>
      <c r="D61" s="172" t="s">
        <v>312</v>
      </c>
      <c r="E61" s="172" t="s">
        <v>213</v>
      </c>
      <c r="F61" s="172" t="s">
        <v>203</v>
      </c>
      <c r="G61" s="172" t="s">
        <v>204</v>
      </c>
      <c r="H61" s="172" t="s">
        <v>205</v>
      </c>
      <c r="I61" s="172" t="s">
        <v>206</v>
      </c>
      <c r="J61" s="172" t="s">
        <v>207</v>
      </c>
      <c r="K61" s="172" t="s">
        <v>208</v>
      </c>
      <c r="N61" s="168"/>
    </row>
    <row r="62" spans="1:14">
      <c r="A62" s="180" t="s">
        <v>131</v>
      </c>
      <c r="C62" s="168">
        <f t="shared" ref="C62:D67" si="22">C45*$H3</f>
        <v>2322.1808999999998</v>
      </c>
      <c r="D62" s="168">
        <f t="shared" si="22"/>
        <v>4070.9838</v>
      </c>
      <c r="E62" s="168">
        <f t="shared" ref="E62:E67" si="23">E45*H3</f>
        <v>-12757.6605</v>
      </c>
      <c r="F62" s="168">
        <f t="shared" ref="F62:F67" si="24">$H3*F45</f>
        <v>0</v>
      </c>
      <c r="G62" s="168">
        <f t="shared" ref="G62:H67" si="25">($H3*G45)</f>
        <v>-9862.1016</v>
      </c>
      <c r="H62" s="168">
        <f>($H3*H45)</f>
        <v>-3010.2345</v>
      </c>
      <c r="I62" s="168">
        <f t="shared" ref="I62:I67" si="26">$H3*I45</f>
        <v>0</v>
      </c>
      <c r="J62" s="168">
        <f>J45*H3</f>
        <v>974.74260000000004</v>
      </c>
      <c r="K62" s="168">
        <f>SUM(C62:J62)</f>
        <v>-18262.0893</v>
      </c>
      <c r="N62" s="168"/>
    </row>
    <row r="63" spans="1:14">
      <c r="A63" s="180" t="s">
        <v>178</v>
      </c>
      <c r="C63" s="168">
        <f t="shared" si="22"/>
        <v>10.380149999999999</v>
      </c>
      <c r="D63" s="168">
        <f t="shared" si="22"/>
        <v>18.197300000000002</v>
      </c>
      <c r="E63" s="168">
        <f t="shared" si="23"/>
        <v>-57.02675</v>
      </c>
      <c r="F63" s="168">
        <f t="shared" si="24"/>
        <v>404.05695000000003</v>
      </c>
      <c r="G63" s="168">
        <f t="shared" si="25"/>
        <v>-44.083599999999997</v>
      </c>
      <c r="H63" s="168">
        <f t="shared" si="25"/>
        <v>-13.455749999999998</v>
      </c>
      <c r="I63" s="168">
        <f t="shared" si="26"/>
        <v>0</v>
      </c>
      <c r="J63" s="168">
        <f t="shared" ref="J63:J67" si="27">J46*H4</f>
        <v>4.3571</v>
      </c>
      <c r="K63" s="168">
        <f t="shared" ref="K63:K72" si="28">SUM(C63:J63)</f>
        <v>322.42540000000002</v>
      </c>
      <c r="N63" s="168"/>
    </row>
    <row r="64" spans="1:14">
      <c r="A64" s="180" t="s">
        <v>132</v>
      </c>
      <c r="C64" s="168">
        <f t="shared" si="22"/>
        <v>0</v>
      </c>
      <c r="D64" s="168">
        <f t="shared" si="22"/>
        <v>5897.44344</v>
      </c>
      <c r="E64" s="168">
        <f t="shared" si="23"/>
        <v>-1254.7752</v>
      </c>
      <c r="F64" s="168">
        <f t="shared" si="24"/>
        <v>0</v>
      </c>
      <c r="G64" s="168">
        <f t="shared" si="25"/>
        <v>-14524.022939999999</v>
      </c>
      <c r="H64" s="168">
        <f t="shared" si="25"/>
        <v>-4768.1457600000003</v>
      </c>
      <c r="I64" s="168">
        <f t="shared" si="26"/>
        <v>0</v>
      </c>
      <c r="J64" s="168">
        <f t="shared" si="27"/>
        <v>1129.2976800000001</v>
      </c>
      <c r="K64" s="168">
        <f t="shared" si="28"/>
        <v>-13520.20278</v>
      </c>
      <c r="N64" s="168"/>
    </row>
    <row r="65" spans="1:14">
      <c r="A65" s="180" t="s">
        <v>133</v>
      </c>
      <c r="C65" s="168">
        <f t="shared" si="22"/>
        <v>235.04255999999998</v>
      </c>
      <c r="D65" s="168">
        <f t="shared" si="22"/>
        <v>545.53088000000002</v>
      </c>
      <c r="E65" s="168">
        <f t="shared" si="23"/>
        <v>-116.07040000000001</v>
      </c>
      <c r="F65" s="168">
        <f t="shared" si="24"/>
        <v>0</v>
      </c>
      <c r="G65" s="168">
        <f t="shared" si="25"/>
        <v>-1343.5148799999999</v>
      </c>
      <c r="H65" s="168">
        <f t="shared" si="25"/>
        <v>-441.06752</v>
      </c>
      <c r="I65" s="168">
        <f t="shared" si="26"/>
        <v>0</v>
      </c>
      <c r="J65" s="168">
        <f t="shared" si="27"/>
        <v>104.46336000000001</v>
      </c>
      <c r="K65" s="168">
        <f t="shared" si="28"/>
        <v>-1015.616</v>
      </c>
      <c r="N65" s="168"/>
    </row>
    <row r="66" spans="1:14">
      <c r="A66" s="180" t="s">
        <v>134</v>
      </c>
      <c r="C66" s="168">
        <f t="shared" si="22"/>
        <v>0</v>
      </c>
      <c r="D66" s="168">
        <f t="shared" si="22"/>
        <v>16303.255200000001</v>
      </c>
      <c r="E66" s="168">
        <f t="shared" si="23"/>
        <v>-4528.6819999999998</v>
      </c>
      <c r="F66" s="168">
        <f t="shared" si="24"/>
        <v>0</v>
      </c>
      <c r="G66" s="168">
        <f t="shared" si="25"/>
        <v>-41437.440300000002</v>
      </c>
      <c r="H66" s="168">
        <f t="shared" si="25"/>
        <v>-12453.8755</v>
      </c>
      <c r="I66" s="168">
        <f t="shared" si="26"/>
        <v>0</v>
      </c>
      <c r="J66" s="168">
        <f t="shared" si="27"/>
        <v>4075.8138000000004</v>
      </c>
      <c r="K66" s="168">
        <f t="shared" si="28"/>
        <v>-38040.928799999994</v>
      </c>
      <c r="N66" s="168"/>
    </row>
    <row r="67" spans="1:14">
      <c r="A67" s="180" t="s">
        <v>135</v>
      </c>
      <c r="C67" s="168">
        <f t="shared" si="22"/>
        <v>123.38811</v>
      </c>
      <c r="D67" s="168">
        <f t="shared" si="22"/>
        <v>219.35664000000003</v>
      </c>
      <c r="E67" s="168">
        <f t="shared" si="23"/>
        <v>-60.932400000000001</v>
      </c>
      <c r="F67" s="168">
        <f t="shared" si="24"/>
        <v>0</v>
      </c>
      <c r="G67" s="168">
        <f t="shared" si="25"/>
        <v>-557.53146000000004</v>
      </c>
      <c r="H67" s="168">
        <f t="shared" si="25"/>
        <v>-167.5641</v>
      </c>
      <c r="I67" s="168">
        <f t="shared" si="26"/>
        <v>0</v>
      </c>
      <c r="J67" s="168">
        <f t="shared" si="27"/>
        <v>54.839160000000007</v>
      </c>
      <c r="K67" s="168">
        <f t="shared" si="28"/>
        <v>-388.44405</v>
      </c>
      <c r="N67" s="168"/>
    </row>
    <row r="68" spans="1:14">
      <c r="A68" s="180" t="s">
        <v>136</v>
      </c>
      <c r="C68" s="168">
        <f t="shared" ref="C68:J68" si="29">$H9*C51+$H10*C52</f>
        <v>0</v>
      </c>
      <c r="D68" s="168">
        <f t="shared" si="29"/>
        <v>-3490.1067900000003</v>
      </c>
      <c r="E68" s="168">
        <f t="shared" si="29"/>
        <v>0</v>
      </c>
      <c r="F68" s="168">
        <f t="shared" si="29"/>
        <v>0</v>
      </c>
      <c r="G68" s="168">
        <f t="shared" si="29"/>
        <v>8706.5029599999998</v>
      </c>
      <c r="H68" s="168">
        <f t="shared" si="29"/>
        <v>2589.4340699999998</v>
      </c>
      <c r="I68" s="168">
        <f t="shared" si="29"/>
        <v>0</v>
      </c>
      <c r="J68" s="168">
        <f t="shared" si="29"/>
        <v>-1313.4810500000001</v>
      </c>
      <c r="K68" s="168">
        <f t="shared" si="28"/>
        <v>6492.349189999999</v>
      </c>
      <c r="N68" s="168"/>
    </row>
    <row r="69" spans="1:14">
      <c r="A69" s="180" t="s">
        <v>180</v>
      </c>
      <c r="C69" s="168">
        <f>$H11*C53</f>
        <v>0</v>
      </c>
      <c r="D69" s="168">
        <f>$H11*D53</f>
        <v>0</v>
      </c>
      <c r="E69" s="168">
        <f t="shared" ref="C69:F71" si="30">$H11*E53</f>
        <v>0</v>
      </c>
      <c r="F69" s="168">
        <f t="shared" si="30"/>
        <v>0</v>
      </c>
      <c r="G69" s="168">
        <f t="shared" ref="G69:H71" si="31">($H11*G53)</f>
        <v>0</v>
      </c>
      <c r="H69" s="168">
        <f t="shared" si="31"/>
        <v>0</v>
      </c>
      <c r="I69" s="168">
        <f t="shared" ref="I69:J71" si="32">$H11*I53</f>
        <v>0</v>
      </c>
      <c r="J69" s="168">
        <f t="shared" si="32"/>
        <v>0</v>
      </c>
      <c r="K69" s="168">
        <f t="shared" si="28"/>
        <v>0</v>
      </c>
      <c r="N69" s="168"/>
    </row>
    <row r="70" spans="1:14">
      <c r="A70" s="180" t="s">
        <v>137</v>
      </c>
      <c r="C70" s="168">
        <f t="shared" si="30"/>
        <v>0</v>
      </c>
      <c r="D70" s="168">
        <f t="shared" si="30"/>
        <v>-921.98339999999996</v>
      </c>
      <c r="E70" s="168">
        <f t="shared" si="30"/>
        <v>283.68720000000002</v>
      </c>
      <c r="F70" s="168">
        <f t="shared" si="30"/>
        <v>0</v>
      </c>
      <c r="G70" s="168">
        <f t="shared" si="31"/>
        <v>2418.4333799999999</v>
      </c>
      <c r="H70" s="168">
        <f t="shared" si="31"/>
        <v>680.84928000000002</v>
      </c>
      <c r="I70" s="168">
        <f t="shared" si="32"/>
        <v>0</v>
      </c>
      <c r="J70" s="168">
        <f t="shared" si="32"/>
        <v>-262.41066000000001</v>
      </c>
      <c r="K70" s="168">
        <f t="shared" si="28"/>
        <v>2198.5758000000001</v>
      </c>
      <c r="N70" s="168"/>
    </row>
    <row r="71" spans="1:14">
      <c r="A71" s="180" t="s">
        <v>138</v>
      </c>
      <c r="C71" s="168">
        <f t="shared" si="30"/>
        <v>-14.319179999999999</v>
      </c>
      <c r="D71" s="168">
        <f t="shared" si="30"/>
        <v>-22.981400000000001</v>
      </c>
      <c r="E71" s="168">
        <f t="shared" si="30"/>
        <v>7.0712000000000002</v>
      </c>
      <c r="F71" s="168">
        <f t="shared" si="30"/>
        <v>0</v>
      </c>
      <c r="G71" s="168">
        <f t="shared" si="31"/>
        <v>60.281979999999997</v>
      </c>
      <c r="H71" s="168">
        <f t="shared" si="31"/>
        <v>16.970880000000001</v>
      </c>
      <c r="I71" s="168">
        <f t="shared" si="32"/>
        <v>0</v>
      </c>
      <c r="J71" s="168">
        <f t="shared" si="32"/>
        <v>-6.5408600000000003</v>
      </c>
      <c r="K71" s="168">
        <f t="shared" si="28"/>
        <v>40.482620000000004</v>
      </c>
      <c r="N71" s="168"/>
    </row>
    <row r="72" spans="1:14">
      <c r="A72" s="180" t="s">
        <v>192</v>
      </c>
      <c r="C72" s="168">
        <f>($H14+$H15)*C56+$H16*C57</f>
        <v>0</v>
      </c>
      <c r="D72" s="168">
        <f>($H14+$H15)*D56+$H16*D57</f>
        <v>0</v>
      </c>
      <c r="E72" s="168">
        <f>($H14+$H15)*E56+$H16*E57</f>
        <v>0</v>
      </c>
      <c r="F72" s="168">
        <f>($H14+$H15)*F56+$H16*F57</f>
        <v>0</v>
      </c>
      <c r="G72" s="168">
        <f>($H14+$H15)*G56+$H16*G57</f>
        <v>0</v>
      </c>
      <c r="H72" s="168"/>
      <c r="I72" s="168">
        <f>($H14+$H15)*I56+$H16*I57</f>
        <v>0</v>
      </c>
      <c r="J72" s="168">
        <f>($H14+$H15)*J56+$H16*J57</f>
        <v>0</v>
      </c>
      <c r="K72" s="168">
        <f t="shared" si="28"/>
        <v>0</v>
      </c>
    </row>
    <row r="73" spans="1:14">
      <c r="A73" s="157"/>
      <c r="C73" s="193">
        <f t="shared" ref="C73:J73" si="33">SUM(C62:C72)</f>
        <v>2676.6725399999996</v>
      </c>
      <c r="D73" s="193">
        <f>SUM(D62:D72)</f>
        <v>22619.695670000001</v>
      </c>
      <c r="E73" s="193">
        <f t="shared" si="33"/>
        <v>-18484.388850000003</v>
      </c>
      <c r="F73" s="193">
        <f t="shared" si="33"/>
        <v>404.05695000000003</v>
      </c>
      <c r="G73" s="193">
        <f t="shared" si="33"/>
        <v>-56583.476459999991</v>
      </c>
      <c r="H73" s="193">
        <f t="shared" si="33"/>
        <v>-17567.088900000002</v>
      </c>
      <c r="I73" s="193">
        <f t="shared" si="33"/>
        <v>0</v>
      </c>
      <c r="J73" s="193">
        <f t="shared" si="33"/>
        <v>4761.0811300000014</v>
      </c>
      <c r="K73" s="193">
        <f>SUM(K62:K72)</f>
        <v>-62173.447919999999</v>
      </c>
    </row>
    <row r="75" spans="1:14">
      <c r="A75" s="152" t="s">
        <v>19</v>
      </c>
      <c r="B75" s="152"/>
      <c r="C75" s="168">
        <f t="shared" ref="C75:J75" si="34">C62+C63</f>
        <v>2332.5610499999998</v>
      </c>
      <c r="D75" s="168">
        <f t="shared" si="34"/>
        <v>4089.1810999999998</v>
      </c>
      <c r="E75" s="168">
        <f t="shared" si="34"/>
        <v>-12814.687250000001</v>
      </c>
      <c r="F75" s="168">
        <f t="shared" si="34"/>
        <v>404.05695000000003</v>
      </c>
      <c r="G75" s="168">
        <f t="shared" si="34"/>
        <v>-9906.1851999999999</v>
      </c>
      <c r="H75" s="168">
        <f t="shared" si="34"/>
        <v>-3023.6902500000001</v>
      </c>
      <c r="I75" s="168">
        <f t="shared" si="34"/>
        <v>0</v>
      </c>
      <c r="J75" s="168">
        <f t="shared" si="34"/>
        <v>979.09969999999998</v>
      </c>
      <c r="K75" s="168">
        <f>K62+K63</f>
        <v>-17939.6639</v>
      </c>
    </row>
    <row r="76" spans="1:14">
      <c r="A76" s="152"/>
      <c r="B76" s="152"/>
      <c r="C76" s="168"/>
      <c r="D76" s="168"/>
      <c r="E76" s="168"/>
      <c r="F76" s="168"/>
      <c r="G76" s="168"/>
      <c r="H76" s="168"/>
      <c r="I76" s="168"/>
      <c r="J76" s="168"/>
      <c r="K76" s="168"/>
    </row>
    <row r="77" spans="1:14" ht="15.75" customHeight="1">
      <c r="A77" s="152" t="s">
        <v>184</v>
      </c>
      <c r="B77" s="152"/>
      <c r="C77" s="176">
        <f t="shared" ref="C77:J77" si="35">SUM(C64:C67,C69:C71)</f>
        <v>344.11148999999995</v>
      </c>
      <c r="D77" s="176">
        <f>SUM(D64:D67,D69:D71)</f>
        <v>22020.621360000001</v>
      </c>
      <c r="E77" s="176">
        <f>SUM(E64:E67,E69:E71)</f>
        <v>-5669.7015999999985</v>
      </c>
      <c r="F77" s="176">
        <f>SUM(F64:F67,F69:F71)</f>
        <v>0</v>
      </c>
      <c r="G77" s="176">
        <f t="shared" si="35"/>
        <v>-55383.794219999996</v>
      </c>
      <c r="H77" s="176">
        <f t="shared" si="35"/>
        <v>-17132.832719999999</v>
      </c>
      <c r="I77" s="176">
        <f t="shared" si="35"/>
        <v>0</v>
      </c>
      <c r="J77" s="176">
        <f t="shared" si="35"/>
        <v>5095.4624800000011</v>
      </c>
      <c r="K77" s="176">
        <f>SUM(K64:K67,K69:K71)</f>
        <v>-50726.133209999993</v>
      </c>
    </row>
    <row r="79" spans="1:14" ht="14.4">
      <c r="A79" s="151" t="s">
        <v>215</v>
      </c>
      <c r="B79" s="151"/>
      <c r="C79" s="151"/>
      <c r="D79" s="151"/>
      <c r="E79" s="151"/>
      <c r="F79" s="151"/>
    </row>
    <row r="80" spans="1:14" ht="14.4">
      <c r="A80" s="151" t="s">
        <v>223</v>
      </c>
      <c r="B80" s="151"/>
      <c r="C80" s="151"/>
      <c r="D80" s="151"/>
      <c r="E80" s="151"/>
      <c r="F80" s="151"/>
    </row>
    <row r="81" spans="1:14" ht="15.75" customHeight="1">
      <c r="A81" s="170" t="s">
        <v>222</v>
      </c>
      <c r="B81" s="170"/>
      <c r="C81" s="170"/>
      <c r="D81" s="170"/>
      <c r="E81" s="170"/>
      <c r="F81" s="151"/>
    </row>
    <row r="82" spans="1:14" ht="28.8">
      <c r="A82" s="170"/>
      <c r="B82" s="197" t="s">
        <v>216</v>
      </c>
      <c r="C82" s="197" t="s">
        <v>217</v>
      </c>
      <c r="D82" s="197" t="s">
        <v>218</v>
      </c>
      <c r="E82" s="197" t="s">
        <v>221</v>
      </c>
      <c r="F82" s="151"/>
      <c r="G82" s="403" t="s">
        <v>369</v>
      </c>
      <c r="H82" s="403"/>
      <c r="I82" s="403"/>
      <c r="J82" s="403"/>
      <c r="M82" s="200"/>
      <c r="N82" s="200"/>
    </row>
    <row r="83" spans="1:14" ht="14.4">
      <c r="A83" s="329" t="s">
        <v>367</v>
      </c>
      <c r="B83" s="198">
        <v>1</v>
      </c>
      <c r="C83" s="199">
        <v>831365</v>
      </c>
      <c r="D83" s="200">
        <f>72530.53-C83*SUM(M51)</f>
        <v>71092.268549999993</v>
      </c>
      <c r="E83" s="200">
        <f>500*B83</f>
        <v>500</v>
      </c>
      <c r="F83" s="201" t="s">
        <v>219</v>
      </c>
      <c r="H83" s="198"/>
      <c r="I83" s="199"/>
      <c r="J83" s="200"/>
      <c r="K83" s="200"/>
      <c r="L83" s="201"/>
    </row>
    <row r="84" spans="1:14" ht="14.4">
      <c r="A84" s="202" t="s">
        <v>258</v>
      </c>
      <c r="B84" s="203">
        <f>SUM(B83:B83)</f>
        <v>1</v>
      </c>
      <c r="C84" s="204">
        <f>SUM(C83:C83)</f>
        <v>831365</v>
      </c>
      <c r="D84" s="205">
        <f>SUM(D83:D83)</f>
        <v>71092.268549999993</v>
      </c>
      <c r="E84" s="205">
        <f>SUM(E83:E83)</f>
        <v>500</v>
      </c>
      <c r="F84" s="151"/>
    </row>
    <row r="85" spans="1:14" ht="14.4">
      <c r="A85" s="170"/>
      <c r="B85" s="170"/>
      <c r="C85" s="170"/>
      <c r="D85" s="170"/>
      <c r="E85" s="170"/>
      <c r="F85" s="151"/>
    </row>
    <row r="86" spans="1:14" ht="14.4">
      <c r="A86" s="206"/>
      <c r="B86" s="198"/>
      <c r="C86" s="199"/>
      <c r="D86" s="200"/>
      <c r="E86" s="200"/>
      <c r="F86" s="151"/>
    </row>
    <row r="88" spans="1:14" ht="9" customHeight="1"/>
  </sheetData>
  <mergeCells count="3">
    <mergeCell ref="A1:I1"/>
    <mergeCell ref="H56:H57"/>
    <mergeCell ref="G82:J82"/>
  </mergeCells>
  <printOptions horizontalCentered="1"/>
  <pageMargins left="0.45" right="0.45" top="0.5" bottom="0.5" header="0.3" footer="0.3"/>
  <pageSetup scale="81" fitToHeight="2" orientation="landscape" r:id="rId1"/>
  <headerFooter>
    <oddFooter>&amp;L&amp;F / &amp;A&amp;RPage &amp;P</oddFooter>
  </headerFooter>
  <rowBreaks count="1" manualBreakCount="1">
    <brk id="42" max="10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AE88"/>
  <sheetViews>
    <sheetView zoomScaleNormal="100" workbookViewId="0">
      <selection activeCell="G44" sqref="G44"/>
    </sheetView>
  </sheetViews>
  <sheetFormatPr defaultColWidth="9.109375" defaultRowHeight="13.8"/>
  <cols>
    <col min="1" max="1" width="14.6640625" style="1" customWidth="1"/>
    <col min="2" max="2" width="10.109375" style="1" customWidth="1"/>
    <col min="3" max="3" width="16.33203125" style="1" customWidth="1"/>
    <col min="4" max="4" width="18.6640625" style="1" customWidth="1"/>
    <col min="5" max="5" width="15.5546875" style="1" customWidth="1"/>
    <col min="6" max="6" width="14.6640625" style="1" bestFit="1" customWidth="1"/>
    <col min="7" max="7" width="15.5546875" style="1" customWidth="1"/>
    <col min="8" max="8" width="13.5546875" style="1" bestFit="1" customWidth="1"/>
    <col min="9" max="9" width="14.5546875" style="1" bestFit="1" customWidth="1"/>
    <col min="10" max="10" width="11.6640625" style="1" customWidth="1"/>
    <col min="11" max="11" width="12.6640625" style="1" customWidth="1"/>
    <col min="12" max="12" width="13.44140625" style="1" bestFit="1" customWidth="1"/>
    <col min="13" max="13" width="15.6640625" style="1" customWidth="1"/>
    <col min="14" max="14" width="12.5546875" style="1" customWidth="1"/>
    <col min="15" max="15" width="12.44140625" style="1" customWidth="1"/>
    <col min="16" max="16" width="13.33203125" style="1" customWidth="1"/>
    <col min="17" max="17" width="16" style="1" customWidth="1"/>
    <col min="18" max="18" width="9.109375" style="1"/>
    <col min="19" max="19" width="17.6640625" style="1" customWidth="1"/>
    <col min="20" max="20" width="13.44140625" style="1" customWidth="1"/>
    <col min="21" max="21" width="9.109375" style="1"/>
    <col min="22" max="22" width="13.88671875" style="1" customWidth="1"/>
    <col min="23" max="23" width="2.88671875" style="1" customWidth="1"/>
    <col min="24" max="24" width="13" style="1" customWidth="1"/>
    <col min="25" max="25" width="1.6640625" style="1" customWidth="1"/>
    <col min="26" max="27" width="13.6640625" style="1" customWidth="1"/>
    <col min="28" max="28" width="11.6640625" style="1" customWidth="1"/>
    <col min="29" max="29" width="13.6640625" style="1" customWidth="1"/>
    <col min="30" max="16384" width="9.109375" style="1"/>
  </cols>
  <sheetData>
    <row r="1" spans="1:31" ht="14.4">
      <c r="A1" s="399" t="s">
        <v>172</v>
      </c>
      <c r="B1" s="399"/>
      <c r="C1" s="399"/>
      <c r="D1" s="399"/>
      <c r="E1" s="399"/>
      <c r="F1" s="399"/>
      <c r="G1" s="399"/>
      <c r="H1" s="399"/>
      <c r="I1" s="399"/>
      <c r="M1" s="151" t="s">
        <v>234</v>
      </c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 t="s">
        <v>235</v>
      </c>
      <c r="AA1" s="224" t="s">
        <v>296</v>
      </c>
      <c r="AB1" s="151"/>
      <c r="AC1" s="151" t="s">
        <v>237</v>
      </c>
      <c r="AD1" s="224" t="s">
        <v>295</v>
      </c>
      <c r="AE1" s="151"/>
    </row>
    <row r="2" spans="1:31" ht="26.4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  <c r="M2" s="151"/>
      <c r="N2" s="151"/>
      <c r="O2" s="287" t="str">
        <f>AA1&amp;" Billed Schedule 75 Revenue"</f>
        <v>July Billed Schedule 75 Revenue</v>
      </c>
      <c r="P2" s="287" t="str">
        <f>AA1&amp;" Billed kWhs"</f>
        <v>July Billed kWhs</v>
      </c>
      <c r="Q2" s="287" t="str">
        <f>AA1&amp;" Unbilled kWhs"</f>
        <v>July Unbilled kWhs</v>
      </c>
      <c r="R2" s="287" t="s">
        <v>238</v>
      </c>
      <c r="S2" s="287" t="s">
        <v>239</v>
      </c>
      <c r="T2" s="287" t="str">
        <f>AD1&amp;" Unbilled kWhs reversal"</f>
        <v>June Unbilled kWhs reversal</v>
      </c>
      <c r="U2" s="287" t="s">
        <v>238</v>
      </c>
      <c r="V2" s="287" t="str">
        <f>AD1&amp;" Schedule 75 Unbilled Reversal"</f>
        <v>June Schedule 75 Unbilled Reversal</v>
      </c>
      <c r="W2" s="151"/>
      <c r="X2" s="287" t="str">
        <f>"Total "&amp;AA1&amp;" Schedule 75 Revenue"</f>
        <v>Total July Schedule 75 Revenue</v>
      </c>
      <c r="Y2" s="151"/>
      <c r="Z2" s="287" t="str">
        <f>"Calendar "&amp;AA1&amp;" Usage"</f>
        <v>Calendar July Usage</v>
      </c>
      <c r="AA2" s="287" t="str">
        <f>R2</f>
        <v>11/1/2017 rate</v>
      </c>
      <c r="AB2" s="287" t="s">
        <v>240</v>
      </c>
      <c r="AC2" s="287" t="s">
        <v>241</v>
      </c>
      <c r="AD2" s="287" t="str">
        <f>"implied "&amp;AD1&amp;" unbilled/Cancel-Rebill True-up kWhs"</f>
        <v>implied June unbilled/Cancel-Rebill True-up kWhs</v>
      </c>
      <c r="AE2" s="151"/>
    </row>
    <row r="3" spans="1:31" ht="14.4">
      <c r="A3" s="180" t="s">
        <v>131</v>
      </c>
      <c r="B3" s="152"/>
      <c r="C3" s="158">
        <v>215008</v>
      </c>
      <c r="D3" s="282"/>
      <c r="E3" s="182">
        <v>162685830.90099001</v>
      </c>
      <c r="F3" s="182">
        <v>-78586377</v>
      </c>
      <c r="G3" s="182">
        <v>100822517</v>
      </c>
      <c r="H3" s="189">
        <f>SUM(F3:G3)</f>
        <v>22236140</v>
      </c>
      <c r="I3" s="159">
        <f>E3+H3</f>
        <v>184921970.90099001</v>
      </c>
      <c r="J3" s="282"/>
      <c r="M3" s="151" t="s">
        <v>242</v>
      </c>
      <c r="N3" s="151"/>
      <c r="O3" s="214">
        <v>724000.78</v>
      </c>
      <c r="P3" s="225">
        <f t="shared" ref="P3:P8" si="0">E3</f>
        <v>162685830.90099001</v>
      </c>
      <c r="Q3" s="225">
        <f t="shared" ref="Q3:Q8" si="1">G3</f>
        <v>100822517</v>
      </c>
      <c r="R3" s="206">
        <v>4.45E-3</v>
      </c>
      <c r="S3" s="215">
        <f>Q3*R3</f>
        <v>448660.20065000001</v>
      </c>
      <c r="T3" s="225">
        <f t="shared" ref="T3:T8" si="2">F3</f>
        <v>-78586377</v>
      </c>
      <c r="U3" s="206">
        <v>4.45E-3</v>
      </c>
      <c r="V3" s="216">
        <f>T3*U3</f>
        <v>-349709.37764999998</v>
      </c>
      <c r="W3" s="151"/>
      <c r="X3" s="150">
        <f>O3+S3+V3</f>
        <v>822951.60300000012</v>
      </c>
      <c r="Y3" s="151"/>
      <c r="Z3" s="95">
        <f>P3+Q3+T3</f>
        <v>184921970.90099001</v>
      </c>
      <c r="AA3" s="170">
        <f>R3</f>
        <v>4.45E-3</v>
      </c>
      <c r="AB3" s="217">
        <f>Z3*AA3</f>
        <v>822902.77050940553</v>
      </c>
      <c r="AC3" s="150">
        <f>X3-AB3</f>
        <v>48.832490594591945</v>
      </c>
      <c r="AD3" s="95">
        <f>AC3/AA3</f>
        <v>10973.593392043134</v>
      </c>
      <c r="AE3" s="218">
        <f>AC3/X3</f>
        <v>5.9338228902619854E-5</v>
      </c>
    </row>
    <row r="4" spans="1:31" ht="14.4">
      <c r="A4" s="180" t="s">
        <v>178</v>
      </c>
      <c r="B4" s="152"/>
      <c r="C4" s="158">
        <v>400</v>
      </c>
      <c r="D4" s="282"/>
      <c r="E4" s="182">
        <v>279567.73</v>
      </c>
      <c r="F4" s="182">
        <v>-140329</v>
      </c>
      <c r="G4" s="182">
        <v>173265</v>
      </c>
      <c r="H4" s="189">
        <f t="shared" ref="H4:H16" si="3">SUM(F4:G4)</f>
        <v>32936</v>
      </c>
      <c r="I4" s="159">
        <f t="shared" ref="I4:I16" si="4">E4+H4</f>
        <v>312503.73</v>
      </c>
      <c r="J4" s="282"/>
      <c r="M4" s="151" t="s">
        <v>243</v>
      </c>
      <c r="N4" s="151"/>
      <c r="O4" s="214">
        <v>1244.05</v>
      </c>
      <c r="P4" s="225">
        <f t="shared" si="0"/>
        <v>279567.73</v>
      </c>
      <c r="Q4" s="225">
        <f t="shared" si="1"/>
        <v>173265</v>
      </c>
      <c r="R4" s="206">
        <v>4.45E-3</v>
      </c>
      <c r="S4" s="215">
        <f>Q4*R4</f>
        <v>771.02925000000005</v>
      </c>
      <c r="T4" s="225">
        <f t="shared" si="2"/>
        <v>-140329</v>
      </c>
      <c r="U4" s="206">
        <v>4.45E-3</v>
      </c>
      <c r="V4" s="216">
        <f t="shared" ref="V4:V11" si="5">T4*U4</f>
        <v>-624.46405000000004</v>
      </c>
      <c r="W4" s="151"/>
      <c r="X4" s="150">
        <f t="shared" ref="X4:X11" si="6">O4+S4+V4</f>
        <v>1390.6152</v>
      </c>
      <c r="Y4" s="151"/>
      <c r="Z4" s="95">
        <f t="shared" ref="Z4:Z11" si="7">P4+Q4+T4</f>
        <v>312503.73</v>
      </c>
      <c r="AA4" s="170">
        <f t="shared" ref="AA4:AA11" si="8">R4</f>
        <v>4.45E-3</v>
      </c>
      <c r="AB4" s="217">
        <f t="shared" ref="AB4:AB11" si="9">Z4*AA4</f>
        <v>1390.6415984999999</v>
      </c>
      <c r="AC4" s="150">
        <f t="shared" ref="AC4:AC11" si="10">X4-AB4</f>
        <v>-2.6398499999913838E-2</v>
      </c>
      <c r="AD4" s="95">
        <f t="shared" ref="AD4:AD11" si="11">AC4/AA4</f>
        <v>-5.9322471909918741</v>
      </c>
      <c r="AE4" s="218">
        <f t="shared" ref="AE4:AE12" si="12">AC4/X4</f>
        <v>-1.8983324790289821E-5</v>
      </c>
    </row>
    <row r="5" spans="1:31" ht="14.4">
      <c r="A5" s="180" t="s">
        <v>132</v>
      </c>
      <c r="B5" s="152"/>
      <c r="C5" s="158">
        <v>22723</v>
      </c>
      <c r="D5" s="282"/>
      <c r="E5" s="182">
        <v>44491315.207999997</v>
      </c>
      <c r="F5" s="182">
        <v>-22318280</v>
      </c>
      <c r="G5" s="182">
        <v>27487278</v>
      </c>
      <c r="H5" s="189">
        <f t="shared" si="3"/>
        <v>5168998</v>
      </c>
      <c r="I5" s="159">
        <f t="shared" si="4"/>
        <v>49660313.207999997</v>
      </c>
      <c r="J5" s="282"/>
      <c r="M5" s="151" t="s">
        <v>244</v>
      </c>
      <c r="N5" s="151"/>
      <c r="O5" s="214">
        <v>17795.419999999998</v>
      </c>
      <c r="P5" s="225">
        <f t="shared" si="0"/>
        <v>44491315.207999997</v>
      </c>
      <c r="Q5" s="225">
        <f t="shared" si="1"/>
        <v>27487278</v>
      </c>
      <c r="R5" s="219">
        <v>4.0000000000000002E-4</v>
      </c>
      <c r="S5" s="215">
        <f>Q5*R5</f>
        <v>10994.9112</v>
      </c>
      <c r="T5" s="225">
        <f t="shared" si="2"/>
        <v>-22318280</v>
      </c>
      <c r="U5" s="219">
        <v>4.0000000000000002E-4</v>
      </c>
      <c r="V5" s="216">
        <f t="shared" si="5"/>
        <v>-8927.3119999999999</v>
      </c>
      <c r="W5" s="151"/>
      <c r="X5" s="150">
        <f t="shared" si="6"/>
        <v>19863.019200000002</v>
      </c>
      <c r="Y5" s="151"/>
      <c r="Z5" s="95">
        <f t="shared" si="7"/>
        <v>49660313.208000004</v>
      </c>
      <c r="AA5" s="220">
        <f t="shared" si="8"/>
        <v>4.0000000000000002E-4</v>
      </c>
      <c r="AB5" s="217">
        <f t="shared" si="9"/>
        <v>19864.125283200003</v>
      </c>
      <c r="AC5" s="150">
        <f t="shared" si="10"/>
        <v>-1.1060832000002847</v>
      </c>
      <c r="AD5" s="95">
        <f t="shared" si="11"/>
        <v>-2765.2080000007118</v>
      </c>
      <c r="AE5" s="218">
        <f t="shared" si="12"/>
        <v>-5.5685552577036455E-5</v>
      </c>
    </row>
    <row r="6" spans="1:31" ht="14.4">
      <c r="A6" s="180" t="s">
        <v>133</v>
      </c>
      <c r="B6" s="152"/>
      <c r="C6" s="158">
        <v>9565</v>
      </c>
      <c r="D6" s="282"/>
      <c r="E6" s="182">
        <v>3677028.4569999999</v>
      </c>
      <c r="F6" s="182">
        <v>-1934806</v>
      </c>
      <c r="G6" s="182">
        <v>2278873</v>
      </c>
      <c r="H6" s="189">
        <f t="shared" si="3"/>
        <v>344067</v>
      </c>
      <c r="I6" s="159">
        <f t="shared" si="4"/>
        <v>4021095.4569999999</v>
      </c>
      <c r="J6" s="282"/>
      <c r="M6" s="151" t="s">
        <v>245</v>
      </c>
      <c r="N6" s="151"/>
      <c r="O6" s="214">
        <v>1469.72</v>
      </c>
      <c r="P6" s="225">
        <f t="shared" si="0"/>
        <v>3677028.4569999999</v>
      </c>
      <c r="Q6" s="225">
        <f t="shared" si="1"/>
        <v>2278873</v>
      </c>
      <c r="R6" s="219">
        <v>4.0000000000000002E-4</v>
      </c>
      <c r="S6" s="215">
        <f t="shared" ref="S6:S11" si="13">Q6*R6</f>
        <v>911.54920000000004</v>
      </c>
      <c r="T6" s="225">
        <f t="shared" si="2"/>
        <v>-1934806</v>
      </c>
      <c r="U6" s="219">
        <v>4.0000000000000002E-4</v>
      </c>
      <c r="V6" s="216">
        <f t="shared" si="5"/>
        <v>-773.92240000000004</v>
      </c>
      <c r="W6" s="151"/>
      <c r="X6" s="150">
        <f t="shared" si="6"/>
        <v>1607.3468000000003</v>
      </c>
      <c r="Y6" s="151"/>
      <c r="Z6" s="95">
        <f t="shared" si="7"/>
        <v>4021095.4570000004</v>
      </c>
      <c r="AA6" s="220">
        <f t="shared" si="8"/>
        <v>4.0000000000000002E-4</v>
      </c>
      <c r="AB6" s="217">
        <f t="shared" si="9"/>
        <v>1608.4381828000003</v>
      </c>
      <c r="AC6" s="150">
        <f t="shared" si="10"/>
        <v>-1.0913828000000194</v>
      </c>
      <c r="AD6" s="95">
        <f t="shared" si="11"/>
        <v>-2728.4570000000485</v>
      </c>
      <c r="AE6" s="218">
        <f t="shared" si="12"/>
        <v>-6.7899646796821893E-4</v>
      </c>
    </row>
    <row r="7" spans="1:31" ht="14.4">
      <c r="A7" s="180" t="s">
        <v>134</v>
      </c>
      <c r="B7" s="152"/>
      <c r="C7" s="158">
        <v>1845</v>
      </c>
      <c r="D7" s="282"/>
      <c r="E7" s="182">
        <v>112687625.103</v>
      </c>
      <c r="F7" s="182">
        <v>-58325794</v>
      </c>
      <c r="G7" s="182">
        <v>69470717</v>
      </c>
      <c r="H7" s="189">
        <f t="shared" si="3"/>
        <v>11144923</v>
      </c>
      <c r="I7" s="159">
        <f t="shared" si="4"/>
        <v>123832548.103</v>
      </c>
      <c r="J7" s="282"/>
      <c r="M7" s="151" t="s">
        <v>246</v>
      </c>
      <c r="N7" s="151"/>
      <c r="O7" s="214">
        <v>45075.05</v>
      </c>
      <c r="P7" s="225">
        <f t="shared" si="0"/>
        <v>112687625.103</v>
      </c>
      <c r="Q7" s="225">
        <f t="shared" si="1"/>
        <v>69470717</v>
      </c>
      <c r="R7" s="219">
        <v>4.0000000000000002E-4</v>
      </c>
      <c r="S7" s="215">
        <f t="shared" si="13"/>
        <v>27788.286800000002</v>
      </c>
      <c r="T7" s="225">
        <f t="shared" si="2"/>
        <v>-58325794</v>
      </c>
      <c r="U7" s="219">
        <v>4.0000000000000002E-4</v>
      </c>
      <c r="V7" s="216">
        <f t="shared" si="5"/>
        <v>-23330.317600000002</v>
      </c>
      <c r="W7" s="151"/>
      <c r="X7" s="150">
        <f t="shared" si="6"/>
        <v>49533.019200000002</v>
      </c>
      <c r="Y7" s="151"/>
      <c r="Z7" s="95">
        <f t="shared" si="7"/>
        <v>123832548.10299999</v>
      </c>
      <c r="AA7" s="220">
        <f t="shared" si="8"/>
        <v>4.0000000000000002E-4</v>
      </c>
      <c r="AB7" s="217">
        <f t="shared" si="9"/>
        <v>49533.019241199996</v>
      </c>
      <c r="AC7" s="150">
        <f t="shared" si="10"/>
        <v>-4.1199993574991822E-5</v>
      </c>
      <c r="AD7" s="95">
        <f t="shared" si="11"/>
        <v>-0.10299998393747956</v>
      </c>
      <c r="AE7" s="218">
        <f t="shared" si="12"/>
        <v>-8.3176826772133895E-10</v>
      </c>
    </row>
    <row r="8" spans="1:31" ht="14.4">
      <c r="A8" s="180" t="s">
        <v>135</v>
      </c>
      <c r="B8" s="152"/>
      <c r="C8" s="158">
        <v>47</v>
      </c>
      <c r="D8" s="282"/>
      <c r="E8" s="182">
        <v>2227914.7200000002</v>
      </c>
      <c r="F8" s="182">
        <v>-1168955</v>
      </c>
      <c r="G8" s="182">
        <v>1380771</v>
      </c>
      <c r="H8" s="189">
        <f t="shared" si="3"/>
        <v>211816</v>
      </c>
      <c r="I8" s="159">
        <f t="shared" si="4"/>
        <v>2439730.7200000002</v>
      </c>
      <c r="J8" s="282"/>
      <c r="M8" s="151" t="s">
        <v>247</v>
      </c>
      <c r="N8" s="151"/>
      <c r="O8" s="214">
        <v>891.16</v>
      </c>
      <c r="P8" s="225">
        <f t="shared" si="0"/>
        <v>2227914.7200000002</v>
      </c>
      <c r="Q8" s="225">
        <f t="shared" si="1"/>
        <v>1380771</v>
      </c>
      <c r="R8" s="219">
        <v>4.0000000000000002E-4</v>
      </c>
      <c r="S8" s="215">
        <f t="shared" si="13"/>
        <v>552.30840000000001</v>
      </c>
      <c r="T8" s="225">
        <f t="shared" si="2"/>
        <v>-1168955</v>
      </c>
      <c r="U8" s="219">
        <v>4.0000000000000002E-4</v>
      </c>
      <c r="V8" s="216">
        <f t="shared" si="5"/>
        <v>-467.58200000000005</v>
      </c>
      <c r="W8" s="151"/>
      <c r="X8" s="150">
        <f t="shared" si="6"/>
        <v>975.88639999999987</v>
      </c>
      <c r="Y8" s="151"/>
      <c r="Z8" s="95">
        <f t="shared" si="7"/>
        <v>2439730.7200000002</v>
      </c>
      <c r="AA8" s="220">
        <f t="shared" si="8"/>
        <v>4.0000000000000002E-4</v>
      </c>
      <c r="AB8" s="217">
        <f t="shared" si="9"/>
        <v>975.89228800000012</v>
      </c>
      <c r="AC8" s="150">
        <f t="shared" si="10"/>
        <v>-5.8880000002545785E-3</v>
      </c>
      <c r="AD8" s="95">
        <f t="shared" si="11"/>
        <v>-14.720000000636446</v>
      </c>
      <c r="AE8" s="218">
        <f t="shared" si="12"/>
        <v>-6.0334891440792487E-6</v>
      </c>
    </row>
    <row r="9" spans="1:31" ht="14.4">
      <c r="A9" s="180" t="s">
        <v>136</v>
      </c>
      <c r="B9" s="152"/>
      <c r="C9" s="158">
        <v>23</v>
      </c>
      <c r="D9" s="194"/>
      <c r="E9" s="182">
        <f>91430986-E10</f>
        <v>57772358</v>
      </c>
      <c r="F9" s="182">
        <v>-59046228</v>
      </c>
      <c r="G9" s="182">
        <f>95141639-G10</f>
        <v>60141639</v>
      </c>
      <c r="H9" s="189">
        <f t="shared" si="3"/>
        <v>1095411</v>
      </c>
      <c r="I9" s="159">
        <f t="shared" si="4"/>
        <v>58867769</v>
      </c>
      <c r="J9" s="282"/>
      <c r="M9" s="151" t="s">
        <v>248</v>
      </c>
      <c r="N9" s="151"/>
      <c r="O9" s="214">
        <v>2730.11</v>
      </c>
      <c r="P9" s="225">
        <f>E11</f>
        <v>6825279.1440000003</v>
      </c>
      <c r="Q9" s="225">
        <f>G11</f>
        <v>0</v>
      </c>
      <c r="R9" s="219">
        <v>4.0000000000000002E-4</v>
      </c>
      <c r="S9" s="215">
        <f t="shared" si="13"/>
        <v>0</v>
      </c>
      <c r="T9" s="225">
        <f>F11</f>
        <v>0</v>
      </c>
      <c r="U9" s="219">
        <v>4.0000000000000002E-4</v>
      </c>
      <c r="V9" s="216">
        <f t="shared" si="5"/>
        <v>0</v>
      </c>
      <c r="W9" s="151"/>
      <c r="X9" s="150">
        <f t="shared" si="6"/>
        <v>2730.11</v>
      </c>
      <c r="Y9" s="151"/>
      <c r="Z9" s="95">
        <f t="shared" si="7"/>
        <v>6825279.1440000003</v>
      </c>
      <c r="AA9" s="220">
        <f t="shared" si="8"/>
        <v>4.0000000000000002E-4</v>
      </c>
      <c r="AB9" s="217">
        <f t="shared" si="9"/>
        <v>2730.1116576000004</v>
      </c>
      <c r="AC9" s="150">
        <f t="shared" si="10"/>
        <v>-1.6576000002714864E-3</v>
      </c>
      <c r="AD9" s="95">
        <f t="shared" si="11"/>
        <v>-4.1440000006787159</v>
      </c>
      <c r="AE9" s="218">
        <f t="shared" si="12"/>
        <v>-6.0715502315712047E-7</v>
      </c>
    </row>
    <row r="10" spans="1:31" ht="14.4">
      <c r="A10" s="180" t="s">
        <v>179</v>
      </c>
      <c r="B10" s="152"/>
      <c r="C10" s="158"/>
      <c r="D10" s="194"/>
      <c r="E10" s="182">
        <v>33658628</v>
      </c>
      <c r="F10" s="182">
        <v>-35000000</v>
      </c>
      <c r="G10" s="182">
        <v>35000000</v>
      </c>
      <c r="H10" s="189">
        <f t="shared" si="3"/>
        <v>0</v>
      </c>
      <c r="I10" s="159">
        <f t="shared" si="4"/>
        <v>33658628</v>
      </c>
      <c r="J10" s="282"/>
      <c r="M10" s="151" t="s">
        <v>249</v>
      </c>
      <c r="N10" s="151"/>
      <c r="O10" s="214">
        <v>5899.23</v>
      </c>
      <c r="P10" s="225">
        <f>E12</f>
        <v>14748107.573000001</v>
      </c>
      <c r="Q10" s="225">
        <f>G12</f>
        <v>6510007</v>
      </c>
      <c r="R10" s="219">
        <v>4.0000000000000002E-4</v>
      </c>
      <c r="S10" s="215">
        <f t="shared" si="13"/>
        <v>2604.0028000000002</v>
      </c>
      <c r="T10" s="225">
        <f>F12</f>
        <v>-4808391</v>
      </c>
      <c r="U10" s="219">
        <v>4.0000000000000002E-4</v>
      </c>
      <c r="V10" s="216">
        <f t="shared" si="5"/>
        <v>-1923.3564000000001</v>
      </c>
      <c r="W10" s="151"/>
      <c r="X10" s="150">
        <f>O10+S10+V10</f>
        <v>6579.8763999999992</v>
      </c>
      <c r="Y10" s="151"/>
      <c r="Z10" s="95">
        <f t="shared" si="7"/>
        <v>16449723.572999999</v>
      </c>
      <c r="AA10" s="220">
        <f t="shared" si="8"/>
        <v>4.0000000000000002E-4</v>
      </c>
      <c r="AB10" s="217">
        <f t="shared" si="9"/>
        <v>6579.8894291999995</v>
      </c>
      <c r="AC10" s="150">
        <f t="shared" si="10"/>
        <v>-1.3029200000346464E-2</v>
      </c>
      <c r="AD10" s="95">
        <f t="shared" si="11"/>
        <v>-32.573000000866159</v>
      </c>
      <c r="AE10" s="218">
        <f t="shared" si="12"/>
        <v>-1.9801587762874187E-6</v>
      </c>
    </row>
    <row r="11" spans="1:31" ht="14.4">
      <c r="A11" s="180" t="s">
        <v>180</v>
      </c>
      <c r="B11" s="152"/>
      <c r="C11" s="158">
        <v>50</v>
      </c>
      <c r="D11" s="282"/>
      <c r="E11" s="182">
        <v>6825279.1440000003</v>
      </c>
      <c r="F11" s="182">
        <v>0</v>
      </c>
      <c r="G11" s="182">
        <v>0</v>
      </c>
      <c r="H11" s="189">
        <f t="shared" si="3"/>
        <v>0</v>
      </c>
      <c r="I11" s="159">
        <f t="shared" si="4"/>
        <v>6825279.1440000003</v>
      </c>
      <c r="J11" s="282"/>
      <c r="M11" s="151" t="s">
        <v>250</v>
      </c>
      <c r="N11" s="151"/>
      <c r="O11" s="214">
        <v>604.16999999999996</v>
      </c>
      <c r="P11" s="225">
        <f>E13</f>
        <v>1510565.9180000001</v>
      </c>
      <c r="Q11" s="225">
        <f>G13</f>
        <v>605650</v>
      </c>
      <c r="R11" s="219">
        <v>4.0000000000000002E-4</v>
      </c>
      <c r="S11" s="215">
        <f t="shared" si="13"/>
        <v>242.26000000000002</v>
      </c>
      <c r="T11" s="225">
        <f>F13</f>
        <v>-274178</v>
      </c>
      <c r="U11" s="219">
        <v>4.0000000000000002E-4</v>
      </c>
      <c r="V11" s="216">
        <f t="shared" si="5"/>
        <v>-109.6712</v>
      </c>
      <c r="W11" s="151"/>
      <c r="X11" s="150">
        <f t="shared" si="6"/>
        <v>736.75879999999995</v>
      </c>
      <c r="Y11" s="151"/>
      <c r="Z11" s="95">
        <f t="shared" si="7"/>
        <v>1842037.9180000001</v>
      </c>
      <c r="AA11" s="220">
        <f t="shared" si="8"/>
        <v>4.0000000000000002E-4</v>
      </c>
      <c r="AB11" s="217">
        <f t="shared" si="9"/>
        <v>736.81516720000002</v>
      </c>
      <c r="AC11" s="150">
        <f t="shared" si="10"/>
        <v>-5.6367200000067896E-2</v>
      </c>
      <c r="AD11" s="95">
        <f t="shared" si="11"/>
        <v>-140.91800000016974</v>
      </c>
      <c r="AE11" s="218">
        <f t="shared" si="12"/>
        <v>-7.6506992519217816E-5</v>
      </c>
    </row>
    <row r="12" spans="1:31" ht="14.4">
      <c r="A12" s="180" t="s">
        <v>137</v>
      </c>
      <c r="B12" s="152"/>
      <c r="C12" s="158">
        <v>1200</v>
      </c>
      <c r="D12" s="282"/>
      <c r="E12" s="182">
        <v>14748107.573000001</v>
      </c>
      <c r="F12" s="182">
        <v>-4808391</v>
      </c>
      <c r="G12" s="182">
        <v>6510007</v>
      </c>
      <c r="H12" s="189">
        <f t="shared" si="3"/>
        <v>1701616</v>
      </c>
      <c r="I12" s="159">
        <f t="shared" si="4"/>
        <v>16449723.573000001</v>
      </c>
      <c r="J12" s="282"/>
      <c r="M12" s="151"/>
      <c r="N12" s="151"/>
      <c r="O12" s="221">
        <f>SUM(O3:O11)</f>
        <v>799709.69000000018</v>
      </c>
      <c r="P12" s="51">
        <f>SUM(P3:P11)</f>
        <v>349133234.75398999</v>
      </c>
      <c r="Q12" s="51">
        <f>SUM(Q3:Q11)</f>
        <v>208729078</v>
      </c>
      <c r="R12" s="151"/>
      <c r="S12" s="221">
        <f>SUM(S3:S11)</f>
        <v>492524.54830000002</v>
      </c>
      <c r="T12" s="51">
        <f>SUM(T3:T11)</f>
        <v>-167557110</v>
      </c>
      <c r="U12" s="151"/>
      <c r="V12" s="221">
        <f>SUM(V3:V11)</f>
        <v>-385866.00329999992</v>
      </c>
      <c r="W12" s="151"/>
      <c r="X12" s="221">
        <f>SUM(X3:X11)</f>
        <v>906368.23499999999</v>
      </c>
      <c r="Y12" s="151"/>
      <c r="Z12" s="51">
        <f>SUM(Z3:Z11)</f>
        <v>390305202.75398999</v>
      </c>
      <c r="AA12" s="151"/>
      <c r="AB12" s="51">
        <f>SUM(AB3:AB11)</f>
        <v>906321.70335710538</v>
      </c>
      <c r="AC12" s="221">
        <f>SUM(AC3:AC11)</f>
        <v>46.531642894597212</v>
      </c>
      <c r="AD12" s="51">
        <f>SUM(AD3:AD11)</f>
        <v>5281.5381448650924</v>
      </c>
      <c r="AE12" s="218">
        <f t="shared" si="12"/>
        <v>5.1338563177467506E-5</v>
      </c>
    </row>
    <row r="13" spans="1:31" ht="14.4">
      <c r="A13" s="180" t="s">
        <v>138</v>
      </c>
      <c r="B13" s="152"/>
      <c r="C13" s="158">
        <v>1214</v>
      </c>
      <c r="D13" s="282"/>
      <c r="E13" s="182">
        <v>1510565.9180000001</v>
      </c>
      <c r="F13" s="182">
        <v>-274178</v>
      </c>
      <c r="G13" s="182">
        <v>605650</v>
      </c>
      <c r="H13" s="189">
        <f t="shared" si="3"/>
        <v>331472</v>
      </c>
      <c r="I13" s="159">
        <f t="shared" si="4"/>
        <v>1842037.9180000001</v>
      </c>
      <c r="J13" s="282"/>
      <c r="M13" s="151"/>
      <c r="N13" s="151"/>
      <c r="O13" s="151"/>
      <c r="P13" s="151"/>
      <c r="Q13" s="151"/>
      <c r="R13" s="151"/>
      <c r="S13" s="151"/>
      <c r="T13" s="151"/>
      <c r="U13" s="222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</row>
    <row r="14" spans="1:31" ht="14.4">
      <c r="A14" s="180" t="s">
        <v>181</v>
      </c>
      <c r="B14" s="152"/>
      <c r="C14" s="158">
        <v>428</v>
      </c>
      <c r="D14" s="194"/>
      <c r="E14" s="182">
        <v>886754.32170999993</v>
      </c>
      <c r="F14" s="182"/>
      <c r="G14" s="182"/>
      <c r="H14" s="189"/>
      <c r="I14" s="159">
        <f t="shared" si="4"/>
        <v>886754.32170999993</v>
      </c>
      <c r="M14" s="151"/>
      <c r="N14" s="151"/>
      <c r="O14" s="151"/>
      <c r="P14" s="151"/>
      <c r="Q14" s="151"/>
      <c r="R14" s="151"/>
      <c r="S14" s="151"/>
      <c r="T14" s="151"/>
      <c r="U14" s="222" t="s">
        <v>251</v>
      </c>
      <c r="V14" s="151" t="s">
        <v>252</v>
      </c>
      <c r="W14" s="151"/>
      <c r="X14" s="170">
        <v>0.95332300000000003</v>
      </c>
      <c r="Y14" s="151"/>
      <c r="Z14" s="151"/>
      <c r="AA14" s="151" t="s">
        <v>253</v>
      </c>
      <c r="AB14" s="151" t="s">
        <v>254</v>
      </c>
      <c r="AC14" s="151"/>
      <c r="AD14" s="151" t="s">
        <v>255</v>
      </c>
      <c r="AE14" s="151"/>
    </row>
    <row r="15" spans="1:31" ht="14.4">
      <c r="A15" s="180" t="s">
        <v>182</v>
      </c>
      <c r="B15" s="152"/>
      <c r="C15" s="158"/>
      <c r="D15" s="194"/>
      <c r="E15" s="182">
        <v>411730.21364999999</v>
      </c>
      <c r="F15" s="182"/>
      <c r="G15" s="182"/>
      <c r="H15" s="189">
        <f t="shared" si="3"/>
        <v>0</v>
      </c>
      <c r="I15" s="159">
        <f t="shared" si="4"/>
        <v>411730.21364999999</v>
      </c>
      <c r="M15" s="151"/>
      <c r="N15" s="151"/>
      <c r="O15" s="151"/>
      <c r="P15" s="151"/>
      <c r="Q15" s="151"/>
      <c r="R15" s="151"/>
      <c r="S15" s="151"/>
      <c r="T15" s="151" t="s">
        <v>142</v>
      </c>
      <c r="U15" s="151" t="s">
        <v>256</v>
      </c>
      <c r="V15" s="151"/>
      <c r="W15" s="151"/>
      <c r="X15" s="223">
        <f>(X3+X4)*X14</f>
        <v>785864.3964810787</v>
      </c>
      <c r="Y15" s="151"/>
      <c r="Z15" s="151" t="s">
        <v>19</v>
      </c>
      <c r="AA15" s="50">
        <f>P3+P4+Q3+Q4+T3+T4</f>
        <v>185234474.63099</v>
      </c>
      <c r="AB15" s="170">
        <v>4.2399999999999998E-3</v>
      </c>
      <c r="AC15" s="150">
        <f>AA15*AB15</f>
        <v>785394.17243539752</v>
      </c>
      <c r="AD15" s="150">
        <f>X15-AC15</f>
        <v>470.22404568118509</v>
      </c>
      <c r="AE15" s="218">
        <f>AD15/X15</f>
        <v>5.9835265191646419E-4</v>
      </c>
    </row>
    <row r="16" spans="1:31" ht="14.4">
      <c r="A16" s="180" t="s">
        <v>183</v>
      </c>
      <c r="B16" s="152"/>
      <c r="C16" s="158"/>
      <c r="D16" s="195"/>
      <c r="E16" s="182">
        <v>218956.39600000001</v>
      </c>
      <c r="F16" s="182"/>
      <c r="G16" s="182"/>
      <c r="H16" s="189">
        <f t="shared" si="3"/>
        <v>0</v>
      </c>
      <c r="I16" s="159">
        <f t="shared" si="4"/>
        <v>218956.39600000001</v>
      </c>
      <c r="M16" s="151"/>
      <c r="N16" s="151"/>
      <c r="O16" s="151"/>
      <c r="P16" s="151"/>
      <c r="Q16" s="151"/>
      <c r="R16" s="151"/>
      <c r="S16" s="151"/>
      <c r="T16" s="151" t="s">
        <v>142</v>
      </c>
      <c r="U16" s="151" t="s">
        <v>257</v>
      </c>
      <c r="V16" s="151"/>
      <c r="W16" s="151"/>
      <c r="X16" s="223">
        <f>SUM(X5:X11)*X14</f>
        <v>78197.288413826405</v>
      </c>
      <c r="Y16" s="151"/>
      <c r="Z16" s="151" t="s">
        <v>184</v>
      </c>
      <c r="AA16" s="50">
        <f>SUM(P5:Q11,T5:T11)</f>
        <v>205070728.12300003</v>
      </c>
      <c r="AB16" s="170">
        <v>3.8000000000000002E-4</v>
      </c>
      <c r="AC16" s="150">
        <f>AA16*AB16</f>
        <v>77926.876686740012</v>
      </c>
      <c r="AD16" s="150">
        <f>X16-AC16</f>
        <v>270.41172708639351</v>
      </c>
      <c r="AE16" s="218">
        <f>AD16/X16</f>
        <v>3.4580703828929805E-3</v>
      </c>
    </row>
    <row r="17" spans="1:26" ht="14.4">
      <c r="A17" s="152"/>
      <c r="B17" s="152"/>
      <c r="C17" s="160">
        <f>SUM(C3:C16)</f>
        <v>252503</v>
      </c>
      <c r="E17" s="160">
        <f>SUM(E3:E16)</f>
        <v>442081661.68535</v>
      </c>
      <c r="F17" s="160">
        <f>SUM(F3:F16)</f>
        <v>-261603338</v>
      </c>
      <c r="G17" s="160">
        <f>SUM(G3:G16)</f>
        <v>303870717</v>
      </c>
      <c r="H17" s="160">
        <f>SUM(H3:H16)</f>
        <v>42267379</v>
      </c>
      <c r="I17" s="160">
        <f>SUM(I3:I16)</f>
        <v>484349040.68535</v>
      </c>
      <c r="Z17" s="151" t="s">
        <v>236</v>
      </c>
    </row>
    <row r="18" spans="1:26" ht="14.4" thickBot="1">
      <c r="A18" s="152"/>
      <c r="B18" s="152"/>
      <c r="C18" s="152"/>
      <c r="E18" s="152"/>
      <c r="F18" s="152"/>
      <c r="G18" s="152"/>
      <c r="I18" s="152"/>
    </row>
    <row r="19" spans="1:26">
      <c r="A19" s="152" t="s">
        <v>19</v>
      </c>
      <c r="B19" s="152"/>
      <c r="C19" s="161">
        <f>C3+C4</f>
        <v>215408</v>
      </c>
      <c r="E19" s="162">
        <f>E3+E4</f>
        <v>162965398.63099</v>
      </c>
      <c r="F19" s="162">
        <f>F3+F4</f>
        <v>-78726706</v>
      </c>
      <c r="G19" s="162">
        <f>G3+G4</f>
        <v>100995782</v>
      </c>
      <c r="H19" s="162">
        <f>H3+H4</f>
        <v>22269076</v>
      </c>
      <c r="I19" s="161">
        <f>I3+I4</f>
        <v>185234474.63099</v>
      </c>
    </row>
    <row r="20" spans="1:26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26" ht="14.4" thickBot="1">
      <c r="A21" s="152" t="s">
        <v>184</v>
      </c>
      <c r="B21" s="152"/>
      <c r="C21" s="177">
        <f>SUM(C5:C8,C11:C13)</f>
        <v>36644</v>
      </c>
      <c r="E21" s="178">
        <f>SUM(E5:E8,E11:E13)</f>
        <v>186167836.12300003</v>
      </c>
      <c r="F21" s="178">
        <f>SUM(F5:F8,F11:F13)</f>
        <v>-88830404</v>
      </c>
      <c r="G21" s="178">
        <f>SUM(G5:G8,G11:G13)</f>
        <v>107733296</v>
      </c>
      <c r="H21" s="178">
        <f>SUM(H5:H8,H11:H13)</f>
        <v>18902892</v>
      </c>
      <c r="I21" s="177">
        <f>SUM(I5:I8,I11:I13)</f>
        <v>205070728.12300003</v>
      </c>
    </row>
    <row r="22" spans="1:26">
      <c r="A22" s="152"/>
      <c r="B22" s="152"/>
      <c r="C22" s="152"/>
      <c r="D22" s="152"/>
      <c r="E22" s="152"/>
    </row>
    <row r="23" spans="1:26" ht="43.2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</row>
    <row r="24" spans="1:26">
      <c r="A24" s="180" t="s">
        <v>131</v>
      </c>
      <c r="B24" s="152"/>
      <c r="C24" s="181">
        <v>1998953</v>
      </c>
      <c r="D24" s="181">
        <v>14871567.17</v>
      </c>
      <c r="E24" s="183">
        <v>-7557929</v>
      </c>
      <c r="F24" s="183">
        <v>9462718</v>
      </c>
      <c r="G24" s="174">
        <f>SUM(D24:F24)</f>
        <v>16776356.17</v>
      </c>
      <c r="H24" s="174">
        <f>-K62</f>
        <v>-159719.07850999999</v>
      </c>
      <c r="I24" s="174">
        <f>SUM(G24:H24)</f>
        <v>16616637.09149</v>
      </c>
    </row>
    <row r="25" spans="1:26">
      <c r="A25" s="180" t="s">
        <v>178</v>
      </c>
      <c r="B25" s="152"/>
      <c r="C25" s="181">
        <v>3627</v>
      </c>
      <c r="D25" s="181">
        <v>25481</v>
      </c>
      <c r="E25" s="183">
        <v>-9170</v>
      </c>
      <c r="F25" s="183">
        <v>10940</v>
      </c>
      <c r="G25" s="174">
        <f t="shared" ref="G25:G33" si="14">SUM(D25:F25)</f>
        <v>27251</v>
      </c>
      <c r="H25" s="174">
        <f t="shared" ref="H25:H30" si="15">-K63</f>
        <v>796.39409000000001</v>
      </c>
      <c r="I25" s="174">
        <f t="shared" ref="I25:I34" si="16">SUM(G25:H25)</f>
        <v>28047.394090000002</v>
      </c>
    </row>
    <row r="26" spans="1:26">
      <c r="A26" s="180" t="s">
        <v>132</v>
      </c>
      <c r="B26" s="152"/>
      <c r="C26" s="181">
        <v>461023.17</v>
      </c>
      <c r="D26" s="181">
        <v>5308531.0599999996</v>
      </c>
      <c r="E26" s="183">
        <v>-2630163</v>
      </c>
      <c r="F26" s="183">
        <v>3169019</v>
      </c>
      <c r="G26" s="174">
        <f t="shared" si="14"/>
        <v>5847387.0599999996</v>
      </c>
      <c r="H26" s="174">
        <f t="shared" si="15"/>
        <v>-26965.220179999997</v>
      </c>
      <c r="I26" s="174">
        <f t="shared" si="16"/>
        <v>5820421.8398199994</v>
      </c>
    </row>
    <row r="27" spans="1:26">
      <c r="A27" s="180" t="s">
        <v>133</v>
      </c>
      <c r="B27" s="152"/>
      <c r="C27" s="181">
        <v>193209.56</v>
      </c>
      <c r="D27" s="181">
        <v>601332.11</v>
      </c>
      <c r="E27" s="183">
        <v>-316539</v>
      </c>
      <c r="F27" s="183">
        <v>356004</v>
      </c>
      <c r="G27" s="174">
        <f t="shared" si="14"/>
        <v>640797.11</v>
      </c>
      <c r="H27" s="174">
        <f t="shared" si="15"/>
        <v>-1610.54376</v>
      </c>
      <c r="I27" s="174">
        <f t="shared" si="16"/>
        <v>639186.56623999996</v>
      </c>
    </row>
    <row r="28" spans="1:26">
      <c r="A28" s="180" t="s">
        <v>134</v>
      </c>
      <c r="B28" s="152"/>
      <c r="C28" s="181">
        <v>922940.01</v>
      </c>
      <c r="D28" s="181">
        <v>10420198.800000001</v>
      </c>
      <c r="E28" s="183">
        <v>-4745224</v>
      </c>
      <c r="F28" s="183">
        <v>5550104</v>
      </c>
      <c r="G28" s="174">
        <f t="shared" si="14"/>
        <v>11225078.800000001</v>
      </c>
      <c r="H28" s="174">
        <f t="shared" si="15"/>
        <v>-50861.873899999999</v>
      </c>
      <c r="I28" s="174">
        <f t="shared" si="16"/>
        <v>11174216.926100001</v>
      </c>
    </row>
    <row r="29" spans="1:26">
      <c r="A29" s="180" t="s">
        <v>135</v>
      </c>
      <c r="B29" s="152"/>
      <c r="C29" s="181">
        <v>24000</v>
      </c>
      <c r="D29" s="181">
        <v>205236.58</v>
      </c>
      <c r="E29" s="183">
        <v>-98074</v>
      </c>
      <c r="F29" s="183">
        <v>113215</v>
      </c>
      <c r="G29" s="174">
        <f t="shared" si="14"/>
        <v>220377.58</v>
      </c>
      <c r="H29" s="174">
        <f t="shared" si="15"/>
        <v>-808.99045000000001</v>
      </c>
      <c r="I29" s="174">
        <f t="shared" si="16"/>
        <v>219568.58954999998</v>
      </c>
    </row>
    <row r="30" spans="1:26">
      <c r="A30" s="180" t="s">
        <v>136</v>
      </c>
      <c r="B30" s="152"/>
      <c r="C30" s="181">
        <v>552000</v>
      </c>
      <c r="D30" s="181">
        <f>5568357.59-80424.33</f>
        <v>5487933.2599999998</v>
      </c>
      <c r="E30" s="183">
        <v>-5918000</v>
      </c>
      <c r="F30" s="183">
        <v>5944302</v>
      </c>
      <c r="G30" s="174">
        <f t="shared" si="14"/>
        <v>5514235.2599999998</v>
      </c>
      <c r="H30" s="174">
        <f t="shared" si="15"/>
        <v>-22585.231190000002</v>
      </c>
      <c r="I30" s="174">
        <f t="shared" si="16"/>
        <v>5491650.02881</v>
      </c>
      <c r="J30" s="283"/>
    </row>
    <row r="31" spans="1:26">
      <c r="A31" s="180" t="s">
        <v>180</v>
      </c>
      <c r="B31" s="152"/>
      <c r="C31" s="181">
        <v>1000</v>
      </c>
      <c r="D31" s="181">
        <v>474590.9</v>
      </c>
      <c r="E31" s="183">
        <v>0</v>
      </c>
      <c r="F31" s="183">
        <v>0</v>
      </c>
      <c r="G31" s="174">
        <f t="shared" si="14"/>
        <v>474590.9</v>
      </c>
      <c r="H31" s="174">
        <f>-K69</f>
        <v>0</v>
      </c>
      <c r="I31" s="174">
        <f t="shared" si="16"/>
        <v>474590.9</v>
      </c>
    </row>
    <row r="32" spans="1:26">
      <c r="A32" s="180" t="s">
        <v>137</v>
      </c>
      <c r="B32" s="152"/>
      <c r="C32" s="181">
        <v>24040</v>
      </c>
      <c r="D32" s="181">
        <v>1198473.4099999999</v>
      </c>
      <c r="E32" s="183">
        <v>-278734</v>
      </c>
      <c r="F32" s="183">
        <v>373901</v>
      </c>
      <c r="G32" s="174">
        <f t="shared" si="14"/>
        <v>1293640.4099999999</v>
      </c>
      <c r="H32" s="174">
        <f>-K70</f>
        <v>-6429.023439999999</v>
      </c>
      <c r="I32" s="174">
        <f t="shared" si="16"/>
        <v>1287211.38656</v>
      </c>
    </row>
    <row r="33" spans="1:14">
      <c r="A33" s="180" t="s">
        <v>138</v>
      </c>
      <c r="B33" s="152"/>
      <c r="C33" s="181">
        <v>24500</v>
      </c>
      <c r="D33" s="181">
        <v>150131.03</v>
      </c>
      <c r="E33" s="183">
        <v>-33875</v>
      </c>
      <c r="F33" s="183">
        <v>60038</v>
      </c>
      <c r="G33" s="174">
        <f t="shared" si="14"/>
        <v>176294.03</v>
      </c>
      <c r="H33" s="174">
        <f>-K71</f>
        <v>-824.87360000000012</v>
      </c>
      <c r="I33" s="174">
        <f t="shared" si="16"/>
        <v>175469.15640000001</v>
      </c>
    </row>
    <row r="34" spans="1:14">
      <c r="A34" s="180" t="s">
        <v>192</v>
      </c>
      <c r="B34" s="152"/>
      <c r="C34" s="174"/>
      <c r="D34" s="181">
        <v>551013.74</v>
      </c>
      <c r="E34" s="181"/>
      <c r="F34" s="181"/>
      <c r="G34" s="174">
        <f>SUM(D34:F34)</f>
        <v>551013.74</v>
      </c>
      <c r="H34" s="174"/>
      <c r="I34" s="174">
        <f t="shared" si="16"/>
        <v>551013.74</v>
      </c>
    </row>
    <row r="35" spans="1:14">
      <c r="A35" s="180" t="s">
        <v>193</v>
      </c>
      <c r="B35" s="152"/>
      <c r="C35" s="194"/>
      <c r="D35" s="181">
        <v>1783212.07</v>
      </c>
      <c r="E35" s="181"/>
      <c r="F35" s="181"/>
      <c r="G35" s="174"/>
      <c r="H35" s="174"/>
      <c r="I35" s="174"/>
    </row>
    <row r="36" spans="1:14">
      <c r="A36" s="180" t="s">
        <v>194</v>
      </c>
      <c r="B36" s="152"/>
      <c r="C36" s="194"/>
      <c r="D36" s="181">
        <v>1499323.21</v>
      </c>
      <c r="E36" s="181"/>
      <c r="F36" s="181"/>
      <c r="G36" s="174"/>
      <c r="H36" s="174"/>
      <c r="I36" s="174"/>
    </row>
    <row r="37" spans="1:14">
      <c r="A37" s="152"/>
      <c r="B37" s="152"/>
      <c r="C37" s="166">
        <f t="shared" ref="C37:I37" si="17">SUM(C24:C36)</f>
        <v>4205292.74</v>
      </c>
      <c r="D37" s="166">
        <f t="shared" si="17"/>
        <v>42577024.339999996</v>
      </c>
      <c r="E37" s="166">
        <f t="shared" si="17"/>
        <v>-21587708</v>
      </c>
      <c r="F37" s="166">
        <f t="shared" si="17"/>
        <v>25040241</v>
      </c>
      <c r="G37" s="166">
        <f t="shared" si="17"/>
        <v>42747022.059999995</v>
      </c>
      <c r="H37" s="166">
        <f t="shared" si="17"/>
        <v>-269008.44094</v>
      </c>
      <c r="I37" s="166">
        <f t="shared" si="17"/>
        <v>42478013.619060017</v>
      </c>
    </row>
    <row r="38" spans="1:14" ht="14.4" thickBot="1">
      <c r="A38" s="152"/>
      <c r="B38" s="152"/>
      <c r="D38" s="167"/>
      <c r="E38" s="152"/>
      <c r="F38" s="152"/>
    </row>
    <row r="39" spans="1:14">
      <c r="A39" s="152" t="s">
        <v>19</v>
      </c>
      <c r="B39" s="152"/>
      <c r="C39" s="169">
        <f t="shared" ref="C39:I39" si="18">C24+C25</f>
        <v>2002580</v>
      </c>
      <c r="D39" s="168">
        <f t="shared" si="18"/>
        <v>14897048.17</v>
      </c>
      <c r="E39" s="168">
        <f t="shared" si="18"/>
        <v>-7567099</v>
      </c>
      <c r="F39" s="168">
        <f t="shared" si="18"/>
        <v>9473658</v>
      </c>
      <c r="G39" s="168">
        <f t="shared" si="18"/>
        <v>16803607.170000002</v>
      </c>
      <c r="H39" s="168">
        <f t="shared" si="18"/>
        <v>-158922.68442000001</v>
      </c>
      <c r="I39" s="169">
        <f t="shared" si="18"/>
        <v>16644684.485580001</v>
      </c>
    </row>
    <row r="40" spans="1:14" ht="6" customHeight="1">
      <c r="A40" s="152"/>
      <c r="B40" s="152"/>
      <c r="C40" s="173"/>
      <c r="D40" s="168"/>
      <c r="E40" s="152"/>
      <c r="F40" s="152"/>
      <c r="I40" s="190"/>
    </row>
    <row r="41" spans="1:14" ht="14.4" thickBot="1">
      <c r="A41" s="152" t="s">
        <v>184</v>
      </c>
      <c r="B41" s="152"/>
      <c r="C41" s="175">
        <f>SUM(C26:C29,C31:C33)</f>
        <v>1650712.74</v>
      </c>
      <c r="D41" s="176">
        <f t="shared" ref="D41:I41" si="19">SUM(D26:D29,D31:D33)</f>
        <v>18358493.890000001</v>
      </c>
      <c r="E41" s="176">
        <f t="shared" si="19"/>
        <v>-8102609</v>
      </c>
      <c r="F41" s="176">
        <f t="shared" si="19"/>
        <v>9622281</v>
      </c>
      <c r="G41" s="176">
        <f t="shared" si="19"/>
        <v>19878165.889999997</v>
      </c>
      <c r="H41" s="176">
        <f t="shared" si="19"/>
        <v>-87500.525330000004</v>
      </c>
      <c r="I41" s="175">
        <f t="shared" si="19"/>
        <v>19790665.364669997</v>
      </c>
    </row>
    <row r="42" spans="1:14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14">
      <c r="C43" s="191">
        <v>43040</v>
      </c>
      <c r="D43" s="191">
        <v>43252</v>
      </c>
      <c r="E43" s="196">
        <v>43040</v>
      </c>
      <c r="F43" s="192">
        <v>42278</v>
      </c>
      <c r="G43" s="191">
        <v>42948</v>
      </c>
      <c r="H43" s="191">
        <v>43009</v>
      </c>
      <c r="I43" s="191">
        <v>42380</v>
      </c>
      <c r="J43" s="191">
        <v>43282</v>
      </c>
      <c r="K43" s="191">
        <v>42917</v>
      </c>
      <c r="L43" s="196"/>
    </row>
    <row r="44" spans="1:14" ht="39.6">
      <c r="A44" s="179" t="s">
        <v>195</v>
      </c>
      <c r="B44" s="154"/>
      <c r="C44" s="165" t="s">
        <v>196</v>
      </c>
      <c r="D44" s="165" t="s">
        <v>312</v>
      </c>
      <c r="E44" s="165" t="s">
        <v>213</v>
      </c>
      <c r="F44" s="165" t="s">
        <v>197</v>
      </c>
      <c r="G44" s="165" t="s">
        <v>198</v>
      </c>
      <c r="H44" s="165" t="s">
        <v>199</v>
      </c>
      <c r="I44" s="165" t="s">
        <v>200</v>
      </c>
      <c r="J44" s="165" t="s">
        <v>201</v>
      </c>
      <c r="K44" s="165" t="s">
        <v>201</v>
      </c>
      <c r="M44" s="211" t="s">
        <v>229</v>
      </c>
      <c r="N44" s="1" t="s">
        <v>230</v>
      </c>
    </row>
    <row r="45" spans="1:14">
      <c r="A45" s="180" t="s">
        <v>131</v>
      </c>
      <c r="B45" s="152"/>
      <c r="C45" s="171">
        <v>-8.0999999999999996E-4</v>
      </c>
      <c r="D45" s="171">
        <v>-1.42E-3</v>
      </c>
      <c r="E45" s="171">
        <v>4.45E-3</v>
      </c>
      <c r="F45" s="171"/>
      <c r="G45" s="171">
        <v>3.4399999999999999E-3</v>
      </c>
      <c r="H45" s="171">
        <v>1.0499999999999999E-3</v>
      </c>
      <c r="I45" s="171">
        <v>0</v>
      </c>
      <c r="J45" s="171">
        <v>-3.4000000000000002E-4</v>
      </c>
      <c r="K45" s="171">
        <v>-5.6999999999999998E-4</v>
      </c>
      <c r="M45" s="171">
        <f>SUM(B45:J45)</f>
        <v>6.3699999999999998E-3</v>
      </c>
      <c r="N45" s="212">
        <f>M45*G3+(M45-J45+K45)*F3</f>
        <v>159719.07850999996</v>
      </c>
    </row>
    <row r="46" spans="1:14">
      <c r="A46" s="180" t="s">
        <v>178</v>
      </c>
      <c r="B46" s="152"/>
      <c r="C46" s="171">
        <v>-8.0999999999999996E-4</v>
      </c>
      <c r="D46" s="171">
        <v>-1.42E-3</v>
      </c>
      <c r="E46" s="171">
        <v>4.45E-3</v>
      </c>
      <c r="F46" s="171">
        <v>-3.1530000000000002E-2</v>
      </c>
      <c r="G46" s="171">
        <v>3.4399999999999999E-3</v>
      </c>
      <c r="H46" s="171">
        <v>1.0499999999999999E-3</v>
      </c>
      <c r="I46" s="171">
        <v>0</v>
      </c>
      <c r="J46" s="171">
        <v>-3.4000000000000002E-4</v>
      </c>
      <c r="K46" s="171">
        <v>-5.6999999999999998E-4</v>
      </c>
      <c r="M46" s="171">
        <f t="shared" ref="M46:M57" si="20">SUM(B46:J46)</f>
        <v>-2.5160000000000005E-2</v>
      </c>
      <c r="N46" s="212">
        <f t="shared" ref="N46:N57" si="21">M46*G4+(M46-J46+K46)*F4</f>
        <v>-796.39408999999978</v>
      </c>
    </row>
    <row r="47" spans="1:14">
      <c r="A47" s="180" t="s">
        <v>132</v>
      </c>
      <c r="B47" s="152"/>
      <c r="C47" s="171">
        <v>0</v>
      </c>
      <c r="D47" s="171">
        <v>-1.8799999999999999E-3</v>
      </c>
      <c r="E47" s="171">
        <v>4.0000000000000002E-4</v>
      </c>
      <c r="F47" s="171"/>
      <c r="G47" s="171">
        <v>4.6299999999999996E-3</v>
      </c>
      <c r="H47" s="171">
        <v>1.5200000000000001E-3</v>
      </c>
      <c r="I47" s="171">
        <v>0</v>
      </c>
      <c r="J47" s="171">
        <v>-3.6000000000000002E-4</v>
      </c>
      <c r="K47" s="171">
        <v>-5.6999999999999998E-4</v>
      </c>
      <c r="M47" s="171">
        <f t="shared" si="20"/>
        <v>4.3099999999999996E-3</v>
      </c>
      <c r="N47" s="212">
        <f t="shared" si="21"/>
        <v>26965.220180000004</v>
      </c>
    </row>
    <row r="48" spans="1:14">
      <c r="A48" s="180" t="s">
        <v>133</v>
      </c>
      <c r="B48" s="152"/>
      <c r="C48" s="171">
        <v>-8.0999999999999996E-4</v>
      </c>
      <c r="D48" s="171">
        <v>-1.8799999999999999E-3</v>
      </c>
      <c r="E48" s="171">
        <v>4.0000000000000002E-4</v>
      </c>
      <c r="F48" s="171"/>
      <c r="G48" s="171">
        <v>4.6299999999999996E-3</v>
      </c>
      <c r="H48" s="171">
        <v>1.5200000000000001E-3</v>
      </c>
      <c r="I48" s="171">
        <v>0</v>
      </c>
      <c r="J48" s="171">
        <v>-3.6000000000000002E-4</v>
      </c>
      <c r="K48" s="171">
        <v>-5.6999999999999998E-4</v>
      </c>
      <c r="M48" s="171">
        <f t="shared" si="20"/>
        <v>3.5000000000000001E-3</v>
      </c>
      <c r="N48" s="212">
        <f t="shared" si="21"/>
        <v>1610.5437599999996</v>
      </c>
    </row>
    <row r="49" spans="1:14" ht="14.4" customHeight="1">
      <c r="A49" s="180" t="s">
        <v>134</v>
      </c>
      <c r="B49" s="152"/>
      <c r="C49" s="171">
        <v>0</v>
      </c>
      <c r="D49" s="171">
        <v>-1.4400000000000001E-3</v>
      </c>
      <c r="E49" s="171">
        <v>4.0000000000000002E-4</v>
      </c>
      <c r="F49" s="171"/>
      <c r="G49" s="171">
        <v>3.6600000000000001E-3</v>
      </c>
      <c r="H49" s="171">
        <v>1.1000000000000001E-3</v>
      </c>
      <c r="I49" s="171">
        <v>0</v>
      </c>
      <c r="J49" s="171">
        <v>-3.6000000000000002E-4</v>
      </c>
      <c r="K49" s="171">
        <v>-5.9000000000000003E-4</v>
      </c>
      <c r="M49" s="171">
        <f t="shared" si="20"/>
        <v>3.3600000000000001E-3</v>
      </c>
      <c r="N49" s="212">
        <f t="shared" si="21"/>
        <v>50861.873900000006</v>
      </c>
    </row>
    <row r="50" spans="1:14">
      <c r="A50" s="180" t="s">
        <v>135</v>
      </c>
      <c r="B50" s="152"/>
      <c r="C50" s="171">
        <v>-8.0999999999999996E-4</v>
      </c>
      <c r="D50" s="171">
        <v>-1.4400000000000001E-3</v>
      </c>
      <c r="E50" s="171">
        <v>4.0000000000000002E-4</v>
      </c>
      <c r="F50" s="171"/>
      <c r="G50" s="171">
        <v>3.6600000000000001E-3</v>
      </c>
      <c r="H50" s="171">
        <v>1.1000000000000001E-3</v>
      </c>
      <c r="I50" s="171">
        <v>0</v>
      </c>
      <c r="J50" s="171">
        <v>-3.6000000000000002E-4</v>
      </c>
      <c r="K50" s="171">
        <v>-5.9000000000000003E-4</v>
      </c>
      <c r="M50" s="171">
        <f t="shared" si="20"/>
        <v>2.5499999999999997E-3</v>
      </c>
      <c r="N50" s="212">
        <f t="shared" si="21"/>
        <v>808.99044999999933</v>
      </c>
    </row>
    <row r="51" spans="1:14">
      <c r="A51" s="180" t="s">
        <v>136</v>
      </c>
      <c r="B51" s="152"/>
      <c r="C51" s="171">
        <v>0</v>
      </c>
      <c r="D51" s="171">
        <v>-9.3000000000000005E-4</v>
      </c>
      <c r="E51" s="171">
        <v>0</v>
      </c>
      <c r="F51" s="171"/>
      <c r="G51" s="171">
        <v>2.32E-3</v>
      </c>
      <c r="H51" s="171">
        <v>6.8999999999999997E-4</v>
      </c>
      <c r="I51" s="171">
        <v>0</v>
      </c>
      <c r="J51" s="171">
        <v>-3.5E-4</v>
      </c>
      <c r="K51" s="171">
        <v>-5.6999999999999998E-4</v>
      </c>
      <c r="M51" s="171">
        <f t="shared" si="20"/>
        <v>1.7299999999999998E-3</v>
      </c>
      <c r="N51" s="212">
        <f t="shared" si="21"/>
        <v>14885.231189999991</v>
      </c>
    </row>
    <row r="52" spans="1:14">
      <c r="A52" s="180" t="s">
        <v>179</v>
      </c>
      <c r="B52" s="152"/>
      <c r="C52" s="171">
        <v>0</v>
      </c>
      <c r="D52" s="171">
        <v>0</v>
      </c>
      <c r="E52" s="171">
        <v>0</v>
      </c>
      <c r="F52" s="171"/>
      <c r="G52" s="171">
        <v>2.32E-3</v>
      </c>
      <c r="H52" s="171">
        <v>0</v>
      </c>
      <c r="I52" s="171">
        <v>0</v>
      </c>
      <c r="J52" s="171">
        <v>-3.5E-4</v>
      </c>
      <c r="K52" s="171">
        <v>-5.6999999999999998E-4</v>
      </c>
      <c r="M52" s="171">
        <f t="shared" si="20"/>
        <v>1.97E-3</v>
      </c>
      <c r="N52" s="212">
        <f t="shared" si="21"/>
        <v>7700</v>
      </c>
    </row>
    <row r="53" spans="1:14">
      <c r="A53" s="180" t="s">
        <v>180</v>
      </c>
      <c r="B53" s="152"/>
      <c r="C53" s="171">
        <v>0</v>
      </c>
      <c r="D53" s="171">
        <v>-1.2999999999999999E-3</v>
      </c>
      <c r="E53" s="171">
        <v>4.0000000000000002E-4</v>
      </c>
      <c r="F53" s="171"/>
      <c r="G53" s="171">
        <v>3.4099999999999998E-3</v>
      </c>
      <c r="H53" s="171">
        <v>9.6000000000000002E-4</v>
      </c>
      <c r="I53" s="171">
        <v>0</v>
      </c>
      <c r="J53" s="171">
        <v>-3.6999999999999999E-4</v>
      </c>
      <c r="K53" s="171">
        <v>-6.0999999999999997E-4</v>
      </c>
      <c r="M53" s="171">
        <f t="shared" si="20"/>
        <v>3.0999999999999999E-3</v>
      </c>
      <c r="N53" s="212">
        <f t="shared" si="21"/>
        <v>0</v>
      </c>
    </row>
    <row r="54" spans="1:14">
      <c r="A54" s="180" t="s">
        <v>137</v>
      </c>
      <c r="B54" s="152"/>
      <c r="C54" s="171">
        <v>0</v>
      </c>
      <c r="D54" s="171">
        <v>-1.2999999999999999E-3</v>
      </c>
      <c r="E54" s="171">
        <v>4.0000000000000002E-4</v>
      </c>
      <c r="F54" s="171"/>
      <c r="G54" s="171">
        <v>3.4099999999999998E-3</v>
      </c>
      <c r="H54" s="171">
        <v>9.6000000000000002E-4</v>
      </c>
      <c r="I54" s="171">
        <v>0</v>
      </c>
      <c r="J54" s="171">
        <v>-3.6999999999999999E-4</v>
      </c>
      <c r="K54" s="171">
        <v>-6.0999999999999997E-4</v>
      </c>
      <c r="M54" s="171">
        <f t="shared" si="20"/>
        <v>3.0999999999999999E-3</v>
      </c>
      <c r="N54" s="212">
        <f t="shared" si="21"/>
        <v>6429.0234399999972</v>
      </c>
    </row>
    <row r="55" spans="1:14">
      <c r="A55" s="180" t="s">
        <v>138</v>
      </c>
      <c r="B55" s="152"/>
      <c r="C55" s="171">
        <v>-8.0999999999999996E-4</v>
      </c>
      <c r="D55" s="171">
        <v>-1.2999999999999999E-3</v>
      </c>
      <c r="E55" s="171">
        <v>4.0000000000000002E-4</v>
      </c>
      <c r="F55" s="171"/>
      <c r="G55" s="171">
        <v>3.4099999999999998E-3</v>
      </c>
      <c r="H55" s="171">
        <v>9.6000000000000002E-4</v>
      </c>
      <c r="I55" s="171">
        <v>0</v>
      </c>
      <c r="J55" s="171">
        <v>-3.6999999999999999E-4</v>
      </c>
      <c r="K55" s="171">
        <v>-6.0999999999999997E-4</v>
      </c>
      <c r="M55" s="171">
        <f t="shared" si="20"/>
        <v>2.2899999999999999E-3</v>
      </c>
      <c r="N55" s="212">
        <f t="shared" si="21"/>
        <v>824.8735999999999</v>
      </c>
    </row>
    <row r="56" spans="1:14">
      <c r="A56" s="180" t="s">
        <v>192</v>
      </c>
      <c r="B56" s="152"/>
      <c r="C56" s="171">
        <v>0</v>
      </c>
      <c r="D56" s="171">
        <v>0</v>
      </c>
      <c r="E56" s="171">
        <v>0</v>
      </c>
      <c r="F56" s="171"/>
      <c r="G56" s="186">
        <v>1.2149999999999999E-2</v>
      </c>
      <c r="H56" s="401" t="s">
        <v>214</v>
      </c>
      <c r="I56" s="171">
        <v>0</v>
      </c>
      <c r="J56" s="186">
        <v>-4.8000000000000001E-4</v>
      </c>
      <c r="K56" s="186">
        <v>-6.4999999999999997E-4</v>
      </c>
      <c r="M56" s="171">
        <f t="shared" si="20"/>
        <v>1.167E-2</v>
      </c>
      <c r="N56" s="212">
        <f t="shared" si="21"/>
        <v>0</v>
      </c>
    </row>
    <row r="57" spans="1:14">
      <c r="A57" s="180" t="s">
        <v>183</v>
      </c>
      <c r="B57" s="152"/>
      <c r="C57" s="171">
        <v>-8.0999999999999996E-4</v>
      </c>
      <c r="D57" s="171">
        <v>0</v>
      </c>
      <c r="E57" s="171">
        <v>0</v>
      </c>
      <c r="F57" s="171"/>
      <c r="G57" s="186">
        <v>1.2149999999999999E-2</v>
      </c>
      <c r="H57" s="401"/>
      <c r="I57" s="171">
        <v>0</v>
      </c>
      <c r="J57" s="186">
        <v>-4.8000000000000001E-4</v>
      </c>
      <c r="K57" s="186">
        <v>-6.4999999999999997E-4</v>
      </c>
      <c r="M57" s="171">
        <f t="shared" si="20"/>
        <v>1.086E-2</v>
      </c>
      <c r="N57" s="212">
        <f t="shared" si="21"/>
        <v>0</v>
      </c>
    </row>
    <row r="58" spans="1:14">
      <c r="A58" s="180"/>
      <c r="B58" s="152"/>
      <c r="C58" s="171"/>
      <c r="D58" s="171"/>
      <c r="E58" s="171"/>
      <c r="F58" s="171"/>
      <c r="G58" s="186"/>
      <c r="H58" s="328"/>
      <c r="I58" s="171"/>
      <c r="J58" s="186"/>
      <c r="K58" s="171"/>
      <c r="L58" s="212"/>
      <c r="M58" s="212"/>
    </row>
    <row r="59" spans="1:14">
      <c r="A59" s="180"/>
      <c r="B59" s="152"/>
      <c r="C59" s="171"/>
      <c r="D59" s="171"/>
      <c r="E59" s="171"/>
      <c r="F59" s="171"/>
      <c r="G59" s="186"/>
      <c r="H59" s="328"/>
      <c r="I59" s="171"/>
      <c r="J59" s="186"/>
      <c r="K59" s="171"/>
      <c r="L59" s="212"/>
      <c r="M59" s="212"/>
    </row>
    <row r="60" spans="1:14">
      <c r="F60" s="152"/>
      <c r="M60" s="212"/>
      <c r="N60" s="212">
        <f>SUM(N45:N57)</f>
        <v>269008.44094</v>
      </c>
    </row>
    <row r="61" spans="1:14" ht="14.4" customHeight="1">
      <c r="A61" s="179" t="s">
        <v>202</v>
      </c>
      <c r="B61" s="154"/>
      <c r="C61" s="172" t="s">
        <v>209</v>
      </c>
      <c r="D61" s="172" t="s">
        <v>312</v>
      </c>
      <c r="E61" s="172" t="s">
        <v>213</v>
      </c>
      <c r="F61" s="172" t="s">
        <v>203</v>
      </c>
      <c r="G61" s="172" t="s">
        <v>204</v>
      </c>
      <c r="H61" s="172" t="s">
        <v>205</v>
      </c>
      <c r="I61" s="172" t="s">
        <v>206</v>
      </c>
      <c r="J61" s="172" t="s">
        <v>207</v>
      </c>
      <c r="K61" s="172" t="s">
        <v>208</v>
      </c>
      <c r="N61" s="168"/>
    </row>
    <row r="62" spans="1:14">
      <c r="A62" s="180" t="s">
        <v>131</v>
      </c>
      <c r="C62" s="168">
        <f t="shared" ref="C62:D67" si="22">C45*$H3</f>
        <v>-18011.273399999998</v>
      </c>
      <c r="D62" s="168">
        <f t="shared" si="22"/>
        <v>-31575.318800000001</v>
      </c>
      <c r="E62" s="168">
        <f t="shared" ref="E62:E67" si="23">E45*H3</f>
        <v>98950.823000000004</v>
      </c>
      <c r="F62" s="168">
        <f t="shared" ref="F62:F67" si="24">$H3*F45</f>
        <v>0</v>
      </c>
      <c r="G62" s="168">
        <f t="shared" ref="G62:H67" si="25">($H3*G45)</f>
        <v>76492.321599999996</v>
      </c>
      <c r="H62" s="168">
        <f t="shared" si="25"/>
        <v>23347.947</v>
      </c>
      <c r="I62" s="168">
        <f t="shared" ref="I62:I67" si="26">$H3*I45</f>
        <v>0</v>
      </c>
      <c r="J62" s="168">
        <f>(J45*G3+K45*F3)</f>
        <v>10514.579109999999</v>
      </c>
      <c r="K62" s="168">
        <f t="shared" ref="K62:K72" si="27">SUM(C62:J62)</f>
        <v>159719.07850999999</v>
      </c>
      <c r="N62" s="168"/>
    </row>
    <row r="63" spans="1:14">
      <c r="A63" s="180" t="s">
        <v>178</v>
      </c>
      <c r="C63" s="168">
        <f t="shared" si="22"/>
        <v>-26.678159999999998</v>
      </c>
      <c r="D63" s="168">
        <f t="shared" si="22"/>
        <v>-46.769120000000001</v>
      </c>
      <c r="E63" s="168">
        <f t="shared" si="23"/>
        <v>146.5652</v>
      </c>
      <c r="F63" s="168">
        <f t="shared" si="24"/>
        <v>-1038.47208</v>
      </c>
      <c r="G63" s="168">
        <f t="shared" si="25"/>
        <v>113.29984</v>
      </c>
      <c r="H63" s="168">
        <f t="shared" si="25"/>
        <v>34.582799999999999</v>
      </c>
      <c r="I63" s="168">
        <f t="shared" si="26"/>
        <v>0</v>
      </c>
      <c r="J63" s="168">
        <f t="shared" ref="J63:J67" si="28">(J46*G4+K46*F4)</f>
        <v>21.077429999999985</v>
      </c>
      <c r="K63" s="168">
        <f t="shared" si="27"/>
        <v>-796.39409000000001</v>
      </c>
      <c r="N63" s="168"/>
    </row>
    <row r="64" spans="1:14">
      <c r="A64" s="180" t="s">
        <v>132</v>
      </c>
      <c r="C64" s="168">
        <f t="shared" si="22"/>
        <v>0</v>
      </c>
      <c r="D64" s="168">
        <f t="shared" si="22"/>
        <v>-9717.7162399999997</v>
      </c>
      <c r="E64" s="168">
        <f t="shared" si="23"/>
        <v>2067.5992000000001</v>
      </c>
      <c r="F64" s="168">
        <f t="shared" si="24"/>
        <v>0</v>
      </c>
      <c r="G64" s="168">
        <f t="shared" si="25"/>
        <v>23932.460739999999</v>
      </c>
      <c r="H64" s="168">
        <f t="shared" si="25"/>
        <v>7856.8769600000005</v>
      </c>
      <c r="I64" s="168">
        <f t="shared" si="26"/>
        <v>0</v>
      </c>
      <c r="J64" s="168">
        <f t="shared" si="28"/>
        <v>2825.9995199999994</v>
      </c>
      <c r="K64" s="168">
        <f t="shared" si="27"/>
        <v>26965.220179999997</v>
      </c>
      <c r="N64" s="168"/>
    </row>
    <row r="65" spans="1:14">
      <c r="A65" s="180" t="s">
        <v>133</v>
      </c>
      <c r="C65" s="168">
        <f t="shared" si="22"/>
        <v>-278.69426999999996</v>
      </c>
      <c r="D65" s="168">
        <f t="shared" si="22"/>
        <v>-646.84595999999999</v>
      </c>
      <c r="E65" s="168">
        <f t="shared" si="23"/>
        <v>137.6268</v>
      </c>
      <c r="F65" s="168">
        <f t="shared" si="24"/>
        <v>0</v>
      </c>
      <c r="G65" s="168">
        <f t="shared" si="25"/>
        <v>1593.0302099999999</v>
      </c>
      <c r="H65" s="168">
        <f t="shared" si="25"/>
        <v>522.98184000000003</v>
      </c>
      <c r="I65" s="168">
        <f t="shared" si="26"/>
        <v>0</v>
      </c>
      <c r="J65" s="168">
        <f t="shared" si="28"/>
        <v>282.44513999999992</v>
      </c>
      <c r="K65" s="168">
        <f t="shared" si="27"/>
        <v>1610.54376</v>
      </c>
      <c r="N65" s="168"/>
    </row>
    <row r="66" spans="1:14">
      <c r="A66" s="180" t="s">
        <v>134</v>
      </c>
      <c r="C66" s="168">
        <f t="shared" si="22"/>
        <v>0</v>
      </c>
      <c r="D66" s="168">
        <f t="shared" si="22"/>
        <v>-16048.689120000001</v>
      </c>
      <c r="E66" s="168">
        <f t="shared" si="23"/>
        <v>4457.9692000000005</v>
      </c>
      <c r="F66" s="168">
        <f t="shared" si="24"/>
        <v>0</v>
      </c>
      <c r="G66" s="168">
        <f t="shared" si="25"/>
        <v>40790.418180000001</v>
      </c>
      <c r="H66" s="168">
        <f t="shared" si="25"/>
        <v>12259.415300000001</v>
      </c>
      <c r="I66" s="168">
        <f t="shared" si="26"/>
        <v>0</v>
      </c>
      <c r="J66" s="168">
        <f t="shared" si="28"/>
        <v>9402.7603400000007</v>
      </c>
      <c r="K66" s="168">
        <f t="shared" si="27"/>
        <v>50861.873899999999</v>
      </c>
      <c r="N66" s="168"/>
    </row>
    <row r="67" spans="1:14">
      <c r="A67" s="180" t="s">
        <v>135</v>
      </c>
      <c r="C67" s="168">
        <f t="shared" si="22"/>
        <v>-171.57095999999999</v>
      </c>
      <c r="D67" s="168">
        <f t="shared" si="22"/>
        <v>-305.01504</v>
      </c>
      <c r="E67" s="168">
        <f t="shared" si="23"/>
        <v>84.726399999999998</v>
      </c>
      <c r="F67" s="168">
        <f t="shared" si="24"/>
        <v>0</v>
      </c>
      <c r="G67" s="168">
        <f t="shared" si="25"/>
        <v>775.24656000000004</v>
      </c>
      <c r="H67" s="168">
        <f t="shared" si="25"/>
        <v>232.99760000000001</v>
      </c>
      <c r="I67" s="168">
        <f t="shared" si="26"/>
        <v>0</v>
      </c>
      <c r="J67" s="168">
        <f t="shared" si="28"/>
        <v>192.60588999999999</v>
      </c>
      <c r="K67" s="168">
        <f t="shared" si="27"/>
        <v>808.99045000000001</v>
      </c>
      <c r="N67" s="168"/>
    </row>
    <row r="68" spans="1:14">
      <c r="A68" s="180" t="s">
        <v>136</v>
      </c>
      <c r="C68" s="168">
        <f t="shared" ref="C68:I68" si="29">$H9*C51+$H10*C52</f>
        <v>0</v>
      </c>
      <c r="D68" s="168">
        <f t="shared" ref="D68" si="30">$H9*D51+$H10*D52</f>
        <v>-1018.7322300000001</v>
      </c>
      <c r="E68" s="168">
        <f t="shared" si="29"/>
        <v>0</v>
      </c>
      <c r="F68" s="168">
        <f t="shared" si="29"/>
        <v>0</v>
      </c>
      <c r="G68" s="168">
        <f t="shared" si="29"/>
        <v>2541.3535200000001</v>
      </c>
      <c r="H68" s="168">
        <f t="shared" si="29"/>
        <v>755.83358999999996</v>
      </c>
      <c r="I68" s="168">
        <f t="shared" si="29"/>
        <v>0</v>
      </c>
      <c r="J68" s="168">
        <f>(J51*G9+K51*F9)+(J52*G10+K52*F10)</f>
        <v>20306.776310000001</v>
      </c>
      <c r="K68" s="168">
        <f t="shared" si="27"/>
        <v>22585.231190000002</v>
      </c>
      <c r="N68" s="168"/>
    </row>
    <row r="69" spans="1:14">
      <c r="A69" s="180" t="s">
        <v>180</v>
      </c>
      <c r="C69" s="168">
        <f>$H11*C53</f>
        <v>0</v>
      </c>
      <c r="D69" s="168">
        <f>$H11*D53</f>
        <v>0</v>
      </c>
      <c r="E69" s="168">
        <f t="shared" ref="C69:F71" si="31">$H11*E53</f>
        <v>0</v>
      </c>
      <c r="F69" s="168">
        <f t="shared" si="31"/>
        <v>0</v>
      </c>
      <c r="G69" s="168">
        <f t="shared" ref="G69:H71" si="32">($H11*G53)</f>
        <v>0</v>
      </c>
      <c r="H69" s="168">
        <f t="shared" si="32"/>
        <v>0</v>
      </c>
      <c r="I69" s="168">
        <f t="shared" ref="I69:I71" si="33">$H11*I53</f>
        <v>0</v>
      </c>
      <c r="J69" s="168">
        <f>(J53*G11+K53*F11)</f>
        <v>0</v>
      </c>
      <c r="K69" s="168">
        <f t="shared" si="27"/>
        <v>0</v>
      </c>
      <c r="N69" s="168"/>
    </row>
    <row r="70" spans="1:14">
      <c r="A70" s="180" t="s">
        <v>137</v>
      </c>
      <c r="C70" s="168">
        <f t="shared" si="31"/>
        <v>0</v>
      </c>
      <c r="D70" s="168">
        <f t="shared" ref="D70" si="34">$H12*D54</f>
        <v>-2212.1007999999997</v>
      </c>
      <c r="E70" s="168">
        <f t="shared" si="31"/>
        <v>680.64640000000009</v>
      </c>
      <c r="F70" s="168">
        <f t="shared" si="31"/>
        <v>0</v>
      </c>
      <c r="G70" s="168">
        <f t="shared" si="32"/>
        <v>5802.5105599999997</v>
      </c>
      <c r="H70" s="168">
        <f t="shared" si="32"/>
        <v>1633.5513599999999</v>
      </c>
      <c r="I70" s="168">
        <f t="shared" si="33"/>
        <v>0</v>
      </c>
      <c r="J70" s="168">
        <f t="shared" ref="J70:J71" si="35">(J54*G12+K54*F12)</f>
        <v>524.41591999999991</v>
      </c>
      <c r="K70" s="168">
        <f t="shared" si="27"/>
        <v>6429.023439999999</v>
      </c>
      <c r="N70" s="168"/>
    </row>
    <row r="71" spans="1:14">
      <c r="A71" s="180" t="s">
        <v>138</v>
      </c>
      <c r="C71" s="168">
        <f t="shared" si="31"/>
        <v>-268.49232000000001</v>
      </c>
      <c r="D71" s="168">
        <f t="shared" ref="D71" si="36">$H13*D55</f>
        <v>-430.91359999999997</v>
      </c>
      <c r="E71" s="168">
        <f t="shared" si="31"/>
        <v>132.58880000000002</v>
      </c>
      <c r="F71" s="168">
        <f t="shared" si="31"/>
        <v>0</v>
      </c>
      <c r="G71" s="168">
        <f t="shared" si="32"/>
        <v>1130.31952</v>
      </c>
      <c r="H71" s="168">
        <f t="shared" si="32"/>
        <v>318.21312</v>
      </c>
      <c r="I71" s="168">
        <f t="shared" si="33"/>
        <v>0</v>
      </c>
      <c r="J71" s="168">
        <f t="shared" si="35"/>
        <v>-56.841919999999988</v>
      </c>
      <c r="K71" s="168">
        <f t="shared" si="27"/>
        <v>824.87360000000012</v>
      </c>
      <c r="N71" s="168"/>
    </row>
    <row r="72" spans="1:14">
      <c r="A72" s="180" t="s">
        <v>192</v>
      </c>
      <c r="C72" s="168">
        <f>($H14+$H15)*C56+$H16*C57</f>
        <v>0</v>
      </c>
      <c r="D72" s="168">
        <f>($H14+$H15)*D56+$H16*D57</f>
        <v>0</v>
      </c>
      <c r="E72" s="168">
        <f>($H14+$H15)*E56+$H16*E57</f>
        <v>0</v>
      </c>
      <c r="F72" s="168">
        <f>($H14+$H15)*F56+$H16*F57</f>
        <v>0</v>
      </c>
      <c r="G72" s="168">
        <f>($H14+$H15)*G56+$H16*G57</f>
        <v>0</v>
      </c>
      <c r="H72" s="168"/>
      <c r="I72" s="168">
        <f>($H14+$H15)*I56+$H16*I57</f>
        <v>0</v>
      </c>
      <c r="J72" s="168">
        <f>($F14+$F15)*K56+$F16*K57+(G14+G15)*J56+G16*J57</f>
        <v>0</v>
      </c>
      <c r="K72" s="168">
        <f t="shared" si="27"/>
        <v>0</v>
      </c>
    </row>
    <row r="73" spans="1:14">
      <c r="A73" s="157"/>
      <c r="C73" s="193">
        <f t="shared" ref="C73:J73" si="37">SUM(C62:C72)</f>
        <v>-18756.70911</v>
      </c>
      <c r="D73" s="193">
        <f>SUM(D62:D72)</f>
        <v>-62002.100910000001</v>
      </c>
      <c r="E73" s="193">
        <f t="shared" si="37"/>
        <v>106658.545</v>
      </c>
      <c r="F73" s="193">
        <f t="shared" si="37"/>
        <v>-1038.47208</v>
      </c>
      <c r="G73" s="193">
        <f t="shared" si="37"/>
        <v>153170.96072999999</v>
      </c>
      <c r="H73" s="193">
        <f t="shared" si="37"/>
        <v>46962.399570000001</v>
      </c>
      <c r="I73" s="193">
        <f t="shared" si="37"/>
        <v>0</v>
      </c>
      <c r="J73" s="193">
        <f t="shared" si="37"/>
        <v>44013.817739999999</v>
      </c>
      <c r="K73" s="193">
        <f>SUM(K62:K72)</f>
        <v>269008.44094</v>
      </c>
    </row>
    <row r="75" spans="1:14">
      <c r="A75" s="152" t="s">
        <v>19</v>
      </c>
      <c r="B75" s="152"/>
      <c r="C75" s="168">
        <f t="shared" ref="C75:J75" si="38">C62+C63</f>
        <v>-18037.951559999998</v>
      </c>
      <c r="D75" s="168">
        <f t="shared" si="38"/>
        <v>-31622.087920000002</v>
      </c>
      <c r="E75" s="168">
        <f t="shared" si="38"/>
        <v>99097.388200000001</v>
      </c>
      <c r="F75" s="168">
        <f t="shared" si="38"/>
        <v>-1038.47208</v>
      </c>
      <c r="G75" s="168">
        <f t="shared" si="38"/>
        <v>76605.621440000003</v>
      </c>
      <c r="H75" s="168">
        <f t="shared" si="38"/>
        <v>23382.5298</v>
      </c>
      <c r="I75" s="168">
        <f t="shared" si="38"/>
        <v>0</v>
      </c>
      <c r="J75" s="168">
        <f t="shared" si="38"/>
        <v>10535.656539999998</v>
      </c>
      <c r="K75" s="168">
        <f>K62+K63</f>
        <v>158922.68442000001</v>
      </c>
    </row>
    <row r="76" spans="1:14">
      <c r="A76" s="152"/>
      <c r="B76" s="152"/>
      <c r="C76" s="168"/>
      <c r="D76" s="168"/>
      <c r="E76" s="168"/>
      <c r="F76" s="168"/>
      <c r="G76" s="168"/>
      <c r="H76" s="168"/>
      <c r="I76" s="168"/>
      <c r="J76" s="168"/>
      <c r="K76" s="168"/>
    </row>
    <row r="77" spans="1:14" ht="15.75" customHeight="1">
      <c r="A77" s="152" t="s">
        <v>184</v>
      </c>
      <c r="B77" s="152"/>
      <c r="C77" s="176">
        <f t="shared" ref="C77:J77" si="39">SUM(C64:C67,C69:C71)</f>
        <v>-718.75755000000004</v>
      </c>
      <c r="D77" s="176">
        <f>SUM(D64:D67,D69:D71)</f>
        <v>-29361.280760000001</v>
      </c>
      <c r="E77" s="176">
        <f>SUM(E64:E67,E69:E71)</f>
        <v>7561.1567999999997</v>
      </c>
      <c r="F77" s="176">
        <f>SUM(F64:F67,F69:F71)</f>
        <v>0</v>
      </c>
      <c r="G77" s="176">
        <f t="shared" si="39"/>
        <v>74023.985769999999</v>
      </c>
      <c r="H77" s="176">
        <f t="shared" si="39"/>
        <v>22824.036180000003</v>
      </c>
      <c r="I77" s="176">
        <f t="shared" si="39"/>
        <v>0</v>
      </c>
      <c r="J77" s="176">
        <f t="shared" si="39"/>
        <v>13171.384889999999</v>
      </c>
      <c r="K77" s="176">
        <f>SUM(K64:K67,K69:K71)</f>
        <v>87500.525330000004</v>
      </c>
    </row>
    <row r="79" spans="1:14" ht="14.4">
      <c r="A79" s="151" t="s">
        <v>215</v>
      </c>
      <c r="B79" s="151"/>
      <c r="C79" s="151"/>
      <c r="D79" s="151"/>
      <c r="E79" s="151"/>
      <c r="F79" s="151"/>
    </row>
    <row r="80" spans="1:14" ht="14.4">
      <c r="A80" s="151" t="s">
        <v>223</v>
      </c>
      <c r="B80" s="151"/>
      <c r="C80" s="151"/>
      <c r="D80" s="151"/>
      <c r="E80" s="151"/>
      <c r="F80" s="151"/>
    </row>
    <row r="81" spans="1:14" ht="15.75" customHeight="1">
      <c r="A81" s="170" t="s">
        <v>222</v>
      </c>
      <c r="B81" s="170"/>
      <c r="C81" s="170"/>
      <c r="D81" s="170"/>
      <c r="E81" s="170"/>
      <c r="F81" s="151"/>
    </row>
    <row r="82" spans="1:14" ht="28.8">
      <c r="A82" s="170"/>
      <c r="B82" s="197" t="s">
        <v>216</v>
      </c>
      <c r="C82" s="197" t="s">
        <v>217</v>
      </c>
      <c r="D82" s="197" t="s">
        <v>218</v>
      </c>
      <c r="E82" s="197" t="s">
        <v>221</v>
      </c>
      <c r="F82" s="151"/>
      <c r="G82" s="403" t="s">
        <v>364</v>
      </c>
      <c r="H82" s="403"/>
      <c r="I82" s="403"/>
      <c r="J82" s="403"/>
      <c r="M82" s="200"/>
      <c r="N82" s="200"/>
    </row>
    <row r="83" spans="1:14" ht="14.4">
      <c r="A83" s="329" t="s">
        <v>363</v>
      </c>
      <c r="B83" s="198">
        <v>1</v>
      </c>
      <c r="C83" s="199">
        <v>781784</v>
      </c>
      <c r="D83" s="200">
        <f>70358.34-C83*SUM(M51)</f>
        <v>69005.85368</v>
      </c>
      <c r="E83" s="200">
        <f>500*B83</f>
        <v>500</v>
      </c>
      <c r="F83" s="201" t="s">
        <v>219</v>
      </c>
      <c r="H83" s="198"/>
      <c r="I83" s="199"/>
      <c r="J83" s="200"/>
      <c r="K83" s="200"/>
      <c r="L83" s="201"/>
    </row>
    <row r="84" spans="1:14" ht="14.4">
      <c r="A84" s="202" t="s">
        <v>258</v>
      </c>
      <c r="B84" s="203">
        <f>SUM(B83:B83)</f>
        <v>1</v>
      </c>
      <c r="C84" s="204">
        <f>SUM(C83:C83)</f>
        <v>781784</v>
      </c>
      <c r="D84" s="205">
        <f>SUM(D83:D83)</f>
        <v>69005.85368</v>
      </c>
      <c r="E84" s="205">
        <f>SUM(E83:E83)</f>
        <v>500</v>
      </c>
      <c r="F84" s="151"/>
    </row>
    <row r="85" spans="1:14" ht="14.4">
      <c r="A85" s="170"/>
      <c r="B85" s="170"/>
      <c r="C85" s="170"/>
      <c r="D85" s="170"/>
      <c r="E85" s="170"/>
      <c r="F85" s="151"/>
    </row>
    <row r="86" spans="1:14" ht="14.4">
      <c r="A86" s="206"/>
      <c r="B86" s="206"/>
      <c r="C86" s="206"/>
      <c r="D86" s="206"/>
      <c r="E86" s="151"/>
      <c r="F86" s="151"/>
    </row>
    <row r="88" spans="1:14" ht="9" customHeight="1"/>
  </sheetData>
  <mergeCells count="3">
    <mergeCell ref="A1:I1"/>
    <mergeCell ref="H56:H57"/>
    <mergeCell ref="G82:J82"/>
  </mergeCells>
  <printOptions horizontalCentered="1"/>
  <pageMargins left="0.45" right="0.45" top="0.5" bottom="0.5" header="0.3" footer="0.3"/>
  <pageSetup scale="80" orientation="landscape" r:id="rId1"/>
  <headerFooter>
    <oddFooter>&amp;L&amp;F / &amp;A&amp;RPage &amp;P of &amp;N</oddFooter>
  </headerFooter>
  <rowBreaks count="1" manualBreakCount="1">
    <brk id="42" max="16383" man="1"/>
  </row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AE89"/>
  <sheetViews>
    <sheetView topLeftCell="A33" workbookViewId="0">
      <selection sqref="A1:AE101"/>
    </sheetView>
  </sheetViews>
  <sheetFormatPr defaultColWidth="9.109375" defaultRowHeight="13.8"/>
  <cols>
    <col min="1" max="1" width="13.6640625" style="1" customWidth="1"/>
    <col min="2" max="2" width="10.109375" style="1" customWidth="1"/>
    <col min="3" max="3" width="17.44140625" style="1" customWidth="1"/>
    <col min="4" max="4" width="20.6640625" style="1" bestFit="1" customWidth="1"/>
    <col min="5" max="5" width="16.109375" style="1" customWidth="1"/>
    <col min="6" max="6" width="15.6640625" style="1" bestFit="1" customWidth="1"/>
    <col min="7" max="7" width="19" style="1" bestFit="1" customWidth="1"/>
    <col min="8" max="8" width="13.6640625" style="1" bestFit="1" customWidth="1"/>
    <col min="9" max="9" width="15.88671875" style="1" bestFit="1" customWidth="1"/>
    <col min="10" max="10" width="14.109375" style="1" customWidth="1"/>
    <col min="11" max="11" width="13.109375" style="1" customWidth="1"/>
    <col min="12" max="12" width="14.6640625" style="1" bestFit="1" customWidth="1"/>
    <col min="13" max="13" width="14.6640625" style="1" customWidth="1"/>
    <col min="14" max="14" width="2.6640625" style="1" customWidth="1"/>
    <col min="15" max="15" width="19.88671875" style="1" customWidth="1"/>
    <col min="16" max="16" width="16.5546875" style="1" customWidth="1"/>
    <col min="17" max="17" width="13" style="1" customWidth="1"/>
    <col min="18" max="18" width="10.109375" style="1" customWidth="1"/>
    <col min="19" max="19" width="16.109375" style="1" customWidth="1"/>
    <col min="20" max="20" width="14.33203125" style="1" customWidth="1"/>
    <col min="21" max="21" width="11" style="1" customWidth="1"/>
    <col min="22" max="22" width="15.5546875" style="1" customWidth="1"/>
    <col min="23" max="23" width="1.6640625" style="1" customWidth="1"/>
    <col min="24" max="24" width="24.88671875" style="1" bestFit="1" customWidth="1"/>
    <col min="25" max="25" width="2" style="1" customWidth="1"/>
    <col min="26" max="26" width="14.33203125" style="1" customWidth="1"/>
    <col min="27" max="27" width="12.33203125" style="1" customWidth="1"/>
    <col min="28" max="28" width="14.109375" style="1" customWidth="1"/>
    <col min="29" max="29" width="15.6640625" style="1" customWidth="1"/>
    <col min="30" max="30" width="16.6640625" style="1" customWidth="1"/>
    <col min="31" max="16384" width="9.109375" style="1"/>
  </cols>
  <sheetData>
    <row r="1" spans="1:31" ht="14.4">
      <c r="A1" s="399" t="s">
        <v>172</v>
      </c>
      <c r="B1" s="399"/>
      <c r="C1" s="399"/>
      <c r="D1" s="399"/>
      <c r="E1" s="399"/>
      <c r="F1" s="399"/>
      <c r="G1" s="399"/>
      <c r="H1" s="399"/>
      <c r="I1" s="399"/>
      <c r="M1" s="151" t="s">
        <v>234</v>
      </c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 t="s">
        <v>235</v>
      </c>
      <c r="AA1" s="224" t="s">
        <v>295</v>
      </c>
      <c r="AB1" s="151"/>
      <c r="AC1" s="151" t="s">
        <v>237</v>
      </c>
      <c r="AD1" s="224" t="s">
        <v>39</v>
      </c>
      <c r="AE1" s="151"/>
    </row>
    <row r="2" spans="1:31" ht="42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  <c r="M2" s="151"/>
      <c r="N2" s="151"/>
      <c r="O2" s="287" t="str">
        <f>AA1&amp;" Billed Schedule 75 Revenue"</f>
        <v>June Billed Schedule 75 Revenue</v>
      </c>
      <c r="P2" s="287" t="str">
        <f>AA1&amp;" Billed kWhs"</f>
        <v>June Billed kWhs</v>
      </c>
      <c r="Q2" s="287" t="str">
        <f>AA1&amp;" Unbilled kWhs"</f>
        <v>June Unbilled kWhs</v>
      </c>
      <c r="R2" s="287" t="s">
        <v>238</v>
      </c>
      <c r="S2" s="287" t="s">
        <v>239</v>
      </c>
      <c r="T2" s="287" t="str">
        <f>AD1&amp;" Unbilled kWhs reversal"</f>
        <v>May Unbilled kWhs reversal</v>
      </c>
      <c r="U2" s="287" t="s">
        <v>238</v>
      </c>
      <c r="V2" s="287" t="str">
        <f>AD1&amp;" Schedule 75 Unbilled Reversal"</f>
        <v>May Schedule 75 Unbilled Reversal</v>
      </c>
      <c r="W2" s="151"/>
      <c r="X2" s="287" t="str">
        <f>"Total "&amp;AA1&amp;" Schedule 75 Revenue"</f>
        <v>Total June Schedule 75 Revenue</v>
      </c>
      <c r="Y2" s="151"/>
      <c r="Z2" s="287" t="str">
        <f>"Calendar "&amp;AA1&amp;" Usage"</f>
        <v>Calendar June Usage</v>
      </c>
      <c r="AA2" s="287" t="str">
        <f>R2</f>
        <v>11/1/2017 rate</v>
      </c>
      <c r="AB2" s="287" t="s">
        <v>240</v>
      </c>
      <c r="AC2" s="287" t="s">
        <v>241</v>
      </c>
      <c r="AD2" s="287" t="str">
        <f>"implied "&amp;AD1&amp;" unbilled/Cancel-Rebill True-up kWhs"</f>
        <v>implied May unbilled/Cancel-Rebill True-up kWhs</v>
      </c>
      <c r="AE2" s="151"/>
    </row>
    <row r="3" spans="1:31" ht="15" customHeight="1">
      <c r="A3" s="180" t="s">
        <v>131</v>
      </c>
      <c r="B3" s="152"/>
      <c r="C3" s="158">
        <v>214425</v>
      </c>
      <c r="D3" s="282">
        <f t="shared" ref="D3:D8" si="0">E3/(SUM($E$3:$E$8,$E$11:$E$13))</f>
        <v>0.45526166471350277</v>
      </c>
      <c r="E3" s="182">
        <v>149010188.63001999</v>
      </c>
      <c r="F3" s="182">
        <v>-84716237</v>
      </c>
      <c r="G3" s="182">
        <v>78586377</v>
      </c>
      <c r="H3" s="189">
        <f>SUM(F3:G3)</f>
        <v>-6129860</v>
      </c>
      <c r="I3" s="159">
        <f>E3+H3</f>
        <v>142880328.63001999</v>
      </c>
      <c r="J3" s="282"/>
      <c r="M3" s="151" t="s">
        <v>242</v>
      </c>
      <c r="N3" s="151"/>
      <c r="O3" s="214">
        <v>663118.4</v>
      </c>
      <c r="P3" s="225">
        <f t="shared" ref="P3:P8" si="1">E3</f>
        <v>149010188.63001999</v>
      </c>
      <c r="Q3" s="225">
        <f t="shared" ref="Q3:Q8" si="2">G3</f>
        <v>78586377</v>
      </c>
      <c r="R3" s="206">
        <v>4.45E-3</v>
      </c>
      <c r="S3" s="215">
        <f>Q3*R3</f>
        <v>349709.37764999998</v>
      </c>
      <c r="T3" s="225">
        <f t="shared" ref="T3:T8" si="3">F3</f>
        <v>-84716237</v>
      </c>
      <c r="U3" s="206">
        <v>4.45E-3</v>
      </c>
      <c r="V3" s="216">
        <f>T3*U3</f>
        <v>-376987.25465000002</v>
      </c>
      <c r="W3" s="151"/>
      <c r="X3" s="150">
        <f>O3+S3+V3</f>
        <v>635840.52300000004</v>
      </c>
      <c r="Y3" s="151"/>
      <c r="Z3" s="95">
        <f>P3+Q3+T3</f>
        <v>142880328.63001999</v>
      </c>
      <c r="AA3" s="170">
        <f>R3</f>
        <v>4.45E-3</v>
      </c>
      <c r="AB3" s="217">
        <f>Z3*AA3</f>
        <v>635817.46240358893</v>
      </c>
      <c r="AC3" s="150">
        <f>X3-AB3</f>
        <v>23.060596411116421</v>
      </c>
      <c r="AD3" s="95">
        <f>AC3/AA3</f>
        <v>5182.1564968800949</v>
      </c>
      <c r="AE3" s="218">
        <f>AC3/X3</f>
        <v>3.6267893562858719E-5</v>
      </c>
    </row>
    <row r="4" spans="1:31" ht="14.4">
      <c r="A4" s="180" t="s">
        <v>178</v>
      </c>
      <c r="B4" s="152"/>
      <c r="C4" s="158">
        <v>404</v>
      </c>
      <c r="D4" s="282">
        <f t="shared" si="0"/>
        <v>8.1286441434252758E-4</v>
      </c>
      <c r="E4" s="182">
        <v>266055.96100000001</v>
      </c>
      <c r="F4" s="182">
        <v>-178456</v>
      </c>
      <c r="G4" s="182">
        <v>140329</v>
      </c>
      <c r="H4" s="189">
        <f t="shared" ref="H4:H16" si="4">SUM(F4:G4)</f>
        <v>-38127</v>
      </c>
      <c r="I4" s="159">
        <f t="shared" ref="I4:I16" si="5">E4+H4</f>
        <v>227928.96100000001</v>
      </c>
      <c r="J4" s="282"/>
      <c r="M4" s="151" t="s">
        <v>243</v>
      </c>
      <c r="N4" s="151"/>
      <c r="O4" s="214">
        <v>1184.07</v>
      </c>
      <c r="P4" s="225">
        <f t="shared" si="1"/>
        <v>266055.96100000001</v>
      </c>
      <c r="Q4" s="225">
        <f t="shared" si="2"/>
        <v>140329</v>
      </c>
      <c r="R4" s="206">
        <v>4.45E-3</v>
      </c>
      <c r="S4" s="215">
        <f>Q4*R4</f>
        <v>624.46405000000004</v>
      </c>
      <c r="T4" s="225">
        <f t="shared" si="3"/>
        <v>-178456</v>
      </c>
      <c r="U4" s="206">
        <v>4.45E-3</v>
      </c>
      <c r="V4" s="216">
        <f t="shared" ref="V4:V11" si="6">T4*U4</f>
        <v>-794.12919999999997</v>
      </c>
      <c r="W4" s="151"/>
      <c r="X4" s="150">
        <f t="shared" ref="X4:X11" si="7">O4+S4+V4</f>
        <v>1014.40485</v>
      </c>
      <c r="Y4" s="151"/>
      <c r="Z4" s="95">
        <f t="shared" ref="Z4:Z11" si="8">P4+Q4+T4</f>
        <v>227928.96100000001</v>
      </c>
      <c r="AA4" s="170">
        <f t="shared" ref="AA4:AA11" si="9">R4</f>
        <v>4.45E-3</v>
      </c>
      <c r="AB4" s="217">
        <f t="shared" ref="AB4:AB11" si="10">Z4*AA4</f>
        <v>1014.2838764500001</v>
      </c>
      <c r="AC4" s="150">
        <f t="shared" ref="AC4:AC11" si="11">X4-AB4</f>
        <v>0.12097354999991694</v>
      </c>
      <c r="AD4" s="95">
        <f t="shared" ref="AD4:AD11" si="12">AC4/AA4</f>
        <v>27.185067415711671</v>
      </c>
      <c r="AE4" s="218">
        <f t="shared" ref="AE4:AE12" si="13">AC4/X4</f>
        <v>1.1925568967845228E-4</v>
      </c>
    </row>
    <row r="5" spans="1:31" ht="14.4">
      <c r="A5" s="180" t="s">
        <v>132</v>
      </c>
      <c r="B5" s="152"/>
      <c r="C5" s="158">
        <v>22732</v>
      </c>
      <c r="D5" s="282">
        <f t="shared" si="0"/>
        <v>0.12964112364895933</v>
      </c>
      <c r="E5" s="182">
        <v>42432407.089000002</v>
      </c>
      <c r="F5" s="182">
        <v>-22691377</v>
      </c>
      <c r="G5" s="182">
        <v>22318280</v>
      </c>
      <c r="H5" s="189">
        <f t="shared" si="4"/>
        <v>-373097</v>
      </c>
      <c r="I5" s="159">
        <f t="shared" si="5"/>
        <v>42059310.089000002</v>
      </c>
      <c r="J5" s="282"/>
      <c r="M5" s="151" t="s">
        <v>244</v>
      </c>
      <c r="N5" s="151"/>
      <c r="O5" s="214">
        <v>16971.5</v>
      </c>
      <c r="P5" s="225">
        <f t="shared" si="1"/>
        <v>42432407.089000002</v>
      </c>
      <c r="Q5" s="225">
        <f t="shared" si="2"/>
        <v>22318280</v>
      </c>
      <c r="R5" s="219">
        <v>4.0000000000000002E-4</v>
      </c>
      <c r="S5" s="215">
        <f>Q5*R5</f>
        <v>8927.3119999999999</v>
      </c>
      <c r="T5" s="225">
        <f t="shared" si="3"/>
        <v>-22691377</v>
      </c>
      <c r="U5" s="219">
        <v>4.0000000000000002E-4</v>
      </c>
      <c r="V5" s="216">
        <f t="shared" si="6"/>
        <v>-9076.5508000000009</v>
      </c>
      <c r="W5" s="151"/>
      <c r="X5" s="150">
        <f t="shared" si="7"/>
        <v>16822.261199999997</v>
      </c>
      <c r="Y5" s="151"/>
      <c r="Z5" s="95">
        <f t="shared" si="8"/>
        <v>42059310.089000002</v>
      </c>
      <c r="AA5" s="220">
        <f t="shared" si="9"/>
        <v>4.0000000000000002E-4</v>
      </c>
      <c r="AB5" s="217">
        <f t="shared" si="10"/>
        <v>16823.7240356</v>
      </c>
      <c r="AC5" s="150">
        <f t="shared" si="11"/>
        <v>-1.462835600003018</v>
      </c>
      <c r="AD5" s="95">
        <f t="shared" si="12"/>
        <v>-3657.0890000075451</v>
      </c>
      <c r="AE5" s="218">
        <f t="shared" si="13"/>
        <v>-8.695832163175651E-5</v>
      </c>
    </row>
    <row r="6" spans="1:31" ht="14.4">
      <c r="A6" s="180" t="s">
        <v>133</v>
      </c>
      <c r="B6" s="152"/>
      <c r="C6" s="158">
        <v>9406</v>
      </c>
      <c r="D6" s="282">
        <f t="shared" si="0"/>
        <v>1.1207500027901792E-2</v>
      </c>
      <c r="E6" s="182">
        <v>3668289.7390000001</v>
      </c>
      <c r="F6" s="182">
        <v>-2174229</v>
      </c>
      <c r="G6" s="182">
        <v>1934806</v>
      </c>
      <c r="H6" s="189">
        <f t="shared" si="4"/>
        <v>-239423</v>
      </c>
      <c r="I6" s="159">
        <f t="shared" si="5"/>
        <v>3428866.7390000001</v>
      </c>
      <c r="J6" s="282"/>
      <c r="M6" s="151" t="s">
        <v>245</v>
      </c>
      <c r="N6" s="151"/>
      <c r="O6" s="214">
        <v>1466.3</v>
      </c>
      <c r="P6" s="225">
        <f t="shared" si="1"/>
        <v>3668289.7390000001</v>
      </c>
      <c r="Q6" s="225">
        <f t="shared" si="2"/>
        <v>1934806</v>
      </c>
      <c r="R6" s="219">
        <v>4.0000000000000002E-4</v>
      </c>
      <c r="S6" s="215">
        <f t="shared" ref="S6:S11" si="14">Q6*R6</f>
        <v>773.92240000000004</v>
      </c>
      <c r="T6" s="225">
        <f t="shared" si="3"/>
        <v>-2174229</v>
      </c>
      <c r="U6" s="219">
        <v>4.0000000000000002E-4</v>
      </c>
      <c r="V6" s="216">
        <f t="shared" si="6"/>
        <v>-869.69159999999999</v>
      </c>
      <c r="W6" s="151"/>
      <c r="X6" s="150">
        <f t="shared" si="7"/>
        <v>1370.5308</v>
      </c>
      <c r="Y6" s="151"/>
      <c r="Z6" s="95">
        <f t="shared" si="8"/>
        <v>3428866.7390000001</v>
      </c>
      <c r="AA6" s="220">
        <f t="shared" si="9"/>
        <v>4.0000000000000002E-4</v>
      </c>
      <c r="AB6" s="217">
        <f t="shared" si="10"/>
        <v>1371.5466956</v>
      </c>
      <c r="AC6" s="150">
        <f t="shared" si="11"/>
        <v>-1.0158956000000217</v>
      </c>
      <c r="AD6" s="95">
        <f t="shared" si="12"/>
        <v>-2539.7390000000541</v>
      </c>
      <c r="AE6" s="218">
        <f t="shared" si="13"/>
        <v>-7.4124244416836282E-4</v>
      </c>
    </row>
    <row r="7" spans="1:31" ht="14.4">
      <c r="A7" s="180" t="s">
        <v>134</v>
      </c>
      <c r="B7" s="152"/>
      <c r="C7" s="158">
        <v>1853</v>
      </c>
      <c r="D7" s="282">
        <f t="shared" si="0"/>
        <v>0.33973285217205168</v>
      </c>
      <c r="E7" s="182">
        <v>111196835.38</v>
      </c>
      <c r="F7" s="182">
        <v>-58100808</v>
      </c>
      <c r="G7" s="182">
        <v>58325794</v>
      </c>
      <c r="H7" s="189">
        <f t="shared" si="4"/>
        <v>224986</v>
      </c>
      <c r="I7" s="159">
        <f t="shared" si="5"/>
        <v>111421821.38</v>
      </c>
      <c r="J7" s="282"/>
      <c r="M7" s="151" t="s">
        <v>246</v>
      </c>
      <c r="N7" s="151"/>
      <c r="O7" s="214">
        <v>44478.61</v>
      </c>
      <c r="P7" s="225">
        <f t="shared" si="1"/>
        <v>111196835.38</v>
      </c>
      <c r="Q7" s="225">
        <f t="shared" si="2"/>
        <v>58325794</v>
      </c>
      <c r="R7" s="219">
        <v>4.0000000000000002E-4</v>
      </c>
      <c r="S7" s="215">
        <f t="shared" si="14"/>
        <v>23330.317600000002</v>
      </c>
      <c r="T7" s="225">
        <f t="shared" si="3"/>
        <v>-58100808</v>
      </c>
      <c r="U7" s="219">
        <v>4.0000000000000002E-4</v>
      </c>
      <c r="V7" s="216">
        <f t="shared" si="6"/>
        <v>-23240.323200000003</v>
      </c>
      <c r="W7" s="151"/>
      <c r="X7" s="150">
        <f t="shared" si="7"/>
        <v>44568.604399999997</v>
      </c>
      <c r="Y7" s="151"/>
      <c r="Z7" s="95">
        <f t="shared" si="8"/>
        <v>111421821.38</v>
      </c>
      <c r="AA7" s="220">
        <f t="shared" si="9"/>
        <v>4.0000000000000002E-4</v>
      </c>
      <c r="AB7" s="217">
        <f t="shared" si="10"/>
        <v>44568.728552</v>
      </c>
      <c r="AC7" s="150">
        <f t="shared" si="11"/>
        <v>-0.12415200000395998</v>
      </c>
      <c r="AD7" s="95">
        <f t="shared" si="12"/>
        <v>-310.38000000989996</v>
      </c>
      <c r="AE7" s="218">
        <f t="shared" si="13"/>
        <v>-2.7856380444338075E-6</v>
      </c>
    </row>
    <row r="8" spans="1:31" ht="14.4">
      <c r="A8" s="180" t="s">
        <v>135</v>
      </c>
      <c r="B8" s="152"/>
      <c r="C8" s="158">
        <v>48</v>
      </c>
      <c r="D8" s="282">
        <f t="shared" si="0"/>
        <v>6.7712541988598062E-3</v>
      </c>
      <c r="E8" s="182">
        <v>2216276.7999999998</v>
      </c>
      <c r="F8" s="182">
        <v>-1262352</v>
      </c>
      <c r="G8" s="182">
        <v>1168955</v>
      </c>
      <c r="H8" s="189">
        <f t="shared" si="4"/>
        <v>-93397</v>
      </c>
      <c r="I8" s="159">
        <f t="shared" si="5"/>
        <v>2122879.7999999998</v>
      </c>
      <c r="J8" s="282"/>
      <c r="M8" s="151" t="s">
        <v>247</v>
      </c>
      <c r="N8" s="151"/>
      <c r="O8" s="214">
        <v>886.5</v>
      </c>
      <c r="P8" s="225">
        <f t="shared" si="1"/>
        <v>2216276.7999999998</v>
      </c>
      <c r="Q8" s="225">
        <f t="shared" si="2"/>
        <v>1168955</v>
      </c>
      <c r="R8" s="219">
        <v>4.0000000000000002E-4</v>
      </c>
      <c r="S8" s="215">
        <f t="shared" si="14"/>
        <v>467.58200000000005</v>
      </c>
      <c r="T8" s="225">
        <f t="shared" si="3"/>
        <v>-1262352</v>
      </c>
      <c r="U8" s="219">
        <v>4.0000000000000002E-4</v>
      </c>
      <c r="V8" s="216">
        <f t="shared" si="6"/>
        <v>-504.94080000000002</v>
      </c>
      <c r="W8" s="151"/>
      <c r="X8" s="150">
        <f t="shared" si="7"/>
        <v>849.14120000000003</v>
      </c>
      <c r="Y8" s="151"/>
      <c r="Z8" s="95">
        <f t="shared" si="8"/>
        <v>2122879.7999999998</v>
      </c>
      <c r="AA8" s="220">
        <f t="shared" si="9"/>
        <v>4.0000000000000002E-4</v>
      </c>
      <c r="AB8" s="217">
        <f t="shared" si="10"/>
        <v>849.15192000000002</v>
      </c>
      <c r="AC8" s="150">
        <f t="shared" si="11"/>
        <v>-1.0719999999992069E-2</v>
      </c>
      <c r="AD8" s="95">
        <f t="shared" si="12"/>
        <v>-26.799999999980173</v>
      </c>
      <c r="AE8" s="218">
        <f t="shared" si="13"/>
        <v>-1.2624519926711916E-5</v>
      </c>
    </row>
    <row r="9" spans="1:31" ht="14.4">
      <c r="A9" s="180" t="s">
        <v>136</v>
      </c>
      <c r="B9" s="152"/>
      <c r="C9" s="158">
        <v>23</v>
      </c>
      <c r="D9" s="194"/>
      <c r="E9" s="182">
        <f>94067376.9-E10</f>
        <v>60274939.500000007</v>
      </c>
      <c r="F9" s="182">
        <v>-57404792</v>
      </c>
      <c r="G9" s="182">
        <f>94046228-G10</f>
        <v>59046228</v>
      </c>
      <c r="H9" s="189">
        <f t="shared" si="4"/>
        <v>1641436</v>
      </c>
      <c r="I9" s="159">
        <f t="shared" si="5"/>
        <v>61916375.500000007</v>
      </c>
      <c r="J9" s="282"/>
      <c r="M9" s="151" t="s">
        <v>248</v>
      </c>
      <c r="N9" s="151"/>
      <c r="O9" s="214">
        <v>2155.46</v>
      </c>
      <c r="P9" s="225">
        <f>E11</f>
        <v>5388708.7680000002</v>
      </c>
      <c r="Q9" s="225">
        <f>G11</f>
        <v>0</v>
      </c>
      <c r="R9" s="219">
        <v>4.0000000000000002E-4</v>
      </c>
      <c r="S9" s="215">
        <f t="shared" si="14"/>
        <v>0</v>
      </c>
      <c r="T9" s="225">
        <f>F11</f>
        <v>0</v>
      </c>
      <c r="U9" s="219">
        <v>4.0000000000000002E-4</v>
      </c>
      <c r="V9" s="216">
        <f t="shared" si="6"/>
        <v>0</v>
      </c>
      <c r="W9" s="151"/>
      <c r="X9" s="150">
        <f t="shared" si="7"/>
        <v>2155.46</v>
      </c>
      <c r="Y9" s="151"/>
      <c r="Z9" s="95">
        <f t="shared" si="8"/>
        <v>5388708.7680000002</v>
      </c>
      <c r="AA9" s="220">
        <f t="shared" si="9"/>
        <v>4.0000000000000002E-4</v>
      </c>
      <c r="AB9" s="217">
        <f t="shared" si="10"/>
        <v>2155.4835072000001</v>
      </c>
      <c r="AC9" s="150">
        <f t="shared" si="11"/>
        <v>-2.3507200000040029E-2</v>
      </c>
      <c r="AD9" s="95">
        <f t="shared" si="12"/>
        <v>-58.768000000100074</v>
      </c>
      <c r="AE9" s="218">
        <f t="shared" si="13"/>
        <v>-1.0905885518654964E-5</v>
      </c>
    </row>
    <row r="10" spans="1:31" ht="14.4">
      <c r="A10" s="180" t="s">
        <v>179</v>
      </c>
      <c r="B10" s="152"/>
      <c r="C10" s="158"/>
      <c r="D10" s="194"/>
      <c r="E10" s="182">
        <v>33792437.399999999</v>
      </c>
      <c r="F10" s="182">
        <v>-35000000</v>
      </c>
      <c r="G10" s="182">
        <v>35000000</v>
      </c>
      <c r="H10" s="189">
        <f t="shared" si="4"/>
        <v>0</v>
      </c>
      <c r="I10" s="159">
        <f t="shared" si="5"/>
        <v>33792437.399999999</v>
      </c>
      <c r="J10" s="282"/>
      <c r="M10" s="151" t="s">
        <v>249</v>
      </c>
      <c r="N10" s="151"/>
      <c r="O10" s="214">
        <v>4911.2299999999996</v>
      </c>
      <c r="P10" s="225">
        <f>E12</f>
        <v>12227010.183</v>
      </c>
      <c r="Q10" s="225">
        <f>G12</f>
        <v>4808391</v>
      </c>
      <c r="R10" s="219">
        <v>4.0000000000000002E-4</v>
      </c>
      <c r="S10" s="215">
        <f t="shared" si="14"/>
        <v>1923.3564000000001</v>
      </c>
      <c r="T10" s="225">
        <f>F12</f>
        <v>-2683359</v>
      </c>
      <c r="U10" s="219">
        <v>4.0000000000000002E-4</v>
      </c>
      <c r="V10" s="216">
        <f t="shared" si="6"/>
        <v>-1073.3436000000002</v>
      </c>
      <c r="W10" s="151"/>
      <c r="X10" s="150">
        <f>O10+S10+V10</f>
        <v>5761.2428</v>
      </c>
      <c r="Y10" s="151"/>
      <c r="Z10" s="95">
        <f t="shared" si="8"/>
        <v>14352042.182999998</v>
      </c>
      <c r="AA10" s="220">
        <f t="shared" si="9"/>
        <v>4.0000000000000002E-4</v>
      </c>
      <c r="AB10" s="217">
        <f t="shared" si="10"/>
        <v>5740.8168731999995</v>
      </c>
      <c r="AC10" s="150">
        <f t="shared" si="11"/>
        <v>20.425926800000525</v>
      </c>
      <c r="AD10" s="95">
        <f t="shared" si="12"/>
        <v>51064.817000001312</v>
      </c>
      <c r="AE10" s="218">
        <f t="shared" si="13"/>
        <v>3.5454028773098272E-3</v>
      </c>
    </row>
    <row r="11" spans="1:31" ht="14.4">
      <c r="A11" s="180" t="s">
        <v>180</v>
      </c>
      <c r="B11" s="152"/>
      <c r="C11" s="158">
        <v>49</v>
      </c>
      <c r="D11" s="282">
        <f>E11/(SUM($E$3:$E$8,$E$11:$E$13))</f>
        <v>1.6463790475879484E-2</v>
      </c>
      <c r="E11" s="182">
        <v>5388708.7680000002</v>
      </c>
      <c r="F11" s="182">
        <v>0</v>
      </c>
      <c r="G11" s="182">
        <v>0</v>
      </c>
      <c r="H11" s="189">
        <f t="shared" si="4"/>
        <v>0</v>
      </c>
      <c r="I11" s="159">
        <f t="shared" si="5"/>
        <v>5388708.7680000002</v>
      </c>
      <c r="J11" s="282"/>
      <c r="M11" s="151" t="s">
        <v>250</v>
      </c>
      <c r="N11" s="151"/>
      <c r="O11" s="214">
        <v>360.21</v>
      </c>
      <c r="P11" s="225">
        <f>E13</f>
        <v>900917.60100000002</v>
      </c>
      <c r="Q11" s="225">
        <f>G13</f>
        <v>274178</v>
      </c>
      <c r="R11" s="219">
        <v>4.0000000000000002E-4</v>
      </c>
      <c r="S11" s="215">
        <f t="shared" si="14"/>
        <v>109.6712</v>
      </c>
      <c r="T11" s="225">
        <f>F13</f>
        <v>-181337</v>
      </c>
      <c r="U11" s="219">
        <v>4.0000000000000002E-4</v>
      </c>
      <c r="V11" s="216">
        <f t="shared" si="6"/>
        <v>-72.534800000000004</v>
      </c>
      <c r="W11" s="151"/>
      <c r="X11" s="150">
        <f t="shared" si="7"/>
        <v>397.34639999999996</v>
      </c>
      <c r="Y11" s="151"/>
      <c r="Z11" s="95">
        <f t="shared" si="8"/>
        <v>993758.60100000002</v>
      </c>
      <c r="AA11" s="220">
        <f t="shared" si="9"/>
        <v>4.0000000000000002E-4</v>
      </c>
      <c r="AB11" s="217">
        <f t="shared" si="10"/>
        <v>397.50344040000004</v>
      </c>
      <c r="AC11" s="150">
        <f t="shared" si="11"/>
        <v>-0.1570404000000849</v>
      </c>
      <c r="AD11" s="95">
        <f t="shared" si="12"/>
        <v>-392.60100000021225</v>
      </c>
      <c r="AE11" s="218">
        <f t="shared" si="13"/>
        <v>-3.9522290877703917E-4</v>
      </c>
    </row>
    <row r="12" spans="1:31" ht="14.4">
      <c r="A12" s="180" t="s">
        <v>137</v>
      </c>
      <c r="B12" s="152"/>
      <c r="C12" s="158">
        <v>1202</v>
      </c>
      <c r="D12" s="282">
        <f>E12/(SUM($E$3:$E$8,$E$11:$E$13))</f>
        <v>3.7356432211509125E-2</v>
      </c>
      <c r="E12" s="182">
        <v>12227010.183</v>
      </c>
      <c r="F12" s="182">
        <v>-2683359</v>
      </c>
      <c r="G12" s="182">
        <v>4808391</v>
      </c>
      <c r="H12" s="189">
        <f t="shared" si="4"/>
        <v>2125032</v>
      </c>
      <c r="I12" s="159">
        <f t="shared" si="5"/>
        <v>14352042.183</v>
      </c>
      <c r="J12" s="282"/>
      <c r="M12" s="151"/>
      <c r="N12" s="151"/>
      <c r="O12" s="221">
        <f>SUM(O3:O11)</f>
        <v>735532.27999999991</v>
      </c>
      <c r="P12" s="51">
        <f>SUM(P3:P11)</f>
        <v>327306690.15101999</v>
      </c>
      <c r="Q12" s="51">
        <f>SUM(Q3:Q11)</f>
        <v>167557110</v>
      </c>
      <c r="R12" s="151"/>
      <c r="S12" s="221">
        <f>SUM(S3:S11)</f>
        <v>385866.00329999992</v>
      </c>
      <c r="T12" s="51">
        <f>SUM(T3:T11)</f>
        <v>-171988155</v>
      </c>
      <c r="U12" s="151"/>
      <c r="V12" s="221">
        <f>SUM(V3:V11)</f>
        <v>-412618.7686500001</v>
      </c>
      <c r="W12" s="151"/>
      <c r="X12" s="221">
        <f>SUM(X3:X11)</f>
        <v>708779.51464999991</v>
      </c>
      <c r="Y12" s="151"/>
      <c r="Z12" s="51">
        <f>SUM(Z3:Z11)</f>
        <v>322875645.15101999</v>
      </c>
      <c r="AA12" s="151"/>
      <c r="AB12" s="51">
        <f>SUM(AB3:AB11)</f>
        <v>708738.70130403899</v>
      </c>
      <c r="AC12" s="221">
        <f>SUM(AC3:AC11)</f>
        <v>40.813345961109746</v>
      </c>
      <c r="AD12" s="51">
        <f>SUM(AD3:AD11)</f>
        <v>49288.781564279328</v>
      </c>
      <c r="AE12" s="218">
        <f t="shared" si="13"/>
        <v>5.7582569921287374E-5</v>
      </c>
    </row>
    <row r="13" spans="1:31" ht="14.4">
      <c r="A13" s="180" t="s">
        <v>138</v>
      </c>
      <c r="B13" s="152"/>
      <c r="C13" s="158">
        <v>1196</v>
      </c>
      <c r="D13" s="282">
        <f>E13/(SUM($E$3:$E$8,$E$11:$E$13))</f>
        <v>2.7525181369935175E-3</v>
      </c>
      <c r="E13" s="182">
        <v>900917.60100000002</v>
      </c>
      <c r="F13" s="182">
        <v>-181337</v>
      </c>
      <c r="G13" s="182">
        <v>274178</v>
      </c>
      <c r="H13" s="189">
        <f t="shared" si="4"/>
        <v>92841</v>
      </c>
      <c r="I13" s="159">
        <f t="shared" si="5"/>
        <v>993758.60100000002</v>
      </c>
      <c r="J13" s="282"/>
      <c r="M13" s="151"/>
      <c r="N13" s="151"/>
      <c r="O13" s="151"/>
      <c r="P13" s="151"/>
      <c r="Q13" s="151"/>
      <c r="R13" s="151"/>
      <c r="S13" s="151"/>
      <c r="T13" s="151"/>
      <c r="U13" s="222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</row>
    <row r="14" spans="1:31" ht="14.4">
      <c r="A14" s="180" t="s">
        <v>181</v>
      </c>
      <c r="B14" s="152"/>
      <c r="C14" s="158">
        <v>425</v>
      </c>
      <c r="D14" s="194"/>
      <c r="E14" s="182">
        <v>907027.47</v>
      </c>
      <c r="F14" s="182"/>
      <c r="G14" s="182"/>
      <c r="H14" s="189"/>
      <c r="I14" s="159">
        <f t="shared" si="5"/>
        <v>907027.47</v>
      </c>
      <c r="M14" s="151"/>
      <c r="N14" s="151"/>
      <c r="O14" s="151"/>
      <c r="P14" s="151"/>
      <c r="Q14" s="151"/>
      <c r="R14" s="151"/>
      <c r="S14" s="151"/>
      <c r="T14" s="151"/>
      <c r="U14" s="222" t="s">
        <v>251</v>
      </c>
      <c r="V14" s="151" t="s">
        <v>252</v>
      </c>
      <c r="W14" s="151"/>
      <c r="X14" s="170">
        <v>0.95332300000000003</v>
      </c>
      <c r="Y14" s="151"/>
      <c r="Z14" s="151"/>
      <c r="AA14" s="151" t="s">
        <v>253</v>
      </c>
      <c r="AB14" s="151" t="s">
        <v>254</v>
      </c>
      <c r="AC14" s="151"/>
      <c r="AD14" s="151" t="s">
        <v>255</v>
      </c>
      <c r="AE14" s="151"/>
    </row>
    <row r="15" spans="1:31" ht="14.4">
      <c r="A15" s="180" t="s">
        <v>182</v>
      </c>
      <c r="B15" s="152"/>
      <c r="C15" s="158"/>
      <c r="D15" s="194"/>
      <c r="E15" s="182">
        <v>417708.83600000001</v>
      </c>
      <c r="F15" s="182"/>
      <c r="G15" s="182"/>
      <c r="H15" s="189">
        <f t="shared" si="4"/>
        <v>0</v>
      </c>
      <c r="I15" s="159">
        <f t="shared" si="5"/>
        <v>417708.83600000001</v>
      </c>
      <c r="M15" s="151"/>
      <c r="N15" s="151"/>
      <c r="O15" s="151"/>
      <c r="P15" s="151"/>
      <c r="Q15" s="151"/>
      <c r="R15" s="151"/>
      <c r="S15" s="151"/>
      <c r="T15" s="151" t="s">
        <v>142</v>
      </c>
      <c r="U15" s="151" t="s">
        <v>256</v>
      </c>
      <c r="V15" s="151"/>
      <c r="W15" s="151"/>
      <c r="X15" s="223">
        <f>(X3+X4)*X14</f>
        <v>607128.45038274571</v>
      </c>
      <c r="Y15" s="151"/>
      <c r="Z15" s="151" t="s">
        <v>19</v>
      </c>
      <c r="AA15" s="50">
        <f>P3+P4+Q3+Q4+T3+T4</f>
        <v>143108257.59101999</v>
      </c>
      <c r="AB15" s="170">
        <v>4.2399999999999998E-3</v>
      </c>
      <c r="AC15" s="150">
        <f>AA15*AB15</f>
        <v>606779.01218592469</v>
      </c>
      <c r="AD15" s="150">
        <f>X15-AC15</f>
        <v>349.43819682102185</v>
      </c>
      <c r="AE15" s="218">
        <f>AD15/X15</f>
        <v>5.75558922664107E-4</v>
      </c>
    </row>
    <row r="16" spans="1:31" ht="14.4">
      <c r="A16" s="180" t="s">
        <v>183</v>
      </c>
      <c r="B16" s="152"/>
      <c r="C16" s="158"/>
      <c r="D16" s="195"/>
      <c r="E16" s="182">
        <v>219539.967</v>
      </c>
      <c r="F16" s="182"/>
      <c r="G16" s="182"/>
      <c r="H16" s="189">
        <f t="shared" si="4"/>
        <v>0</v>
      </c>
      <c r="I16" s="159">
        <f t="shared" si="5"/>
        <v>219539.967</v>
      </c>
      <c r="M16" s="151"/>
      <c r="N16" s="151"/>
      <c r="O16" s="151"/>
      <c r="P16" s="151"/>
      <c r="Q16" s="151"/>
      <c r="R16" s="151"/>
      <c r="S16" s="151"/>
      <c r="T16" s="151" t="s">
        <v>142</v>
      </c>
      <c r="U16" s="151" t="s">
        <v>257</v>
      </c>
      <c r="V16" s="151"/>
      <c r="W16" s="151"/>
      <c r="X16" s="223">
        <f>SUM(X5:X11)*X14</f>
        <v>68567.362861936403</v>
      </c>
      <c r="Y16" s="151"/>
      <c r="Z16" s="151" t="s">
        <v>184</v>
      </c>
      <c r="AA16" s="50">
        <f>SUM(P5:Q11,T5:T11)</f>
        <v>179767387.56000003</v>
      </c>
      <c r="AB16" s="170">
        <v>3.8000000000000002E-4</v>
      </c>
      <c r="AC16" s="150">
        <f>AA16*AB16</f>
        <v>68311.607272800014</v>
      </c>
      <c r="AD16" s="150">
        <f>X16-AC16</f>
        <v>255.75558913638815</v>
      </c>
      <c r="AE16" s="218">
        <f>AD16/X16</f>
        <v>3.7299901653117971E-3</v>
      </c>
    </row>
    <row r="17" spans="1:26" ht="14.4">
      <c r="A17" s="152"/>
      <c r="B17" s="152"/>
      <c r="C17" s="160">
        <f>SUM(C3:C16)</f>
        <v>251763</v>
      </c>
      <c r="E17" s="160">
        <f>SUM(E3:E16)</f>
        <v>422918343.32402003</v>
      </c>
      <c r="F17" s="160">
        <f>SUM(F3:F16)</f>
        <v>-264392947</v>
      </c>
      <c r="G17" s="160">
        <f>SUM(G3:G16)</f>
        <v>261603338</v>
      </c>
      <c r="H17" s="160">
        <f>SUM(H3:H16)</f>
        <v>-2789609</v>
      </c>
      <c r="I17" s="160">
        <f>SUM(I3:I16)</f>
        <v>420128734.32402003</v>
      </c>
      <c r="Z17" s="151" t="s">
        <v>236</v>
      </c>
    </row>
    <row r="18" spans="1:26" ht="14.4" thickBot="1">
      <c r="A18" s="152"/>
      <c r="B18" s="152"/>
      <c r="C18" s="152"/>
      <c r="E18" s="152"/>
      <c r="F18" s="152"/>
      <c r="G18" s="152"/>
      <c r="I18" s="152"/>
    </row>
    <row r="19" spans="1:26">
      <c r="A19" s="152" t="s">
        <v>19</v>
      </c>
      <c r="B19" s="152"/>
      <c r="C19" s="161">
        <f>C3+C4</f>
        <v>214829</v>
      </c>
      <c r="E19" s="162">
        <f>E3+E4</f>
        <v>149276244.59101999</v>
      </c>
      <c r="F19" s="162">
        <f>F3+F4</f>
        <v>-84894693</v>
      </c>
      <c r="G19" s="162">
        <f>G3+G4</f>
        <v>78726706</v>
      </c>
      <c r="H19" s="162">
        <f>H3+H4</f>
        <v>-6167987</v>
      </c>
      <c r="I19" s="161">
        <f>I3+I4</f>
        <v>143108257.59101999</v>
      </c>
    </row>
    <row r="20" spans="1:26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26" ht="14.4" thickBot="1">
      <c r="A21" s="152" t="s">
        <v>184</v>
      </c>
      <c r="B21" s="152"/>
      <c r="C21" s="177">
        <f>SUM(C5:C8,C11:C13)</f>
        <v>36486</v>
      </c>
      <c r="E21" s="178">
        <f>SUM(E5:E8,E11:E13)</f>
        <v>178030445.56000003</v>
      </c>
      <c r="F21" s="178">
        <f>SUM(F5:F8,F11:F13)</f>
        <v>-87093462</v>
      </c>
      <c r="G21" s="178">
        <f>SUM(G5:G8,G11:G13)</f>
        <v>88830404</v>
      </c>
      <c r="H21" s="178">
        <f>SUM(H5:H8,H11:H13)</f>
        <v>1736942</v>
      </c>
      <c r="I21" s="177">
        <f>SUM(I5:I8,I11:I13)</f>
        <v>179767387.56000003</v>
      </c>
    </row>
    <row r="22" spans="1:26">
      <c r="A22" s="152"/>
      <c r="B22" s="152"/>
      <c r="C22" s="152"/>
      <c r="D22" s="152"/>
      <c r="E22" s="152"/>
    </row>
    <row r="23" spans="1:26" ht="43.2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</row>
    <row r="24" spans="1:26">
      <c r="A24" s="180" t="s">
        <v>131</v>
      </c>
      <c r="B24" s="152"/>
      <c r="C24" s="181">
        <v>1996124.5</v>
      </c>
      <c r="D24" s="181">
        <v>13680604.449999999</v>
      </c>
      <c r="E24" s="183">
        <v>-8173540</v>
      </c>
      <c r="F24" s="183">
        <v>7557929</v>
      </c>
      <c r="G24" s="174">
        <f>SUM(D24:F24)</f>
        <v>13064993.449999999</v>
      </c>
      <c r="H24" s="174">
        <f>-K62</f>
        <v>157934.39693999998</v>
      </c>
      <c r="I24" s="174">
        <f>SUM(G24:H24)</f>
        <v>13222927.84694</v>
      </c>
    </row>
    <row r="25" spans="1:26">
      <c r="A25" s="180" t="s">
        <v>178</v>
      </c>
      <c r="B25" s="152"/>
      <c r="C25" s="181">
        <v>3645</v>
      </c>
      <c r="D25" s="181">
        <v>24356.99</v>
      </c>
      <c r="E25" s="183">
        <v>-11339</v>
      </c>
      <c r="F25" s="183">
        <v>9170</v>
      </c>
      <c r="G25" s="174">
        <f t="shared" ref="G25:G33" si="15">SUM(D25:F25)</f>
        <v>22187.99</v>
      </c>
      <c r="H25" s="174">
        <f t="shared" ref="H25:H30" si="16">-K63</f>
        <v>-714.63701000000015</v>
      </c>
      <c r="I25" s="174">
        <f t="shared" ref="I25:I34" si="17">SUM(G25:H25)</f>
        <v>21473.352990000003</v>
      </c>
    </row>
    <row r="26" spans="1:26">
      <c r="A26" s="180" t="s">
        <v>132</v>
      </c>
      <c r="B26" s="152"/>
      <c r="C26" s="181">
        <v>462133.45</v>
      </c>
      <c r="D26" s="181">
        <v>5103412.7799999993</v>
      </c>
      <c r="E26" s="183">
        <v>-2727768</v>
      </c>
      <c r="F26" s="183">
        <v>2630163</v>
      </c>
      <c r="G26" s="174">
        <f t="shared" si="15"/>
        <v>5005807.7799999993</v>
      </c>
      <c r="H26" s="174">
        <f t="shared" si="16"/>
        <v>44189.48646</v>
      </c>
      <c r="I26" s="174">
        <f t="shared" si="17"/>
        <v>5049997.2664599996</v>
      </c>
    </row>
    <row r="27" spans="1:26">
      <c r="A27" s="180" t="s">
        <v>133</v>
      </c>
      <c r="B27" s="152"/>
      <c r="C27" s="181">
        <v>190245.46</v>
      </c>
      <c r="D27" s="181">
        <v>597530.71</v>
      </c>
      <c r="E27" s="183">
        <v>-349193</v>
      </c>
      <c r="F27" s="183">
        <v>316539</v>
      </c>
      <c r="G27" s="174">
        <f t="shared" si="15"/>
        <v>564876.71</v>
      </c>
      <c r="H27" s="174">
        <f t="shared" si="16"/>
        <v>4875.2521899999992</v>
      </c>
      <c r="I27" s="174">
        <f t="shared" si="17"/>
        <v>569751.96218999999</v>
      </c>
    </row>
    <row r="28" spans="1:26">
      <c r="A28" s="180" t="s">
        <v>134</v>
      </c>
      <c r="B28" s="152"/>
      <c r="C28" s="181">
        <v>927389.98</v>
      </c>
      <c r="D28" s="181">
        <v>10304256.229999999</v>
      </c>
      <c r="E28" s="183">
        <v>-4819547</v>
      </c>
      <c r="F28" s="183">
        <v>4745224</v>
      </c>
      <c r="G28" s="174">
        <f t="shared" si="15"/>
        <v>10229933.229999999</v>
      </c>
      <c r="H28" s="174">
        <f t="shared" si="16"/>
        <v>82960.957340000008</v>
      </c>
      <c r="I28" s="174">
        <f t="shared" si="17"/>
        <v>10312894.187339999</v>
      </c>
    </row>
    <row r="29" spans="1:26">
      <c r="A29" s="180" t="s">
        <v>135</v>
      </c>
      <c r="B29" s="152"/>
      <c r="C29" s="181">
        <v>24000</v>
      </c>
      <c r="D29" s="181">
        <v>203023.03000000003</v>
      </c>
      <c r="E29" s="183">
        <v>-107104</v>
      </c>
      <c r="F29" s="183">
        <v>98074</v>
      </c>
      <c r="G29" s="174">
        <f t="shared" si="15"/>
        <v>193993.03000000003</v>
      </c>
      <c r="H29" s="174">
        <f t="shared" si="16"/>
        <v>2034.46792</v>
      </c>
      <c r="I29" s="174">
        <f t="shared" si="17"/>
        <v>196027.49792000002</v>
      </c>
    </row>
    <row r="30" spans="1:26">
      <c r="A30" s="180" t="s">
        <v>136</v>
      </c>
      <c r="B30" s="152"/>
      <c r="C30" s="181">
        <v>552000</v>
      </c>
      <c r="D30" s="181">
        <v>5628281.6299999999</v>
      </c>
      <c r="E30" s="183">
        <v>-6174557</v>
      </c>
      <c r="F30" s="183">
        <v>5918000</v>
      </c>
      <c r="G30" s="174">
        <f t="shared" si="15"/>
        <v>5371724.6299999999</v>
      </c>
      <c r="H30" s="174">
        <f t="shared" si="16"/>
        <v>83457.888200000016</v>
      </c>
      <c r="I30" s="174">
        <f t="shared" si="17"/>
        <v>5455182.5181999998</v>
      </c>
      <c r="J30" s="283"/>
    </row>
    <row r="31" spans="1:26">
      <c r="A31" s="180" t="s">
        <v>180</v>
      </c>
      <c r="B31" s="152"/>
      <c r="C31" s="181">
        <v>980</v>
      </c>
      <c r="D31" s="181">
        <v>375032.20999999996</v>
      </c>
      <c r="E31" s="183">
        <v>0</v>
      </c>
      <c r="F31" s="183">
        <v>0</v>
      </c>
      <c r="G31" s="174">
        <f t="shared" si="15"/>
        <v>375032.20999999996</v>
      </c>
      <c r="H31" s="174">
        <f>-K69</f>
        <v>0</v>
      </c>
      <c r="I31" s="174">
        <f t="shared" si="17"/>
        <v>375032.20999999996</v>
      </c>
    </row>
    <row r="32" spans="1:26">
      <c r="A32" s="180" t="s">
        <v>137</v>
      </c>
      <c r="B32" s="152"/>
      <c r="C32" s="181">
        <v>24160</v>
      </c>
      <c r="D32" s="181">
        <v>1011285.75</v>
      </c>
      <c r="E32" s="183">
        <v>-165633</v>
      </c>
      <c r="F32" s="183">
        <v>278734</v>
      </c>
      <c r="G32" s="174">
        <f t="shared" si="15"/>
        <v>1124386.75</v>
      </c>
      <c r="H32" s="174">
        <f>-K70</f>
        <v>-8840.1331200000004</v>
      </c>
      <c r="I32" s="174">
        <f t="shared" si="17"/>
        <v>1115546.6168800001</v>
      </c>
    </row>
    <row r="33" spans="1:13">
      <c r="A33" s="180" t="s">
        <v>138</v>
      </c>
      <c r="B33" s="152"/>
      <c r="C33" s="181">
        <v>24120</v>
      </c>
      <c r="D33" s="181">
        <v>100638.78</v>
      </c>
      <c r="E33" s="183">
        <v>-27222</v>
      </c>
      <c r="F33" s="183">
        <v>33875</v>
      </c>
      <c r="G33" s="174">
        <f t="shared" si="15"/>
        <v>107291.78</v>
      </c>
      <c r="H33" s="174">
        <f>-K71</f>
        <v>5939.8909499999991</v>
      </c>
      <c r="I33" s="174">
        <f t="shared" si="17"/>
        <v>113231.67095</v>
      </c>
    </row>
    <row r="34" spans="1:13">
      <c r="A34" s="180" t="s">
        <v>192</v>
      </c>
      <c r="B34" s="152"/>
      <c r="C34" s="174"/>
      <c r="D34" s="181">
        <v>558015.03</v>
      </c>
      <c r="E34" s="181"/>
      <c r="F34" s="181"/>
      <c r="G34" s="174">
        <f>SUM(D34:F34)</f>
        <v>558015.03</v>
      </c>
      <c r="H34" s="174"/>
      <c r="I34" s="174">
        <f t="shared" si="17"/>
        <v>558015.03</v>
      </c>
    </row>
    <row r="35" spans="1:13">
      <c r="A35" s="180" t="s">
        <v>193</v>
      </c>
      <c r="B35" s="152"/>
      <c r="C35" s="194"/>
      <c r="D35" s="181">
        <v>1998448.74</v>
      </c>
      <c r="E35" s="181"/>
      <c r="F35" s="181"/>
      <c r="G35" s="174"/>
      <c r="H35" s="174"/>
      <c r="I35" s="174"/>
    </row>
    <row r="36" spans="1:13">
      <c r="A36" s="180" t="s">
        <v>194</v>
      </c>
      <c r="B36" s="152"/>
      <c r="C36" s="194"/>
      <c r="D36" s="181">
        <v>1469523.4200000002</v>
      </c>
      <c r="E36" s="181"/>
      <c r="F36" s="181"/>
      <c r="G36" s="174"/>
      <c r="H36" s="174"/>
      <c r="I36" s="174"/>
    </row>
    <row r="37" spans="1:13">
      <c r="A37" s="152"/>
      <c r="B37" s="152"/>
      <c r="C37" s="166">
        <f t="shared" ref="C37:I37" si="18">SUM(C24:C36)</f>
        <v>4204798.3900000006</v>
      </c>
      <c r="D37" s="166">
        <f t="shared" si="18"/>
        <v>41054409.750000007</v>
      </c>
      <c r="E37" s="166">
        <f t="shared" si="18"/>
        <v>-22555903</v>
      </c>
      <c r="F37" s="166">
        <f t="shared" si="18"/>
        <v>21587708</v>
      </c>
      <c r="G37" s="166">
        <f t="shared" si="18"/>
        <v>36618242.590000004</v>
      </c>
      <c r="H37" s="166">
        <f t="shared" si="18"/>
        <v>371837.56986999995</v>
      </c>
      <c r="I37" s="166">
        <f t="shared" si="18"/>
        <v>36990080.159869999</v>
      </c>
    </row>
    <row r="38" spans="1:13" ht="14.4" thickBot="1">
      <c r="A38" s="152"/>
      <c r="B38" s="152"/>
      <c r="D38" s="167"/>
      <c r="E38" s="152"/>
      <c r="F38" s="152"/>
    </row>
    <row r="39" spans="1:13">
      <c r="A39" s="152" t="s">
        <v>19</v>
      </c>
      <c r="B39" s="152"/>
      <c r="C39" s="169">
        <f t="shared" ref="C39:I39" si="19">C24+C25</f>
        <v>1999769.5</v>
      </c>
      <c r="D39" s="168">
        <f t="shared" si="19"/>
        <v>13704961.439999999</v>
      </c>
      <c r="E39" s="168">
        <f t="shared" si="19"/>
        <v>-8184879</v>
      </c>
      <c r="F39" s="168">
        <f t="shared" si="19"/>
        <v>7567099</v>
      </c>
      <c r="G39" s="168">
        <f t="shared" si="19"/>
        <v>13087181.439999999</v>
      </c>
      <c r="H39" s="168">
        <f t="shared" si="19"/>
        <v>157219.75992999997</v>
      </c>
      <c r="I39" s="169">
        <f t="shared" si="19"/>
        <v>13244401.199929999</v>
      </c>
    </row>
    <row r="40" spans="1:13" ht="6" customHeight="1">
      <c r="A40" s="152"/>
      <c r="B40" s="152"/>
      <c r="C40" s="173"/>
      <c r="D40" s="168"/>
      <c r="E40" s="152"/>
      <c r="F40" s="152"/>
      <c r="I40" s="190"/>
    </row>
    <row r="41" spans="1:13" ht="14.4" thickBot="1">
      <c r="A41" s="152" t="s">
        <v>184</v>
      </c>
      <c r="B41" s="152"/>
      <c r="C41" s="175">
        <f>SUM(C26:C29,C31:C33)</f>
        <v>1653028.8900000001</v>
      </c>
      <c r="D41" s="176">
        <f t="shared" ref="D41:I41" si="20">SUM(D26:D29,D31:D33)</f>
        <v>17695179.489999998</v>
      </c>
      <c r="E41" s="176">
        <f t="shared" si="20"/>
        <v>-8196467</v>
      </c>
      <c r="F41" s="176">
        <f t="shared" si="20"/>
        <v>8102609</v>
      </c>
      <c r="G41" s="176">
        <f t="shared" si="20"/>
        <v>17601321.489999998</v>
      </c>
      <c r="H41" s="176">
        <f t="shared" si="20"/>
        <v>131159.92173999999</v>
      </c>
      <c r="I41" s="175">
        <f t="shared" si="20"/>
        <v>17732481.411739998</v>
      </c>
    </row>
    <row r="42" spans="1:13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13">
      <c r="C43" s="191">
        <v>43040</v>
      </c>
      <c r="D43" s="191">
        <v>43252</v>
      </c>
      <c r="E43" s="196">
        <v>43040</v>
      </c>
      <c r="F43" s="192">
        <v>42278</v>
      </c>
      <c r="G43" s="191">
        <v>42583</v>
      </c>
      <c r="H43" s="191">
        <v>43009</v>
      </c>
      <c r="I43" s="191">
        <v>42380</v>
      </c>
      <c r="J43" s="191">
        <v>42917</v>
      </c>
      <c r="K43" s="191"/>
      <c r="L43" s="196"/>
    </row>
    <row r="44" spans="1:13" ht="42" customHeight="1">
      <c r="A44" s="179" t="s">
        <v>195</v>
      </c>
      <c r="B44" s="154"/>
      <c r="C44" s="165" t="s">
        <v>196</v>
      </c>
      <c r="D44" s="165" t="s">
        <v>312</v>
      </c>
      <c r="E44" s="165" t="s">
        <v>213</v>
      </c>
      <c r="F44" s="165" t="s">
        <v>197</v>
      </c>
      <c r="G44" s="165" t="s">
        <v>198</v>
      </c>
      <c r="H44" s="165" t="s">
        <v>199</v>
      </c>
      <c r="I44" s="165" t="s">
        <v>200</v>
      </c>
      <c r="J44" s="165" t="s">
        <v>201</v>
      </c>
      <c r="K44" s="211" t="s">
        <v>229</v>
      </c>
      <c r="L44" s="1" t="s">
        <v>230</v>
      </c>
    </row>
    <row r="45" spans="1:13">
      <c r="A45" s="180" t="s">
        <v>131</v>
      </c>
      <c r="B45" s="152"/>
      <c r="C45" s="171">
        <v>-8.0999999999999996E-4</v>
      </c>
      <c r="D45" s="171">
        <v>-1.42E-3</v>
      </c>
      <c r="E45" s="171">
        <v>4.45E-3</v>
      </c>
      <c r="F45" s="171"/>
      <c r="G45" s="171">
        <v>3.4399999999999999E-3</v>
      </c>
      <c r="H45" s="171">
        <v>1.0499999999999999E-3</v>
      </c>
      <c r="I45" s="171">
        <v>0</v>
      </c>
      <c r="J45" s="171">
        <v>-5.6999999999999998E-4</v>
      </c>
      <c r="K45" s="171">
        <f t="shared" ref="K45:K57" si="21">SUM(B45:I45)</f>
        <v>6.7099999999999998E-3</v>
      </c>
      <c r="L45" s="212">
        <f t="shared" ref="L45:L57" si="22">K45*G3</f>
        <v>527314.58967000002</v>
      </c>
      <c r="M45" s="212"/>
    </row>
    <row r="46" spans="1:13">
      <c r="A46" s="180" t="s">
        <v>178</v>
      </c>
      <c r="B46" s="152"/>
      <c r="C46" s="171">
        <v>-8.0999999999999996E-4</v>
      </c>
      <c r="D46" s="171">
        <v>-1.42E-3</v>
      </c>
      <c r="E46" s="171">
        <v>4.45E-3</v>
      </c>
      <c r="F46" s="171">
        <v>-3.1530000000000002E-2</v>
      </c>
      <c r="G46" s="171">
        <v>3.4399999999999999E-3</v>
      </c>
      <c r="H46" s="171">
        <v>1.0499999999999999E-3</v>
      </c>
      <c r="I46" s="171">
        <v>0</v>
      </c>
      <c r="J46" s="171">
        <v>-5.6999999999999998E-4</v>
      </c>
      <c r="K46" s="171">
        <f t="shared" si="21"/>
        <v>-2.4820000000000005E-2</v>
      </c>
      <c r="L46" s="212">
        <f t="shared" si="22"/>
        <v>-3482.9657800000009</v>
      </c>
      <c r="M46" s="212"/>
    </row>
    <row r="47" spans="1:13">
      <c r="A47" s="180" t="s">
        <v>132</v>
      </c>
      <c r="B47" s="152"/>
      <c r="C47" s="171">
        <v>0</v>
      </c>
      <c r="D47" s="171">
        <v>-1.8799999999999999E-3</v>
      </c>
      <c r="E47" s="171">
        <v>4.0000000000000002E-4</v>
      </c>
      <c r="F47" s="171"/>
      <c r="G47" s="171">
        <v>4.6299999999999996E-3</v>
      </c>
      <c r="H47" s="171">
        <v>1.5200000000000001E-3</v>
      </c>
      <c r="I47" s="171">
        <v>0</v>
      </c>
      <c r="J47" s="171">
        <v>-5.6999999999999998E-4</v>
      </c>
      <c r="K47" s="171">
        <f t="shared" si="21"/>
        <v>4.6699999999999997E-3</v>
      </c>
      <c r="L47" s="212">
        <f t="shared" si="22"/>
        <v>104226.3676</v>
      </c>
      <c r="M47" s="212"/>
    </row>
    <row r="48" spans="1:13">
      <c r="A48" s="180" t="s">
        <v>133</v>
      </c>
      <c r="B48" s="152"/>
      <c r="C48" s="171">
        <v>-8.0999999999999996E-4</v>
      </c>
      <c r="D48" s="171">
        <v>-1.8799999999999999E-3</v>
      </c>
      <c r="E48" s="171">
        <v>4.0000000000000002E-4</v>
      </c>
      <c r="F48" s="171"/>
      <c r="G48" s="171">
        <v>4.6299999999999996E-3</v>
      </c>
      <c r="H48" s="171">
        <v>1.5200000000000001E-3</v>
      </c>
      <c r="I48" s="171">
        <v>0</v>
      </c>
      <c r="J48" s="171">
        <v>-5.6999999999999998E-4</v>
      </c>
      <c r="K48" s="171">
        <f t="shared" si="21"/>
        <v>3.8600000000000001E-3</v>
      </c>
      <c r="L48" s="212">
        <f t="shared" si="22"/>
        <v>7468.3511600000002</v>
      </c>
      <c r="M48" s="212"/>
    </row>
    <row r="49" spans="1:14">
      <c r="A49" s="180" t="s">
        <v>134</v>
      </c>
      <c r="B49" s="152"/>
      <c r="C49" s="171">
        <v>0</v>
      </c>
      <c r="D49" s="171">
        <v>-1.4400000000000001E-3</v>
      </c>
      <c r="E49" s="171">
        <v>4.0000000000000002E-4</v>
      </c>
      <c r="F49" s="171"/>
      <c r="G49" s="171">
        <v>3.6600000000000001E-3</v>
      </c>
      <c r="H49" s="171">
        <v>1.1000000000000001E-3</v>
      </c>
      <c r="I49" s="171">
        <v>0</v>
      </c>
      <c r="J49" s="171">
        <v>-5.9000000000000003E-4</v>
      </c>
      <c r="K49" s="171">
        <f t="shared" si="21"/>
        <v>3.7200000000000002E-3</v>
      </c>
      <c r="L49" s="212">
        <f t="shared" si="22"/>
        <v>216971.95368000001</v>
      </c>
      <c r="M49" s="212"/>
    </row>
    <row r="50" spans="1:14">
      <c r="A50" s="180" t="s">
        <v>135</v>
      </c>
      <c r="B50" s="152"/>
      <c r="C50" s="171">
        <v>-8.0999999999999996E-4</v>
      </c>
      <c r="D50" s="171">
        <v>-1.4400000000000001E-3</v>
      </c>
      <c r="E50" s="171">
        <v>4.0000000000000002E-4</v>
      </c>
      <c r="F50" s="171"/>
      <c r="G50" s="171">
        <v>3.6600000000000001E-3</v>
      </c>
      <c r="H50" s="171">
        <v>1.1000000000000001E-3</v>
      </c>
      <c r="I50" s="171">
        <v>0</v>
      </c>
      <c r="J50" s="171">
        <v>-5.9000000000000003E-4</v>
      </c>
      <c r="K50" s="171">
        <f t="shared" si="21"/>
        <v>2.9099999999999998E-3</v>
      </c>
      <c r="L50" s="212">
        <f t="shared" si="22"/>
        <v>3401.6590499999998</v>
      </c>
      <c r="M50" s="212"/>
    </row>
    <row r="51" spans="1:14">
      <c r="A51" s="180" t="s">
        <v>136</v>
      </c>
      <c r="B51" s="152"/>
      <c r="C51" s="171">
        <v>0</v>
      </c>
      <c r="D51" s="171">
        <v>-9.3000000000000005E-4</v>
      </c>
      <c r="E51" s="171">
        <v>0</v>
      </c>
      <c r="F51" s="171"/>
      <c r="G51" s="171">
        <v>2.32E-3</v>
      </c>
      <c r="H51" s="171">
        <v>6.8999999999999997E-4</v>
      </c>
      <c r="I51" s="171">
        <v>0</v>
      </c>
      <c r="J51" s="171">
        <v>-5.6999999999999998E-4</v>
      </c>
      <c r="K51" s="171">
        <f t="shared" si="21"/>
        <v>2.0799999999999998E-3</v>
      </c>
      <c r="L51" s="212">
        <f t="shared" si="22"/>
        <v>122816.15423999999</v>
      </c>
      <c r="M51" s="212"/>
    </row>
    <row r="52" spans="1:14">
      <c r="A52" s="180" t="s">
        <v>179</v>
      </c>
      <c r="B52" s="152"/>
      <c r="C52" s="171">
        <v>0</v>
      </c>
      <c r="D52" s="171">
        <v>0</v>
      </c>
      <c r="E52" s="171">
        <v>0</v>
      </c>
      <c r="F52" s="171"/>
      <c r="G52" s="171">
        <v>2.32E-3</v>
      </c>
      <c r="H52" s="171">
        <v>0</v>
      </c>
      <c r="I52" s="171">
        <v>0</v>
      </c>
      <c r="J52" s="171">
        <v>-5.6999999999999998E-4</v>
      </c>
      <c r="K52" s="171">
        <f t="shared" si="21"/>
        <v>2.32E-3</v>
      </c>
      <c r="L52" s="212">
        <f t="shared" si="22"/>
        <v>81200</v>
      </c>
      <c r="M52" s="212"/>
    </row>
    <row r="53" spans="1:14">
      <c r="A53" s="180" t="s">
        <v>180</v>
      </c>
      <c r="B53" s="152"/>
      <c r="C53" s="171">
        <v>0</v>
      </c>
      <c r="D53" s="171">
        <v>-1.2999999999999999E-3</v>
      </c>
      <c r="E53" s="171">
        <v>4.0000000000000002E-4</v>
      </c>
      <c r="F53" s="171"/>
      <c r="G53" s="171">
        <v>3.4099999999999998E-3</v>
      </c>
      <c r="H53" s="171">
        <v>9.6000000000000002E-4</v>
      </c>
      <c r="I53" s="171">
        <v>0</v>
      </c>
      <c r="J53" s="171">
        <v>-6.0999999999999997E-4</v>
      </c>
      <c r="K53" s="171">
        <f t="shared" si="21"/>
        <v>3.47E-3</v>
      </c>
      <c r="L53" s="212">
        <f t="shared" si="22"/>
        <v>0</v>
      </c>
      <c r="M53" s="212"/>
    </row>
    <row r="54" spans="1:14">
      <c r="A54" s="180" t="s">
        <v>137</v>
      </c>
      <c r="B54" s="152"/>
      <c r="C54" s="171">
        <v>0</v>
      </c>
      <c r="D54" s="171">
        <v>-1.2999999999999999E-3</v>
      </c>
      <c r="E54" s="171">
        <v>4.0000000000000002E-4</v>
      </c>
      <c r="F54" s="171"/>
      <c r="G54" s="171">
        <v>3.4099999999999998E-3</v>
      </c>
      <c r="H54" s="171">
        <v>9.6000000000000002E-4</v>
      </c>
      <c r="I54" s="171">
        <v>0</v>
      </c>
      <c r="J54" s="171">
        <v>-6.0999999999999997E-4</v>
      </c>
      <c r="K54" s="171">
        <f t="shared" si="21"/>
        <v>3.47E-3</v>
      </c>
      <c r="L54" s="212">
        <f t="shared" si="22"/>
        <v>16685.116770000001</v>
      </c>
      <c r="M54" s="212"/>
    </row>
    <row r="55" spans="1:14">
      <c r="A55" s="180" t="s">
        <v>138</v>
      </c>
      <c r="B55" s="152"/>
      <c r="C55" s="171">
        <v>-8.0999999999999996E-4</v>
      </c>
      <c r="D55" s="171">
        <v>-1.2999999999999999E-3</v>
      </c>
      <c r="E55" s="171">
        <v>4.0000000000000002E-4</v>
      </c>
      <c r="F55" s="171"/>
      <c r="G55" s="171">
        <v>3.4099999999999998E-3</v>
      </c>
      <c r="H55" s="171">
        <v>9.6000000000000002E-4</v>
      </c>
      <c r="I55" s="171">
        <v>0</v>
      </c>
      <c r="J55" s="171">
        <v>-6.0999999999999997E-4</v>
      </c>
      <c r="K55" s="171">
        <f t="shared" si="21"/>
        <v>2.66E-3</v>
      </c>
      <c r="L55" s="212">
        <f t="shared" si="22"/>
        <v>729.31348000000003</v>
      </c>
      <c r="M55" s="212"/>
    </row>
    <row r="56" spans="1:14" ht="14.4" customHeight="1">
      <c r="A56" s="180" t="s">
        <v>192</v>
      </c>
      <c r="B56" s="152"/>
      <c r="C56" s="171">
        <v>0</v>
      </c>
      <c r="D56" s="171">
        <v>0</v>
      </c>
      <c r="E56" s="171">
        <v>0</v>
      </c>
      <c r="F56" s="171"/>
      <c r="G56" s="186">
        <v>1.2149999999999999E-2</v>
      </c>
      <c r="H56" s="401" t="s">
        <v>214</v>
      </c>
      <c r="I56" s="171">
        <v>0</v>
      </c>
      <c r="J56" s="186">
        <v>-6.4999999999999997E-4</v>
      </c>
      <c r="K56" s="171">
        <f t="shared" si="21"/>
        <v>1.2149999999999999E-2</v>
      </c>
      <c r="L56" s="212">
        <f t="shared" si="22"/>
        <v>0</v>
      </c>
      <c r="M56" s="212"/>
    </row>
    <row r="57" spans="1:14">
      <c r="A57" s="180" t="s">
        <v>183</v>
      </c>
      <c r="B57" s="152"/>
      <c r="C57" s="171">
        <v>-8.0999999999999996E-4</v>
      </c>
      <c r="D57" s="171">
        <v>0</v>
      </c>
      <c r="E57" s="171">
        <v>0</v>
      </c>
      <c r="F57" s="171"/>
      <c r="G57" s="186">
        <v>1.2149999999999999E-2</v>
      </c>
      <c r="H57" s="401"/>
      <c r="I57" s="171">
        <v>0</v>
      </c>
      <c r="J57" s="186">
        <v>-6.4999999999999997E-4</v>
      </c>
      <c r="K57" s="171">
        <f t="shared" si="21"/>
        <v>1.1339999999999999E-2</v>
      </c>
      <c r="L57" s="212">
        <f t="shared" si="22"/>
        <v>0</v>
      </c>
      <c r="M57" s="212"/>
    </row>
    <row r="58" spans="1:14">
      <c r="A58" s="180"/>
      <c r="B58" s="152"/>
      <c r="C58" s="171"/>
      <c r="D58" s="171"/>
      <c r="E58" s="171"/>
      <c r="F58" s="171"/>
      <c r="G58" s="186"/>
      <c r="H58" s="289"/>
      <c r="I58" s="171"/>
      <c r="J58" s="186"/>
      <c r="K58" s="171"/>
      <c r="L58" s="212"/>
      <c r="M58" s="212"/>
    </row>
    <row r="59" spans="1:14">
      <c r="A59" s="180"/>
      <c r="B59" s="152"/>
      <c r="C59" s="171"/>
      <c r="D59" s="171"/>
      <c r="E59" s="171"/>
      <c r="F59" s="171"/>
      <c r="G59" s="186"/>
      <c r="H59" s="289"/>
      <c r="I59" s="171"/>
      <c r="J59" s="186"/>
      <c r="K59" s="171"/>
      <c r="L59" s="212"/>
      <c r="M59" s="212"/>
    </row>
    <row r="60" spans="1:14">
      <c r="F60" s="152"/>
      <c r="L60" s="212">
        <f>SUM(L45:L57)</f>
        <v>1077330.5398699997</v>
      </c>
      <c r="M60" s="212"/>
      <c r="N60" s="288"/>
    </row>
    <row r="61" spans="1:14" ht="52.8">
      <c r="A61" s="179" t="s">
        <v>202</v>
      </c>
      <c r="B61" s="154"/>
      <c r="C61" s="172" t="s">
        <v>209</v>
      </c>
      <c r="D61" s="172" t="s">
        <v>312</v>
      </c>
      <c r="E61" s="172" t="s">
        <v>213</v>
      </c>
      <c r="F61" s="172" t="s">
        <v>203</v>
      </c>
      <c r="G61" s="172" t="s">
        <v>204</v>
      </c>
      <c r="H61" s="172" t="s">
        <v>205</v>
      </c>
      <c r="I61" s="172" t="s">
        <v>206</v>
      </c>
      <c r="J61" s="172" t="s">
        <v>207</v>
      </c>
      <c r="K61" s="172" t="s">
        <v>208</v>
      </c>
      <c r="N61" s="168"/>
    </row>
    <row r="62" spans="1:14">
      <c r="A62" s="180" t="s">
        <v>131</v>
      </c>
      <c r="C62" s="168">
        <f t="shared" ref="C62:C67" si="23">C45*H3</f>
        <v>4965.1866</v>
      </c>
      <c r="D62" s="168">
        <f>D45*G3</f>
        <v>-111592.65534</v>
      </c>
      <c r="E62" s="168">
        <f t="shared" ref="E62:E67" si="24">E45*H3</f>
        <v>-27277.877</v>
      </c>
      <c r="F62" s="168">
        <f t="shared" ref="F62:F67" si="25">$H3*F45</f>
        <v>0</v>
      </c>
      <c r="G62" s="168">
        <f t="shared" ref="G62:H67" si="26">($H3*G45)</f>
        <v>-21086.718399999998</v>
      </c>
      <c r="H62" s="168">
        <f t="shared" si="26"/>
        <v>-6436.3529999999992</v>
      </c>
      <c r="I62" s="168">
        <f t="shared" ref="I62:I67" si="27">$H3*I45</f>
        <v>0</v>
      </c>
      <c r="J62" s="168">
        <f t="shared" ref="J62:J67" si="28">(J45*H3)</f>
        <v>3494.0201999999999</v>
      </c>
      <c r="K62" s="168">
        <f t="shared" ref="K62:K72" si="29">SUM(C62:J62)</f>
        <v>-157934.39693999998</v>
      </c>
      <c r="N62" s="168"/>
    </row>
    <row r="63" spans="1:14">
      <c r="A63" s="180" t="s">
        <v>178</v>
      </c>
      <c r="C63" s="168">
        <f t="shared" si="23"/>
        <v>30.882869999999997</v>
      </c>
      <c r="D63" s="168">
        <f t="shared" ref="D63:D72" si="30">D46*G4</f>
        <v>-199.26718</v>
      </c>
      <c r="E63" s="168">
        <f t="shared" si="24"/>
        <v>-169.66515000000001</v>
      </c>
      <c r="F63" s="168">
        <f t="shared" si="25"/>
        <v>1202.1443100000001</v>
      </c>
      <c r="G63" s="168">
        <f t="shared" si="26"/>
        <v>-131.15688</v>
      </c>
      <c r="H63" s="168">
        <f t="shared" si="26"/>
        <v>-40.033349999999999</v>
      </c>
      <c r="I63" s="168">
        <f t="shared" si="27"/>
        <v>0</v>
      </c>
      <c r="J63" s="168">
        <f t="shared" si="28"/>
        <v>21.732389999999999</v>
      </c>
      <c r="K63" s="168">
        <f t="shared" si="29"/>
        <v>714.63701000000015</v>
      </c>
      <c r="N63" s="168"/>
    </row>
    <row r="64" spans="1:14">
      <c r="A64" s="180" t="s">
        <v>132</v>
      </c>
      <c r="C64" s="168">
        <f t="shared" si="23"/>
        <v>0</v>
      </c>
      <c r="D64" s="168">
        <f t="shared" si="30"/>
        <v>-41958.366399999999</v>
      </c>
      <c r="E64" s="168">
        <f t="shared" si="24"/>
        <v>-149.2388</v>
      </c>
      <c r="F64" s="168">
        <f t="shared" si="25"/>
        <v>0</v>
      </c>
      <c r="G64" s="168">
        <f t="shared" si="26"/>
        <v>-1727.4391099999998</v>
      </c>
      <c r="H64" s="168">
        <f t="shared" si="26"/>
        <v>-567.10744</v>
      </c>
      <c r="I64" s="168">
        <f t="shared" si="27"/>
        <v>0</v>
      </c>
      <c r="J64" s="168">
        <f t="shared" si="28"/>
        <v>212.66529</v>
      </c>
      <c r="K64" s="168">
        <f t="shared" si="29"/>
        <v>-44189.48646</v>
      </c>
      <c r="N64" s="168"/>
    </row>
    <row r="65" spans="1:14">
      <c r="A65" s="180" t="s">
        <v>133</v>
      </c>
      <c r="C65" s="168">
        <f t="shared" si="23"/>
        <v>193.93262999999999</v>
      </c>
      <c r="D65" s="168">
        <f t="shared" si="30"/>
        <v>-3637.4352799999997</v>
      </c>
      <c r="E65" s="168">
        <f t="shared" si="24"/>
        <v>-95.769199999999998</v>
      </c>
      <c r="F65" s="168">
        <f t="shared" si="25"/>
        <v>0</v>
      </c>
      <c r="G65" s="168">
        <f t="shared" si="26"/>
        <v>-1108.5284899999999</v>
      </c>
      <c r="H65" s="168">
        <f t="shared" si="26"/>
        <v>-363.92296000000005</v>
      </c>
      <c r="I65" s="168">
        <f t="shared" si="27"/>
        <v>0</v>
      </c>
      <c r="J65" s="168">
        <f t="shared" si="28"/>
        <v>136.47110999999998</v>
      </c>
      <c r="K65" s="168">
        <f t="shared" si="29"/>
        <v>-4875.2521899999992</v>
      </c>
      <c r="N65" s="168"/>
    </row>
    <row r="66" spans="1:14">
      <c r="A66" s="180" t="s">
        <v>134</v>
      </c>
      <c r="C66" s="168">
        <f t="shared" si="23"/>
        <v>0</v>
      </c>
      <c r="D66" s="168">
        <f t="shared" si="30"/>
        <v>-83989.143360000002</v>
      </c>
      <c r="E66" s="168">
        <f t="shared" si="24"/>
        <v>89.994399999999999</v>
      </c>
      <c r="F66" s="168">
        <f t="shared" si="25"/>
        <v>0</v>
      </c>
      <c r="G66" s="168">
        <f t="shared" si="26"/>
        <v>823.44875999999999</v>
      </c>
      <c r="H66" s="168">
        <f t="shared" si="26"/>
        <v>247.48460000000003</v>
      </c>
      <c r="I66" s="168">
        <f t="shared" si="27"/>
        <v>0</v>
      </c>
      <c r="J66" s="168">
        <f t="shared" si="28"/>
        <v>-132.74173999999999</v>
      </c>
      <c r="K66" s="168">
        <f t="shared" si="29"/>
        <v>-82960.957340000008</v>
      </c>
      <c r="N66" s="168"/>
    </row>
    <row r="67" spans="1:14">
      <c r="A67" s="180" t="s">
        <v>135</v>
      </c>
      <c r="C67" s="168">
        <f t="shared" si="23"/>
        <v>75.651569999999992</v>
      </c>
      <c r="D67" s="168">
        <f>D50*G8</f>
        <v>-1683.2952</v>
      </c>
      <c r="E67" s="168">
        <f t="shared" si="24"/>
        <v>-37.358800000000002</v>
      </c>
      <c r="F67" s="168">
        <f t="shared" si="25"/>
        <v>0</v>
      </c>
      <c r="G67" s="168">
        <f t="shared" si="26"/>
        <v>-341.83302000000003</v>
      </c>
      <c r="H67" s="168">
        <f t="shared" si="26"/>
        <v>-102.73670000000001</v>
      </c>
      <c r="I67" s="168">
        <f t="shared" si="27"/>
        <v>0</v>
      </c>
      <c r="J67" s="168">
        <f t="shared" si="28"/>
        <v>55.104230000000001</v>
      </c>
      <c r="K67" s="168">
        <f t="shared" si="29"/>
        <v>-2034.46792</v>
      </c>
      <c r="N67" s="168"/>
    </row>
    <row r="68" spans="1:14">
      <c r="A68" s="180" t="s">
        <v>136</v>
      </c>
      <c r="C68" s="168">
        <f t="shared" ref="C68:J68" si="31">$H9*C51+$H10*C52</f>
        <v>0</v>
      </c>
      <c r="D68" s="168">
        <f>D51*(G9+G10)</f>
        <v>-87462.992040000012</v>
      </c>
      <c r="E68" s="168">
        <f t="shared" si="31"/>
        <v>0</v>
      </c>
      <c r="F68" s="168">
        <f t="shared" si="31"/>
        <v>0</v>
      </c>
      <c r="G68" s="168">
        <f t="shared" si="31"/>
        <v>3808.1315199999999</v>
      </c>
      <c r="H68" s="168">
        <f t="shared" si="31"/>
        <v>1132.5908399999998</v>
      </c>
      <c r="I68" s="168">
        <f t="shared" si="31"/>
        <v>0</v>
      </c>
      <c r="J68" s="168">
        <f t="shared" si="31"/>
        <v>-935.61851999999999</v>
      </c>
      <c r="K68" s="168">
        <f t="shared" si="29"/>
        <v>-83457.888200000016</v>
      </c>
      <c r="N68" s="168"/>
    </row>
    <row r="69" spans="1:14">
      <c r="A69" s="180" t="s">
        <v>180</v>
      </c>
      <c r="C69" s="168">
        <f>$H11*C53</f>
        <v>0</v>
      </c>
      <c r="D69" s="168">
        <f t="shared" si="30"/>
        <v>0</v>
      </c>
      <c r="E69" s="168">
        <f t="shared" ref="C69:F71" si="32">$H11*E53</f>
        <v>0</v>
      </c>
      <c r="F69" s="168">
        <f t="shared" si="32"/>
        <v>0</v>
      </c>
      <c r="G69" s="168">
        <f t="shared" ref="G69:H71" si="33">($H11*G53)</f>
        <v>0</v>
      </c>
      <c r="H69" s="168">
        <f t="shared" si="33"/>
        <v>0</v>
      </c>
      <c r="I69" s="168">
        <f t="shared" ref="I69:J71" si="34">$H11*I53</f>
        <v>0</v>
      </c>
      <c r="J69" s="168">
        <f t="shared" si="34"/>
        <v>0</v>
      </c>
      <c r="K69" s="168">
        <f t="shared" si="29"/>
        <v>0</v>
      </c>
      <c r="N69" s="168"/>
    </row>
    <row r="70" spans="1:14">
      <c r="A70" s="180" t="s">
        <v>137</v>
      </c>
      <c r="C70" s="168">
        <f t="shared" si="32"/>
        <v>0</v>
      </c>
      <c r="D70" s="168">
        <f t="shared" si="30"/>
        <v>0</v>
      </c>
      <c r="E70" s="168">
        <f t="shared" si="32"/>
        <v>850.01280000000008</v>
      </c>
      <c r="F70" s="168">
        <f t="shared" si="32"/>
        <v>0</v>
      </c>
      <c r="G70" s="168">
        <f t="shared" si="33"/>
        <v>7246.3591200000001</v>
      </c>
      <c r="H70" s="168">
        <f t="shared" si="33"/>
        <v>2040.03072</v>
      </c>
      <c r="I70" s="168">
        <f t="shared" si="34"/>
        <v>0</v>
      </c>
      <c r="J70" s="168">
        <f t="shared" si="34"/>
        <v>-1296.2695200000001</v>
      </c>
      <c r="K70" s="168">
        <f t="shared" si="29"/>
        <v>8840.1331200000004</v>
      </c>
      <c r="N70" s="168"/>
    </row>
    <row r="71" spans="1:14">
      <c r="A71" s="180" t="s">
        <v>138</v>
      </c>
      <c r="C71" s="168">
        <f t="shared" si="32"/>
        <v>-75.201209999999989</v>
      </c>
      <c r="D71" s="168">
        <f t="shared" si="30"/>
        <v>-6250.9083000000001</v>
      </c>
      <c r="E71" s="168">
        <f t="shared" si="32"/>
        <v>37.136400000000002</v>
      </c>
      <c r="F71" s="168">
        <f t="shared" si="32"/>
        <v>0</v>
      </c>
      <c r="G71" s="168">
        <f t="shared" si="33"/>
        <v>316.58780999999999</v>
      </c>
      <c r="H71" s="168">
        <f t="shared" si="33"/>
        <v>89.127359999999996</v>
      </c>
      <c r="I71" s="168">
        <f t="shared" si="34"/>
        <v>0</v>
      </c>
      <c r="J71" s="168">
        <f t="shared" si="34"/>
        <v>-56.633009999999999</v>
      </c>
      <c r="K71" s="168">
        <f t="shared" si="29"/>
        <v>-5939.8909499999991</v>
      </c>
      <c r="N71" s="168"/>
    </row>
    <row r="72" spans="1:14">
      <c r="A72" s="180" t="s">
        <v>192</v>
      </c>
      <c r="C72" s="168">
        <f>($H14+$H15)*C56+$H16*C57</f>
        <v>0</v>
      </c>
      <c r="D72" s="168">
        <f t="shared" si="30"/>
        <v>-356.4314</v>
      </c>
      <c r="E72" s="168">
        <f>($H14+$H15)*E56+$H16*E57</f>
        <v>0</v>
      </c>
      <c r="F72" s="168">
        <f>($H14+$H15)*F56+$H16*F57</f>
        <v>0</v>
      </c>
      <c r="G72" s="168">
        <f>($H14+$H15)*G56+$H16*G57</f>
        <v>0</v>
      </c>
      <c r="H72" s="168"/>
      <c r="I72" s="168">
        <f>($H14+$H15)*I56+$H16*I57</f>
        <v>0</v>
      </c>
      <c r="J72" s="168">
        <f>($H14+$H15)*J56+$H16*J57</f>
        <v>0</v>
      </c>
      <c r="K72" s="168">
        <f t="shared" si="29"/>
        <v>-356.4314</v>
      </c>
    </row>
    <row r="73" spans="1:14">
      <c r="A73" s="157"/>
      <c r="C73" s="193">
        <f t="shared" ref="C73:J73" si="35">SUM(C62:C72)</f>
        <v>5190.4524600000004</v>
      </c>
      <c r="D73" s="193">
        <f>SUM(D62:D72)</f>
        <v>-337130.49450000003</v>
      </c>
      <c r="E73" s="193">
        <f t="shared" si="35"/>
        <v>-26752.765350000001</v>
      </c>
      <c r="F73" s="193">
        <f t="shared" si="35"/>
        <v>1202.1443100000001</v>
      </c>
      <c r="G73" s="193">
        <f t="shared" si="35"/>
        <v>-12201.148689999995</v>
      </c>
      <c r="H73" s="193">
        <f t="shared" si="35"/>
        <v>-4000.9199299999996</v>
      </c>
      <c r="I73" s="193">
        <f t="shared" si="35"/>
        <v>0</v>
      </c>
      <c r="J73" s="193">
        <f t="shared" si="35"/>
        <v>1498.7304299999998</v>
      </c>
      <c r="K73" s="193">
        <f>SUM(K62:K72)</f>
        <v>-372194.00126999995</v>
      </c>
    </row>
    <row r="74" spans="1:14" ht="15.75" customHeight="1"/>
    <row r="75" spans="1:14">
      <c r="A75" s="152" t="s">
        <v>19</v>
      </c>
      <c r="B75" s="152"/>
      <c r="C75" s="168">
        <f t="shared" ref="C75:J75" si="36">C62+C63</f>
        <v>4996.0694700000004</v>
      </c>
      <c r="D75" s="168">
        <f t="shared" si="36"/>
        <v>-111791.92251999999</v>
      </c>
      <c r="E75" s="168">
        <f t="shared" si="36"/>
        <v>-27447.542150000001</v>
      </c>
      <c r="F75" s="168">
        <f t="shared" si="36"/>
        <v>1202.1443100000001</v>
      </c>
      <c r="G75" s="168">
        <f t="shared" si="36"/>
        <v>-21217.875279999997</v>
      </c>
      <c r="H75" s="168">
        <f t="shared" si="36"/>
        <v>-6476.3863499999989</v>
      </c>
      <c r="I75" s="168">
        <f t="shared" si="36"/>
        <v>0</v>
      </c>
      <c r="J75" s="168">
        <f t="shared" si="36"/>
        <v>3515.7525900000001</v>
      </c>
      <c r="K75" s="168">
        <f>K62+K63</f>
        <v>-157219.75992999997</v>
      </c>
    </row>
    <row r="76" spans="1:14">
      <c r="A76" s="152"/>
      <c r="B76" s="152"/>
      <c r="C76" s="168"/>
      <c r="D76" s="168"/>
      <c r="E76" s="168"/>
      <c r="F76" s="168"/>
      <c r="G76" s="168"/>
      <c r="H76" s="168"/>
      <c r="I76" s="168"/>
      <c r="J76" s="168"/>
      <c r="K76" s="168"/>
    </row>
    <row r="77" spans="1:14">
      <c r="A77" s="152" t="s">
        <v>184</v>
      </c>
      <c r="B77" s="152"/>
      <c r="C77" s="176">
        <f t="shared" ref="C77:J77" si="37">SUM(C64:C67,C69:C71)</f>
        <v>194.38299000000001</v>
      </c>
      <c r="D77" s="176">
        <f>SUM(D64:D67,D69:D71)</f>
        <v>-137519.14853999999</v>
      </c>
      <c r="E77" s="176">
        <f>SUM(E64:E67,E69:E71)</f>
        <v>694.77680000000009</v>
      </c>
      <c r="F77" s="176">
        <f>SUM(F64:F67,F69:F71)</f>
        <v>0</v>
      </c>
      <c r="G77" s="176">
        <f t="shared" si="37"/>
        <v>5208.5950700000003</v>
      </c>
      <c r="H77" s="176">
        <f t="shared" si="37"/>
        <v>1342.8755799999999</v>
      </c>
      <c r="I77" s="176">
        <f t="shared" si="37"/>
        <v>0</v>
      </c>
      <c r="J77" s="176">
        <f t="shared" si="37"/>
        <v>-1081.40364</v>
      </c>
      <c r="K77" s="176">
        <f>SUM(K64:K67,K69:K71)</f>
        <v>-131159.92173999999</v>
      </c>
    </row>
    <row r="78" spans="1:14" ht="15.75" customHeight="1"/>
    <row r="79" spans="1:14" ht="14.4">
      <c r="A79" s="151" t="s">
        <v>215</v>
      </c>
      <c r="B79" s="151"/>
      <c r="C79" s="151"/>
      <c r="D79" s="151"/>
      <c r="E79" s="151"/>
      <c r="F79" s="151"/>
    </row>
    <row r="80" spans="1:14" ht="14.4">
      <c r="A80" s="151" t="s">
        <v>223</v>
      </c>
      <c r="B80" s="151"/>
      <c r="C80" s="151"/>
      <c r="D80" s="151"/>
      <c r="E80" s="151"/>
      <c r="F80" s="151"/>
    </row>
    <row r="81" spans="1:14" ht="14.4">
      <c r="A81" s="170" t="s">
        <v>222</v>
      </c>
      <c r="B81" s="170"/>
      <c r="C81" s="170"/>
      <c r="D81" s="170"/>
      <c r="E81" s="170"/>
      <c r="F81" s="151"/>
    </row>
    <row r="82" spans="1:14" ht="28.2" customHeight="1">
      <c r="A82" s="170"/>
      <c r="B82" s="197" t="s">
        <v>216</v>
      </c>
      <c r="C82" s="197" t="s">
        <v>217</v>
      </c>
      <c r="D82" s="197" t="s">
        <v>218</v>
      </c>
      <c r="E82" s="197" t="s">
        <v>221</v>
      </c>
      <c r="F82" s="151"/>
      <c r="G82" s="403" t="s">
        <v>313</v>
      </c>
      <c r="H82" s="403"/>
      <c r="I82" s="403"/>
      <c r="J82" s="403"/>
      <c r="M82" s="200"/>
      <c r="N82" s="200"/>
    </row>
    <row r="83" spans="1:14" ht="14.4">
      <c r="A83" s="170" t="s">
        <v>311</v>
      </c>
      <c r="B83" s="198">
        <v>1</v>
      </c>
      <c r="C83" s="199">
        <v>896023</v>
      </c>
      <c r="D83" s="200">
        <f>76880.5-C83*SUM(K51)</f>
        <v>75016.772159999993</v>
      </c>
      <c r="E83" s="200">
        <f>500*B83</f>
        <v>500</v>
      </c>
      <c r="F83" s="201" t="s">
        <v>219</v>
      </c>
      <c r="H83" s="198"/>
      <c r="I83" s="199"/>
      <c r="J83" s="200"/>
      <c r="K83" s="200"/>
      <c r="L83" s="201"/>
    </row>
    <row r="84" spans="1:14" ht="14.4" customHeight="1">
      <c r="A84" s="202" t="s">
        <v>258</v>
      </c>
      <c r="B84" s="203">
        <f>SUM(B83:B83)</f>
        <v>1</v>
      </c>
      <c r="C84" s="204">
        <f>SUM(C83:C83)</f>
        <v>896023</v>
      </c>
      <c r="D84" s="205">
        <f>SUM(D83:D83)</f>
        <v>75016.772159999993</v>
      </c>
      <c r="E84" s="205">
        <f>SUM(E83:E83)</f>
        <v>500</v>
      </c>
      <c r="F84" s="151"/>
    </row>
    <row r="85" spans="1:14" ht="9" customHeight="1">
      <c r="A85" s="170"/>
      <c r="B85" s="170"/>
      <c r="C85" s="170"/>
      <c r="D85" s="170"/>
      <c r="E85" s="170"/>
      <c r="F85" s="151"/>
    </row>
    <row r="86" spans="1:14" ht="14.4">
      <c r="A86" s="206"/>
      <c r="B86" s="206"/>
      <c r="C86" s="206"/>
      <c r="D86" s="206"/>
      <c r="E86" s="151"/>
      <c r="F86" s="151"/>
    </row>
    <row r="87" spans="1:14" ht="15.75" customHeight="1"/>
    <row r="88" spans="1:14" ht="15.75" customHeight="1"/>
    <row r="89" spans="1:14" ht="15.75" customHeight="1"/>
  </sheetData>
  <mergeCells count="3">
    <mergeCell ref="A1:I1"/>
    <mergeCell ref="H56:H57"/>
    <mergeCell ref="G82:J82"/>
  </mergeCells>
  <printOptions horizontalCentered="1"/>
  <pageMargins left="0.45" right="0.45" top="0.5" bottom="0.5" header="0.3" footer="0.3"/>
  <pageSetup scale="74" orientation="landscape" r:id="rId1"/>
  <headerFooter>
    <oddFooter>&amp;L&amp;F / &amp;A&amp;RPage &amp;P</oddFooter>
  </headerFooter>
  <rowBreaks count="1" manualBreakCount="1">
    <brk id="41" max="16383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AE86"/>
  <sheetViews>
    <sheetView workbookViewId="0">
      <selection sqref="A1:I1"/>
    </sheetView>
  </sheetViews>
  <sheetFormatPr defaultColWidth="9.109375" defaultRowHeight="15.75" customHeight="1"/>
  <cols>
    <col min="1" max="1" width="13.6640625" style="1" customWidth="1"/>
    <col min="2" max="2" width="10.109375" style="1" customWidth="1"/>
    <col min="3" max="3" width="17.44140625" style="1" customWidth="1"/>
    <col min="4" max="4" width="20.6640625" style="1" bestFit="1" customWidth="1"/>
    <col min="5" max="5" width="16.109375" style="1" customWidth="1"/>
    <col min="6" max="6" width="15.6640625" style="1" bestFit="1" customWidth="1"/>
    <col min="7" max="7" width="19" style="1" bestFit="1" customWidth="1"/>
    <col min="8" max="8" width="13.6640625" style="1" bestFit="1" customWidth="1"/>
    <col min="9" max="9" width="19.88671875" style="1" bestFit="1" customWidth="1"/>
    <col min="10" max="10" width="14.109375" style="1" customWidth="1"/>
    <col min="11" max="11" width="13.109375" style="1" customWidth="1"/>
    <col min="12" max="12" width="13.5546875" style="1" bestFit="1" customWidth="1"/>
    <col min="13" max="13" width="14.6640625" style="1" customWidth="1"/>
    <col min="14" max="14" width="2.6640625" style="1" customWidth="1"/>
    <col min="15" max="15" width="13.44140625" style="1" customWidth="1"/>
    <col min="16" max="16" width="13.33203125" style="1" customWidth="1"/>
    <col min="17" max="17" width="13" style="1" customWidth="1"/>
    <col min="18" max="18" width="10.109375" style="1" customWidth="1"/>
    <col min="19" max="19" width="12.33203125" style="1" customWidth="1"/>
    <col min="20" max="20" width="14.33203125" style="1" customWidth="1"/>
    <col min="21" max="21" width="11" style="1" customWidth="1"/>
    <col min="22" max="22" width="15.5546875" style="1" customWidth="1"/>
    <col min="23" max="23" width="1.6640625" style="1" customWidth="1"/>
    <col min="24" max="24" width="16.109375" style="1" customWidth="1"/>
    <col min="25" max="25" width="2" style="1" customWidth="1"/>
    <col min="26" max="26" width="14.33203125" style="1" customWidth="1"/>
    <col min="27" max="27" width="12.33203125" style="1" customWidth="1"/>
    <col min="28" max="28" width="14.109375" style="1" customWidth="1"/>
    <col min="29" max="29" width="15.6640625" style="1" customWidth="1"/>
    <col min="30" max="30" width="16.6640625" style="1" customWidth="1"/>
    <col min="31" max="16384" width="9.109375" style="1"/>
  </cols>
  <sheetData>
    <row r="1" spans="1:31" ht="14.4">
      <c r="A1" s="399" t="s">
        <v>172</v>
      </c>
      <c r="B1" s="399"/>
      <c r="C1" s="399"/>
      <c r="D1" s="399"/>
      <c r="E1" s="399"/>
      <c r="F1" s="399"/>
      <c r="G1" s="399"/>
      <c r="H1" s="399"/>
      <c r="I1" s="399"/>
      <c r="M1" s="151" t="s">
        <v>234</v>
      </c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 t="s">
        <v>235</v>
      </c>
      <c r="AA1" s="224" t="s">
        <v>39</v>
      </c>
      <c r="AB1" s="151"/>
      <c r="AC1" s="151" t="s">
        <v>237</v>
      </c>
      <c r="AD1" s="224" t="s">
        <v>83</v>
      </c>
      <c r="AE1" s="151"/>
    </row>
    <row r="2" spans="1:31" ht="42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  <c r="M2" s="151"/>
      <c r="N2" s="151"/>
      <c r="O2" s="213" t="str">
        <f>AA1&amp;" Billed Schedule 75 Revenue"</f>
        <v>May Billed Schedule 75 Revenue</v>
      </c>
      <c r="P2" s="213" t="str">
        <f>AA1&amp;" Billed kWhs"</f>
        <v>May Billed kWhs</v>
      </c>
      <c r="Q2" s="213" t="str">
        <f>AA1&amp;" Unbilled kWhs"</f>
        <v>May Unbilled kWhs</v>
      </c>
      <c r="R2" s="213" t="s">
        <v>238</v>
      </c>
      <c r="S2" s="213" t="s">
        <v>239</v>
      </c>
      <c r="T2" s="213" t="str">
        <f>AD1&amp;" Unbilled kWhs reversal"</f>
        <v>April Unbilled kWhs reversal</v>
      </c>
      <c r="U2" s="213" t="s">
        <v>238</v>
      </c>
      <c r="V2" s="213" t="str">
        <f>AD1&amp;" Schedule 75 Unbilled Reversal"</f>
        <v>April Schedule 75 Unbilled Reversal</v>
      </c>
      <c r="W2" s="151"/>
      <c r="X2" s="213" t="str">
        <f>"Total "&amp;AA1&amp;" Schedule 75 Revenue"</f>
        <v>Total May Schedule 75 Revenue</v>
      </c>
      <c r="Y2" s="151"/>
      <c r="Z2" s="213" t="str">
        <f>"Calendar "&amp;AA1&amp;" Usage"</f>
        <v>Calendar May Usage</v>
      </c>
      <c r="AA2" s="213" t="str">
        <f>R2</f>
        <v>11/1/2017 rate</v>
      </c>
      <c r="AB2" s="213" t="s">
        <v>240</v>
      </c>
      <c r="AC2" s="213" t="s">
        <v>241</v>
      </c>
      <c r="AD2" s="213" t="str">
        <f>"implied "&amp;AD1&amp;" unbilled/Cancel-Rebill True-up kWhs"</f>
        <v>implied April unbilled/Cancel-Rebill True-up kWhs</v>
      </c>
      <c r="AE2" s="151"/>
    </row>
    <row r="3" spans="1:31" ht="15" customHeight="1">
      <c r="A3" s="180" t="s">
        <v>131</v>
      </c>
      <c r="B3" s="152"/>
      <c r="C3" s="158">
        <v>214700</v>
      </c>
      <c r="D3" s="282">
        <f t="shared" ref="D3:D8" si="0">E3/(SUM($E$3:$E$8,$E$11:$E$13))</f>
        <v>0.48429964286705263</v>
      </c>
      <c r="E3" s="182">
        <v>159351282.44622001</v>
      </c>
      <c r="F3" s="182">
        <v>-96562318</v>
      </c>
      <c r="G3" s="182">
        <v>84716237</v>
      </c>
      <c r="H3" s="189">
        <f>SUM(F3:G3)</f>
        <v>-11846081</v>
      </c>
      <c r="I3" s="159">
        <f>E3+H3</f>
        <v>147505201.44622001</v>
      </c>
      <c r="J3" s="282"/>
      <c r="M3" s="151" t="s">
        <v>242</v>
      </c>
      <c r="N3" s="151"/>
      <c r="O3" s="214">
        <v>709133.24</v>
      </c>
      <c r="P3" s="225">
        <f t="shared" ref="P3:P8" si="1">E3</f>
        <v>159351282.44622001</v>
      </c>
      <c r="Q3" s="225">
        <f t="shared" ref="Q3:Q8" si="2">G3</f>
        <v>84716237</v>
      </c>
      <c r="R3" s="206">
        <v>4.45E-3</v>
      </c>
      <c r="S3" s="215">
        <f>Q3*R3</f>
        <v>376987.25465000002</v>
      </c>
      <c r="T3" s="225">
        <f t="shared" ref="T3:T8" si="3">F3</f>
        <v>-96562318</v>
      </c>
      <c r="U3" s="206">
        <v>4.45E-3</v>
      </c>
      <c r="V3" s="216">
        <f>T3*U3</f>
        <v>-429702.31510000001</v>
      </c>
      <c r="W3" s="151"/>
      <c r="X3" s="150">
        <f>O3+S3+V3</f>
        <v>656418.17955</v>
      </c>
      <c r="Y3" s="151"/>
      <c r="Z3" s="95">
        <f>P3+Q3+T3</f>
        <v>147505201.44622001</v>
      </c>
      <c r="AA3" s="170">
        <f>R3</f>
        <v>4.45E-3</v>
      </c>
      <c r="AB3" s="217">
        <f>Z3*AA3</f>
        <v>656398.14643567905</v>
      </c>
      <c r="AC3" s="150">
        <f>X3-AB3</f>
        <v>20.033114320947789</v>
      </c>
      <c r="AD3" s="95">
        <f>AC3/AA3</f>
        <v>4501.8234429096156</v>
      </c>
      <c r="AE3" s="218">
        <f>AC3/X3</f>
        <v>3.0518829223592286E-5</v>
      </c>
    </row>
    <row r="4" spans="1:31" ht="14.4">
      <c r="A4" s="180" t="s">
        <v>178</v>
      </c>
      <c r="B4" s="152"/>
      <c r="C4" s="158">
        <v>399</v>
      </c>
      <c r="D4" s="282">
        <f t="shared" si="0"/>
        <v>1.0201369785927581E-3</v>
      </c>
      <c r="E4" s="182">
        <v>335660.24300000002</v>
      </c>
      <c r="F4" s="182">
        <v>-214941</v>
      </c>
      <c r="G4" s="182">
        <v>178456</v>
      </c>
      <c r="H4" s="189">
        <f t="shared" ref="H4:H16" si="4">SUM(F4:G4)</f>
        <v>-36485</v>
      </c>
      <c r="I4" s="159">
        <f t="shared" ref="I4:I16" si="5">E4+H4</f>
        <v>299175.24300000002</v>
      </c>
      <c r="J4" s="282"/>
      <c r="M4" s="151" t="s">
        <v>243</v>
      </c>
      <c r="N4" s="151"/>
      <c r="O4" s="214">
        <v>1493.82</v>
      </c>
      <c r="P4" s="225">
        <f t="shared" si="1"/>
        <v>335660.24300000002</v>
      </c>
      <c r="Q4" s="225">
        <f t="shared" si="2"/>
        <v>178456</v>
      </c>
      <c r="R4" s="206">
        <v>4.45E-3</v>
      </c>
      <c r="S4" s="215">
        <f>Q4*R4</f>
        <v>794.12919999999997</v>
      </c>
      <c r="T4" s="225">
        <f t="shared" si="3"/>
        <v>-214941</v>
      </c>
      <c r="U4" s="206">
        <v>4.45E-3</v>
      </c>
      <c r="V4" s="216">
        <f t="shared" ref="V4:V11" si="6">T4*U4</f>
        <v>-956.48744999999997</v>
      </c>
      <c r="W4" s="151"/>
      <c r="X4" s="150">
        <f t="shared" ref="X4:X11" si="7">O4+S4+V4</f>
        <v>1331.4617499999999</v>
      </c>
      <c r="Y4" s="151"/>
      <c r="Z4" s="95">
        <f t="shared" ref="Z4:Z11" si="8">P4+Q4+T4</f>
        <v>299175.24300000002</v>
      </c>
      <c r="AA4" s="170">
        <f t="shared" ref="AA4:AA11" si="9">R4</f>
        <v>4.45E-3</v>
      </c>
      <c r="AB4" s="217">
        <f t="shared" ref="AB4:AB11" si="10">Z4*AA4</f>
        <v>1331.3298313500002</v>
      </c>
      <c r="AC4" s="150">
        <f t="shared" ref="AC4:AC11" si="11">X4-AB4</f>
        <v>0.13191864999976133</v>
      </c>
      <c r="AD4" s="95">
        <f t="shared" ref="AD4:AD11" si="12">AC4/AA4</f>
        <v>29.644640449384568</v>
      </c>
      <c r="AE4" s="218">
        <f t="shared" ref="AE4:AE12" si="13">AC4/X4</f>
        <v>9.9078062137167159E-5</v>
      </c>
    </row>
    <row r="5" spans="1:31" ht="14.4">
      <c r="A5" s="180" t="s">
        <v>132</v>
      </c>
      <c r="B5" s="152"/>
      <c r="C5" s="158">
        <v>22741</v>
      </c>
      <c r="D5" s="282">
        <f t="shared" si="0"/>
        <v>0.13025583513233255</v>
      </c>
      <c r="E5" s="182">
        <v>42858661.327030003</v>
      </c>
      <c r="F5" s="182">
        <v>-22407616</v>
      </c>
      <c r="G5" s="182">
        <v>22691377</v>
      </c>
      <c r="H5" s="189">
        <f t="shared" si="4"/>
        <v>283761</v>
      </c>
      <c r="I5" s="159">
        <f t="shared" si="5"/>
        <v>43142422.327030003</v>
      </c>
      <c r="J5" s="282"/>
      <c r="M5" s="151" t="s">
        <v>244</v>
      </c>
      <c r="N5" s="151"/>
      <c r="O5" s="214">
        <v>17313.95</v>
      </c>
      <c r="P5" s="225">
        <f t="shared" si="1"/>
        <v>42858661.327030003</v>
      </c>
      <c r="Q5" s="225">
        <f t="shared" si="2"/>
        <v>22691377</v>
      </c>
      <c r="R5" s="219">
        <v>4.0000000000000002E-4</v>
      </c>
      <c r="S5" s="215">
        <f>Q5*R5</f>
        <v>9076.5508000000009</v>
      </c>
      <c r="T5" s="225">
        <f t="shared" si="3"/>
        <v>-22407616</v>
      </c>
      <c r="U5" s="219">
        <v>4.0000000000000002E-4</v>
      </c>
      <c r="V5" s="216">
        <f t="shared" si="6"/>
        <v>-8963.0464000000011</v>
      </c>
      <c r="W5" s="151"/>
      <c r="X5" s="150">
        <f t="shared" si="7"/>
        <v>17427.454400000002</v>
      </c>
      <c r="Y5" s="151"/>
      <c r="Z5" s="95">
        <f t="shared" si="8"/>
        <v>43142422.327030003</v>
      </c>
      <c r="AA5" s="220">
        <f t="shared" si="9"/>
        <v>4.0000000000000002E-4</v>
      </c>
      <c r="AB5" s="217">
        <f t="shared" si="10"/>
        <v>17256.968930812003</v>
      </c>
      <c r="AC5" s="150">
        <f t="shared" si="11"/>
        <v>170.48546918799912</v>
      </c>
      <c r="AD5" s="95">
        <f t="shared" si="12"/>
        <v>426213.67296999774</v>
      </c>
      <c r="AE5" s="218">
        <f t="shared" si="13"/>
        <v>9.7825801333325593E-3</v>
      </c>
    </row>
    <row r="6" spans="1:31" ht="14.4">
      <c r="A6" s="180" t="s">
        <v>133</v>
      </c>
      <c r="B6" s="152"/>
      <c r="C6" s="158">
        <v>9435</v>
      </c>
      <c r="D6" s="282">
        <f t="shared" si="0"/>
        <v>1.2428872827769505E-2</v>
      </c>
      <c r="E6" s="182">
        <v>4089527.74101</v>
      </c>
      <c r="F6" s="182">
        <v>-2552426</v>
      </c>
      <c r="G6" s="182">
        <v>2174229</v>
      </c>
      <c r="H6" s="189">
        <f t="shared" si="4"/>
        <v>-378197</v>
      </c>
      <c r="I6" s="159">
        <f t="shared" si="5"/>
        <v>3711330.74101</v>
      </c>
      <c r="J6" s="282"/>
      <c r="M6" s="151" t="s">
        <v>245</v>
      </c>
      <c r="N6" s="151"/>
      <c r="O6" s="214">
        <v>1635</v>
      </c>
      <c r="P6" s="225">
        <f t="shared" si="1"/>
        <v>4089527.74101</v>
      </c>
      <c r="Q6" s="225">
        <f t="shared" si="2"/>
        <v>2174229</v>
      </c>
      <c r="R6" s="219">
        <v>4.0000000000000002E-4</v>
      </c>
      <c r="S6" s="215">
        <f t="shared" ref="S6:S11" si="14">Q6*R6</f>
        <v>869.69159999999999</v>
      </c>
      <c r="T6" s="225">
        <f t="shared" si="3"/>
        <v>-2552426</v>
      </c>
      <c r="U6" s="219">
        <v>4.0000000000000002E-4</v>
      </c>
      <c r="V6" s="216">
        <f t="shared" si="6"/>
        <v>-1020.9704</v>
      </c>
      <c r="W6" s="151"/>
      <c r="X6" s="150">
        <f t="shared" si="7"/>
        <v>1483.7212</v>
      </c>
      <c r="Y6" s="151"/>
      <c r="Z6" s="95">
        <f t="shared" si="8"/>
        <v>3711330.74101</v>
      </c>
      <c r="AA6" s="220">
        <f t="shared" si="9"/>
        <v>4.0000000000000002E-4</v>
      </c>
      <c r="AB6" s="217">
        <f t="shared" si="10"/>
        <v>1484.5322964040001</v>
      </c>
      <c r="AC6" s="150">
        <f t="shared" si="11"/>
        <v>-0.81109640400018179</v>
      </c>
      <c r="AD6" s="95">
        <f t="shared" si="12"/>
        <v>-2027.7410100004545</v>
      </c>
      <c r="AE6" s="218">
        <f t="shared" si="13"/>
        <v>-5.4666362117100024E-4</v>
      </c>
    </row>
    <row r="7" spans="1:31" ht="14.4">
      <c r="A7" s="180" t="s">
        <v>134</v>
      </c>
      <c r="B7" s="152"/>
      <c r="C7" s="158">
        <v>1856</v>
      </c>
      <c r="D7" s="282">
        <f t="shared" si="0"/>
        <v>0.33400403536266177</v>
      </c>
      <c r="E7" s="182">
        <v>109898844.984</v>
      </c>
      <c r="F7" s="182">
        <v>-53278541</v>
      </c>
      <c r="G7" s="182">
        <v>58100808</v>
      </c>
      <c r="H7" s="189">
        <f t="shared" si="4"/>
        <v>4822267</v>
      </c>
      <c r="I7" s="159">
        <f t="shared" si="5"/>
        <v>114721111.984</v>
      </c>
      <c r="J7" s="282"/>
      <c r="M7" s="151" t="s">
        <v>246</v>
      </c>
      <c r="N7" s="151"/>
      <c r="O7" s="214">
        <v>43959.45</v>
      </c>
      <c r="P7" s="225">
        <f t="shared" si="1"/>
        <v>109898844.984</v>
      </c>
      <c r="Q7" s="225">
        <f t="shared" si="2"/>
        <v>58100808</v>
      </c>
      <c r="R7" s="219">
        <v>4.0000000000000002E-4</v>
      </c>
      <c r="S7" s="215">
        <f t="shared" si="14"/>
        <v>23240.323200000003</v>
      </c>
      <c r="T7" s="225">
        <f t="shared" si="3"/>
        <v>-53278541</v>
      </c>
      <c r="U7" s="219">
        <v>4.0000000000000002E-4</v>
      </c>
      <c r="V7" s="216">
        <f t="shared" si="6"/>
        <v>-21311.416400000002</v>
      </c>
      <c r="W7" s="151"/>
      <c r="X7" s="150">
        <f t="shared" si="7"/>
        <v>45888.356799999994</v>
      </c>
      <c r="Y7" s="151"/>
      <c r="Z7" s="95">
        <f t="shared" si="8"/>
        <v>114721111.984</v>
      </c>
      <c r="AA7" s="220">
        <f t="shared" si="9"/>
        <v>4.0000000000000002E-4</v>
      </c>
      <c r="AB7" s="217">
        <f t="shared" si="10"/>
        <v>45888.4447936</v>
      </c>
      <c r="AC7" s="150">
        <f t="shared" si="11"/>
        <v>-8.799360000557499E-2</v>
      </c>
      <c r="AD7" s="95">
        <f t="shared" si="12"/>
        <v>-219.98400001393748</v>
      </c>
      <c r="AE7" s="218">
        <f t="shared" si="13"/>
        <v>-1.9175583119937519E-6</v>
      </c>
    </row>
    <row r="8" spans="1:31" ht="14.4">
      <c r="A8" s="180" t="s">
        <v>135</v>
      </c>
      <c r="B8" s="152"/>
      <c r="C8" s="158">
        <v>49</v>
      </c>
      <c r="D8" s="282">
        <f t="shared" si="0"/>
        <v>7.2161744895541955E-3</v>
      </c>
      <c r="E8" s="182">
        <v>2374370.2400000002</v>
      </c>
      <c r="F8" s="182">
        <v>-1316515</v>
      </c>
      <c r="G8" s="182">
        <v>1262352</v>
      </c>
      <c r="H8" s="189">
        <f t="shared" si="4"/>
        <v>-54163</v>
      </c>
      <c r="I8" s="159">
        <f t="shared" si="5"/>
        <v>2320207.2400000002</v>
      </c>
      <c r="J8" s="282"/>
      <c r="M8" s="151" t="s">
        <v>247</v>
      </c>
      <c r="N8" s="151"/>
      <c r="O8" s="214">
        <v>949.75</v>
      </c>
      <c r="P8" s="225">
        <f t="shared" si="1"/>
        <v>2374370.2400000002</v>
      </c>
      <c r="Q8" s="225">
        <f t="shared" si="2"/>
        <v>1262352</v>
      </c>
      <c r="R8" s="219">
        <v>4.0000000000000002E-4</v>
      </c>
      <c r="S8" s="215">
        <f t="shared" si="14"/>
        <v>504.94080000000002</v>
      </c>
      <c r="T8" s="225">
        <f t="shared" si="3"/>
        <v>-1316515</v>
      </c>
      <c r="U8" s="219">
        <v>4.0000000000000002E-4</v>
      </c>
      <c r="V8" s="216">
        <f t="shared" si="6"/>
        <v>-526.60599999999999</v>
      </c>
      <c r="W8" s="151"/>
      <c r="X8" s="150">
        <f t="shared" si="7"/>
        <v>928.08480000000009</v>
      </c>
      <c r="Y8" s="151"/>
      <c r="Z8" s="95">
        <f t="shared" si="8"/>
        <v>2320207.2400000002</v>
      </c>
      <c r="AA8" s="220">
        <f t="shared" si="9"/>
        <v>4.0000000000000002E-4</v>
      </c>
      <c r="AB8" s="217">
        <f t="shared" si="10"/>
        <v>928.08289600000012</v>
      </c>
      <c r="AC8" s="150">
        <f t="shared" si="11"/>
        <v>1.9039999999677093E-3</v>
      </c>
      <c r="AD8" s="95">
        <f t="shared" si="12"/>
        <v>4.7599999999192733</v>
      </c>
      <c r="AE8" s="218">
        <f t="shared" si="13"/>
        <v>2.0515366698901966E-6</v>
      </c>
    </row>
    <row r="9" spans="1:31" ht="14.4">
      <c r="A9" s="180" t="s">
        <v>136</v>
      </c>
      <c r="B9" s="152"/>
      <c r="C9" s="158">
        <v>4</v>
      </c>
      <c r="D9" s="194"/>
      <c r="E9" s="182">
        <f>50375927.6-E10</f>
        <v>15517707.600000001</v>
      </c>
      <c r="F9" s="182">
        <v>-14900218</v>
      </c>
      <c r="G9" s="182">
        <f>92404792-G10</f>
        <v>57404792</v>
      </c>
      <c r="H9" s="189">
        <f t="shared" si="4"/>
        <v>42504574</v>
      </c>
      <c r="I9" s="159">
        <f t="shared" si="5"/>
        <v>58022281.600000001</v>
      </c>
      <c r="J9" s="282"/>
      <c r="M9" s="151" t="s">
        <v>248</v>
      </c>
      <c r="N9" s="151"/>
      <c r="O9" s="214">
        <v>1150.21</v>
      </c>
      <c r="P9" s="225">
        <f>E11</f>
        <v>2875569.1579999998</v>
      </c>
      <c r="Q9" s="225">
        <f>G11</f>
        <v>0</v>
      </c>
      <c r="R9" s="219">
        <v>4.0000000000000002E-4</v>
      </c>
      <c r="S9" s="215">
        <f t="shared" si="14"/>
        <v>0</v>
      </c>
      <c r="T9" s="225">
        <f>F11</f>
        <v>0</v>
      </c>
      <c r="U9" s="219">
        <v>4.0000000000000002E-4</v>
      </c>
      <c r="V9" s="216">
        <f t="shared" si="6"/>
        <v>0</v>
      </c>
      <c r="W9" s="151"/>
      <c r="X9" s="150">
        <f t="shared" si="7"/>
        <v>1150.21</v>
      </c>
      <c r="Y9" s="151"/>
      <c r="Z9" s="95">
        <f t="shared" si="8"/>
        <v>2875569.1579999998</v>
      </c>
      <c r="AA9" s="220">
        <f t="shared" si="9"/>
        <v>4.0000000000000002E-4</v>
      </c>
      <c r="AB9" s="217">
        <f t="shared" si="10"/>
        <v>1150.2276632000001</v>
      </c>
      <c r="AC9" s="150">
        <f t="shared" si="11"/>
        <v>-1.7663200000015422E-2</v>
      </c>
      <c r="AD9" s="95">
        <f t="shared" si="12"/>
        <v>-44.158000000038555</v>
      </c>
      <c r="AE9" s="218">
        <f t="shared" si="13"/>
        <v>-1.535650011738328E-5</v>
      </c>
    </row>
    <row r="10" spans="1:31" ht="14.4">
      <c r="A10" s="180" t="s">
        <v>179</v>
      </c>
      <c r="B10" s="152"/>
      <c r="C10" s="158"/>
      <c r="D10" s="194"/>
      <c r="E10" s="182">
        <v>34858220</v>
      </c>
      <c r="F10" s="182">
        <v>-35000000</v>
      </c>
      <c r="G10" s="182">
        <v>35000000</v>
      </c>
      <c r="H10" s="189">
        <f t="shared" si="4"/>
        <v>0</v>
      </c>
      <c r="I10" s="159">
        <f t="shared" si="5"/>
        <v>34858220</v>
      </c>
      <c r="J10" s="282"/>
      <c r="M10" s="151" t="s">
        <v>249</v>
      </c>
      <c r="N10" s="151"/>
      <c r="O10" s="214">
        <v>2653.59</v>
      </c>
      <c r="P10" s="225">
        <f>E12</f>
        <v>6634148.1610099999</v>
      </c>
      <c r="Q10" s="225">
        <f>G12</f>
        <v>2683359</v>
      </c>
      <c r="R10" s="219">
        <v>4.0000000000000002E-4</v>
      </c>
      <c r="S10" s="215">
        <f t="shared" si="14"/>
        <v>1073.3436000000002</v>
      </c>
      <c r="T10" s="225">
        <f>F12</f>
        <v>-1826999</v>
      </c>
      <c r="U10" s="219">
        <v>4.0000000000000002E-4</v>
      </c>
      <c r="V10" s="216">
        <f t="shared" si="6"/>
        <v>-730.79960000000005</v>
      </c>
      <c r="W10" s="151"/>
      <c r="X10" s="150">
        <f>O10+S10+V10</f>
        <v>2996.134</v>
      </c>
      <c r="Y10" s="151"/>
      <c r="Z10" s="95">
        <f t="shared" si="8"/>
        <v>7490508.1610100009</v>
      </c>
      <c r="AA10" s="220">
        <f t="shared" si="9"/>
        <v>4.0000000000000002E-4</v>
      </c>
      <c r="AB10" s="217">
        <f t="shared" si="10"/>
        <v>2996.2032644040005</v>
      </c>
      <c r="AC10" s="150">
        <f t="shared" si="11"/>
        <v>-6.9264404000477953E-2</v>
      </c>
      <c r="AD10" s="95">
        <f t="shared" si="12"/>
        <v>-173.16101000119488</v>
      </c>
      <c r="AE10" s="218">
        <f t="shared" si="13"/>
        <v>-2.3117925967422668E-5</v>
      </c>
    </row>
    <row r="11" spans="1:31" ht="14.4">
      <c r="A11" s="180" t="s">
        <v>180</v>
      </c>
      <c r="B11" s="152"/>
      <c r="C11" s="158">
        <v>50</v>
      </c>
      <c r="D11" s="282">
        <f>E11/(SUM($E$3:$E$8,$E$11:$E$13))</f>
        <v>8.7394158043812217E-3</v>
      </c>
      <c r="E11" s="182">
        <v>2875569.1579999998</v>
      </c>
      <c r="F11" s="182">
        <v>0</v>
      </c>
      <c r="G11" s="182">
        <v>0</v>
      </c>
      <c r="H11" s="189">
        <f t="shared" si="4"/>
        <v>0</v>
      </c>
      <c r="I11" s="159">
        <f t="shared" si="5"/>
        <v>2875569.1579999998</v>
      </c>
      <c r="J11" s="282"/>
      <c r="M11" s="151" t="s">
        <v>250</v>
      </c>
      <c r="N11" s="151"/>
      <c r="O11" s="214">
        <v>246.42</v>
      </c>
      <c r="P11" s="225">
        <f>E13</f>
        <v>616418.36600000004</v>
      </c>
      <c r="Q11" s="225">
        <f>G13</f>
        <v>181337</v>
      </c>
      <c r="R11" s="219">
        <v>4.0000000000000002E-4</v>
      </c>
      <c r="S11" s="215">
        <f t="shared" si="14"/>
        <v>72.534800000000004</v>
      </c>
      <c r="T11" s="225">
        <f>F13</f>
        <v>-107471</v>
      </c>
      <c r="U11" s="219">
        <v>4.0000000000000002E-4</v>
      </c>
      <c r="V11" s="216">
        <f t="shared" si="6"/>
        <v>-42.988399999999999</v>
      </c>
      <c r="W11" s="151"/>
      <c r="X11" s="150">
        <f t="shared" si="7"/>
        <v>275.96639999999996</v>
      </c>
      <c r="Y11" s="151"/>
      <c r="Z11" s="95">
        <f t="shared" si="8"/>
        <v>690284.36600000004</v>
      </c>
      <c r="AA11" s="220">
        <f t="shared" si="9"/>
        <v>4.0000000000000002E-4</v>
      </c>
      <c r="AB11" s="217">
        <f t="shared" si="10"/>
        <v>276.11374640000003</v>
      </c>
      <c r="AC11" s="150">
        <f t="shared" si="11"/>
        <v>-0.14734640000006038</v>
      </c>
      <c r="AD11" s="95">
        <f t="shared" si="12"/>
        <v>-368.36600000015096</v>
      </c>
      <c r="AE11" s="218">
        <f t="shared" si="13"/>
        <v>-5.3392876814010841E-4</v>
      </c>
    </row>
    <row r="12" spans="1:31" ht="14.4">
      <c r="A12" s="180" t="s">
        <v>137</v>
      </c>
      <c r="B12" s="152"/>
      <c r="C12" s="158">
        <v>1203</v>
      </c>
      <c r="D12" s="282">
        <f>E12/(SUM($E$3:$E$8,$E$11:$E$13))</f>
        <v>2.0162470836647295E-2</v>
      </c>
      <c r="E12" s="182">
        <v>6634148.1610099999</v>
      </c>
      <c r="F12" s="182">
        <v>-1826999</v>
      </c>
      <c r="G12" s="182">
        <v>2683359</v>
      </c>
      <c r="H12" s="189">
        <f t="shared" si="4"/>
        <v>856360</v>
      </c>
      <c r="I12" s="159">
        <f t="shared" si="5"/>
        <v>7490508.1610099999</v>
      </c>
      <c r="J12" s="282"/>
      <c r="M12" s="151"/>
      <c r="N12" s="151"/>
      <c r="O12" s="221">
        <f>SUM(O3:O11)</f>
        <v>778535.42999999982</v>
      </c>
      <c r="P12" s="51">
        <f>SUM(P3:P11)</f>
        <v>329034482.66627008</v>
      </c>
      <c r="Q12" s="51">
        <f>SUM(Q3:Q11)</f>
        <v>171988155</v>
      </c>
      <c r="R12" s="151"/>
      <c r="S12" s="221">
        <f>SUM(S3:S11)</f>
        <v>412618.7686500001</v>
      </c>
      <c r="T12" s="51">
        <f>SUM(T3:T11)</f>
        <v>-178266827</v>
      </c>
      <c r="U12" s="151"/>
      <c r="V12" s="221">
        <f>SUM(V3:V11)</f>
        <v>-463254.62975000002</v>
      </c>
      <c r="W12" s="151"/>
      <c r="X12" s="221">
        <f>SUM(X3:X11)</f>
        <v>727899.56889999995</v>
      </c>
      <c r="Y12" s="151"/>
      <c r="Z12" s="51">
        <f>SUM(Z3:Z11)</f>
        <v>322755810.66627008</v>
      </c>
      <c r="AA12" s="151"/>
      <c r="AB12" s="51">
        <f>SUM(AB3:AB11)</f>
        <v>727710.04985784902</v>
      </c>
      <c r="AC12" s="221">
        <f>SUM(AC3:AC11)</f>
        <v>189.51904215094032</v>
      </c>
      <c r="AD12" s="51">
        <f>SUM(AD3:AD11)</f>
        <v>427916.4910333408</v>
      </c>
      <c r="AE12" s="218">
        <f t="shared" si="13"/>
        <v>2.6036427310616633E-4</v>
      </c>
    </row>
    <row r="13" spans="1:31" ht="14.4">
      <c r="A13" s="180" t="s">
        <v>138</v>
      </c>
      <c r="B13" s="152"/>
      <c r="C13" s="158">
        <v>1210</v>
      </c>
      <c r="D13" s="282">
        <f>E13/(SUM($E$3:$E$8,$E$11:$E$13))</f>
        <v>1.8734157010078939E-3</v>
      </c>
      <c r="E13" s="182">
        <v>616418.36600000004</v>
      </c>
      <c r="F13" s="182">
        <v>-107471</v>
      </c>
      <c r="G13" s="182">
        <v>181337</v>
      </c>
      <c r="H13" s="189">
        <f t="shared" si="4"/>
        <v>73866</v>
      </c>
      <c r="I13" s="159">
        <f t="shared" si="5"/>
        <v>690284.36600000004</v>
      </c>
      <c r="J13" s="282"/>
      <c r="M13" s="151"/>
      <c r="N13" s="151"/>
      <c r="O13" s="151"/>
      <c r="P13" s="151"/>
      <c r="Q13" s="151"/>
      <c r="R13" s="151"/>
      <c r="S13" s="151"/>
      <c r="T13" s="151"/>
      <c r="U13" s="222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</row>
    <row r="14" spans="1:31" ht="14.4">
      <c r="A14" s="180" t="s">
        <v>181</v>
      </c>
      <c r="B14" s="152"/>
      <c r="C14" s="158">
        <v>425</v>
      </c>
      <c r="D14" s="194"/>
      <c r="E14" s="182">
        <v>941379.97799999989</v>
      </c>
      <c r="F14" s="182"/>
      <c r="G14" s="182"/>
      <c r="H14" s="189"/>
      <c r="I14" s="159">
        <f t="shared" si="5"/>
        <v>941379.97799999989</v>
      </c>
      <c r="M14" s="151"/>
      <c r="N14" s="151"/>
      <c r="O14" s="151"/>
      <c r="P14" s="151"/>
      <c r="Q14" s="151"/>
      <c r="R14" s="151"/>
      <c r="S14" s="151"/>
      <c r="T14" s="151"/>
      <c r="U14" s="222" t="s">
        <v>251</v>
      </c>
      <c r="V14" s="151" t="s">
        <v>252</v>
      </c>
      <c r="W14" s="151"/>
      <c r="X14" s="170">
        <v>0.95332300000000003</v>
      </c>
      <c r="Y14" s="151"/>
      <c r="Z14" s="151"/>
      <c r="AA14" s="151" t="s">
        <v>253</v>
      </c>
      <c r="AB14" s="151" t="s">
        <v>254</v>
      </c>
      <c r="AC14" s="151"/>
      <c r="AD14" s="151" t="s">
        <v>255</v>
      </c>
      <c r="AE14" s="151"/>
    </row>
    <row r="15" spans="1:31" ht="14.4">
      <c r="A15" s="180" t="s">
        <v>182</v>
      </c>
      <c r="B15" s="152"/>
      <c r="C15" s="158"/>
      <c r="D15" s="194"/>
      <c r="E15" s="182">
        <v>406203.65600000002</v>
      </c>
      <c r="F15" s="182"/>
      <c r="G15" s="182"/>
      <c r="H15" s="189">
        <f t="shared" si="4"/>
        <v>0</v>
      </c>
      <c r="I15" s="159">
        <f t="shared" si="5"/>
        <v>406203.65600000002</v>
      </c>
      <c r="M15" s="151"/>
      <c r="N15" s="151"/>
      <c r="O15" s="151"/>
      <c r="P15" s="151"/>
      <c r="Q15" s="151"/>
      <c r="R15" s="151"/>
      <c r="S15" s="151"/>
      <c r="T15" s="151" t="s">
        <v>142</v>
      </c>
      <c r="U15" s="151" t="s">
        <v>256</v>
      </c>
      <c r="V15" s="151"/>
      <c r="W15" s="151"/>
      <c r="X15" s="223">
        <f>(X3+X4)*X14</f>
        <v>627047.86129303998</v>
      </c>
      <c r="Y15" s="151"/>
      <c r="Z15" s="151" t="s">
        <v>19</v>
      </c>
      <c r="AA15" s="50">
        <f>P3+P4+Q3+Q4+T3+T4</f>
        <v>147804376.68922001</v>
      </c>
      <c r="AB15" s="170">
        <v>4.2399999999999998E-3</v>
      </c>
      <c r="AC15" s="150">
        <f>AA15*AB15</f>
        <v>626690.55716229277</v>
      </c>
      <c r="AD15" s="150">
        <f>X15-AC15</f>
        <v>357.30413074721582</v>
      </c>
      <c r="AE15" s="218">
        <f>AD15/X15</f>
        <v>5.6981955095168711E-4</v>
      </c>
    </row>
    <row r="16" spans="1:31" ht="14.4">
      <c r="A16" s="180" t="s">
        <v>183</v>
      </c>
      <c r="B16" s="152"/>
      <c r="C16" s="158"/>
      <c r="D16" s="195"/>
      <c r="E16" s="182">
        <v>217937.796</v>
      </c>
      <c r="F16" s="182"/>
      <c r="G16" s="182"/>
      <c r="H16" s="189">
        <f t="shared" si="4"/>
        <v>0</v>
      </c>
      <c r="I16" s="159">
        <f t="shared" si="5"/>
        <v>217937.796</v>
      </c>
      <c r="M16" s="151"/>
      <c r="N16" s="151"/>
      <c r="O16" s="151"/>
      <c r="P16" s="151"/>
      <c r="Q16" s="151"/>
      <c r="R16" s="151"/>
      <c r="S16" s="151"/>
      <c r="T16" s="151" t="s">
        <v>142</v>
      </c>
      <c r="U16" s="151" t="s">
        <v>257</v>
      </c>
      <c r="V16" s="151"/>
      <c r="W16" s="151"/>
      <c r="X16" s="223">
        <f>SUM(X5:X11)*X14</f>
        <v>66875.539429414814</v>
      </c>
      <c r="Y16" s="151"/>
      <c r="Z16" s="151" t="s">
        <v>184</v>
      </c>
      <c r="AA16" s="50">
        <f>SUM(P5:Q11,T5:T11)</f>
        <v>174951433.97704998</v>
      </c>
      <c r="AB16" s="170">
        <v>3.8000000000000002E-4</v>
      </c>
      <c r="AC16" s="150">
        <f>AA16*AB16</f>
        <v>66481.544911278994</v>
      </c>
      <c r="AD16" s="150">
        <f>X16-AC16</f>
        <v>393.99451813581982</v>
      </c>
      <c r="AE16" s="218">
        <f>AD16/X16</f>
        <v>5.8914592913552428E-3</v>
      </c>
    </row>
    <row r="17" spans="1:26" ht="14.4">
      <c r="A17" s="152"/>
      <c r="B17" s="152"/>
      <c r="C17" s="160">
        <f>SUM(C3:C16)</f>
        <v>252072</v>
      </c>
      <c r="E17" s="160">
        <f>SUM(E3:E16)</f>
        <v>380975931.69627011</v>
      </c>
      <c r="F17" s="160">
        <f>SUM(F3:F16)</f>
        <v>-228167045</v>
      </c>
      <c r="G17" s="160">
        <f>SUM(G3:G16)</f>
        <v>264392947</v>
      </c>
      <c r="H17" s="160">
        <f>SUM(H3:H16)</f>
        <v>36225902</v>
      </c>
      <c r="I17" s="160">
        <f>SUM(I3:I16)</f>
        <v>417201833.69627011</v>
      </c>
      <c r="Z17" s="151" t="s">
        <v>236</v>
      </c>
    </row>
    <row r="18" spans="1:26" ht="14.4" thickBot="1">
      <c r="A18" s="152"/>
      <c r="B18" s="152"/>
      <c r="C18" s="152"/>
      <c r="E18" s="152"/>
      <c r="F18" s="152"/>
      <c r="G18" s="152"/>
      <c r="I18" s="152"/>
    </row>
    <row r="19" spans="1:26" ht="13.8">
      <c r="A19" s="152" t="s">
        <v>19</v>
      </c>
      <c r="B19" s="152"/>
      <c r="C19" s="161">
        <f>C3+C4</f>
        <v>215099</v>
      </c>
      <c r="E19" s="162">
        <f>E3+E4</f>
        <v>159686942.68922001</v>
      </c>
      <c r="F19" s="162">
        <f>F3+F4</f>
        <v>-96777259</v>
      </c>
      <c r="G19" s="162">
        <f>G3+G4</f>
        <v>84894693</v>
      </c>
      <c r="H19" s="162">
        <f>H3+H4</f>
        <v>-11882566</v>
      </c>
      <c r="I19" s="161">
        <f>I3+I4</f>
        <v>147804376.68922001</v>
      </c>
    </row>
    <row r="20" spans="1:26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26" ht="14.4" thickBot="1">
      <c r="A21" s="152" t="s">
        <v>184</v>
      </c>
      <c r="B21" s="152"/>
      <c r="C21" s="177">
        <f>SUM(C5:C8,C11:C13)</f>
        <v>36544</v>
      </c>
      <c r="E21" s="178">
        <f>SUM(E5:E8,E11:E13)</f>
        <v>169347539.97705001</v>
      </c>
      <c r="F21" s="178">
        <f>SUM(F5:F8,F11:F13)</f>
        <v>-81489568</v>
      </c>
      <c r="G21" s="178">
        <f>SUM(G5:G8,G11:G13)</f>
        <v>87093462</v>
      </c>
      <c r="H21" s="178">
        <f>SUM(H5:H8,H11:H13)</f>
        <v>5603894</v>
      </c>
      <c r="I21" s="177">
        <f>SUM(I5:I8,I11:I13)</f>
        <v>174951433.97705001</v>
      </c>
    </row>
    <row r="22" spans="1:26" ht="13.8">
      <c r="A22" s="152"/>
      <c r="B22" s="152"/>
      <c r="C22" s="152"/>
      <c r="D22" s="152"/>
      <c r="E22" s="152"/>
    </row>
    <row r="23" spans="1:26" ht="43.2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</row>
    <row r="24" spans="1:26" ht="13.8">
      <c r="A24" s="180" t="s">
        <v>131</v>
      </c>
      <c r="B24" s="152"/>
      <c r="C24" s="181">
        <v>1986339.5</v>
      </c>
      <c r="D24" s="181">
        <v>14399728.27</v>
      </c>
      <c r="E24" s="183">
        <v>-9217175</v>
      </c>
      <c r="F24" s="183">
        <v>8173540</v>
      </c>
      <c r="G24" s="174">
        <f>SUM(D24:F24)</f>
        <v>13356093.27</v>
      </c>
      <c r="H24" s="174">
        <f>-J62</f>
        <v>89556.372359999994</v>
      </c>
      <c r="I24" s="174">
        <f>SUM(G24:H24)</f>
        <v>13445649.64236</v>
      </c>
    </row>
    <row r="25" spans="1:26" ht="13.8">
      <c r="A25" s="180" t="s">
        <v>178</v>
      </c>
      <c r="B25" s="152"/>
      <c r="C25" s="181">
        <v>3604.5</v>
      </c>
      <c r="D25" s="181">
        <v>29975.61</v>
      </c>
      <c r="E25" s="183">
        <v>-13428</v>
      </c>
      <c r="F25" s="183">
        <v>11339</v>
      </c>
      <c r="G25" s="174">
        <f t="shared" ref="G25:G33" si="15">SUM(D25:F25)</f>
        <v>27886.61</v>
      </c>
      <c r="H25" s="174">
        <f t="shared" ref="H25:H30" si="16">-J63</f>
        <v>-874.5454500000003</v>
      </c>
      <c r="I25" s="174">
        <f t="shared" ref="I25:I34" si="17">SUM(G25:H25)</f>
        <v>27012.064549999999</v>
      </c>
    </row>
    <row r="26" spans="1:26" ht="13.8">
      <c r="A26" s="180" t="s">
        <v>132</v>
      </c>
      <c r="B26" s="152"/>
      <c r="C26" s="181">
        <v>456206.06</v>
      </c>
      <c r="D26" s="181">
        <v>5130035.96</v>
      </c>
      <c r="E26" s="183">
        <v>-2678368</v>
      </c>
      <c r="F26" s="183">
        <v>2727768</v>
      </c>
      <c r="G26" s="174">
        <f t="shared" si="15"/>
        <v>5179435.96</v>
      </c>
      <c r="H26" s="174">
        <f t="shared" si="16"/>
        <v>-1696.8907799999999</v>
      </c>
      <c r="I26" s="174">
        <f t="shared" si="17"/>
        <v>5177739.0692199999</v>
      </c>
    </row>
    <row r="27" spans="1:26" ht="13.8">
      <c r="A27" s="180" t="s">
        <v>133</v>
      </c>
      <c r="B27" s="152"/>
      <c r="C27" s="181">
        <v>189792.27</v>
      </c>
      <c r="D27" s="181">
        <v>644451.87000000011</v>
      </c>
      <c r="E27" s="183">
        <v>-377537</v>
      </c>
      <c r="F27" s="183">
        <v>349193</v>
      </c>
      <c r="G27" s="174">
        <f t="shared" si="15"/>
        <v>616107.87000000011</v>
      </c>
      <c r="H27" s="174">
        <f t="shared" si="16"/>
        <v>1955.2784899999997</v>
      </c>
      <c r="I27" s="174">
        <f t="shared" si="17"/>
        <v>618063.14849000017</v>
      </c>
    </row>
    <row r="28" spans="1:26" ht="13.8">
      <c r="A28" s="180" t="s">
        <v>134</v>
      </c>
      <c r="B28" s="152"/>
      <c r="C28" s="181">
        <v>931123.33</v>
      </c>
      <c r="D28" s="181">
        <v>10075469.110000001</v>
      </c>
      <c r="E28" s="183">
        <v>-4443577</v>
      </c>
      <c r="F28" s="183">
        <v>4819547</v>
      </c>
      <c r="G28" s="174">
        <f t="shared" si="15"/>
        <v>10451439.110000001</v>
      </c>
      <c r="H28" s="174">
        <f t="shared" si="16"/>
        <v>-22037.760190000001</v>
      </c>
      <c r="I28" s="174">
        <f t="shared" si="17"/>
        <v>10429401.349810001</v>
      </c>
    </row>
    <row r="29" spans="1:26" ht="13.8">
      <c r="A29" s="180" t="s">
        <v>135</v>
      </c>
      <c r="B29" s="152"/>
      <c r="C29" s="181">
        <v>24500</v>
      </c>
      <c r="D29" s="181">
        <v>215818.22000000003</v>
      </c>
      <c r="E29" s="183">
        <v>-110290</v>
      </c>
      <c r="F29" s="183">
        <v>107104</v>
      </c>
      <c r="G29" s="174">
        <f t="shared" si="15"/>
        <v>212632.22000000003</v>
      </c>
      <c r="H29" s="174">
        <f t="shared" si="16"/>
        <v>203.65288000000004</v>
      </c>
      <c r="I29" s="174">
        <f t="shared" si="17"/>
        <v>212835.87288000004</v>
      </c>
    </row>
    <row r="30" spans="1:26" ht="13.8">
      <c r="A30" s="180" t="s">
        <v>136</v>
      </c>
      <c r="B30" s="152"/>
      <c r="C30" s="181">
        <v>93286.27</v>
      </c>
      <c r="D30" s="181">
        <f>2777525.28-83147.87</f>
        <v>2694377.4099999997</v>
      </c>
      <c r="E30" s="183">
        <v>-2876434</v>
      </c>
      <c r="F30" s="183">
        <v>6174557</v>
      </c>
      <c r="G30" s="174">
        <f t="shared" si="15"/>
        <v>5992500.4100000001</v>
      </c>
      <c r="H30" s="174">
        <f t="shared" si="16"/>
        <v>-103711.16055999999</v>
      </c>
      <c r="I30" s="174">
        <f t="shared" si="17"/>
        <v>5888789.2494400004</v>
      </c>
      <c r="J30" s="283"/>
    </row>
    <row r="31" spans="1:26" ht="13.8">
      <c r="A31" s="180" t="s">
        <v>180</v>
      </c>
      <c r="B31" s="152"/>
      <c r="C31" s="181">
        <v>992</v>
      </c>
      <c r="D31" s="181">
        <v>199493.18</v>
      </c>
      <c r="E31" s="183">
        <v>0</v>
      </c>
      <c r="F31" s="183">
        <v>0</v>
      </c>
      <c r="G31" s="174">
        <f t="shared" si="15"/>
        <v>199493.18</v>
      </c>
      <c r="H31" s="174">
        <f>-J69</f>
        <v>0</v>
      </c>
      <c r="I31" s="174">
        <f t="shared" si="17"/>
        <v>199493.18</v>
      </c>
    </row>
    <row r="32" spans="1:26" ht="13.8">
      <c r="A32" s="180" t="s">
        <v>137</v>
      </c>
      <c r="B32" s="152"/>
      <c r="C32" s="181">
        <v>23782</v>
      </c>
      <c r="D32" s="181">
        <v>581893.98</v>
      </c>
      <c r="E32" s="183">
        <v>-116144</v>
      </c>
      <c r="F32" s="183">
        <v>165633</v>
      </c>
      <c r="G32" s="174">
        <f t="shared" si="15"/>
        <v>631382.98</v>
      </c>
      <c r="H32" s="174">
        <f>-J70</f>
        <v>-3562.4575999999997</v>
      </c>
      <c r="I32" s="174">
        <f t="shared" si="17"/>
        <v>627820.52240000002</v>
      </c>
    </row>
    <row r="33" spans="1:12" ht="13.8">
      <c r="A33" s="180" t="s">
        <v>138</v>
      </c>
      <c r="B33" s="152"/>
      <c r="C33" s="181">
        <v>24236</v>
      </c>
      <c r="D33" s="181">
        <v>76465.19</v>
      </c>
      <c r="E33" s="183">
        <v>-19268</v>
      </c>
      <c r="F33" s="183">
        <v>27222</v>
      </c>
      <c r="G33" s="174">
        <f t="shared" si="15"/>
        <v>84419.19</v>
      </c>
      <c r="H33" s="174">
        <f>-J71</f>
        <v>-247.45110000000003</v>
      </c>
      <c r="I33" s="174">
        <f t="shared" si="17"/>
        <v>84171.738899999997</v>
      </c>
    </row>
    <row r="34" spans="1:12" ht="13.8">
      <c r="A34" s="180" t="s">
        <v>192</v>
      </c>
      <c r="B34" s="152"/>
      <c r="C34" s="174"/>
      <c r="D34" s="181">
        <v>548624.18000000005</v>
      </c>
      <c r="E34" s="181"/>
      <c r="F34" s="181"/>
      <c r="G34" s="174">
        <f>SUM(D34:F34)</f>
        <v>548624.18000000005</v>
      </c>
      <c r="H34" s="174"/>
      <c r="I34" s="174">
        <f t="shared" si="17"/>
        <v>548624.18000000005</v>
      </c>
    </row>
    <row r="35" spans="1:12" ht="13.8">
      <c r="A35" s="180" t="s">
        <v>193</v>
      </c>
      <c r="B35" s="152"/>
      <c r="C35" s="194"/>
      <c r="D35" s="181">
        <v>2150447.5700000003</v>
      </c>
      <c r="E35" s="181"/>
      <c r="F35" s="181"/>
      <c r="G35" s="174"/>
      <c r="H35" s="174"/>
      <c r="I35" s="174"/>
    </row>
    <row r="36" spans="1:12" ht="13.8">
      <c r="A36" s="180" t="s">
        <v>194</v>
      </c>
      <c r="B36" s="152"/>
      <c r="C36" s="194"/>
      <c r="D36" s="181">
        <v>1343608.8100000003</v>
      </c>
      <c r="E36" s="181"/>
      <c r="F36" s="181"/>
      <c r="G36" s="174"/>
      <c r="H36" s="174"/>
      <c r="I36" s="174"/>
    </row>
    <row r="37" spans="1:12" ht="13.8">
      <c r="A37" s="152"/>
      <c r="B37" s="152"/>
      <c r="C37" s="166">
        <f t="shared" ref="C37:I37" si="18">SUM(C24:C36)</f>
        <v>3733861.93</v>
      </c>
      <c r="D37" s="166">
        <f t="shared" si="18"/>
        <v>38090389.359999999</v>
      </c>
      <c r="E37" s="166">
        <f t="shared" si="18"/>
        <v>-19852221</v>
      </c>
      <c r="F37" s="166">
        <f t="shared" si="18"/>
        <v>22555903</v>
      </c>
      <c r="G37" s="166">
        <f t="shared" si="18"/>
        <v>37300014.979999997</v>
      </c>
      <c r="H37" s="166">
        <f t="shared" si="18"/>
        <v>-40414.961950000012</v>
      </c>
      <c r="I37" s="166">
        <f t="shared" si="18"/>
        <v>37259600.01805</v>
      </c>
    </row>
    <row r="38" spans="1:12" ht="14.4" thickBot="1">
      <c r="A38" s="152"/>
      <c r="B38" s="152"/>
      <c r="D38" s="167"/>
      <c r="E38" s="152"/>
      <c r="F38" s="152"/>
    </row>
    <row r="39" spans="1:12" ht="13.8">
      <c r="A39" s="152" t="s">
        <v>19</v>
      </c>
      <c r="B39" s="152"/>
      <c r="C39" s="169">
        <f t="shared" ref="C39:I39" si="19">C24+C25</f>
        <v>1989944</v>
      </c>
      <c r="D39" s="168">
        <f t="shared" si="19"/>
        <v>14429703.879999999</v>
      </c>
      <c r="E39" s="168">
        <f t="shared" si="19"/>
        <v>-9230603</v>
      </c>
      <c r="F39" s="168">
        <f t="shared" si="19"/>
        <v>8184879</v>
      </c>
      <c r="G39" s="168">
        <f t="shared" si="19"/>
        <v>13383979.879999999</v>
      </c>
      <c r="H39" s="168">
        <f t="shared" si="19"/>
        <v>88681.826909999989</v>
      </c>
      <c r="I39" s="169">
        <f t="shared" si="19"/>
        <v>13472661.706909999</v>
      </c>
    </row>
    <row r="40" spans="1:12" ht="6" customHeight="1">
      <c r="A40" s="152"/>
      <c r="B40" s="152"/>
      <c r="C40" s="173"/>
      <c r="D40" s="168"/>
      <c r="E40" s="152"/>
      <c r="F40" s="152"/>
      <c r="I40" s="190"/>
    </row>
    <row r="41" spans="1:12" ht="14.4" thickBot="1">
      <c r="A41" s="152" t="s">
        <v>184</v>
      </c>
      <c r="B41" s="152"/>
      <c r="C41" s="175">
        <f>SUM(C26:C29,C31:C33)</f>
        <v>1650631.66</v>
      </c>
      <c r="D41" s="176">
        <f t="shared" ref="D41:I41" si="20">SUM(D26:D29,D31:D33)</f>
        <v>16923627.510000002</v>
      </c>
      <c r="E41" s="176">
        <f t="shared" si="20"/>
        <v>-7745184</v>
      </c>
      <c r="F41" s="176">
        <f t="shared" si="20"/>
        <v>8196467</v>
      </c>
      <c r="G41" s="176">
        <f t="shared" si="20"/>
        <v>17374910.510000002</v>
      </c>
      <c r="H41" s="176">
        <f t="shared" si="20"/>
        <v>-25385.628299999997</v>
      </c>
      <c r="I41" s="175">
        <f t="shared" si="20"/>
        <v>17349524.881699998</v>
      </c>
    </row>
    <row r="42" spans="1:12" ht="13.8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12" ht="13.8">
      <c r="C43" s="191">
        <v>43040</v>
      </c>
      <c r="D43" s="196">
        <v>43040</v>
      </c>
      <c r="E43" s="192">
        <v>42278</v>
      </c>
      <c r="F43" s="191">
        <v>42583</v>
      </c>
      <c r="G43" s="191">
        <v>43009</v>
      </c>
      <c r="H43" s="191">
        <v>42380</v>
      </c>
      <c r="I43" s="191">
        <v>42917</v>
      </c>
      <c r="J43" s="191"/>
      <c r="K43" s="196"/>
    </row>
    <row r="44" spans="1:12" ht="42" customHeight="1">
      <c r="A44" s="179" t="s">
        <v>195</v>
      </c>
      <c r="B44" s="154"/>
      <c r="C44" s="165" t="s">
        <v>196</v>
      </c>
      <c r="D44" s="165" t="s">
        <v>213</v>
      </c>
      <c r="E44" s="165" t="s">
        <v>197</v>
      </c>
      <c r="F44" s="165" t="s">
        <v>198</v>
      </c>
      <c r="G44" s="165" t="s">
        <v>199</v>
      </c>
      <c r="H44" s="165" t="s">
        <v>200</v>
      </c>
      <c r="I44" s="165" t="s">
        <v>201</v>
      </c>
      <c r="K44" s="211" t="s">
        <v>229</v>
      </c>
      <c r="L44" s="1" t="s">
        <v>230</v>
      </c>
    </row>
    <row r="45" spans="1:12" ht="13.8">
      <c r="A45" s="180" t="s">
        <v>131</v>
      </c>
      <c r="B45" s="152"/>
      <c r="C45" s="171">
        <v>-8.0999999999999996E-4</v>
      </c>
      <c r="D45" s="171">
        <v>4.45E-3</v>
      </c>
      <c r="E45" s="171"/>
      <c r="F45" s="171">
        <v>3.4399999999999999E-3</v>
      </c>
      <c r="G45" s="171">
        <v>1.0499999999999999E-3</v>
      </c>
      <c r="H45" s="171">
        <v>0</v>
      </c>
      <c r="I45" s="171">
        <v>-5.6999999999999998E-4</v>
      </c>
      <c r="K45" s="171">
        <f>SUM(C45:I45)</f>
        <v>7.5599999999999999E-3</v>
      </c>
      <c r="L45" s="212">
        <f t="shared" ref="L45:L57" si="21">K45*H3</f>
        <v>-89556.372359999994</v>
      </c>
    </row>
    <row r="46" spans="1:12" ht="13.8">
      <c r="A46" s="180" t="s">
        <v>178</v>
      </c>
      <c r="B46" s="152"/>
      <c r="C46" s="171">
        <v>-8.0999999999999996E-4</v>
      </c>
      <c r="D46" s="171">
        <v>4.45E-3</v>
      </c>
      <c r="E46" s="171">
        <v>-3.1530000000000002E-2</v>
      </c>
      <c r="F46" s="171">
        <v>3.4399999999999999E-3</v>
      </c>
      <c r="G46" s="171">
        <v>1.0499999999999999E-3</v>
      </c>
      <c r="H46" s="171">
        <v>0</v>
      </c>
      <c r="I46" s="171">
        <v>-5.6999999999999998E-4</v>
      </c>
      <c r="K46" s="171">
        <f>SUM(C46:I46)</f>
        <v>-2.3970000000000005E-2</v>
      </c>
      <c r="L46" s="212">
        <f t="shared" si="21"/>
        <v>874.54545000000019</v>
      </c>
    </row>
    <row r="47" spans="1:12" ht="13.8">
      <c r="A47" s="180" t="s">
        <v>132</v>
      </c>
      <c r="B47" s="152"/>
      <c r="C47" s="171">
        <v>0</v>
      </c>
      <c r="D47" s="171">
        <v>4.0000000000000002E-4</v>
      </c>
      <c r="E47" s="171"/>
      <c r="F47" s="171">
        <v>4.6299999999999996E-3</v>
      </c>
      <c r="G47" s="171">
        <v>1.5200000000000001E-3</v>
      </c>
      <c r="H47" s="171">
        <v>0</v>
      </c>
      <c r="I47" s="171">
        <v>-5.6999999999999998E-4</v>
      </c>
      <c r="K47" s="171">
        <f t="shared" ref="K47:K57" si="22">SUM(C47:I47)</f>
        <v>5.9800000000000001E-3</v>
      </c>
      <c r="L47" s="212">
        <f t="shared" si="21"/>
        <v>1696.8907799999999</v>
      </c>
    </row>
    <row r="48" spans="1:12" ht="13.8">
      <c r="A48" s="180" t="s">
        <v>133</v>
      </c>
      <c r="B48" s="152"/>
      <c r="C48" s="171">
        <v>-8.0999999999999996E-4</v>
      </c>
      <c r="D48" s="171">
        <v>4.0000000000000002E-4</v>
      </c>
      <c r="E48" s="171"/>
      <c r="F48" s="171">
        <v>4.6299999999999996E-3</v>
      </c>
      <c r="G48" s="171">
        <v>1.5200000000000001E-3</v>
      </c>
      <c r="H48" s="171">
        <v>0</v>
      </c>
      <c r="I48" s="171">
        <v>-5.6999999999999998E-4</v>
      </c>
      <c r="K48" s="171">
        <f t="shared" si="22"/>
        <v>5.1700000000000001E-3</v>
      </c>
      <c r="L48" s="212">
        <f t="shared" si="21"/>
        <v>-1955.2784900000001</v>
      </c>
    </row>
    <row r="49" spans="1:13" ht="13.8">
      <c r="A49" s="180" t="s">
        <v>134</v>
      </c>
      <c r="B49" s="152"/>
      <c r="C49" s="171">
        <v>0</v>
      </c>
      <c r="D49" s="171">
        <v>4.0000000000000002E-4</v>
      </c>
      <c r="E49" s="171"/>
      <c r="F49" s="171">
        <v>3.6600000000000001E-3</v>
      </c>
      <c r="G49" s="171">
        <v>1.1000000000000001E-3</v>
      </c>
      <c r="H49" s="171">
        <v>0</v>
      </c>
      <c r="I49" s="171">
        <v>-5.9000000000000003E-4</v>
      </c>
      <c r="K49" s="171">
        <f t="shared" si="22"/>
        <v>4.5700000000000003E-3</v>
      </c>
      <c r="L49" s="212">
        <f t="shared" si="21"/>
        <v>22037.760190000001</v>
      </c>
    </row>
    <row r="50" spans="1:13" ht="13.8">
      <c r="A50" s="180" t="s">
        <v>135</v>
      </c>
      <c r="B50" s="152"/>
      <c r="C50" s="171">
        <v>-8.0999999999999996E-4</v>
      </c>
      <c r="D50" s="171">
        <v>4.0000000000000002E-4</v>
      </c>
      <c r="E50" s="171"/>
      <c r="F50" s="171">
        <v>3.6600000000000001E-3</v>
      </c>
      <c r="G50" s="171">
        <v>1.1000000000000001E-3</v>
      </c>
      <c r="H50" s="171">
        <v>0</v>
      </c>
      <c r="I50" s="171">
        <v>-5.9000000000000003E-4</v>
      </c>
      <c r="K50" s="171">
        <f t="shared" si="22"/>
        <v>3.7600000000000003E-3</v>
      </c>
      <c r="L50" s="212">
        <f t="shared" si="21"/>
        <v>-203.65288000000001</v>
      </c>
    </row>
    <row r="51" spans="1:13" ht="13.8">
      <c r="A51" s="180" t="s">
        <v>136</v>
      </c>
      <c r="B51" s="152"/>
      <c r="C51" s="171">
        <v>0</v>
      </c>
      <c r="D51" s="171">
        <v>0</v>
      </c>
      <c r="E51" s="171"/>
      <c r="F51" s="171">
        <v>2.32E-3</v>
      </c>
      <c r="G51" s="171">
        <v>6.8999999999999997E-4</v>
      </c>
      <c r="H51" s="171">
        <v>0</v>
      </c>
      <c r="I51" s="171">
        <v>-5.6999999999999998E-4</v>
      </c>
      <c r="K51" s="171">
        <f t="shared" si="22"/>
        <v>2.4400000000000003E-3</v>
      </c>
      <c r="L51" s="212">
        <f t="shared" si="21"/>
        <v>103711.16056000002</v>
      </c>
    </row>
    <row r="52" spans="1:13" ht="13.8">
      <c r="A52" s="180" t="s">
        <v>179</v>
      </c>
      <c r="B52" s="152"/>
      <c r="C52" s="171">
        <v>0</v>
      </c>
      <c r="D52" s="171">
        <v>0</v>
      </c>
      <c r="E52" s="171"/>
      <c r="F52" s="171">
        <v>2.32E-3</v>
      </c>
      <c r="G52" s="171">
        <v>0</v>
      </c>
      <c r="H52" s="171">
        <v>0</v>
      </c>
      <c r="I52" s="171">
        <v>-5.6999999999999998E-4</v>
      </c>
      <c r="K52" s="171">
        <f t="shared" si="22"/>
        <v>1.75E-3</v>
      </c>
      <c r="L52" s="212">
        <f t="shared" si="21"/>
        <v>0</v>
      </c>
    </row>
    <row r="53" spans="1:13" ht="13.8">
      <c r="A53" s="180" t="s">
        <v>180</v>
      </c>
      <c r="B53" s="152"/>
      <c r="C53" s="171">
        <v>0</v>
      </c>
      <c r="D53" s="171">
        <v>4.0000000000000002E-4</v>
      </c>
      <c r="E53" s="171"/>
      <c r="F53" s="171">
        <v>3.4099999999999998E-3</v>
      </c>
      <c r="G53" s="171">
        <v>9.6000000000000002E-4</v>
      </c>
      <c r="H53" s="171">
        <v>0</v>
      </c>
      <c r="I53" s="171">
        <v>-6.0999999999999997E-4</v>
      </c>
      <c r="K53" s="171">
        <f t="shared" si="22"/>
        <v>4.1599999999999996E-3</v>
      </c>
      <c r="L53" s="212">
        <f t="shared" si="21"/>
        <v>0</v>
      </c>
    </row>
    <row r="54" spans="1:13" ht="13.8">
      <c r="A54" s="180" t="s">
        <v>137</v>
      </c>
      <c r="B54" s="152"/>
      <c r="C54" s="171">
        <v>0</v>
      </c>
      <c r="D54" s="171">
        <v>4.0000000000000002E-4</v>
      </c>
      <c r="E54" s="171"/>
      <c r="F54" s="171">
        <v>3.4099999999999998E-3</v>
      </c>
      <c r="G54" s="171">
        <v>9.6000000000000002E-4</v>
      </c>
      <c r="H54" s="171">
        <v>0</v>
      </c>
      <c r="I54" s="171">
        <v>-6.0999999999999997E-4</v>
      </c>
      <c r="K54" s="171">
        <f t="shared" si="22"/>
        <v>4.1599999999999996E-3</v>
      </c>
      <c r="L54" s="212">
        <f t="shared" si="21"/>
        <v>3562.4575999999997</v>
      </c>
    </row>
    <row r="55" spans="1:13" ht="13.8">
      <c r="A55" s="180" t="s">
        <v>138</v>
      </c>
      <c r="B55" s="152"/>
      <c r="C55" s="171">
        <v>-8.0999999999999996E-4</v>
      </c>
      <c r="D55" s="171">
        <v>4.0000000000000002E-4</v>
      </c>
      <c r="E55" s="171"/>
      <c r="F55" s="171">
        <v>3.4099999999999998E-3</v>
      </c>
      <c r="G55" s="171">
        <v>9.6000000000000002E-4</v>
      </c>
      <c r="H55" s="171">
        <v>0</v>
      </c>
      <c r="I55" s="171">
        <v>-6.0999999999999997E-4</v>
      </c>
      <c r="K55" s="171">
        <f t="shared" si="22"/>
        <v>3.3500000000000001E-3</v>
      </c>
      <c r="L55" s="212">
        <f t="shared" si="21"/>
        <v>247.4511</v>
      </c>
    </row>
    <row r="56" spans="1:13" ht="14.4" customHeight="1">
      <c r="A56" s="180" t="s">
        <v>192</v>
      </c>
      <c r="B56" s="152"/>
      <c r="C56" s="171">
        <v>0</v>
      </c>
      <c r="D56" s="171">
        <v>0</v>
      </c>
      <c r="E56" s="171"/>
      <c r="F56" s="186">
        <v>1.2149999999999999E-2</v>
      </c>
      <c r="G56" s="401" t="s">
        <v>214</v>
      </c>
      <c r="H56" s="171">
        <v>0</v>
      </c>
      <c r="I56" s="186">
        <v>-6.4999999999999997E-4</v>
      </c>
      <c r="K56" s="171">
        <f>SUM(C56:I56)</f>
        <v>1.15E-2</v>
      </c>
      <c r="L56" s="212">
        <f t="shared" si="21"/>
        <v>0</v>
      </c>
    </row>
    <row r="57" spans="1:13" ht="13.8">
      <c r="A57" s="180" t="s">
        <v>183</v>
      </c>
      <c r="B57" s="152"/>
      <c r="C57" s="171">
        <v>-8.0999999999999996E-4</v>
      </c>
      <c r="D57" s="171">
        <v>0</v>
      </c>
      <c r="E57" s="171"/>
      <c r="F57" s="186">
        <v>1.2149999999999999E-2</v>
      </c>
      <c r="G57" s="401"/>
      <c r="H57" s="171">
        <v>0</v>
      </c>
      <c r="I57" s="186">
        <v>-6.4999999999999997E-4</v>
      </c>
      <c r="K57" s="171">
        <f t="shared" si="22"/>
        <v>1.069E-2</v>
      </c>
      <c r="L57" s="212">
        <f t="shared" si="21"/>
        <v>0</v>
      </c>
    </row>
    <row r="58" spans="1:13" ht="13.8">
      <c r="A58" s="180"/>
      <c r="B58" s="152"/>
      <c r="C58" s="171"/>
      <c r="D58" s="171"/>
      <c r="E58" s="171"/>
      <c r="F58" s="186"/>
      <c r="G58" s="236"/>
      <c r="H58" s="171"/>
      <c r="I58" s="186"/>
      <c r="K58" s="171"/>
      <c r="L58" s="212"/>
    </row>
    <row r="59" spans="1:13" ht="13.8">
      <c r="A59" s="180"/>
      <c r="B59" s="152"/>
      <c r="C59" s="171"/>
      <c r="D59" s="171"/>
      <c r="E59" s="171"/>
      <c r="F59" s="186"/>
      <c r="G59" s="236"/>
      <c r="H59" s="171"/>
      <c r="I59" s="186"/>
      <c r="K59" s="171"/>
      <c r="L59" s="212"/>
    </row>
    <row r="60" spans="1:13" ht="13.8">
      <c r="E60" s="152"/>
      <c r="L60" s="212">
        <f>SUM(L45:L57)</f>
        <v>40414.961950000041</v>
      </c>
      <c r="M60" s="235"/>
    </row>
    <row r="61" spans="1:13" ht="52.8">
      <c r="A61" s="179" t="s">
        <v>202</v>
      </c>
      <c r="B61" s="154"/>
      <c r="C61" s="172" t="s">
        <v>209</v>
      </c>
      <c r="D61" s="172" t="s">
        <v>213</v>
      </c>
      <c r="E61" s="172" t="s">
        <v>203</v>
      </c>
      <c r="F61" s="172" t="s">
        <v>204</v>
      </c>
      <c r="G61" s="172" t="s">
        <v>205</v>
      </c>
      <c r="H61" s="172" t="s">
        <v>206</v>
      </c>
      <c r="I61" s="172" t="s">
        <v>207</v>
      </c>
      <c r="J61" s="172" t="s">
        <v>208</v>
      </c>
      <c r="M61" s="168"/>
    </row>
    <row r="62" spans="1:13" ht="13.8">
      <c r="A62" s="180" t="s">
        <v>131</v>
      </c>
      <c r="C62" s="168">
        <f t="shared" ref="C62:C67" si="23">C45*H3</f>
        <v>9595.3256099999999</v>
      </c>
      <c r="D62" s="168">
        <f t="shared" ref="D62:D67" si="24">D45*H3</f>
        <v>-52715.060449999997</v>
      </c>
      <c r="E62" s="168">
        <f t="shared" ref="E62:E67" si="25">$H3*E45</f>
        <v>0</v>
      </c>
      <c r="F62" s="168">
        <f t="shared" ref="F62:G67" si="26">($H3*F45)</f>
        <v>-40750.518640000002</v>
      </c>
      <c r="G62" s="168">
        <f t="shared" si="26"/>
        <v>-12438.385049999999</v>
      </c>
      <c r="H62" s="168">
        <f t="shared" ref="H62:H67" si="27">$H3*H45</f>
        <v>0</v>
      </c>
      <c r="I62" s="168">
        <f t="shared" ref="I62:I67" si="28">(I45*H3)</f>
        <v>6752.2661699999999</v>
      </c>
      <c r="J62" s="168">
        <f>SUM(C62:I62)</f>
        <v>-89556.372359999994</v>
      </c>
      <c r="M62" s="168"/>
    </row>
    <row r="63" spans="1:13" ht="13.8">
      <c r="A63" s="180" t="s">
        <v>178</v>
      </c>
      <c r="C63" s="168">
        <f t="shared" si="23"/>
        <v>29.552849999999999</v>
      </c>
      <c r="D63" s="168">
        <f t="shared" si="24"/>
        <v>-162.35825</v>
      </c>
      <c r="E63" s="168">
        <f t="shared" si="25"/>
        <v>1150.3720500000002</v>
      </c>
      <c r="F63" s="168">
        <f t="shared" si="26"/>
        <v>-125.50839999999999</v>
      </c>
      <c r="G63" s="168">
        <f t="shared" si="26"/>
        <v>-38.309249999999999</v>
      </c>
      <c r="H63" s="168">
        <f t="shared" si="27"/>
        <v>0</v>
      </c>
      <c r="I63" s="168">
        <f t="shared" si="28"/>
        <v>20.79645</v>
      </c>
      <c r="J63" s="168">
        <f t="shared" ref="J63:J72" si="29">SUM(C63:I63)</f>
        <v>874.5454500000003</v>
      </c>
      <c r="M63" s="168"/>
    </row>
    <row r="64" spans="1:13" ht="13.8">
      <c r="A64" s="180" t="s">
        <v>132</v>
      </c>
      <c r="C64" s="168">
        <f t="shared" si="23"/>
        <v>0</v>
      </c>
      <c r="D64" s="168">
        <f t="shared" si="24"/>
        <v>113.5044</v>
      </c>
      <c r="E64" s="168">
        <f t="shared" si="25"/>
        <v>0</v>
      </c>
      <c r="F64" s="168">
        <f t="shared" si="26"/>
        <v>1313.8134299999999</v>
      </c>
      <c r="G64" s="168">
        <f t="shared" si="26"/>
        <v>431.31672000000003</v>
      </c>
      <c r="H64" s="168">
        <f t="shared" si="27"/>
        <v>0</v>
      </c>
      <c r="I64" s="168">
        <f t="shared" si="28"/>
        <v>-161.74376999999998</v>
      </c>
      <c r="J64" s="168">
        <f t="shared" si="29"/>
        <v>1696.8907799999999</v>
      </c>
      <c r="M64" s="168"/>
    </row>
    <row r="65" spans="1:13" ht="13.8">
      <c r="A65" s="180" t="s">
        <v>133</v>
      </c>
      <c r="C65" s="168">
        <f t="shared" si="23"/>
        <v>306.33956999999998</v>
      </c>
      <c r="D65" s="168">
        <f t="shared" si="24"/>
        <v>-151.27880000000002</v>
      </c>
      <c r="E65" s="168">
        <f t="shared" si="25"/>
        <v>0</v>
      </c>
      <c r="F65" s="168">
        <f t="shared" si="26"/>
        <v>-1751.0521099999999</v>
      </c>
      <c r="G65" s="168">
        <f t="shared" si="26"/>
        <v>-574.85944000000006</v>
      </c>
      <c r="H65" s="168">
        <f t="shared" si="27"/>
        <v>0</v>
      </c>
      <c r="I65" s="168">
        <f t="shared" si="28"/>
        <v>215.57228999999998</v>
      </c>
      <c r="J65" s="168">
        <f t="shared" si="29"/>
        <v>-1955.2784899999997</v>
      </c>
      <c r="M65" s="168"/>
    </row>
    <row r="66" spans="1:13" ht="13.8">
      <c r="A66" s="180" t="s">
        <v>134</v>
      </c>
      <c r="C66" s="168">
        <f t="shared" si="23"/>
        <v>0</v>
      </c>
      <c r="D66" s="168">
        <f t="shared" si="24"/>
        <v>1928.9068000000002</v>
      </c>
      <c r="E66" s="168">
        <f t="shared" si="25"/>
        <v>0</v>
      </c>
      <c r="F66" s="168">
        <f t="shared" si="26"/>
        <v>17649.497220000001</v>
      </c>
      <c r="G66" s="168">
        <f t="shared" si="26"/>
        <v>5304.4937</v>
      </c>
      <c r="H66" s="168">
        <f t="shared" si="27"/>
        <v>0</v>
      </c>
      <c r="I66" s="168">
        <f t="shared" si="28"/>
        <v>-2845.13753</v>
      </c>
      <c r="J66" s="168">
        <f t="shared" si="29"/>
        <v>22037.760190000001</v>
      </c>
      <c r="M66" s="168"/>
    </row>
    <row r="67" spans="1:13" ht="13.8">
      <c r="A67" s="180" t="s">
        <v>135</v>
      </c>
      <c r="C67" s="168">
        <f t="shared" si="23"/>
        <v>43.872029999999995</v>
      </c>
      <c r="D67" s="168">
        <f t="shared" si="24"/>
        <v>-21.665200000000002</v>
      </c>
      <c r="E67" s="168">
        <f t="shared" si="25"/>
        <v>0</v>
      </c>
      <c r="F67" s="168">
        <f t="shared" si="26"/>
        <v>-198.23658</v>
      </c>
      <c r="G67" s="168">
        <f t="shared" si="26"/>
        <v>-59.579300000000003</v>
      </c>
      <c r="H67" s="168">
        <f t="shared" si="27"/>
        <v>0</v>
      </c>
      <c r="I67" s="168">
        <f t="shared" si="28"/>
        <v>31.95617</v>
      </c>
      <c r="J67" s="168">
        <f>SUM(C67:I67)</f>
        <v>-203.65288000000004</v>
      </c>
      <c r="M67" s="168"/>
    </row>
    <row r="68" spans="1:13" ht="13.8">
      <c r="A68" s="180" t="s">
        <v>136</v>
      </c>
      <c r="C68" s="168">
        <f t="shared" ref="C68:I68" si="30">$H9*C51+$H10*C52</f>
        <v>0</v>
      </c>
      <c r="D68" s="168">
        <f t="shared" si="30"/>
        <v>0</v>
      </c>
      <c r="E68" s="168">
        <f t="shared" si="30"/>
        <v>0</v>
      </c>
      <c r="F68" s="168">
        <f t="shared" si="30"/>
        <v>98610.611680000002</v>
      </c>
      <c r="G68" s="168">
        <f t="shared" si="30"/>
        <v>29328.156059999998</v>
      </c>
      <c r="H68" s="168">
        <f t="shared" si="30"/>
        <v>0</v>
      </c>
      <c r="I68" s="168">
        <f t="shared" si="30"/>
        <v>-24227.607179999999</v>
      </c>
      <c r="J68" s="168">
        <f t="shared" si="29"/>
        <v>103711.16055999999</v>
      </c>
      <c r="M68" s="168"/>
    </row>
    <row r="69" spans="1:13" ht="13.8">
      <c r="A69" s="180" t="s">
        <v>180</v>
      </c>
      <c r="C69" s="168">
        <f t="shared" ref="C69:E71" si="31">$H11*C53</f>
        <v>0</v>
      </c>
      <c r="D69" s="168">
        <f t="shared" si="31"/>
        <v>0</v>
      </c>
      <c r="E69" s="168">
        <f t="shared" si="31"/>
        <v>0</v>
      </c>
      <c r="F69" s="168">
        <f t="shared" ref="F69:G71" si="32">($H11*F53)</f>
        <v>0</v>
      </c>
      <c r="G69" s="168">
        <f t="shared" si="32"/>
        <v>0</v>
      </c>
      <c r="H69" s="168">
        <f t="shared" ref="H69:I71" si="33">$H11*H53</f>
        <v>0</v>
      </c>
      <c r="I69" s="168">
        <f t="shared" si="33"/>
        <v>0</v>
      </c>
      <c r="J69" s="168">
        <f t="shared" si="29"/>
        <v>0</v>
      </c>
      <c r="M69" s="168"/>
    </row>
    <row r="70" spans="1:13" ht="13.8">
      <c r="A70" s="180" t="s">
        <v>137</v>
      </c>
      <c r="C70" s="168">
        <f t="shared" si="31"/>
        <v>0</v>
      </c>
      <c r="D70" s="168">
        <f t="shared" si="31"/>
        <v>342.54400000000004</v>
      </c>
      <c r="E70" s="168">
        <f t="shared" si="31"/>
        <v>0</v>
      </c>
      <c r="F70" s="168">
        <f t="shared" si="32"/>
        <v>2920.1875999999997</v>
      </c>
      <c r="G70" s="168">
        <f t="shared" si="32"/>
        <v>822.10559999999998</v>
      </c>
      <c r="H70" s="168">
        <f t="shared" si="33"/>
        <v>0</v>
      </c>
      <c r="I70" s="168">
        <f t="shared" si="33"/>
        <v>-522.37959999999998</v>
      </c>
      <c r="J70" s="168">
        <f t="shared" si="29"/>
        <v>3562.4575999999997</v>
      </c>
      <c r="M70" s="168"/>
    </row>
    <row r="71" spans="1:13" ht="13.8">
      <c r="A71" s="180" t="s">
        <v>138</v>
      </c>
      <c r="C71" s="168">
        <f t="shared" si="31"/>
        <v>-59.83146</v>
      </c>
      <c r="D71" s="168">
        <f t="shared" si="31"/>
        <v>29.546400000000002</v>
      </c>
      <c r="E71" s="168">
        <f t="shared" si="31"/>
        <v>0</v>
      </c>
      <c r="F71" s="168">
        <f t="shared" si="32"/>
        <v>251.88306</v>
      </c>
      <c r="G71" s="168">
        <f t="shared" si="32"/>
        <v>70.911360000000002</v>
      </c>
      <c r="H71" s="168">
        <f t="shared" si="33"/>
        <v>0</v>
      </c>
      <c r="I71" s="168">
        <f t="shared" si="33"/>
        <v>-45.058259999999997</v>
      </c>
      <c r="J71" s="168">
        <f t="shared" si="29"/>
        <v>247.45110000000003</v>
      </c>
      <c r="M71" s="168"/>
    </row>
    <row r="72" spans="1:13" ht="13.8">
      <c r="A72" s="180" t="s">
        <v>192</v>
      </c>
      <c r="C72" s="168">
        <f>($H14+$H15)*C56+$H16*C57</f>
        <v>0</v>
      </c>
      <c r="D72" s="168">
        <f>($H14+$H15)*D56+$H16*D57</f>
        <v>0</v>
      </c>
      <c r="E72" s="168">
        <f>($H14+$H15)*E56+$H16*E57</f>
        <v>0</v>
      </c>
      <c r="F72" s="168">
        <f>($H14+$H15)*F56+$H16*F57</f>
        <v>0</v>
      </c>
      <c r="G72" s="168"/>
      <c r="H72" s="168">
        <f>($H14+$H15)*H56+$H16*H57</f>
        <v>0</v>
      </c>
      <c r="I72" s="168">
        <f>($H14+$H15)*I56+$H16*I57</f>
        <v>0</v>
      </c>
      <c r="J72" s="168">
        <f t="shared" si="29"/>
        <v>0</v>
      </c>
    </row>
    <row r="73" spans="1:13" ht="13.8">
      <c r="A73" s="157"/>
      <c r="C73" s="193">
        <f t="shared" ref="C73:J73" si="34">SUM(C62:C72)</f>
        <v>9915.258600000001</v>
      </c>
      <c r="D73" s="193">
        <f t="shared" si="34"/>
        <v>-50635.861100000002</v>
      </c>
      <c r="E73" s="193">
        <f t="shared" si="34"/>
        <v>1150.3720500000002</v>
      </c>
      <c r="F73" s="193">
        <f t="shared" si="34"/>
        <v>77920.677259999997</v>
      </c>
      <c r="G73" s="193">
        <f t="shared" si="34"/>
        <v>22845.850399999996</v>
      </c>
      <c r="H73" s="193">
        <f t="shared" si="34"/>
        <v>0</v>
      </c>
      <c r="I73" s="193">
        <f t="shared" si="34"/>
        <v>-20781.33526</v>
      </c>
      <c r="J73" s="193">
        <f t="shared" si="34"/>
        <v>40414.961950000012</v>
      </c>
    </row>
    <row r="75" spans="1:13" ht="13.8">
      <c r="A75" s="152" t="s">
        <v>19</v>
      </c>
      <c r="B75" s="152"/>
      <c r="C75" s="168">
        <f t="shared" ref="C75:J75" si="35">C62+C63</f>
        <v>9624.8784599999999</v>
      </c>
      <c r="D75" s="168">
        <f t="shared" si="35"/>
        <v>-52877.418699999995</v>
      </c>
      <c r="E75" s="168">
        <f t="shared" si="35"/>
        <v>1150.3720500000002</v>
      </c>
      <c r="F75" s="168">
        <f t="shared" si="35"/>
        <v>-40876.027040000001</v>
      </c>
      <c r="G75" s="168">
        <f t="shared" si="35"/>
        <v>-12476.694299999999</v>
      </c>
      <c r="H75" s="168">
        <f t="shared" si="35"/>
        <v>0</v>
      </c>
      <c r="I75" s="168">
        <f t="shared" si="35"/>
        <v>6773.0626199999997</v>
      </c>
      <c r="J75" s="168">
        <f t="shared" si="35"/>
        <v>-88681.826909999989</v>
      </c>
    </row>
    <row r="76" spans="1:13" ht="13.8">
      <c r="A76" s="152"/>
      <c r="B76" s="152"/>
      <c r="C76" s="168"/>
      <c r="D76" s="168"/>
      <c r="E76" s="168"/>
      <c r="F76" s="168"/>
      <c r="G76" s="168"/>
      <c r="H76" s="168"/>
      <c r="I76" s="168"/>
      <c r="J76" s="168"/>
    </row>
    <row r="77" spans="1:13" ht="13.8">
      <c r="A77" s="152" t="s">
        <v>184</v>
      </c>
      <c r="B77" s="152"/>
      <c r="C77" s="176">
        <f t="shared" ref="C77:J77" si="36">SUM(C64:C67,C69:C71)</f>
        <v>290.38013999999998</v>
      </c>
      <c r="D77" s="176">
        <f t="shared" si="36"/>
        <v>2241.5576000000005</v>
      </c>
      <c r="E77" s="176">
        <f t="shared" si="36"/>
        <v>0</v>
      </c>
      <c r="F77" s="176">
        <f t="shared" si="36"/>
        <v>20186.092620000003</v>
      </c>
      <c r="G77" s="176">
        <f t="shared" si="36"/>
        <v>5994.3886399999992</v>
      </c>
      <c r="H77" s="176">
        <f t="shared" si="36"/>
        <v>0</v>
      </c>
      <c r="I77" s="176">
        <f t="shared" si="36"/>
        <v>-3326.7906999999996</v>
      </c>
      <c r="J77" s="176">
        <f t="shared" si="36"/>
        <v>25385.628299999997</v>
      </c>
    </row>
    <row r="79" spans="1:13" ht="14.4">
      <c r="A79" s="151" t="s">
        <v>215</v>
      </c>
      <c r="B79" s="151"/>
      <c r="C79" s="151"/>
      <c r="D79" s="151"/>
      <c r="E79" s="151"/>
      <c r="F79" s="151"/>
    </row>
    <row r="80" spans="1:13" ht="14.4">
      <c r="A80" s="151" t="s">
        <v>223</v>
      </c>
      <c r="B80" s="151"/>
      <c r="C80" s="151"/>
      <c r="D80" s="151"/>
      <c r="E80" s="151"/>
      <c r="F80" s="151"/>
    </row>
    <row r="81" spans="1:14" ht="14.4">
      <c r="A81" s="170" t="s">
        <v>222</v>
      </c>
      <c r="B81" s="170"/>
      <c r="C81" s="170"/>
      <c r="D81" s="170"/>
      <c r="E81" s="170"/>
      <c r="F81" s="151"/>
    </row>
    <row r="82" spans="1:14" ht="28.2" customHeight="1">
      <c r="A82" s="170"/>
      <c r="B82" s="197" t="s">
        <v>216</v>
      </c>
      <c r="C82" s="197" t="s">
        <v>217</v>
      </c>
      <c r="D82" s="197" t="s">
        <v>218</v>
      </c>
      <c r="E82" s="197" t="s">
        <v>221</v>
      </c>
      <c r="F82" s="151"/>
      <c r="G82" s="403" t="s">
        <v>310</v>
      </c>
      <c r="H82" s="403"/>
      <c r="I82" s="403"/>
      <c r="J82" s="403"/>
      <c r="M82" s="200"/>
      <c r="N82" s="200"/>
    </row>
    <row r="83" spans="1:14" ht="14.4">
      <c r="A83" s="170" t="s">
        <v>311</v>
      </c>
      <c r="B83" s="198">
        <v>1</v>
      </c>
      <c r="C83" s="199">
        <v>896023</v>
      </c>
      <c r="D83" s="200">
        <f>77630.31-C83*SUM(K51)</f>
        <v>75444.013879999999</v>
      </c>
      <c r="E83" s="200">
        <f>500*B83</f>
        <v>500</v>
      </c>
      <c r="F83" s="201" t="s">
        <v>219</v>
      </c>
      <c r="H83" s="198"/>
      <c r="I83" s="199"/>
      <c r="J83" s="200"/>
      <c r="K83" s="200"/>
      <c r="L83" s="201"/>
    </row>
    <row r="84" spans="1:14" ht="14.4" customHeight="1">
      <c r="A84" s="202" t="s">
        <v>258</v>
      </c>
      <c r="B84" s="203">
        <f>SUM(B83:B83)</f>
        <v>1</v>
      </c>
      <c r="C84" s="204">
        <f>SUM(C83:C83)</f>
        <v>896023</v>
      </c>
      <c r="D84" s="205">
        <f>SUM(D83:D83)</f>
        <v>75444.013879999999</v>
      </c>
      <c r="E84" s="205">
        <f>SUM(E83:E83)</f>
        <v>500</v>
      </c>
      <c r="F84" s="151"/>
    </row>
    <row r="85" spans="1:14" ht="9" customHeight="1">
      <c r="A85" s="170"/>
      <c r="B85" s="170"/>
      <c r="C85" s="170"/>
      <c r="D85" s="170"/>
      <c r="E85" s="170"/>
      <c r="F85" s="151"/>
    </row>
    <row r="86" spans="1:14" ht="14.4">
      <c r="A86" s="206"/>
      <c r="B86" s="206"/>
      <c r="C86" s="206"/>
      <c r="D86" s="206"/>
      <c r="E86" s="151"/>
      <c r="F86" s="151"/>
    </row>
  </sheetData>
  <mergeCells count="3">
    <mergeCell ref="A1:I1"/>
    <mergeCell ref="G56:G57"/>
    <mergeCell ref="G82:J82"/>
  </mergeCells>
  <printOptions horizontalCentered="1"/>
  <pageMargins left="0.45" right="0.45" top="0.5" bottom="0.5" header="0.3" footer="0.3"/>
  <pageSetup scale="74" fitToHeight="2" orientation="landscape" r:id="rId1"/>
  <headerFooter>
    <oddFooter>&amp;L&amp;F / &amp;A&amp;RPage &amp;P</oddFooter>
  </headerFooter>
  <rowBreaks count="1" manualBreakCount="1">
    <brk id="42" max="10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AE89"/>
  <sheetViews>
    <sheetView workbookViewId="0">
      <selection sqref="A1:I1"/>
    </sheetView>
  </sheetViews>
  <sheetFormatPr defaultColWidth="9.109375" defaultRowHeight="13.8"/>
  <cols>
    <col min="1" max="1" width="13.6640625" style="1" customWidth="1"/>
    <col min="2" max="2" width="10.109375" style="1" customWidth="1"/>
    <col min="3" max="3" width="17.44140625" style="1" customWidth="1"/>
    <col min="4" max="4" width="20.6640625" style="1" bestFit="1" customWidth="1"/>
    <col min="5" max="5" width="16.109375" style="1" customWidth="1"/>
    <col min="6" max="6" width="15.6640625" style="1" bestFit="1" customWidth="1"/>
    <col min="7" max="7" width="19" style="1" bestFit="1" customWidth="1"/>
    <col min="8" max="8" width="13.6640625" style="1" bestFit="1" customWidth="1"/>
    <col min="9" max="9" width="19.88671875" style="1" bestFit="1" customWidth="1"/>
    <col min="10" max="10" width="14.109375" style="1" customWidth="1"/>
    <col min="11" max="11" width="13.109375" style="1" customWidth="1"/>
    <col min="12" max="12" width="13.5546875" style="1" bestFit="1" customWidth="1"/>
    <col min="13" max="13" width="14.6640625" style="1" customWidth="1"/>
    <col min="14" max="14" width="2.6640625" style="1" customWidth="1"/>
    <col min="15" max="15" width="13.44140625" style="1" customWidth="1"/>
    <col min="16" max="16" width="13.33203125" style="1" customWidth="1"/>
    <col min="17" max="17" width="13" style="1" customWidth="1"/>
    <col min="18" max="18" width="10.109375" style="1" customWidth="1"/>
    <col min="19" max="19" width="12.33203125" style="1" customWidth="1"/>
    <col min="20" max="20" width="14.33203125" style="1" customWidth="1"/>
    <col min="21" max="21" width="11" style="1" customWidth="1"/>
    <col min="22" max="22" width="15.5546875" style="1" customWidth="1"/>
    <col min="23" max="23" width="1.6640625" style="1" customWidth="1"/>
    <col min="24" max="24" width="16.109375" style="1" customWidth="1"/>
    <col min="25" max="25" width="2" style="1" customWidth="1"/>
    <col min="26" max="26" width="14.33203125" style="1" customWidth="1"/>
    <col min="27" max="27" width="12.33203125" style="1" customWidth="1"/>
    <col min="28" max="28" width="14.109375" style="1" customWidth="1"/>
    <col min="29" max="29" width="15.6640625" style="1" customWidth="1"/>
    <col min="30" max="30" width="16.6640625" style="1" customWidth="1"/>
    <col min="31" max="16384" width="9.109375" style="1"/>
  </cols>
  <sheetData>
    <row r="1" spans="1:31" ht="14.4">
      <c r="A1" s="399" t="s">
        <v>172</v>
      </c>
      <c r="B1" s="399"/>
      <c r="C1" s="399"/>
      <c r="D1" s="399"/>
      <c r="E1" s="399"/>
      <c r="F1" s="399"/>
      <c r="G1" s="399"/>
      <c r="H1" s="399"/>
      <c r="I1" s="399"/>
      <c r="M1" s="151" t="s">
        <v>234</v>
      </c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 t="s">
        <v>235</v>
      </c>
      <c r="AA1" s="224" t="s">
        <v>83</v>
      </c>
      <c r="AB1" s="151"/>
      <c r="AC1" s="151" t="s">
        <v>237</v>
      </c>
      <c r="AD1" s="224" t="s">
        <v>82</v>
      </c>
      <c r="AE1" s="151"/>
    </row>
    <row r="2" spans="1:31" ht="42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  <c r="M2" s="151"/>
      <c r="N2" s="151"/>
      <c r="O2" s="213" t="str">
        <f>AA1&amp;" Billed Schedule 75 Revenue"</f>
        <v>April Billed Schedule 75 Revenue</v>
      </c>
      <c r="P2" s="213" t="str">
        <f>AA1&amp;" Billed kWhs"</f>
        <v>April Billed kWhs</v>
      </c>
      <c r="Q2" s="213" t="str">
        <f>AA1&amp;" Unbilled kWhs"</f>
        <v>April Unbilled kWhs</v>
      </c>
      <c r="R2" s="213" t="s">
        <v>238</v>
      </c>
      <c r="S2" s="213" t="s">
        <v>239</v>
      </c>
      <c r="T2" s="213" t="str">
        <f>AD1&amp;" Unbilled kWhs reversal"</f>
        <v>March Unbilled kWhs reversal</v>
      </c>
      <c r="U2" s="213" t="s">
        <v>238</v>
      </c>
      <c r="V2" s="213" t="str">
        <f>AD1&amp;" Schedule 75 Unbilled Reversal"</f>
        <v>March Schedule 75 Unbilled Reversal</v>
      </c>
      <c r="W2" s="151"/>
      <c r="X2" s="213" t="str">
        <f>"Total "&amp;AA1&amp;" Schedule 75 Revenue"</f>
        <v>Total April Schedule 75 Revenue</v>
      </c>
      <c r="Y2" s="151"/>
      <c r="Z2" s="213" t="str">
        <f>"Calendar "&amp;AA1&amp;" Usage"</f>
        <v>Calendar April Usage</v>
      </c>
      <c r="AA2" s="213" t="str">
        <f>R2</f>
        <v>11/1/2017 rate</v>
      </c>
      <c r="AB2" s="213" t="s">
        <v>240</v>
      </c>
      <c r="AC2" s="213" t="s">
        <v>241</v>
      </c>
      <c r="AD2" s="213" t="str">
        <f>"implied "&amp;AD1&amp;" unbilled/Cancel-Rebill True-up kWhs"</f>
        <v>implied March unbilled/Cancel-Rebill True-up kWhs</v>
      </c>
      <c r="AE2" s="151"/>
    </row>
    <row r="3" spans="1:31" ht="15" customHeight="1">
      <c r="A3" s="180" t="s">
        <v>131</v>
      </c>
      <c r="B3" s="152"/>
      <c r="C3" s="158">
        <v>214565</v>
      </c>
      <c r="D3" s="194"/>
      <c r="E3" s="182">
        <v>195370733.43000999</v>
      </c>
      <c r="F3" s="182">
        <v>-117838911</v>
      </c>
      <c r="G3" s="182">
        <v>96562318</v>
      </c>
      <c r="H3" s="189">
        <f>SUM(F3:G3)</f>
        <v>-21276593</v>
      </c>
      <c r="I3" s="159">
        <f>E3+H3</f>
        <v>174094140.43000999</v>
      </c>
      <c r="M3" s="151" t="s">
        <v>242</v>
      </c>
      <c r="N3" s="151"/>
      <c r="O3" s="214">
        <v>869427.59</v>
      </c>
      <c r="P3" s="225">
        <f t="shared" ref="P3:P8" si="0">E3</f>
        <v>195370733.43000999</v>
      </c>
      <c r="Q3" s="225">
        <f t="shared" ref="Q3:Q8" si="1">G3</f>
        <v>96562318</v>
      </c>
      <c r="R3" s="206">
        <v>4.45E-3</v>
      </c>
      <c r="S3" s="215">
        <f>Q3*R3</f>
        <v>429702.31510000001</v>
      </c>
      <c r="T3" s="225">
        <f t="shared" ref="T3:T8" si="2">F3</f>
        <v>-117838911</v>
      </c>
      <c r="U3" s="206">
        <v>4.45E-3</v>
      </c>
      <c r="V3" s="216">
        <f>T3*U3</f>
        <v>-524383.15394999995</v>
      </c>
      <c r="W3" s="151"/>
      <c r="X3" s="150">
        <f>O3+S3+V3</f>
        <v>774746.75115000014</v>
      </c>
      <c r="Y3" s="151"/>
      <c r="Z3" s="95">
        <f>P3+Q3+T3</f>
        <v>174094140.43000996</v>
      </c>
      <c r="AA3" s="170">
        <f>R3</f>
        <v>4.45E-3</v>
      </c>
      <c r="AB3" s="217">
        <f>Z3*AA3</f>
        <v>774718.92491354432</v>
      </c>
      <c r="AC3" s="150">
        <f>X3-AB3</f>
        <v>27.826236455817707</v>
      </c>
      <c r="AD3" s="95">
        <f>AC3/AA3</f>
        <v>6253.0868440039794</v>
      </c>
      <c r="AE3" s="218">
        <f>AC3/X3</f>
        <v>3.5916557784222598E-5</v>
      </c>
    </row>
    <row r="4" spans="1:31" ht="14.4">
      <c r="A4" s="180" t="s">
        <v>178</v>
      </c>
      <c r="B4" s="152"/>
      <c r="C4" s="158">
        <v>406</v>
      </c>
      <c r="D4" s="194"/>
      <c r="E4" s="182">
        <v>456615.86800000002</v>
      </c>
      <c r="F4" s="182">
        <v>-277558</v>
      </c>
      <c r="G4" s="182">
        <v>214941</v>
      </c>
      <c r="H4" s="189">
        <f t="shared" ref="H4:H16" si="3">SUM(F4:G4)</f>
        <v>-62617</v>
      </c>
      <c r="I4" s="159">
        <f t="shared" ref="I4:I16" si="4">E4+H4</f>
        <v>393998.86800000002</v>
      </c>
      <c r="M4" s="151" t="s">
        <v>243</v>
      </c>
      <c r="N4" s="151"/>
      <c r="O4" s="214">
        <v>2031.96</v>
      </c>
      <c r="P4" s="225">
        <f t="shared" si="0"/>
        <v>456615.86800000002</v>
      </c>
      <c r="Q4" s="225">
        <f t="shared" si="1"/>
        <v>214941</v>
      </c>
      <c r="R4" s="206">
        <v>4.45E-3</v>
      </c>
      <c r="S4" s="215">
        <f>Q4*R4</f>
        <v>956.48744999999997</v>
      </c>
      <c r="T4" s="225">
        <f t="shared" si="2"/>
        <v>-277558</v>
      </c>
      <c r="U4" s="206">
        <v>4.45E-3</v>
      </c>
      <c r="V4" s="216">
        <f t="shared" ref="V4:V11" si="5">T4*U4</f>
        <v>-1235.1331</v>
      </c>
      <c r="W4" s="151"/>
      <c r="X4" s="150">
        <f t="shared" ref="X4:X11" si="6">O4+S4+V4</f>
        <v>1753.3143500000001</v>
      </c>
      <c r="Y4" s="151"/>
      <c r="Z4" s="95">
        <f t="shared" ref="Z4:Z11" si="7">P4+Q4+T4</f>
        <v>393998.86800000002</v>
      </c>
      <c r="AA4" s="170">
        <f t="shared" ref="AA4:AA11" si="8">R4</f>
        <v>4.45E-3</v>
      </c>
      <c r="AB4" s="217">
        <f t="shared" ref="AB4:AB11" si="9">Z4*AA4</f>
        <v>1753.2949626</v>
      </c>
      <c r="AC4" s="150">
        <f t="shared" ref="AC4:AC11" si="10">X4-AB4</f>
        <v>1.9387400000141497E-2</v>
      </c>
      <c r="AD4" s="95">
        <f t="shared" ref="AD4:AD11" si="11">AC4/AA4</f>
        <v>4.3567191011553925</v>
      </c>
      <c r="AE4" s="218">
        <f t="shared" ref="AE4:AE12" si="12">AC4/X4</f>
        <v>1.1057572191855669E-5</v>
      </c>
    </row>
    <row r="5" spans="1:31" ht="14.4">
      <c r="A5" s="180" t="s">
        <v>132</v>
      </c>
      <c r="B5" s="152"/>
      <c r="C5" s="158">
        <v>22562</v>
      </c>
      <c r="D5" s="194"/>
      <c r="E5" s="182">
        <v>45542639.403999999</v>
      </c>
      <c r="F5" s="182">
        <v>-24980245</v>
      </c>
      <c r="G5" s="182">
        <v>22407616</v>
      </c>
      <c r="H5" s="189">
        <f t="shared" si="3"/>
        <v>-2572629</v>
      </c>
      <c r="I5" s="159">
        <f t="shared" si="4"/>
        <v>42970010.403999999</v>
      </c>
      <c r="M5" s="151" t="s">
        <v>244</v>
      </c>
      <c r="N5" s="151"/>
      <c r="O5" s="214">
        <v>18215.41</v>
      </c>
      <c r="P5" s="225">
        <f t="shared" si="0"/>
        <v>45542639.403999999</v>
      </c>
      <c r="Q5" s="225">
        <f t="shared" si="1"/>
        <v>22407616</v>
      </c>
      <c r="R5" s="219">
        <v>4.0000000000000002E-4</v>
      </c>
      <c r="S5" s="215">
        <f>Q5*R5</f>
        <v>8963.0464000000011</v>
      </c>
      <c r="T5" s="225">
        <f t="shared" si="2"/>
        <v>-24980245</v>
      </c>
      <c r="U5" s="219">
        <v>4.0000000000000002E-4</v>
      </c>
      <c r="V5" s="216">
        <f t="shared" si="5"/>
        <v>-9992.098</v>
      </c>
      <c r="W5" s="151"/>
      <c r="X5" s="150">
        <f t="shared" si="6"/>
        <v>17186.358400000005</v>
      </c>
      <c r="Y5" s="151"/>
      <c r="Z5" s="95">
        <f t="shared" si="7"/>
        <v>42970010.403999999</v>
      </c>
      <c r="AA5" s="220">
        <f t="shared" si="8"/>
        <v>4.0000000000000002E-4</v>
      </c>
      <c r="AB5" s="217">
        <f t="shared" si="9"/>
        <v>17188.004161600002</v>
      </c>
      <c r="AC5" s="150">
        <f t="shared" si="10"/>
        <v>-1.6457615999970585</v>
      </c>
      <c r="AD5" s="95">
        <f t="shared" si="11"/>
        <v>-4114.4039999926463</v>
      </c>
      <c r="AE5" s="218">
        <f t="shared" si="12"/>
        <v>-9.5759762579899308E-5</v>
      </c>
    </row>
    <row r="6" spans="1:31" ht="14.4">
      <c r="A6" s="180" t="s">
        <v>133</v>
      </c>
      <c r="B6" s="152"/>
      <c r="C6" s="158">
        <v>9385</v>
      </c>
      <c r="D6" s="194"/>
      <c r="E6" s="182">
        <v>5149600.71</v>
      </c>
      <c r="F6" s="182">
        <v>-3114821</v>
      </c>
      <c r="G6" s="182">
        <v>2552426</v>
      </c>
      <c r="H6" s="189">
        <f t="shared" si="3"/>
        <v>-562395</v>
      </c>
      <c r="I6" s="159">
        <f t="shared" si="4"/>
        <v>4587205.71</v>
      </c>
      <c r="M6" s="151" t="s">
        <v>245</v>
      </c>
      <c r="N6" s="151"/>
      <c r="O6" s="214">
        <v>2058.6799999999998</v>
      </c>
      <c r="P6" s="225">
        <f t="shared" si="0"/>
        <v>5149600.71</v>
      </c>
      <c r="Q6" s="225">
        <f t="shared" si="1"/>
        <v>2552426</v>
      </c>
      <c r="R6" s="219">
        <v>4.0000000000000002E-4</v>
      </c>
      <c r="S6" s="215">
        <f t="shared" ref="S6:S11" si="13">Q6*R6</f>
        <v>1020.9704</v>
      </c>
      <c r="T6" s="225">
        <f t="shared" si="2"/>
        <v>-3114821</v>
      </c>
      <c r="U6" s="219">
        <v>4.0000000000000002E-4</v>
      </c>
      <c r="V6" s="216">
        <f t="shared" si="5"/>
        <v>-1245.9284</v>
      </c>
      <c r="W6" s="151"/>
      <c r="X6" s="150">
        <f t="shared" si="6"/>
        <v>1833.722</v>
      </c>
      <c r="Y6" s="151"/>
      <c r="Z6" s="95">
        <f t="shared" si="7"/>
        <v>4587205.71</v>
      </c>
      <c r="AA6" s="220">
        <f t="shared" si="8"/>
        <v>4.0000000000000002E-4</v>
      </c>
      <c r="AB6" s="217">
        <f t="shared" si="9"/>
        <v>1834.882284</v>
      </c>
      <c r="AC6" s="150">
        <f t="shared" si="10"/>
        <v>-1.1602840000000469</v>
      </c>
      <c r="AD6" s="95">
        <f t="shared" si="11"/>
        <v>-2900.7100000001174</v>
      </c>
      <c r="AE6" s="218">
        <f t="shared" si="12"/>
        <v>-6.3274803923388983E-4</v>
      </c>
    </row>
    <row r="7" spans="1:31" ht="14.4">
      <c r="A7" s="180" t="s">
        <v>134</v>
      </c>
      <c r="B7" s="152"/>
      <c r="C7" s="158">
        <v>1842</v>
      </c>
      <c r="D7" s="194"/>
      <c r="E7" s="182">
        <v>108414515.04799999</v>
      </c>
      <c r="F7" s="182">
        <v>-54956540</v>
      </c>
      <c r="G7" s="182">
        <v>53278541</v>
      </c>
      <c r="H7" s="189">
        <f t="shared" si="3"/>
        <v>-1677999</v>
      </c>
      <c r="I7" s="159">
        <f t="shared" si="4"/>
        <v>106736516.04799999</v>
      </c>
      <c r="M7" s="151" t="s">
        <v>246</v>
      </c>
      <c r="N7" s="151"/>
      <c r="O7" s="214">
        <v>43365.95</v>
      </c>
      <c r="P7" s="225">
        <f t="shared" si="0"/>
        <v>108414515.04799999</v>
      </c>
      <c r="Q7" s="225">
        <f t="shared" si="1"/>
        <v>53278541</v>
      </c>
      <c r="R7" s="219">
        <v>4.0000000000000002E-4</v>
      </c>
      <c r="S7" s="215">
        <f t="shared" si="13"/>
        <v>21311.416400000002</v>
      </c>
      <c r="T7" s="225">
        <f t="shared" si="2"/>
        <v>-54956540</v>
      </c>
      <c r="U7" s="219">
        <v>4.0000000000000002E-4</v>
      </c>
      <c r="V7" s="216">
        <f t="shared" si="5"/>
        <v>-21982.616000000002</v>
      </c>
      <c r="W7" s="151"/>
      <c r="X7" s="150">
        <f t="shared" si="6"/>
        <v>42694.750399999997</v>
      </c>
      <c r="Y7" s="151"/>
      <c r="Z7" s="95">
        <f t="shared" si="7"/>
        <v>106736516.04799998</v>
      </c>
      <c r="AA7" s="220">
        <f t="shared" si="8"/>
        <v>4.0000000000000002E-4</v>
      </c>
      <c r="AB7" s="217">
        <f t="shared" si="9"/>
        <v>42694.60641919999</v>
      </c>
      <c r="AC7" s="150">
        <f t="shared" si="10"/>
        <v>0.14398080000682967</v>
      </c>
      <c r="AD7" s="95">
        <f t="shared" si="11"/>
        <v>359.95200001707417</v>
      </c>
      <c r="AE7" s="218">
        <f t="shared" si="12"/>
        <v>3.3723302902089265E-6</v>
      </c>
    </row>
    <row r="8" spans="1:31" ht="14.4">
      <c r="A8" s="180" t="s">
        <v>135</v>
      </c>
      <c r="B8" s="152"/>
      <c r="C8" s="158">
        <v>47</v>
      </c>
      <c r="D8" s="194"/>
      <c r="E8" s="182">
        <v>2676218.56</v>
      </c>
      <c r="F8" s="182">
        <v>-1541990</v>
      </c>
      <c r="G8" s="182">
        <v>1316515</v>
      </c>
      <c r="H8" s="189">
        <f t="shared" si="3"/>
        <v>-225475</v>
      </c>
      <c r="I8" s="159">
        <f t="shared" si="4"/>
        <v>2450743.56</v>
      </c>
      <c r="M8" s="151" t="s">
        <v>247</v>
      </c>
      <c r="N8" s="151"/>
      <c r="O8" s="214">
        <v>1070.48</v>
      </c>
      <c r="P8" s="225">
        <f t="shared" si="0"/>
        <v>2676218.56</v>
      </c>
      <c r="Q8" s="225">
        <f t="shared" si="1"/>
        <v>1316515</v>
      </c>
      <c r="R8" s="219">
        <v>4.0000000000000002E-4</v>
      </c>
      <c r="S8" s="215">
        <f t="shared" si="13"/>
        <v>526.60599999999999</v>
      </c>
      <c r="T8" s="225">
        <f t="shared" si="2"/>
        <v>-1541990</v>
      </c>
      <c r="U8" s="219">
        <v>4.0000000000000002E-4</v>
      </c>
      <c r="V8" s="216">
        <f t="shared" si="5"/>
        <v>-616.79600000000005</v>
      </c>
      <c r="W8" s="151"/>
      <c r="X8" s="150">
        <f t="shared" si="6"/>
        <v>980.29</v>
      </c>
      <c r="Y8" s="151"/>
      <c r="Z8" s="95">
        <f t="shared" si="7"/>
        <v>2450743.56</v>
      </c>
      <c r="AA8" s="220">
        <f t="shared" si="8"/>
        <v>4.0000000000000002E-4</v>
      </c>
      <c r="AB8" s="217">
        <f t="shared" si="9"/>
        <v>980.29742400000009</v>
      </c>
      <c r="AC8" s="150">
        <f t="shared" si="10"/>
        <v>-7.4240000001282169E-3</v>
      </c>
      <c r="AD8" s="95">
        <f t="shared" si="11"/>
        <v>-18.560000000320542</v>
      </c>
      <c r="AE8" s="218">
        <f t="shared" si="12"/>
        <v>-7.5732691347746252E-6</v>
      </c>
    </row>
    <row r="9" spans="1:31" ht="14.4">
      <c r="A9" s="180" t="s">
        <v>136</v>
      </c>
      <c r="B9" s="152"/>
      <c r="C9" s="158">
        <v>23</v>
      </c>
      <c r="D9" s="194"/>
      <c r="E9" s="182">
        <f>91719050-E10</f>
        <v>55707042</v>
      </c>
      <c r="F9" s="182">
        <v>-10932134</v>
      </c>
      <c r="G9" s="182">
        <f>49900218-G10</f>
        <v>14900218</v>
      </c>
      <c r="H9" s="189">
        <f t="shared" si="3"/>
        <v>3968084</v>
      </c>
      <c r="I9" s="159">
        <f t="shared" si="4"/>
        <v>59675126</v>
      </c>
      <c r="M9" s="151" t="s">
        <v>248</v>
      </c>
      <c r="N9" s="151"/>
      <c r="O9" s="214">
        <v>269.08999999999997</v>
      </c>
      <c r="P9" s="225">
        <f>E11</f>
        <v>672678.255</v>
      </c>
      <c r="Q9" s="225">
        <f>G11</f>
        <v>0</v>
      </c>
      <c r="R9" s="219">
        <v>4.0000000000000002E-4</v>
      </c>
      <c r="S9" s="215">
        <f t="shared" si="13"/>
        <v>0</v>
      </c>
      <c r="T9" s="225">
        <f>F11</f>
        <v>0</v>
      </c>
      <c r="U9" s="219">
        <v>4.0000000000000002E-4</v>
      </c>
      <c r="V9" s="216">
        <f t="shared" si="5"/>
        <v>0</v>
      </c>
      <c r="W9" s="151"/>
      <c r="X9" s="150">
        <f t="shared" si="6"/>
        <v>269.08999999999997</v>
      </c>
      <c r="Y9" s="151"/>
      <c r="Z9" s="95">
        <f t="shared" si="7"/>
        <v>672678.255</v>
      </c>
      <c r="AA9" s="220">
        <f t="shared" si="8"/>
        <v>4.0000000000000002E-4</v>
      </c>
      <c r="AB9" s="217">
        <f t="shared" si="9"/>
        <v>269.071302</v>
      </c>
      <c r="AC9" s="150">
        <f t="shared" si="10"/>
        <v>1.8697999999972126E-2</v>
      </c>
      <c r="AD9" s="95">
        <f t="shared" si="11"/>
        <v>46.744999999930315</v>
      </c>
      <c r="AE9" s="218">
        <f t="shared" si="12"/>
        <v>6.9486045560861146E-5</v>
      </c>
    </row>
    <row r="10" spans="1:31" ht="14.4">
      <c r="A10" s="180" t="s">
        <v>179</v>
      </c>
      <c r="B10" s="152"/>
      <c r="C10" s="158"/>
      <c r="D10" s="194"/>
      <c r="E10" s="182">
        <v>36012008</v>
      </c>
      <c r="F10" s="182">
        <v>-35000000</v>
      </c>
      <c r="G10" s="182">
        <v>35000000</v>
      </c>
      <c r="H10" s="189">
        <f t="shared" si="3"/>
        <v>0</v>
      </c>
      <c r="I10" s="159">
        <f t="shared" si="4"/>
        <v>36012008</v>
      </c>
      <c r="M10" s="151" t="s">
        <v>249</v>
      </c>
      <c r="N10" s="151"/>
      <c r="O10" s="214">
        <v>1717.39</v>
      </c>
      <c r="P10" s="225">
        <f>E12</f>
        <v>4293787.9720000001</v>
      </c>
      <c r="Q10" s="225">
        <f>G12</f>
        <v>1826999</v>
      </c>
      <c r="R10" s="219">
        <v>4.0000000000000002E-4</v>
      </c>
      <c r="S10" s="215">
        <f t="shared" si="13"/>
        <v>730.79960000000005</v>
      </c>
      <c r="T10" s="225">
        <f>F12</f>
        <v>-1788709</v>
      </c>
      <c r="U10" s="219">
        <v>4.0000000000000002E-4</v>
      </c>
      <c r="V10" s="216">
        <f t="shared" si="5"/>
        <v>-715.48360000000002</v>
      </c>
      <c r="W10" s="151"/>
      <c r="X10" s="150">
        <f>O10+S10+V10</f>
        <v>1732.7060000000001</v>
      </c>
      <c r="Y10" s="151"/>
      <c r="Z10" s="95">
        <f t="shared" si="7"/>
        <v>4332077.9720000001</v>
      </c>
      <c r="AA10" s="220">
        <f t="shared" si="8"/>
        <v>4.0000000000000002E-4</v>
      </c>
      <c r="AB10" s="217">
        <f t="shared" si="9"/>
        <v>1732.8311888000001</v>
      </c>
      <c r="AC10" s="150">
        <f t="shared" si="10"/>
        <v>-0.1251887999999326</v>
      </c>
      <c r="AD10" s="95">
        <f t="shared" si="11"/>
        <v>-312.9719999998315</v>
      </c>
      <c r="AE10" s="218">
        <f t="shared" si="12"/>
        <v>-7.2250456799902925E-5</v>
      </c>
    </row>
    <row r="11" spans="1:31" ht="14.4">
      <c r="A11" s="180" t="s">
        <v>180</v>
      </c>
      <c r="B11" s="152"/>
      <c r="C11" s="158">
        <v>48</v>
      </c>
      <c r="D11" s="194"/>
      <c r="E11" s="182">
        <v>672678.255</v>
      </c>
      <c r="F11" s="182">
        <v>0</v>
      </c>
      <c r="G11" s="182">
        <v>0</v>
      </c>
      <c r="H11" s="189">
        <f t="shared" si="3"/>
        <v>0</v>
      </c>
      <c r="I11" s="159">
        <f t="shared" si="4"/>
        <v>672678.255</v>
      </c>
      <c r="M11" s="151" t="s">
        <v>250</v>
      </c>
      <c r="N11" s="151"/>
      <c r="O11" s="214">
        <v>142.81</v>
      </c>
      <c r="P11" s="225">
        <f>E13</f>
        <v>357364.77600000001</v>
      </c>
      <c r="Q11" s="225">
        <f>G13</f>
        <v>107471</v>
      </c>
      <c r="R11" s="219">
        <v>4.0000000000000002E-4</v>
      </c>
      <c r="S11" s="215">
        <f t="shared" si="13"/>
        <v>42.988399999999999</v>
      </c>
      <c r="T11" s="225">
        <f>F13</f>
        <v>-123359</v>
      </c>
      <c r="U11" s="219">
        <v>4.0000000000000002E-4</v>
      </c>
      <c r="V11" s="216">
        <f t="shared" si="5"/>
        <v>-49.343600000000002</v>
      </c>
      <c r="W11" s="151"/>
      <c r="X11" s="150">
        <f t="shared" si="6"/>
        <v>136.45480000000001</v>
      </c>
      <c r="Y11" s="151"/>
      <c r="Z11" s="95">
        <f t="shared" si="7"/>
        <v>341476.77600000001</v>
      </c>
      <c r="AA11" s="220">
        <f t="shared" si="8"/>
        <v>4.0000000000000002E-4</v>
      </c>
      <c r="AB11" s="217">
        <f t="shared" si="9"/>
        <v>136.59071040000001</v>
      </c>
      <c r="AC11" s="150">
        <f t="shared" si="10"/>
        <v>-0.13591040000000021</v>
      </c>
      <c r="AD11" s="95">
        <f t="shared" si="11"/>
        <v>-339.77600000000052</v>
      </c>
      <c r="AE11" s="218">
        <f t="shared" si="12"/>
        <v>-9.9601040051357811E-4</v>
      </c>
    </row>
    <row r="12" spans="1:31" ht="14.4">
      <c r="A12" s="180" t="s">
        <v>137</v>
      </c>
      <c r="B12" s="152"/>
      <c r="C12" s="158">
        <v>1192</v>
      </c>
      <c r="D12" s="194"/>
      <c r="E12" s="182">
        <v>4293787.9720000001</v>
      </c>
      <c r="F12" s="182">
        <v>-1788709</v>
      </c>
      <c r="G12" s="182">
        <v>1826999</v>
      </c>
      <c r="H12" s="189">
        <f t="shared" si="3"/>
        <v>38290</v>
      </c>
      <c r="I12" s="159">
        <f t="shared" si="4"/>
        <v>4332077.9720000001</v>
      </c>
      <c r="M12" s="151"/>
      <c r="N12" s="151"/>
      <c r="O12" s="221">
        <f>SUM(O3:O11)</f>
        <v>938299.36</v>
      </c>
      <c r="P12" s="51">
        <f>SUM(P3:P11)</f>
        <v>362934154.02301002</v>
      </c>
      <c r="Q12" s="51">
        <f>SUM(Q3:Q11)</f>
        <v>178266827</v>
      </c>
      <c r="R12" s="151"/>
      <c r="S12" s="221">
        <f>SUM(S3:S11)</f>
        <v>463254.62975000002</v>
      </c>
      <c r="T12" s="51">
        <f>SUM(T3:T11)</f>
        <v>-204622133</v>
      </c>
      <c r="U12" s="151"/>
      <c r="V12" s="221">
        <f>SUM(V3:V11)</f>
        <v>-560220.55264999997</v>
      </c>
      <c r="W12" s="151"/>
      <c r="X12" s="221">
        <f>SUM(X3:X11)</f>
        <v>841333.4371000001</v>
      </c>
      <c r="Y12" s="151"/>
      <c r="Z12" s="51">
        <f>SUM(Z3:Z11)</f>
        <v>336578848.02300996</v>
      </c>
      <c r="AA12" s="151"/>
      <c r="AB12" s="51">
        <f>SUM(AB3:AB11)</f>
        <v>841308.50336614437</v>
      </c>
      <c r="AC12" s="221">
        <f>SUM(AC3:AC11)</f>
        <v>24.933733855827484</v>
      </c>
      <c r="AD12" s="51">
        <f>SUM(AD3:AD11)</f>
        <v>-1022.281436870777</v>
      </c>
      <c r="AE12" s="218">
        <f t="shared" si="12"/>
        <v>2.9635971609272774E-5</v>
      </c>
    </row>
    <row r="13" spans="1:31" ht="14.4">
      <c r="A13" s="180" t="s">
        <v>138</v>
      </c>
      <c r="B13" s="152"/>
      <c r="C13" s="158">
        <v>1179</v>
      </c>
      <c r="D13" s="194"/>
      <c r="E13" s="182">
        <v>357364.77600000001</v>
      </c>
      <c r="F13" s="182">
        <v>-123359</v>
      </c>
      <c r="G13" s="182">
        <v>107471</v>
      </c>
      <c r="H13" s="189">
        <f t="shared" si="3"/>
        <v>-15888</v>
      </c>
      <c r="I13" s="159">
        <f t="shared" si="4"/>
        <v>341476.77600000001</v>
      </c>
      <c r="M13" s="151"/>
      <c r="N13" s="151"/>
      <c r="O13" s="151"/>
      <c r="P13" s="151"/>
      <c r="Q13" s="151"/>
      <c r="R13" s="151"/>
      <c r="S13" s="151"/>
      <c r="T13" s="151"/>
      <c r="U13" s="222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</row>
    <row r="14" spans="1:31" ht="14.4">
      <c r="A14" s="180" t="s">
        <v>181</v>
      </c>
      <c r="B14" s="152"/>
      <c r="C14" s="158">
        <v>426</v>
      </c>
      <c r="D14" s="194"/>
      <c r="E14" s="182">
        <v>896160.39314000006</v>
      </c>
      <c r="F14" s="182"/>
      <c r="G14" s="182"/>
      <c r="H14" s="189"/>
      <c r="I14" s="159">
        <f t="shared" si="4"/>
        <v>896160.39314000006</v>
      </c>
      <c r="M14" s="151"/>
      <c r="N14" s="151"/>
      <c r="O14" s="151"/>
      <c r="P14" s="151"/>
      <c r="Q14" s="151"/>
      <c r="R14" s="151"/>
      <c r="S14" s="151"/>
      <c r="T14" s="151"/>
      <c r="U14" s="222" t="s">
        <v>251</v>
      </c>
      <c r="V14" s="151" t="s">
        <v>252</v>
      </c>
      <c r="W14" s="151"/>
      <c r="X14" s="170">
        <v>0.95332300000000003</v>
      </c>
      <c r="Y14" s="151"/>
      <c r="Z14" s="151"/>
      <c r="AA14" s="151" t="s">
        <v>253</v>
      </c>
      <c r="AB14" s="151" t="s">
        <v>254</v>
      </c>
      <c r="AC14" s="151"/>
      <c r="AD14" s="151" t="s">
        <v>255</v>
      </c>
      <c r="AE14" s="151"/>
    </row>
    <row r="15" spans="1:31" ht="14.4">
      <c r="A15" s="180" t="s">
        <v>182</v>
      </c>
      <c r="B15" s="152"/>
      <c r="C15" s="158"/>
      <c r="D15" s="194"/>
      <c r="E15" s="182">
        <v>390020.04262000002</v>
      </c>
      <c r="F15" s="182"/>
      <c r="G15" s="182"/>
      <c r="H15" s="189">
        <f t="shared" si="3"/>
        <v>0</v>
      </c>
      <c r="I15" s="159">
        <f t="shared" si="4"/>
        <v>390020.04262000002</v>
      </c>
      <c r="M15" s="151"/>
      <c r="N15" s="151"/>
      <c r="O15" s="151"/>
      <c r="P15" s="151"/>
      <c r="Q15" s="151"/>
      <c r="R15" s="151"/>
      <c r="S15" s="151"/>
      <c r="T15" s="151" t="s">
        <v>142</v>
      </c>
      <c r="U15" s="151" t="s">
        <v>256</v>
      </c>
      <c r="V15" s="151"/>
      <c r="W15" s="151"/>
      <c r="X15" s="223">
        <f>(X3+X4)*X14</f>
        <v>740255.3719426567</v>
      </c>
      <c r="Y15" s="151"/>
      <c r="Z15" s="151" t="s">
        <v>19</v>
      </c>
      <c r="AA15" s="50">
        <f>P3+P4+Q3+Q4+T3+T4</f>
        <v>174488139.29800999</v>
      </c>
      <c r="AB15" s="170">
        <v>4.2399999999999998E-3</v>
      </c>
      <c r="AC15" s="150">
        <f>AA15*AB15</f>
        <v>739829.71062356234</v>
      </c>
      <c r="AD15" s="150">
        <f>X15-AC15</f>
        <v>425.66131909436081</v>
      </c>
      <c r="AE15" s="218">
        <f>AD15/X15</f>
        <v>5.7501956112428502E-4</v>
      </c>
    </row>
    <row r="16" spans="1:31" ht="14.4">
      <c r="A16" s="180" t="s">
        <v>183</v>
      </c>
      <c r="B16" s="152"/>
      <c r="C16" s="158"/>
      <c r="D16" s="195"/>
      <c r="E16" s="182">
        <v>217388.30072</v>
      </c>
      <c r="F16" s="182"/>
      <c r="G16" s="182"/>
      <c r="H16" s="189">
        <f t="shared" si="3"/>
        <v>0</v>
      </c>
      <c r="I16" s="159">
        <f t="shared" si="4"/>
        <v>217388.30072</v>
      </c>
      <c r="M16" s="151"/>
      <c r="N16" s="151"/>
      <c r="O16" s="151"/>
      <c r="P16" s="151"/>
      <c r="Q16" s="151"/>
      <c r="R16" s="151"/>
      <c r="S16" s="151"/>
      <c r="T16" s="151" t="s">
        <v>142</v>
      </c>
      <c r="U16" s="151" t="s">
        <v>257</v>
      </c>
      <c r="V16" s="151"/>
      <c r="W16" s="151"/>
      <c r="X16" s="223">
        <f>SUM(X5:X11)*X14</f>
        <v>61807.1443138268</v>
      </c>
      <c r="Y16" s="151"/>
      <c r="Z16" s="151" t="s">
        <v>184</v>
      </c>
      <c r="AA16" s="50">
        <f>SUM(P5:Q11,T5:T11)</f>
        <v>162090708.72499999</v>
      </c>
      <c r="AB16" s="170">
        <v>3.8000000000000002E-4</v>
      </c>
      <c r="AC16" s="150">
        <f>AA16*AB16</f>
        <v>61594.469315499999</v>
      </c>
      <c r="AD16" s="150">
        <f>X16-AC16</f>
        <v>212.67499832680187</v>
      </c>
      <c r="AE16" s="218">
        <f>AD16/X16</f>
        <v>3.440945228709177E-3</v>
      </c>
    </row>
    <row r="17" spans="1:26" ht="14.4">
      <c r="A17" s="152"/>
      <c r="B17" s="152"/>
      <c r="C17" s="160">
        <f>SUM(C3:C16)</f>
        <v>251675</v>
      </c>
      <c r="E17" s="160">
        <f>SUM(E3:E16)</f>
        <v>456156772.75949001</v>
      </c>
      <c r="F17" s="160">
        <f>SUM(F3:F16)</f>
        <v>-250554267</v>
      </c>
      <c r="G17" s="160">
        <f>SUM(G3:G16)</f>
        <v>228167045</v>
      </c>
      <c r="H17" s="160">
        <f>SUM(H3:H16)</f>
        <v>-22387222</v>
      </c>
      <c r="I17" s="160">
        <f>SUM(I3:I16)</f>
        <v>433769550.75949001</v>
      </c>
      <c r="Z17" s="151" t="s">
        <v>236</v>
      </c>
    </row>
    <row r="18" spans="1:26" ht="14.4" thickBot="1">
      <c r="A18" s="152"/>
      <c r="B18" s="152"/>
      <c r="C18" s="152"/>
      <c r="E18" s="152"/>
      <c r="F18" s="152"/>
      <c r="G18" s="152"/>
      <c r="I18" s="152"/>
    </row>
    <row r="19" spans="1:26">
      <c r="A19" s="152" t="s">
        <v>19</v>
      </c>
      <c r="B19" s="152"/>
      <c r="C19" s="161">
        <f>C3+C4</f>
        <v>214971</v>
      </c>
      <c r="E19" s="162">
        <f>E3+E4</f>
        <v>195827349.29800999</v>
      </c>
      <c r="F19" s="162">
        <f>F3+F4</f>
        <v>-118116469</v>
      </c>
      <c r="G19" s="162">
        <f>G3+G4</f>
        <v>96777259</v>
      </c>
      <c r="H19" s="162">
        <f>H3+H4</f>
        <v>-21339210</v>
      </c>
      <c r="I19" s="161">
        <f>I3+I4</f>
        <v>174488139.29800999</v>
      </c>
    </row>
    <row r="20" spans="1:26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26" ht="14.4" thickBot="1">
      <c r="A21" s="152" t="s">
        <v>184</v>
      </c>
      <c r="B21" s="152"/>
      <c r="C21" s="177">
        <f>SUM(C5:C8,C11:C13)</f>
        <v>36255</v>
      </c>
      <c r="E21" s="178">
        <f>SUM(E5:E8,E11:E13)</f>
        <v>167106804.72499999</v>
      </c>
      <c r="F21" s="178">
        <f>SUM(F5:F8,F11:F13)</f>
        <v>-86505664</v>
      </c>
      <c r="G21" s="178">
        <f>SUM(G5:G8,G11:G13)</f>
        <v>81489568</v>
      </c>
      <c r="H21" s="178">
        <f>SUM(H5:H8,H11:H13)</f>
        <v>-5016096</v>
      </c>
      <c r="I21" s="177">
        <f>SUM(I5:I8,I11:I13)</f>
        <v>162090708.72499999</v>
      </c>
    </row>
    <row r="22" spans="1:26">
      <c r="A22" s="152"/>
      <c r="B22" s="152"/>
      <c r="C22" s="152"/>
      <c r="D22" s="152"/>
      <c r="E22" s="152"/>
    </row>
    <row r="23" spans="1:26" ht="43.2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</row>
    <row r="24" spans="1:26">
      <c r="A24" s="180" t="s">
        <v>131</v>
      </c>
      <c r="B24" s="152"/>
      <c r="C24" s="181">
        <v>1863177.5</v>
      </c>
      <c r="D24" s="181">
        <v>17316901.239999998</v>
      </c>
      <c r="E24" s="183">
        <v>-11352157</v>
      </c>
      <c r="F24" s="183">
        <v>9217175</v>
      </c>
      <c r="G24" s="174">
        <f>SUM(D24:F24)</f>
        <v>15181919.239999998</v>
      </c>
      <c r="H24" s="174">
        <f>-J65</f>
        <v>160851.04307999997</v>
      </c>
      <c r="I24" s="174">
        <f>SUM(G24:H24)</f>
        <v>15342770.283079999</v>
      </c>
    </row>
    <row r="25" spans="1:26">
      <c r="A25" s="180" t="s">
        <v>178</v>
      </c>
      <c r="B25" s="152"/>
      <c r="C25" s="181">
        <v>3494.5</v>
      </c>
      <c r="D25" s="181">
        <v>40217.269999999997</v>
      </c>
      <c r="E25" s="183">
        <v>-17552</v>
      </c>
      <c r="F25" s="183">
        <v>13428</v>
      </c>
      <c r="G25" s="174">
        <f t="shared" ref="G25:G33" si="14">SUM(D25:F25)</f>
        <v>36093.269999999997</v>
      </c>
      <c r="H25" s="174">
        <f t="shared" ref="H25:H30" si="15">-J66</f>
        <v>-1500.9294900000002</v>
      </c>
      <c r="I25" s="174">
        <f t="shared" ref="I25:I34" si="16">SUM(G25:H25)</f>
        <v>34592.340509999995</v>
      </c>
    </row>
    <row r="26" spans="1:26">
      <c r="A26" s="180" t="s">
        <v>132</v>
      </c>
      <c r="B26" s="152"/>
      <c r="C26" s="181">
        <v>415560.91</v>
      </c>
      <c r="D26" s="181">
        <v>5341482.72</v>
      </c>
      <c r="E26" s="183">
        <v>-2934622</v>
      </c>
      <c r="F26" s="183">
        <v>2678368</v>
      </c>
      <c r="G26" s="174">
        <f t="shared" si="14"/>
        <v>5085228.72</v>
      </c>
      <c r="H26" s="174">
        <f t="shared" si="15"/>
        <v>15384.321419999998</v>
      </c>
      <c r="I26" s="174">
        <f t="shared" si="16"/>
        <v>5100613.0414199997</v>
      </c>
    </row>
    <row r="27" spans="1:26">
      <c r="A27" s="180" t="s">
        <v>133</v>
      </c>
      <c r="B27" s="152"/>
      <c r="C27" s="181">
        <v>170523.51999999999</v>
      </c>
      <c r="D27" s="181">
        <v>737361.29</v>
      </c>
      <c r="E27" s="183">
        <v>-440806</v>
      </c>
      <c r="F27" s="183">
        <v>377537</v>
      </c>
      <c r="G27" s="174">
        <f t="shared" si="14"/>
        <v>674092.29</v>
      </c>
      <c r="H27" s="174">
        <f t="shared" si="15"/>
        <v>2907.5821500000002</v>
      </c>
      <c r="I27" s="174">
        <f t="shared" si="16"/>
        <v>676999.87215000007</v>
      </c>
    </row>
    <row r="28" spans="1:26">
      <c r="A28" s="180" t="s">
        <v>134</v>
      </c>
      <c r="B28" s="152"/>
      <c r="C28" s="181">
        <v>925152.69</v>
      </c>
      <c r="D28" s="181">
        <v>9737161.0099999998</v>
      </c>
      <c r="E28" s="183">
        <v>-4570629</v>
      </c>
      <c r="F28" s="183">
        <v>4443577</v>
      </c>
      <c r="G28" s="174">
        <f t="shared" si="14"/>
        <v>9610109.0099999998</v>
      </c>
      <c r="H28" s="174">
        <f t="shared" si="15"/>
        <v>7668.4554300000009</v>
      </c>
      <c r="I28" s="174">
        <f t="shared" si="16"/>
        <v>9617777.4654299989</v>
      </c>
    </row>
    <row r="29" spans="1:26">
      <c r="A29" s="180" t="s">
        <v>135</v>
      </c>
      <c r="B29" s="152"/>
      <c r="C29" s="181">
        <v>23500</v>
      </c>
      <c r="D29" s="181">
        <v>237602.49</v>
      </c>
      <c r="E29" s="183">
        <v>-126949</v>
      </c>
      <c r="F29" s="183">
        <v>110290</v>
      </c>
      <c r="G29" s="174">
        <f t="shared" si="14"/>
        <v>220943.49</v>
      </c>
      <c r="H29" s="174">
        <f t="shared" si="15"/>
        <v>847.78600000000006</v>
      </c>
      <c r="I29" s="174">
        <f t="shared" si="16"/>
        <v>221791.27599999998</v>
      </c>
    </row>
    <row r="30" spans="1:26">
      <c r="A30" s="180" t="s">
        <v>136</v>
      </c>
      <c r="B30" s="152"/>
      <c r="C30" s="181">
        <v>483100</v>
      </c>
      <c r="D30" s="181">
        <f>5442252.49-84583</f>
        <v>5357669.49</v>
      </c>
      <c r="E30" s="183">
        <v>-2559011</v>
      </c>
      <c r="F30" s="183">
        <v>2876434</v>
      </c>
      <c r="G30" s="174">
        <f t="shared" si="14"/>
        <v>5675092.4900000002</v>
      </c>
      <c r="H30" s="174">
        <f t="shared" si="15"/>
        <v>-9682.1249599999992</v>
      </c>
      <c r="I30" s="174">
        <f t="shared" si="16"/>
        <v>5665410.3650400005</v>
      </c>
    </row>
    <row r="31" spans="1:26">
      <c r="A31" s="180" t="s">
        <v>180</v>
      </c>
      <c r="B31" s="152"/>
      <c r="C31" s="181">
        <v>882</v>
      </c>
      <c r="D31" s="181">
        <v>46848.09</v>
      </c>
      <c r="E31" s="183">
        <v>0</v>
      </c>
      <c r="F31" s="183">
        <v>0</v>
      </c>
      <c r="G31" s="174">
        <f t="shared" si="14"/>
        <v>46848.09</v>
      </c>
      <c r="H31" s="174">
        <f>-J72</f>
        <v>0</v>
      </c>
      <c r="I31" s="174">
        <f t="shared" si="16"/>
        <v>46848.09</v>
      </c>
    </row>
    <row r="32" spans="1:26">
      <c r="A32" s="180" t="s">
        <v>137</v>
      </c>
      <c r="B32" s="152"/>
      <c r="C32" s="181">
        <v>21550</v>
      </c>
      <c r="D32" s="181">
        <v>375766.04</v>
      </c>
      <c r="E32" s="183">
        <v>-113785</v>
      </c>
      <c r="F32" s="183">
        <v>116144</v>
      </c>
      <c r="G32" s="174">
        <f t="shared" si="14"/>
        <v>378125.04</v>
      </c>
      <c r="H32" s="174">
        <f>-J73</f>
        <v>-159.28639999999999</v>
      </c>
      <c r="I32" s="174">
        <f t="shared" si="16"/>
        <v>377965.7536</v>
      </c>
    </row>
    <row r="33" spans="1:11">
      <c r="A33" s="180" t="s">
        <v>138</v>
      </c>
      <c r="B33" s="152"/>
      <c r="C33" s="181">
        <v>21368</v>
      </c>
      <c r="D33" s="181">
        <v>51941.97</v>
      </c>
      <c r="E33" s="183">
        <v>-20534</v>
      </c>
      <c r="F33" s="183">
        <v>19268</v>
      </c>
      <c r="G33" s="174">
        <f t="shared" si="14"/>
        <v>50675.97</v>
      </c>
      <c r="H33" s="174">
        <f>-J74</f>
        <v>53.224799999999995</v>
      </c>
      <c r="I33" s="174">
        <f t="shared" si="16"/>
        <v>50729.194800000005</v>
      </c>
    </row>
    <row r="34" spans="1:11">
      <c r="A34" s="180" t="s">
        <v>192</v>
      </c>
      <c r="B34" s="152"/>
      <c r="C34" s="174"/>
      <c r="D34" s="181">
        <v>537581.99</v>
      </c>
      <c r="E34" s="181"/>
      <c r="F34" s="181"/>
      <c r="G34" s="174">
        <f>SUM(D34:F34)</f>
        <v>537581.99</v>
      </c>
      <c r="H34" s="174"/>
      <c r="I34" s="174">
        <f t="shared" si="16"/>
        <v>537581.99</v>
      </c>
    </row>
    <row r="35" spans="1:11">
      <c r="A35" s="180" t="s">
        <v>193</v>
      </c>
      <c r="B35" s="152"/>
      <c r="C35" s="194"/>
      <c r="D35" s="181">
        <v>2515678.0499999998</v>
      </c>
      <c r="E35" s="181"/>
      <c r="F35" s="181"/>
      <c r="G35" s="174"/>
      <c r="H35" s="174"/>
      <c r="I35" s="174"/>
    </row>
    <row r="36" spans="1:11">
      <c r="A36" s="180" t="s">
        <v>194</v>
      </c>
      <c r="B36" s="152"/>
      <c r="C36" s="194"/>
      <c r="D36" s="181">
        <v>1559730.95</v>
      </c>
      <c r="E36" s="181"/>
      <c r="F36" s="181"/>
      <c r="G36" s="174"/>
      <c r="H36" s="174"/>
      <c r="I36" s="174"/>
    </row>
    <row r="37" spans="1:11">
      <c r="A37" s="152"/>
      <c r="B37" s="152"/>
      <c r="C37" s="166">
        <f t="shared" ref="C37:I37" si="17">SUM(C24:C36)</f>
        <v>3928309.12</v>
      </c>
      <c r="D37" s="166">
        <f t="shared" si="17"/>
        <v>43855942.599999994</v>
      </c>
      <c r="E37" s="166">
        <f t="shared" si="17"/>
        <v>-22136045</v>
      </c>
      <c r="F37" s="166">
        <f t="shared" si="17"/>
        <v>19852221</v>
      </c>
      <c r="G37" s="166">
        <f t="shared" si="17"/>
        <v>37496709.599999994</v>
      </c>
      <c r="H37" s="166">
        <f t="shared" si="17"/>
        <v>176370.07202999995</v>
      </c>
      <c r="I37" s="166">
        <f t="shared" si="17"/>
        <v>37673079.672030002</v>
      </c>
    </row>
    <row r="38" spans="1:11" ht="14.4" thickBot="1">
      <c r="A38" s="152"/>
      <c r="B38" s="152"/>
      <c r="D38" s="167"/>
      <c r="E38" s="152"/>
      <c r="F38" s="152"/>
    </row>
    <row r="39" spans="1:11">
      <c r="A39" s="152" t="s">
        <v>19</v>
      </c>
      <c r="B39" s="152"/>
      <c r="C39" s="169">
        <f t="shared" ref="C39:I39" si="18">C24+C25</f>
        <v>1866672</v>
      </c>
      <c r="D39" s="168">
        <f t="shared" si="18"/>
        <v>17357118.509999998</v>
      </c>
      <c r="E39" s="168">
        <f t="shared" si="18"/>
        <v>-11369709</v>
      </c>
      <c r="F39" s="168">
        <f t="shared" si="18"/>
        <v>9230603</v>
      </c>
      <c r="G39" s="168">
        <f t="shared" si="18"/>
        <v>15218012.509999998</v>
      </c>
      <c r="H39" s="168">
        <f t="shared" si="18"/>
        <v>159350.11358999996</v>
      </c>
      <c r="I39" s="169">
        <f t="shared" si="18"/>
        <v>15377362.623589998</v>
      </c>
    </row>
    <row r="40" spans="1:11" ht="6" customHeight="1">
      <c r="A40" s="152"/>
      <c r="B40" s="152"/>
      <c r="C40" s="173"/>
      <c r="D40" s="168"/>
      <c r="E40" s="152"/>
      <c r="F40" s="152"/>
      <c r="I40" s="190"/>
    </row>
    <row r="41" spans="1:11" ht="14.4" thickBot="1">
      <c r="A41" s="152" t="s">
        <v>184</v>
      </c>
      <c r="B41" s="152"/>
      <c r="C41" s="175">
        <f>SUM(C26:C29,C31:C33)</f>
        <v>1578537.1199999999</v>
      </c>
      <c r="D41" s="176">
        <f t="shared" ref="D41:I41" si="19">SUM(D26:D29,D31:D33)</f>
        <v>16528163.609999999</v>
      </c>
      <c r="E41" s="176">
        <f t="shared" si="19"/>
        <v>-8207325</v>
      </c>
      <c r="F41" s="176">
        <f t="shared" si="19"/>
        <v>7745184</v>
      </c>
      <c r="G41" s="176">
        <f t="shared" si="19"/>
        <v>16066022.609999999</v>
      </c>
      <c r="H41" s="176">
        <f t="shared" si="19"/>
        <v>26702.0834</v>
      </c>
      <c r="I41" s="175">
        <f t="shared" si="19"/>
        <v>16092724.693399999</v>
      </c>
    </row>
    <row r="42" spans="1:11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11" hidden="1">
      <c r="A43" s="152"/>
      <c r="B43" s="152"/>
      <c r="C43" s="188"/>
      <c r="D43" s="176"/>
      <c r="E43" s="176"/>
      <c r="F43" s="176"/>
      <c r="G43" s="176"/>
      <c r="H43" s="176"/>
      <c r="I43" s="188"/>
    </row>
    <row r="44" spans="1:11" hidden="1">
      <c r="A44" s="152"/>
      <c r="B44" s="152"/>
      <c r="C44" s="188"/>
      <c r="D44" s="176"/>
      <c r="E44" s="176"/>
      <c r="F44" s="176"/>
      <c r="G44" s="176"/>
      <c r="H44" s="176"/>
      <c r="I44" s="188"/>
    </row>
    <row r="45" spans="1:11" hidden="1">
      <c r="A45" s="152"/>
      <c r="B45" s="152"/>
      <c r="C45" s="188"/>
      <c r="D45" s="176"/>
      <c r="E45" s="176"/>
      <c r="F45" s="176"/>
      <c r="G45" s="176"/>
      <c r="H45" s="176"/>
      <c r="I45" s="188"/>
    </row>
    <row r="46" spans="1:11" hidden="1">
      <c r="A46" s="152"/>
      <c r="B46" s="152"/>
      <c r="C46" s="188"/>
      <c r="D46" s="176"/>
      <c r="E46" s="176"/>
      <c r="F46" s="176"/>
      <c r="G46" s="176"/>
      <c r="H46" s="176"/>
      <c r="I46" s="188"/>
    </row>
    <row r="47" spans="1:11" hidden="1">
      <c r="A47" s="152"/>
      <c r="B47" s="152"/>
      <c r="C47" s="188"/>
      <c r="D47" s="176"/>
      <c r="E47" s="176"/>
      <c r="F47" s="176"/>
      <c r="G47" s="176"/>
      <c r="H47" s="176"/>
      <c r="I47" s="188"/>
    </row>
    <row r="48" spans="1:11">
      <c r="C48" s="191">
        <v>43040</v>
      </c>
      <c r="D48" s="196">
        <v>43040</v>
      </c>
      <c r="E48" s="192">
        <v>42278</v>
      </c>
      <c r="F48" s="191">
        <v>42583</v>
      </c>
      <c r="G48" s="191">
        <v>43009</v>
      </c>
      <c r="H48" s="191">
        <v>42380</v>
      </c>
      <c r="I48" s="191">
        <v>42917</v>
      </c>
      <c r="J48" s="191"/>
      <c r="K48" s="196"/>
    </row>
    <row r="49" spans="1:13" ht="42" customHeight="1">
      <c r="A49" s="179" t="s">
        <v>195</v>
      </c>
      <c r="B49" s="154"/>
      <c r="C49" s="165" t="s">
        <v>196</v>
      </c>
      <c r="D49" s="165" t="s">
        <v>213</v>
      </c>
      <c r="E49" s="165" t="s">
        <v>197</v>
      </c>
      <c r="F49" s="165" t="s">
        <v>198</v>
      </c>
      <c r="G49" s="165" t="s">
        <v>199</v>
      </c>
      <c r="H49" s="165" t="s">
        <v>200</v>
      </c>
      <c r="I49" s="165" t="s">
        <v>201</v>
      </c>
      <c r="K49" s="211" t="s">
        <v>229</v>
      </c>
      <c r="L49" s="1" t="s">
        <v>230</v>
      </c>
    </row>
    <row r="50" spans="1:13">
      <c r="A50" s="180" t="s">
        <v>131</v>
      </c>
      <c r="B50" s="152"/>
      <c r="C50" s="171">
        <v>-8.0999999999999996E-4</v>
      </c>
      <c r="D50" s="171">
        <v>4.45E-3</v>
      </c>
      <c r="E50" s="171"/>
      <c r="F50" s="171">
        <v>3.4399999999999999E-3</v>
      </c>
      <c r="G50" s="171">
        <v>1.0499999999999999E-3</v>
      </c>
      <c r="H50" s="171">
        <v>0</v>
      </c>
      <c r="I50" s="171">
        <v>-5.6999999999999998E-4</v>
      </c>
      <c r="K50" s="171">
        <f>SUM(C50:I50)</f>
        <v>7.5599999999999999E-3</v>
      </c>
      <c r="L50" s="212">
        <f t="shared" ref="L50:L62" si="20">K50*H3</f>
        <v>-160851.04308</v>
      </c>
    </row>
    <row r="51" spans="1:13">
      <c r="A51" s="180" t="s">
        <v>178</v>
      </c>
      <c r="B51" s="152"/>
      <c r="C51" s="171">
        <v>-8.0999999999999996E-4</v>
      </c>
      <c r="D51" s="171">
        <v>4.45E-3</v>
      </c>
      <c r="E51" s="171">
        <v>-3.1530000000000002E-2</v>
      </c>
      <c r="F51" s="171">
        <v>3.4399999999999999E-3</v>
      </c>
      <c r="G51" s="171">
        <v>1.0499999999999999E-3</v>
      </c>
      <c r="H51" s="171">
        <v>0</v>
      </c>
      <c r="I51" s="171">
        <v>-5.6999999999999998E-4</v>
      </c>
      <c r="K51" s="171">
        <f>SUM(C51:I51)</f>
        <v>-2.3970000000000005E-2</v>
      </c>
      <c r="L51" s="212">
        <f t="shared" si="20"/>
        <v>1500.9294900000002</v>
      </c>
    </row>
    <row r="52" spans="1:13">
      <c r="A52" s="180" t="s">
        <v>132</v>
      </c>
      <c r="B52" s="152"/>
      <c r="C52" s="171">
        <v>0</v>
      </c>
      <c r="D52" s="171">
        <v>4.0000000000000002E-4</v>
      </c>
      <c r="E52" s="171"/>
      <c r="F52" s="171">
        <v>4.6299999999999996E-3</v>
      </c>
      <c r="G52" s="171">
        <v>1.5200000000000001E-3</v>
      </c>
      <c r="H52" s="171">
        <v>0</v>
      </c>
      <c r="I52" s="171">
        <v>-5.6999999999999998E-4</v>
      </c>
      <c r="K52" s="171">
        <f t="shared" ref="K52:K62" si="21">SUM(C52:I52)</f>
        <v>5.9800000000000001E-3</v>
      </c>
      <c r="L52" s="212">
        <f t="shared" si="20"/>
        <v>-15384.32142</v>
      </c>
    </row>
    <row r="53" spans="1:13">
      <c r="A53" s="180" t="s">
        <v>133</v>
      </c>
      <c r="B53" s="152"/>
      <c r="C53" s="171">
        <v>-8.0999999999999996E-4</v>
      </c>
      <c r="D53" s="171">
        <v>4.0000000000000002E-4</v>
      </c>
      <c r="E53" s="171"/>
      <c r="F53" s="171">
        <v>4.6299999999999996E-3</v>
      </c>
      <c r="G53" s="171">
        <v>1.5200000000000001E-3</v>
      </c>
      <c r="H53" s="171">
        <v>0</v>
      </c>
      <c r="I53" s="171">
        <v>-5.6999999999999998E-4</v>
      </c>
      <c r="K53" s="171">
        <f t="shared" si="21"/>
        <v>5.1700000000000001E-3</v>
      </c>
      <c r="L53" s="212">
        <f t="shared" si="20"/>
        <v>-2907.5821500000002</v>
      </c>
    </row>
    <row r="54" spans="1:13">
      <c r="A54" s="180" t="s">
        <v>134</v>
      </c>
      <c r="B54" s="152"/>
      <c r="C54" s="171">
        <v>0</v>
      </c>
      <c r="D54" s="171">
        <v>4.0000000000000002E-4</v>
      </c>
      <c r="E54" s="171"/>
      <c r="F54" s="171">
        <v>3.6600000000000001E-3</v>
      </c>
      <c r="G54" s="171">
        <v>1.1000000000000001E-3</v>
      </c>
      <c r="H54" s="171">
        <v>0</v>
      </c>
      <c r="I54" s="171">
        <v>-5.9000000000000003E-4</v>
      </c>
      <c r="K54" s="171">
        <f t="shared" si="21"/>
        <v>4.5700000000000003E-3</v>
      </c>
      <c r="L54" s="212">
        <f t="shared" si="20"/>
        <v>-7668.4554300000009</v>
      </c>
    </row>
    <row r="55" spans="1:13">
      <c r="A55" s="180" t="s">
        <v>135</v>
      </c>
      <c r="B55" s="152"/>
      <c r="C55" s="171">
        <v>-8.0999999999999996E-4</v>
      </c>
      <c r="D55" s="171">
        <v>4.0000000000000002E-4</v>
      </c>
      <c r="E55" s="171"/>
      <c r="F55" s="171">
        <v>3.6600000000000001E-3</v>
      </c>
      <c r="G55" s="171">
        <v>1.1000000000000001E-3</v>
      </c>
      <c r="H55" s="171">
        <v>0</v>
      </c>
      <c r="I55" s="171">
        <v>-5.9000000000000003E-4</v>
      </c>
      <c r="K55" s="171">
        <f t="shared" si="21"/>
        <v>3.7600000000000003E-3</v>
      </c>
      <c r="L55" s="212">
        <f t="shared" si="20"/>
        <v>-847.78600000000006</v>
      </c>
    </row>
    <row r="56" spans="1:13">
      <c r="A56" s="180" t="s">
        <v>136</v>
      </c>
      <c r="B56" s="152"/>
      <c r="C56" s="171">
        <v>0</v>
      </c>
      <c r="D56" s="171">
        <v>0</v>
      </c>
      <c r="E56" s="171"/>
      <c r="F56" s="171">
        <v>2.32E-3</v>
      </c>
      <c r="G56" s="171">
        <v>6.8999999999999997E-4</v>
      </c>
      <c r="H56" s="171">
        <v>0</v>
      </c>
      <c r="I56" s="171">
        <v>-5.6999999999999998E-4</v>
      </c>
      <c r="K56" s="171">
        <f t="shared" si="21"/>
        <v>2.4400000000000003E-3</v>
      </c>
      <c r="L56" s="212">
        <f t="shared" si="20"/>
        <v>9682.124960000001</v>
      </c>
    </row>
    <row r="57" spans="1:13">
      <c r="A57" s="180" t="s">
        <v>179</v>
      </c>
      <c r="B57" s="152"/>
      <c r="C57" s="171">
        <v>0</v>
      </c>
      <c r="D57" s="171">
        <v>0</v>
      </c>
      <c r="E57" s="171"/>
      <c r="F57" s="171">
        <v>2.32E-3</v>
      </c>
      <c r="G57" s="171">
        <v>0</v>
      </c>
      <c r="H57" s="171">
        <v>0</v>
      </c>
      <c r="I57" s="171">
        <v>-5.6999999999999998E-4</v>
      </c>
      <c r="K57" s="171">
        <f t="shared" si="21"/>
        <v>1.75E-3</v>
      </c>
      <c r="L57" s="212">
        <f t="shared" si="20"/>
        <v>0</v>
      </c>
    </row>
    <row r="58" spans="1:13">
      <c r="A58" s="180" t="s">
        <v>180</v>
      </c>
      <c r="B58" s="152"/>
      <c r="C58" s="171">
        <v>0</v>
      </c>
      <c r="D58" s="171">
        <v>4.0000000000000002E-4</v>
      </c>
      <c r="E58" s="171"/>
      <c r="F58" s="171">
        <v>3.4099999999999998E-3</v>
      </c>
      <c r="G58" s="171">
        <v>9.6000000000000002E-4</v>
      </c>
      <c r="H58" s="171">
        <v>0</v>
      </c>
      <c r="I58" s="171">
        <v>-6.0999999999999997E-4</v>
      </c>
      <c r="K58" s="171">
        <f t="shared" si="21"/>
        <v>4.1599999999999996E-3</v>
      </c>
      <c r="L58" s="212">
        <f t="shared" si="20"/>
        <v>0</v>
      </c>
    </row>
    <row r="59" spans="1:13">
      <c r="A59" s="180" t="s">
        <v>137</v>
      </c>
      <c r="B59" s="152"/>
      <c r="C59" s="171">
        <v>0</v>
      </c>
      <c r="D59" s="171">
        <v>4.0000000000000002E-4</v>
      </c>
      <c r="E59" s="171"/>
      <c r="F59" s="171">
        <v>3.4099999999999998E-3</v>
      </c>
      <c r="G59" s="171">
        <v>9.6000000000000002E-4</v>
      </c>
      <c r="H59" s="171">
        <v>0</v>
      </c>
      <c r="I59" s="171">
        <v>-6.0999999999999997E-4</v>
      </c>
      <c r="K59" s="171">
        <f t="shared" si="21"/>
        <v>4.1599999999999996E-3</v>
      </c>
      <c r="L59" s="212">
        <f t="shared" si="20"/>
        <v>159.28639999999999</v>
      </c>
    </row>
    <row r="60" spans="1:13">
      <c r="A60" s="180" t="s">
        <v>138</v>
      </c>
      <c r="B60" s="152"/>
      <c r="C60" s="171">
        <v>-8.0999999999999996E-4</v>
      </c>
      <c r="D60" s="171">
        <v>4.0000000000000002E-4</v>
      </c>
      <c r="E60" s="171"/>
      <c r="F60" s="171">
        <v>3.4099999999999998E-3</v>
      </c>
      <c r="G60" s="171">
        <v>9.6000000000000002E-4</v>
      </c>
      <c r="H60" s="171">
        <v>0</v>
      </c>
      <c r="I60" s="171">
        <v>-6.0999999999999997E-4</v>
      </c>
      <c r="K60" s="171">
        <f t="shared" si="21"/>
        <v>3.3500000000000001E-3</v>
      </c>
      <c r="L60" s="212">
        <f t="shared" si="20"/>
        <v>-53.224800000000002</v>
      </c>
    </row>
    <row r="61" spans="1:13" ht="14.4" customHeight="1">
      <c r="A61" s="180" t="s">
        <v>192</v>
      </c>
      <c r="B61" s="152"/>
      <c r="C61" s="171">
        <v>0</v>
      </c>
      <c r="D61" s="171">
        <v>0</v>
      </c>
      <c r="E61" s="171"/>
      <c r="F61" s="186">
        <v>1.2149999999999999E-2</v>
      </c>
      <c r="G61" s="401" t="s">
        <v>214</v>
      </c>
      <c r="H61" s="171">
        <v>0</v>
      </c>
      <c r="I61" s="186">
        <v>-6.4999999999999997E-4</v>
      </c>
      <c r="K61" s="171">
        <f t="shared" si="21"/>
        <v>1.15E-2</v>
      </c>
      <c r="L61" s="212">
        <f t="shared" si="20"/>
        <v>0</v>
      </c>
    </row>
    <row r="62" spans="1:13">
      <c r="A62" s="180" t="s">
        <v>183</v>
      </c>
      <c r="B62" s="152"/>
      <c r="C62" s="171">
        <v>-8.0999999999999996E-4</v>
      </c>
      <c r="D62" s="171">
        <v>0</v>
      </c>
      <c r="E62" s="171"/>
      <c r="F62" s="186">
        <v>1.2149999999999999E-2</v>
      </c>
      <c r="G62" s="401"/>
      <c r="H62" s="171">
        <v>0</v>
      </c>
      <c r="I62" s="186">
        <v>-6.4999999999999997E-4</v>
      </c>
      <c r="K62" s="171">
        <f t="shared" si="21"/>
        <v>1.069E-2</v>
      </c>
      <c r="L62" s="212">
        <f t="shared" si="20"/>
        <v>0</v>
      </c>
    </row>
    <row r="63" spans="1:13">
      <c r="E63" s="152"/>
      <c r="L63" s="212">
        <f>SUM(L50:L62)</f>
        <v>-176370.07202999998</v>
      </c>
      <c r="M63" s="210"/>
    </row>
    <row r="64" spans="1:13" ht="52.8">
      <c r="A64" s="179" t="s">
        <v>202</v>
      </c>
      <c r="B64" s="154"/>
      <c r="C64" s="172" t="s">
        <v>209</v>
      </c>
      <c r="D64" s="172" t="s">
        <v>213</v>
      </c>
      <c r="E64" s="172" t="s">
        <v>203</v>
      </c>
      <c r="F64" s="172" t="s">
        <v>204</v>
      </c>
      <c r="G64" s="172" t="s">
        <v>205</v>
      </c>
      <c r="H64" s="172" t="s">
        <v>206</v>
      </c>
      <c r="I64" s="172" t="s">
        <v>207</v>
      </c>
      <c r="J64" s="172" t="s">
        <v>208</v>
      </c>
      <c r="M64" s="168"/>
    </row>
    <row r="65" spans="1:13">
      <c r="A65" s="180" t="s">
        <v>131</v>
      </c>
      <c r="C65" s="168">
        <f t="shared" ref="C65:C70" si="22">C50*H3</f>
        <v>17234.04033</v>
      </c>
      <c r="D65" s="168">
        <f t="shared" ref="D65:D70" si="23">D50*H3</f>
        <v>-94680.83885</v>
      </c>
      <c r="E65" s="168">
        <f t="shared" ref="E65:E70" si="24">$H3*E50</f>
        <v>0</v>
      </c>
      <c r="F65" s="168">
        <f t="shared" ref="F65:G70" si="25">($H3*F50)</f>
        <v>-73191.479919999998</v>
      </c>
      <c r="G65" s="168">
        <f t="shared" si="25"/>
        <v>-22340.42265</v>
      </c>
      <c r="H65" s="168">
        <f t="shared" ref="H65:H70" si="26">$H3*H50</f>
        <v>0</v>
      </c>
      <c r="I65" s="168">
        <f t="shared" ref="I65:I70" si="27">(I50*H3)</f>
        <v>12127.658009999999</v>
      </c>
      <c r="J65" s="168">
        <f>SUM(C65:I65)</f>
        <v>-160851.04307999997</v>
      </c>
      <c r="M65" s="168"/>
    </row>
    <row r="66" spans="1:13">
      <c r="A66" s="180" t="s">
        <v>178</v>
      </c>
      <c r="C66" s="168">
        <f t="shared" si="22"/>
        <v>50.719769999999997</v>
      </c>
      <c r="D66" s="168">
        <f t="shared" si="23"/>
        <v>-278.64564999999999</v>
      </c>
      <c r="E66" s="168">
        <f t="shared" si="24"/>
        <v>1974.3140100000001</v>
      </c>
      <c r="F66" s="168">
        <f t="shared" si="25"/>
        <v>-215.40248</v>
      </c>
      <c r="G66" s="168">
        <f t="shared" si="25"/>
        <v>-65.74785</v>
      </c>
      <c r="H66" s="168">
        <f t="shared" si="26"/>
        <v>0</v>
      </c>
      <c r="I66" s="168">
        <f t="shared" si="27"/>
        <v>35.691690000000001</v>
      </c>
      <c r="J66" s="168">
        <f t="shared" ref="J66:J75" si="28">SUM(C66:I66)</f>
        <v>1500.9294900000002</v>
      </c>
      <c r="M66" s="168"/>
    </row>
    <row r="67" spans="1:13">
      <c r="A67" s="180" t="s">
        <v>132</v>
      </c>
      <c r="C67" s="168">
        <f t="shared" si="22"/>
        <v>0</v>
      </c>
      <c r="D67" s="168">
        <f t="shared" si="23"/>
        <v>-1029.0516</v>
      </c>
      <c r="E67" s="168">
        <f t="shared" si="24"/>
        <v>0</v>
      </c>
      <c r="F67" s="168">
        <f t="shared" si="25"/>
        <v>-11911.272269999999</v>
      </c>
      <c r="G67" s="168">
        <f t="shared" si="25"/>
        <v>-3910.3960800000004</v>
      </c>
      <c r="H67" s="168">
        <f t="shared" si="26"/>
        <v>0</v>
      </c>
      <c r="I67" s="168">
        <f t="shared" si="27"/>
        <v>1466.3985299999999</v>
      </c>
      <c r="J67" s="168">
        <f t="shared" si="28"/>
        <v>-15384.321419999998</v>
      </c>
      <c r="M67" s="168"/>
    </row>
    <row r="68" spans="1:13">
      <c r="A68" s="180" t="s">
        <v>133</v>
      </c>
      <c r="C68" s="168">
        <f t="shared" si="22"/>
        <v>455.53994999999998</v>
      </c>
      <c r="D68" s="168">
        <f t="shared" si="23"/>
        <v>-224.958</v>
      </c>
      <c r="E68" s="168">
        <f t="shared" si="24"/>
        <v>0</v>
      </c>
      <c r="F68" s="168">
        <f t="shared" si="25"/>
        <v>-2603.8888499999998</v>
      </c>
      <c r="G68" s="168">
        <f t="shared" si="25"/>
        <v>-854.84040000000005</v>
      </c>
      <c r="H68" s="168">
        <f t="shared" si="26"/>
        <v>0</v>
      </c>
      <c r="I68" s="168">
        <f t="shared" si="27"/>
        <v>320.56514999999996</v>
      </c>
      <c r="J68" s="168">
        <f t="shared" si="28"/>
        <v>-2907.5821500000002</v>
      </c>
      <c r="M68" s="168"/>
    </row>
    <row r="69" spans="1:13">
      <c r="A69" s="180" t="s">
        <v>134</v>
      </c>
      <c r="C69" s="168">
        <f t="shared" si="22"/>
        <v>0</v>
      </c>
      <c r="D69" s="168">
        <f t="shared" si="23"/>
        <v>-671.19960000000003</v>
      </c>
      <c r="E69" s="168">
        <f t="shared" si="24"/>
        <v>0</v>
      </c>
      <c r="F69" s="168">
        <f t="shared" si="25"/>
        <v>-6141.4763400000002</v>
      </c>
      <c r="G69" s="168">
        <f t="shared" si="25"/>
        <v>-1845.7989</v>
      </c>
      <c r="H69" s="168">
        <f t="shared" si="26"/>
        <v>0</v>
      </c>
      <c r="I69" s="168">
        <f t="shared" si="27"/>
        <v>990.01940999999999</v>
      </c>
      <c r="J69" s="168">
        <f t="shared" si="28"/>
        <v>-7668.4554300000009</v>
      </c>
      <c r="M69" s="168"/>
    </row>
    <row r="70" spans="1:13">
      <c r="A70" s="180" t="s">
        <v>135</v>
      </c>
      <c r="C70" s="168">
        <f t="shared" si="22"/>
        <v>182.63475</v>
      </c>
      <c r="D70" s="168">
        <f t="shared" si="23"/>
        <v>-90.19</v>
      </c>
      <c r="E70" s="168">
        <f t="shared" si="24"/>
        <v>0</v>
      </c>
      <c r="F70" s="168">
        <f t="shared" si="25"/>
        <v>-825.23850000000004</v>
      </c>
      <c r="G70" s="168">
        <f t="shared" si="25"/>
        <v>-248.02250000000001</v>
      </c>
      <c r="H70" s="168">
        <f t="shared" si="26"/>
        <v>0</v>
      </c>
      <c r="I70" s="168">
        <f t="shared" si="27"/>
        <v>133.03025</v>
      </c>
      <c r="J70" s="168">
        <f>SUM(C70:I70)</f>
        <v>-847.78600000000006</v>
      </c>
      <c r="M70" s="168"/>
    </row>
    <row r="71" spans="1:13">
      <c r="A71" s="180" t="s">
        <v>136</v>
      </c>
      <c r="C71" s="168">
        <f t="shared" ref="C71:I71" si="29">$H9*C56+$H10*C57</f>
        <v>0</v>
      </c>
      <c r="D71" s="168">
        <f t="shared" si="29"/>
        <v>0</v>
      </c>
      <c r="E71" s="168">
        <f t="shared" si="29"/>
        <v>0</v>
      </c>
      <c r="F71" s="168">
        <f t="shared" si="29"/>
        <v>9205.9548799999993</v>
      </c>
      <c r="G71" s="168">
        <f t="shared" si="29"/>
        <v>2737.9779599999997</v>
      </c>
      <c r="H71" s="168">
        <f t="shared" si="29"/>
        <v>0</v>
      </c>
      <c r="I71" s="168">
        <f t="shared" si="29"/>
        <v>-2261.8078799999998</v>
      </c>
      <c r="J71" s="168">
        <f t="shared" si="28"/>
        <v>9682.1249599999992</v>
      </c>
      <c r="M71" s="168"/>
    </row>
    <row r="72" spans="1:13">
      <c r="A72" s="180" t="s">
        <v>180</v>
      </c>
      <c r="C72" s="168">
        <f t="shared" ref="C72:E74" si="30">$H11*C58</f>
        <v>0</v>
      </c>
      <c r="D72" s="168">
        <f t="shared" si="30"/>
        <v>0</v>
      </c>
      <c r="E72" s="168">
        <f t="shared" si="30"/>
        <v>0</v>
      </c>
      <c r="F72" s="168">
        <f t="shared" ref="F72:G74" si="31">($H11*F58)</f>
        <v>0</v>
      </c>
      <c r="G72" s="168">
        <f t="shared" si="31"/>
        <v>0</v>
      </c>
      <c r="H72" s="168">
        <f t="shared" ref="H72:I74" si="32">$H11*H58</f>
        <v>0</v>
      </c>
      <c r="I72" s="168">
        <f t="shared" si="32"/>
        <v>0</v>
      </c>
      <c r="J72" s="168">
        <f t="shared" si="28"/>
        <v>0</v>
      </c>
      <c r="M72" s="168"/>
    </row>
    <row r="73" spans="1:13">
      <c r="A73" s="180" t="s">
        <v>137</v>
      </c>
      <c r="C73" s="168">
        <f t="shared" si="30"/>
        <v>0</v>
      </c>
      <c r="D73" s="168">
        <f t="shared" si="30"/>
        <v>15.316000000000001</v>
      </c>
      <c r="E73" s="168">
        <f t="shared" si="30"/>
        <v>0</v>
      </c>
      <c r="F73" s="168">
        <f t="shared" si="31"/>
        <v>130.56889999999999</v>
      </c>
      <c r="G73" s="168">
        <f t="shared" si="31"/>
        <v>36.758400000000002</v>
      </c>
      <c r="H73" s="168">
        <f t="shared" si="32"/>
        <v>0</v>
      </c>
      <c r="I73" s="168">
        <f t="shared" si="32"/>
        <v>-23.3569</v>
      </c>
      <c r="J73" s="168">
        <f t="shared" si="28"/>
        <v>159.28639999999999</v>
      </c>
      <c r="M73" s="168"/>
    </row>
    <row r="74" spans="1:13">
      <c r="A74" s="180" t="s">
        <v>138</v>
      </c>
      <c r="C74" s="168">
        <f t="shared" si="30"/>
        <v>12.86928</v>
      </c>
      <c r="D74" s="168">
        <f t="shared" si="30"/>
        <v>-6.3552</v>
      </c>
      <c r="E74" s="168">
        <f t="shared" si="30"/>
        <v>0</v>
      </c>
      <c r="F74" s="168">
        <f t="shared" si="31"/>
        <v>-54.178079999999994</v>
      </c>
      <c r="G74" s="168">
        <f t="shared" si="31"/>
        <v>-15.25248</v>
      </c>
      <c r="H74" s="168">
        <f t="shared" si="32"/>
        <v>0</v>
      </c>
      <c r="I74" s="168">
        <f t="shared" si="32"/>
        <v>9.6916799999999999</v>
      </c>
      <c r="J74" s="168">
        <f t="shared" si="28"/>
        <v>-53.224799999999995</v>
      </c>
      <c r="M74" s="168"/>
    </row>
    <row r="75" spans="1:13">
      <c r="A75" s="180" t="s">
        <v>192</v>
      </c>
      <c r="C75" s="168">
        <f>($H14+$H15)*C61+$H16*C62</f>
        <v>0</v>
      </c>
      <c r="D75" s="168">
        <f>($H14+$H15)*D61+$H16*D62</f>
        <v>0</v>
      </c>
      <c r="E75" s="168">
        <f>($H14+$H15)*E61+$H16*E62</f>
        <v>0</v>
      </c>
      <c r="F75" s="168">
        <f>($H14+$H15)*F61+$H16*F62</f>
        <v>0</v>
      </c>
      <c r="G75" s="168"/>
      <c r="H75" s="168">
        <f>($H14+$H15)*H61+$H16*H62</f>
        <v>0</v>
      </c>
      <c r="I75" s="168">
        <f>($H14+$H15)*I61+$H16*I62</f>
        <v>0</v>
      </c>
      <c r="J75" s="168">
        <f t="shared" si="28"/>
        <v>0</v>
      </c>
    </row>
    <row r="76" spans="1:13">
      <c r="A76" s="157"/>
      <c r="C76" s="193">
        <f t="shared" ref="C76:J76" si="33">SUM(C65:C75)</f>
        <v>17935.804079999998</v>
      </c>
      <c r="D76" s="193">
        <f t="shared" si="33"/>
        <v>-96965.92290000002</v>
      </c>
      <c r="E76" s="193">
        <f t="shared" si="33"/>
        <v>1974.3140100000001</v>
      </c>
      <c r="F76" s="193">
        <f t="shared" si="33"/>
        <v>-85606.412660000002</v>
      </c>
      <c r="G76" s="193">
        <f t="shared" si="33"/>
        <v>-26505.744500000001</v>
      </c>
      <c r="H76" s="193">
        <f t="shared" si="33"/>
        <v>0</v>
      </c>
      <c r="I76" s="193">
        <f t="shared" si="33"/>
        <v>12797.889939999999</v>
      </c>
      <c r="J76" s="193">
        <f t="shared" si="33"/>
        <v>-176370.07202999995</v>
      </c>
    </row>
    <row r="77" spans="1:13" ht="15.75" customHeight="1"/>
    <row r="78" spans="1:13">
      <c r="A78" s="152" t="s">
        <v>19</v>
      </c>
      <c r="B78" s="152"/>
      <c r="C78" s="168">
        <f t="shared" ref="C78:J78" si="34">C65+C66</f>
        <v>17284.7601</v>
      </c>
      <c r="D78" s="168">
        <f t="shared" si="34"/>
        <v>-94959.484500000006</v>
      </c>
      <c r="E78" s="168">
        <f t="shared" si="34"/>
        <v>1974.3140100000001</v>
      </c>
      <c r="F78" s="168">
        <f t="shared" si="34"/>
        <v>-73406.882400000002</v>
      </c>
      <c r="G78" s="168">
        <f t="shared" si="34"/>
        <v>-22406.1705</v>
      </c>
      <c r="H78" s="168">
        <f t="shared" si="34"/>
        <v>0</v>
      </c>
      <c r="I78" s="168">
        <f t="shared" si="34"/>
        <v>12163.349699999999</v>
      </c>
      <c r="J78" s="168">
        <f t="shared" si="34"/>
        <v>-159350.11358999996</v>
      </c>
    </row>
    <row r="79" spans="1:13">
      <c r="A79" s="152"/>
      <c r="B79" s="152"/>
      <c r="C79" s="168"/>
      <c r="D79" s="168"/>
      <c r="E79" s="168"/>
      <c r="F79" s="168"/>
      <c r="G79" s="168"/>
      <c r="H79" s="168"/>
      <c r="I79" s="168"/>
      <c r="J79" s="168"/>
    </row>
    <row r="80" spans="1:13">
      <c r="A80" s="152" t="s">
        <v>184</v>
      </c>
      <c r="B80" s="152"/>
      <c r="C80" s="176">
        <f t="shared" ref="C80:J80" si="35">SUM(C67:C70,C72:C74)</f>
        <v>651.04398000000003</v>
      </c>
      <c r="D80" s="176">
        <f t="shared" si="35"/>
        <v>-2006.4384000000002</v>
      </c>
      <c r="E80" s="176">
        <f t="shared" si="35"/>
        <v>0</v>
      </c>
      <c r="F80" s="176">
        <f t="shared" si="35"/>
        <v>-21405.485140000001</v>
      </c>
      <c r="G80" s="176">
        <f t="shared" si="35"/>
        <v>-6837.5519600000007</v>
      </c>
      <c r="H80" s="176">
        <f t="shared" si="35"/>
        <v>0</v>
      </c>
      <c r="I80" s="176">
        <f t="shared" si="35"/>
        <v>2896.3481199999992</v>
      </c>
      <c r="J80" s="176">
        <f t="shared" si="35"/>
        <v>-26702.0834</v>
      </c>
    </row>
    <row r="81" spans="1:14" ht="15.75" customHeight="1"/>
    <row r="82" spans="1:14" ht="14.4">
      <c r="A82" s="151" t="s">
        <v>215</v>
      </c>
      <c r="B82" s="151"/>
      <c r="C82" s="151"/>
      <c r="D82" s="151"/>
      <c r="E82" s="151"/>
      <c r="F82" s="151"/>
    </row>
    <row r="83" spans="1:14" ht="14.4">
      <c r="A83" s="151" t="s">
        <v>223</v>
      </c>
      <c r="B83" s="151"/>
      <c r="C83" s="151"/>
      <c r="D83" s="151"/>
      <c r="E83" s="151"/>
      <c r="F83" s="151"/>
    </row>
    <row r="84" spans="1:14" ht="14.4">
      <c r="A84" s="170" t="s">
        <v>222</v>
      </c>
      <c r="B84" s="170"/>
      <c r="C84" s="170"/>
      <c r="D84" s="170"/>
      <c r="E84" s="170"/>
      <c r="F84" s="151"/>
    </row>
    <row r="85" spans="1:14" ht="28.2" customHeight="1">
      <c r="A85" s="170"/>
      <c r="B85" s="197" t="s">
        <v>216</v>
      </c>
      <c r="C85" s="197" t="s">
        <v>217</v>
      </c>
      <c r="D85" s="197" t="s">
        <v>218</v>
      </c>
      <c r="E85" s="197" t="s">
        <v>221</v>
      </c>
      <c r="F85" s="151"/>
      <c r="G85" s="403" t="s">
        <v>265</v>
      </c>
      <c r="H85" s="403"/>
      <c r="I85" s="403"/>
      <c r="J85" s="403"/>
      <c r="M85" s="200"/>
      <c r="N85" s="200"/>
    </row>
    <row r="86" spans="1:14" ht="14.4">
      <c r="A86" s="170" t="s">
        <v>233</v>
      </c>
      <c r="B86" s="198">
        <v>1</v>
      </c>
      <c r="C86" s="199">
        <v>876397</v>
      </c>
      <c r="D86" s="200">
        <f>73706.75-C86*SUM(K56)</f>
        <v>71568.341320000007</v>
      </c>
      <c r="E86" s="200">
        <f>500*B86</f>
        <v>500</v>
      </c>
      <c r="F86" s="201" t="s">
        <v>219</v>
      </c>
      <c r="H86" s="198"/>
      <c r="I86" s="199"/>
      <c r="J86" s="200"/>
      <c r="K86" s="200"/>
      <c r="L86" s="201"/>
    </row>
    <row r="87" spans="1:14" ht="14.4" customHeight="1">
      <c r="A87" s="202" t="s">
        <v>258</v>
      </c>
      <c r="B87" s="203">
        <f>SUM(B86:B86)</f>
        <v>1</v>
      </c>
      <c r="C87" s="204">
        <f>SUM(C86:C86)</f>
        <v>876397</v>
      </c>
      <c r="D87" s="205">
        <f>SUM(D86:D86)</f>
        <v>71568.341320000007</v>
      </c>
      <c r="E87" s="205">
        <f>SUM(E86:E86)</f>
        <v>500</v>
      </c>
      <c r="F87" s="151"/>
    </row>
    <row r="88" spans="1:14" ht="9" customHeight="1">
      <c r="A88" s="170"/>
      <c r="B88" s="170"/>
      <c r="C88" s="170"/>
      <c r="D88" s="170"/>
      <c r="E88" s="170"/>
      <c r="F88" s="151"/>
    </row>
    <row r="89" spans="1:14" ht="14.4">
      <c r="A89" s="206"/>
      <c r="B89" s="206"/>
      <c r="C89" s="206"/>
      <c r="D89" s="206"/>
      <c r="E89"/>
      <c r="F89" s="151"/>
    </row>
  </sheetData>
  <mergeCells count="3">
    <mergeCell ref="A1:I1"/>
    <mergeCell ref="G61:G62"/>
    <mergeCell ref="G85:J85"/>
  </mergeCells>
  <printOptions horizontalCentered="1"/>
  <pageMargins left="0.45" right="0.45" top="0.6" bottom="0.6" header="0.3" footer="0.3"/>
  <pageSetup scale="79" orientation="landscape" r:id="rId1"/>
  <headerFooter>
    <oddFooter>&amp;L&amp;F / &amp;A&amp;RPage &amp;P</oddFooter>
  </headerFooter>
  <rowBreaks count="1" manualBreakCount="1">
    <brk id="42" max="9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N89"/>
  <sheetViews>
    <sheetView workbookViewId="0">
      <selection sqref="A1:I1"/>
    </sheetView>
  </sheetViews>
  <sheetFormatPr defaultColWidth="9.109375" defaultRowHeight="13.8"/>
  <cols>
    <col min="1" max="1" width="14.6640625" style="1" customWidth="1"/>
    <col min="2" max="2" width="10.109375" style="1" customWidth="1"/>
    <col min="3" max="3" width="17.44140625" style="1" customWidth="1"/>
    <col min="4" max="4" width="20.6640625" style="1" bestFit="1" customWidth="1"/>
    <col min="5" max="5" width="15.5546875" style="1" customWidth="1"/>
    <col min="6" max="6" width="15.6640625" style="1" bestFit="1" customWidth="1"/>
    <col min="7" max="7" width="19" style="1" bestFit="1" customWidth="1"/>
    <col min="8" max="8" width="13.6640625" style="1" bestFit="1" customWidth="1"/>
    <col min="9" max="9" width="19.88671875" style="1" bestFit="1" customWidth="1"/>
    <col min="10" max="10" width="13.5546875" style="1" customWidth="1"/>
    <col min="11" max="11" width="13.109375" style="1" customWidth="1"/>
    <col min="12" max="12" width="13.5546875" style="1" bestFit="1" customWidth="1"/>
    <col min="13" max="13" width="27.5546875" style="1" bestFit="1" customWidth="1"/>
    <col min="14" max="16384" width="9.109375" style="1"/>
  </cols>
  <sheetData>
    <row r="1" spans="1:9">
      <c r="A1" s="399" t="s">
        <v>172</v>
      </c>
      <c r="B1" s="399"/>
      <c r="C1" s="399"/>
      <c r="D1" s="399"/>
      <c r="E1" s="399"/>
      <c r="F1" s="399"/>
      <c r="G1" s="399"/>
      <c r="H1" s="399"/>
      <c r="I1" s="399"/>
    </row>
    <row r="2" spans="1:9" ht="26.4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</row>
    <row r="3" spans="1:9">
      <c r="A3" s="180" t="s">
        <v>131</v>
      </c>
      <c r="B3" s="152"/>
      <c r="C3" s="158">
        <v>215639</v>
      </c>
      <c r="D3" s="194"/>
      <c r="E3" s="182">
        <v>232576104.734</v>
      </c>
      <c r="F3" s="182">
        <v>-120366856</v>
      </c>
      <c r="G3" s="182">
        <v>117838911</v>
      </c>
      <c r="H3" s="189">
        <f>SUM(F3:G3)</f>
        <v>-2527945</v>
      </c>
      <c r="I3" s="159">
        <f>E3+H3</f>
        <v>230048159.734</v>
      </c>
    </row>
    <row r="4" spans="1:9">
      <c r="A4" s="180" t="s">
        <v>178</v>
      </c>
      <c r="B4" s="152"/>
      <c r="C4" s="158">
        <v>406</v>
      </c>
      <c r="D4" s="194"/>
      <c r="E4" s="182">
        <v>559959.473</v>
      </c>
      <c r="F4" s="182">
        <v>-288189</v>
      </c>
      <c r="G4" s="182">
        <v>277558</v>
      </c>
      <c r="H4" s="189">
        <f t="shared" ref="H4:H16" si="0">SUM(F4:G4)</f>
        <v>-10631</v>
      </c>
      <c r="I4" s="159">
        <f t="shared" ref="I4:I16" si="1">E4+H4</f>
        <v>549328.473</v>
      </c>
    </row>
    <row r="5" spans="1:9">
      <c r="A5" s="180" t="s">
        <v>132</v>
      </c>
      <c r="B5" s="152"/>
      <c r="C5" s="158">
        <v>22750</v>
      </c>
      <c r="D5" s="194"/>
      <c r="E5" s="182">
        <v>49597716.839000002</v>
      </c>
      <c r="F5" s="182">
        <v>-26321244</v>
      </c>
      <c r="G5" s="182">
        <v>24980245</v>
      </c>
      <c r="H5" s="189">
        <f t="shared" si="0"/>
        <v>-1340999</v>
      </c>
      <c r="I5" s="159">
        <f t="shared" si="1"/>
        <v>48256717.839000002</v>
      </c>
    </row>
    <row r="6" spans="1:9">
      <c r="A6" s="180" t="s">
        <v>133</v>
      </c>
      <c r="B6" s="152"/>
      <c r="C6" s="158">
        <v>9436</v>
      </c>
      <c r="D6" s="194"/>
      <c r="E6" s="182">
        <v>6142389.0769999996</v>
      </c>
      <c r="F6" s="182">
        <v>-3266140</v>
      </c>
      <c r="G6" s="182">
        <v>3114821</v>
      </c>
      <c r="H6" s="189">
        <f t="shared" si="0"/>
        <v>-151319</v>
      </c>
      <c r="I6" s="159">
        <f t="shared" si="1"/>
        <v>5991070.0769999996</v>
      </c>
    </row>
    <row r="7" spans="1:9">
      <c r="A7" s="180" t="s">
        <v>134</v>
      </c>
      <c r="B7" s="152"/>
      <c r="C7" s="158">
        <v>1867</v>
      </c>
      <c r="D7" s="194"/>
      <c r="E7" s="182">
        <v>109199871.412</v>
      </c>
      <c r="F7" s="182">
        <v>-58150096</v>
      </c>
      <c r="G7" s="182">
        <f>3854976+51101564</f>
        <v>54956540</v>
      </c>
      <c r="H7" s="189">
        <f t="shared" si="0"/>
        <v>-3193556</v>
      </c>
      <c r="I7" s="159">
        <f t="shared" si="1"/>
        <v>106006315.412</v>
      </c>
    </row>
    <row r="8" spans="1:9">
      <c r="A8" s="180" t="s">
        <v>135</v>
      </c>
      <c r="B8" s="152"/>
      <c r="C8" s="158">
        <v>47</v>
      </c>
      <c r="D8" s="194"/>
      <c r="E8" s="182">
        <v>3024058.96</v>
      </c>
      <c r="F8" s="182">
        <v>-1633070</v>
      </c>
      <c r="G8" s="182">
        <v>1541990</v>
      </c>
      <c r="H8" s="189">
        <f t="shared" si="0"/>
        <v>-91080</v>
      </c>
      <c r="I8" s="159">
        <f t="shared" si="1"/>
        <v>2932978.96</v>
      </c>
    </row>
    <row r="9" spans="1:9">
      <c r="A9" s="180" t="s">
        <v>136</v>
      </c>
      <c r="B9" s="152"/>
      <c r="C9" s="158">
        <v>22</v>
      </c>
      <c r="D9" s="194"/>
      <c r="E9" s="182">
        <f>59452404.5-E10</f>
        <v>59452404.5</v>
      </c>
      <c r="F9" s="182">
        <v>-16075679</v>
      </c>
      <c r="G9" s="182">
        <f>45932134-G10</f>
        <v>10932134</v>
      </c>
      <c r="H9" s="189">
        <f t="shared" si="0"/>
        <v>-5143545</v>
      </c>
      <c r="I9" s="159">
        <f t="shared" si="1"/>
        <v>54308859.5</v>
      </c>
    </row>
    <row r="10" spans="1:9">
      <c r="A10" s="180" t="s">
        <v>179</v>
      </c>
      <c r="B10" s="152"/>
      <c r="C10" s="158"/>
      <c r="D10" s="194"/>
      <c r="E10" s="182">
        <v>0</v>
      </c>
      <c r="F10" s="182">
        <v>0</v>
      </c>
      <c r="G10" s="182">
        <v>35000000</v>
      </c>
      <c r="H10" s="189">
        <f t="shared" si="0"/>
        <v>35000000</v>
      </c>
      <c r="I10" s="159">
        <f t="shared" si="1"/>
        <v>35000000</v>
      </c>
    </row>
    <row r="11" spans="1:9">
      <c r="A11" s="180" t="s">
        <v>180</v>
      </c>
      <c r="B11" s="152"/>
      <c r="C11" s="158">
        <v>48</v>
      </c>
      <c r="D11" s="194"/>
      <c r="E11" s="182">
        <v>10492.6</v>
      </c>
      <c r="F11" s="182">
        <v>0</v>
      </c>
      <c r="G11" s="182">
        <v>0</v>
      </c>
      <c r="H11" s="189">
        <f t="shared" si="0"/>
        <v>0</v>
      </c>
      <c r="I11" s="159">
        <f t="shared" si="1"/>
        <v>10492.6</v>
      </c>
    </row>
    <row r="12" spans="1:9">
      <c r="A12" s="180" t="s">
        <v>137</v>
      </c>
      <c r="B12" s="152"/>
      <c r="C12" s="158">
        <v>1195</v>
      </c>
      <c r="D12" s="194"/>
      <c r="E12" s="182">
        <v>3933829.2289999998</v>
      </c>
      <c r="F12" s="182">
        <v>-1921259</v>
      </c>
      <c r="G12" s="182">
        <v>1788709</v>
      </c>
      <c r="H12" s="189">
        <f t="shared" si="0"/>
        <v>-132550</v>
      </c>
      <c r="I12" s="159">
        <f t="shared" si="1"/>
        <v>3801279.2289999998</v>
      </c>
    </row>
    <row r="13" spans="1:9">
      <c r="A13" s="180" t="s">
        <v>138</v>
      </c>
      <c r="B13" s="152"/>
      <c r="C13" s="158">
        <v>1209</v>
      </c>
      <c r="D13" s="194"/>
      <c r="E13" s="182">
        <v>282325.97100000002</v>
      </c>
      <c r="F13" s="182">
        <v>-128084</v>
      </c>
      <c r="G13" s="182">
        <v>123359</v>
      </c>
      <c r="H13" s="189">
        <f t="shared" si="0"/>
        <v>-4725</v>
      </c>
      <c r="I13" s="159">
        <f t="shared" si="1"/>
        <v>277600.97100000002</v>
      </c>
    </row>
    <row r="14" spans="1:9">
      <c r="A14" s="180" t="s">
        <v>181</v>
      </c>
      <c r="B14" s="152"/>
      <c r="C14" s="158">
        <v>425</v>
      </c>
      <c r="D14" s="194"/>
      <c r="E14" s="182">
        <v>858053.76017000014</v>
      </c>
      <c r="F14" s="182"/>
      <c r="G14" s="182"/>
      <c r="H14" s="189"/>
      <c r="I14" s="159">
        <f t="shared" si="1"/>
        <v>858053.76017000014</v>
      </c>
    </row>
    <row r="15" spans="1:9">
      <c r="A15" s="180" t="s">
        <v>182</v>
      </c>
      <c r="B15" s="152"/>
      <c r="C15" s="158"/>
      <c r="D15" s="194"/>
      <c r="E15" s="182">
        <v>407399.72499999998</v>
      </c>
      <c r="F15" s="182"/>
      <c r="G15" s="182"/>
      <c r="H15" s="189">
        <f t="shared" si="0"/>
        <v>0</v>
      </c>
      <c r="I15" s="159">
        <f t="shared" si="1"/>
        <v>407399.72499999998</v>
      </c>
    </row>
    <row r="16" spans="1:9">
      <c r="A16" s="180" t="s">
        <v>183</v>
      </c>
      <c r="B16" s="152"/>
      <c r="C16" s="158"/>
      <c r="D16" s="195"/>
      <c r="E16" s="182">
        <v>208808.4523</v>
      </c>
      <c r="F16" s="182"/>
      <c r="G16" s="182"/>
      <c r="H16" s="189">
        <f t="shared" si="0"/>
        <v>0</v>
      </c>
      <c r="I16" s="159">
        <f t="shared" si="1"/>
        <v>208808.4523</v>
      </c>
    </row>
    <row r="17" spans="1:9">
      <c r="A17" s="152"/>
      <c r="B17" s="152"/>
      <c r="C17" s="160">
        <f>SUM(C3:C16)</f>
        <v>253044</v>
      </c>
      <c r="E17" s="160">
        <f>SUM(E3:E16)</f>
        <v>466253414.73247004</v>
      </c>
      <c r="F17" s="160">
        <f>SUM(F3:F16)</f>
        <v>-228150617</v>
      </c>
      <c r="G17" s="160">
        <f>SUM(G3:G16)</f>
        <v>250554267</v>
      </c>
      <c r="H17" s="160">
        <f>SUM(H3:H16)</f>
        <v>22403650</v>
      </c>
      <c r="I17" s="160">
        <f>SUM(I3:I16)</f>
        <v>488657064.73247004</v>
      </c>
    </row>
    <row r="18" spans="1:9" ht="14.4" thickBot="1">
      <c r="A18" s="152"/>
      <c r="B18" s="152"/>
      <c r="C18" s="152"/>
      <c r="E18" s="152"/>
      <c r="F18" s="152"/>
      <c r="G18" s="152"/>
      <c r="I18" s="152"/>
    </row>
    <row r="19" spans="1:9">
      <c r="A19" s="152" t="s">
        <v>19</v>
      </c>
      <c r="B19" s="152"/>
      <c r="C19" s="161">
        <f>C3+C4</f>
        <v>216045</v>
      </c>
      <c r="E19" s="162">
        <f>E3+E4</f>
        <v>233136064.20699999</v>
      </c>
      <c r="F19" s="162">
        <f>F3+F4</f>
        <v>-120655045</v>
      </c>
      <c r="G19" s="162">
        <f>G3+G4</f>
        <v>118116469</v>
      </c>
      <c r="H19" s="162">
        <f>H3+H4</f>
        <v>-2538576</v>
      </c>
      <c r="I19" s="161">
        <f>I3+I4</f>
        <v>230597488.20699999</v>
      </c>
    </row>
    <row r="20" spans="1:9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9" ht="14.4" thickBot="1">
      <c r="A21" s="152" t="s">
        <v>184</v>
      </c>
      <c r="B21" s="152"/>
      <c r="C21" s="177">
        <f>SUM(C5:C8,C11:C13)</f>
        <v>36552</v>
      </c>
      <c r="E21" s="178">
        <f>SUM(E5:E8,E11:E13)</f>
        <v>172190684.088</v>
      </c>
      <c r="F21" s="178">
        <f>SUM(F5:F8,F11:F13)</f>
        <v>-91419893</v>
      </c>
      <c r="G21" s="178">
        <f>SUM(G5:G8,G11:G13)</f>
        <v>86505664</v>
      </c>
      <c r="H21" s="178">
        <f>SUM(H5:H8,H11:H13)</f>
        <v>-4914229</v>
      </c>
      <c r="I21" s="177">
        <f>SUM(I5:I8,I11:I13)</f>
        <v>167276455.088</v>
      </c>
    </row>
    <row r="22" spans="1:9">
      <c r="A22" s="152"/>
      <c r="B22" s="152"/>
      <c r="C22" s="152"/>
      <c r="D22" s="152"/>
      <c r="E22" s="152"/>
    </row>
    <row r="23" spans="1:9" ht="43.2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</row>
    <row r="24" spans="1:9">
      <c r="A24" s="180" t="s">
        <v>131</v>
      </c>
      <c r="B24" s="152"/>
      <c r="C24" s="181">
        <v>1871538.5</v>
      </c>
      <c r="D24" s="181">
        <v>20707001.530000001</v>
      </c>
      <c r="E24" s="183">
        <v>-11801787</v>
      </c>
      <c r="F24" s="183">
        <v>11352157</v>
      </c>
      <c r="G24" s="174">
        <f>SUM(D24:F24)</f>
        <v>20257371.530000001</v>
      </c>
      <c r="H24" s="174">
        <f>-J65</f>
        <v>19111.264199999998</v>
      </c>
      <c r="I24" s="174">
        <f>SUM(G24:H24)</f>
        <v>20276482.794199999</v>
      </c>
    </row>
    <row r="25" spans="1:9">
      <c r="A25" s="180" t="s">
        <v>178</v>
      </c>
      <c r="B25" s="152"/>
      <c r="C25" s="181">
        <v>3468</v>
      </c>
      <c r="D25" s="181">
        <v>49890.76</v>
      </c>
      <c r="E25" s="183">
        <v>-18728</v>
      </c>
      <c r="F25" s="183">
        <v>17552</v>
      </c>
      <c r="G25" s="174">
        <f t="shared" ref="G25:G33" si="2">SUM(D25:F25)</f>
        <v>48714.76</v>
      </c>
      <c r="H25" s="174">
        <f t="shared" ref="H25:H30" si="3">-J66</f>
        <v>-254.82507000000001</v>
      </c>
      <c r="I25" s="174">
        <f t="shared" ref="I25:I34" si="4">SUM(G25:H25)</f>
        <v>48459.934930000003</v>
      </c>
    </row>
    <row r="26" spans="1:9">
      <c r="A26" s="180" t="s">
        <v>132</v>
      </c>
      <c r="B26" s="152"/>
      <c r="C26" s="181">
        <v>417725.76</v>
      </c>
      <c r="D26" s="181">
        <v>5745129.3899999997</v>
      </c>
      <c r="E26" s="183">
        <v>-3051861</v>
      </c>
      <c r="F26" s="183">
        <v>2934622</v>
      </c>
      <c r="G26" s="174">
        <f t="shared" si="2"/>
        <v>5627890.3899999997</v>
      </c>
      <c r="H26" s="174">
        <f t="shared" si="3"/>
        <v>8019.1740199999995</v>
      </c>
      <c r="I26" s="174">
        <f t="shared" si="4"/>
        <v>5635909.5640199995</v>
      </c>
    </row>
    <row r="27" spans="1:9">
      <c r="A27" s="180" t="s">
        <v>133</v>
      </c>
      <c r="B27" s="152"/>
      <c r="C27" s="181">
        <v>171554.01</v>
      </c>
      <c r="D27" s="181">
        <v>846882.72</v>
      </c>
      <c r="E27" s="183">
        <v>-453450</v>
      </c>
      <c r="F27" s="183">
        <v>440806</v>
      </c>
      <c r="G27" s="174">
        <f t="shared" si="2"/>
        <v>834238.72</v>
      </c>
      <c r="H27" s="174">
        <f t="shared" si="3"/>
        <v>782.31922999999995</v>
      </c>
      <c r="I27" s="174">
        <f t="shared" si="4"/>
        <v>835021.03922999999</v>
      </c>
    </row>
    <row r="28" spans="1:9">
      <c r="A28" s="180" t="s">
        <v>134</v>
      </c>
      <c r="B28" s="152"/>
      <c r="C28" s="181">
        <v>934452.7</v>
      </c>
      <c r="D28" s="181">
        <v>9817261.8100000005</v>
      </c>
      <c r="E28" s="183">
        <v>-4802235</v>
      </c>
      <c r="F28" s="183">
        <f>4262877+307752</f>
        <v>4570629</v>
      </c>
      <c r="G28" s="174">
        <f t="shared" si="2"/>
        <v>9585655.8100000005</v>
      </c>
      <c r="H28" s="174">
        <f t="shared" si="3"/>
        <v>14594.550920000001</v>
      </c>
      <c r="I28" s="174">
        <f t="shared" si="4"/>
        <v>9600250.3609200008</v>
      </c>
    </row>
    <row r="29" spans="1:9">
      <c r="A29" s="180" t="s">
        <v>135</v>
      </c>
      <c r="B29" s="152"/>
      <c r="C29" s="181">
        <v>23500</v>
      </c>
      <c r="D29" s="181">
        <v>267223.74</v>
      </c>
      <c r="E29" s="183">
        <v>-133641</v>
      </c>
      <c r="F29" s="183">
        <v>126949</v>
      </c>
      <c r="G29" s="174">
        <f t="shared" si="2"/>
        <v>260531.74</v>
      </c>
      <c r="H29" s="174">
        <f t="shared" si="3"/>
        <v>342.46079999999995</v>
      </c>
      <c r="I29" s="174">
        <f t="shared" si="4"/>
        <v>260874.20079999999</v>
      </c>
    </row>
    <row r="30" spans="1:9">
      <c r="A30" s="180" t="s">
        <v>136</v>
      </c>
      <c r="B30" s="152"/>
      <c r="C30" s="181">
        <v>483000</v>
      </c>
      <c r="D30" s="181">
        <f>3806218.86-0</f>
        <v>3806218.86</v>
      </c>
      <c r="E30" s="183">
        <v>-1009705</v>
      </c>
      <c r="F30" s="183">
        <v>2559011</v>
      </c>
      <c r="G30" s="174">
        <f t="shared" si="2"/>
        <v>5355524.8599999994</v>
      </c>
      <c r="H30" s="174">
        <f t="shared" si="3"/>
        <v>-48699.750200000002</v>
      </c>
      <c r="I30" s="174">
        <f t="shared" si="4"/>
        <v>5306825.1097999997</v>
      </c>
    </row>
    <row r="31" spans="1:9">
      <c r="A31" s="180" t="s">
        <v>180</v>
      </c>
      <c r="B31" s="152"/>
      <c r="C31" s="181">
        <v>882</v>
      </c>
      <c r="D31" s="181">
        <v>1607.3</v>
      </c>
      <c r="E31" s="183">
        <v>0</v>
      </c>
      <c r="F31" s="183">
        <v>0</v>
      </c>
      <c r="G31" s="174">
        <f t="shared" si="2"/>
        <v>1607.3</v>
      </c>
      <c r="H31" s="174">
        <f>-J72</f>
        <v>0</v>
      </c>
      <c r="I31" s="174">
        <f t="shared" si="4"/>
        <v>1607.3</v>
      </c>
    </row>
    <row r="32" spans="1:9">
      <c r="A32" s="180" t="s">
        <v>137</v>
      </c>
      <c r="B32" s="152"/>
      <c r="C32" s="181">
        <v>21636</v>
      </c>
      <c r="D32" s="181">
        <v>344840.58</v>
      </c>
      <c r="E32" s="183">
        <v>-123720</v>
      </c>
      <c r="F32" s="183">
        <v>113785</v>
      </c>
      <c r="G32" s="174">
        <f t="shared" si="2"/>
        <v>334905.58</v>
      </c>
      <c r="H32" s="174">
        <f>-J73</f>
        <v>551.40800000000002</v>
      </c>
      <c r="I32" s="174">
        <f t="shared" si="4"/>
        <v>335456.98800000001</v>
      </c>
    </row>
    <row r="33" spans="1:11">
      <c r="A33" s="180" t="s">
        <v>138</v>
      </c>
      <c r="B33" s="152"/>
      <c r="C33" s="181">
        <v>21816</v>
      </c>
      <c r="D33" s="181">
        <v>46005.46</v>
      </c>
      <c r="E33" s="183">
        <v>-21063</v>
      </c>
      <c r="F33" s="183">
        <v>20534</v>
      </c>
      <c r="G33" s="174">
        <f t="shared" si="2"/>
        <v>45476.46</v>
      </c>
      <c r="H33" s="174">
        <f>-J74</f>
        <v>15.828750000000003</v>
      </c>
      <c r="I33" s="174">
        <f t="shared" si="4"/>
        <v>45492.28875</v>
      </c>
    </row>
    <row r="34" spans="1:11">
      <c r="A34" s="180" t="s">
        <v>192</v>
      </c>
      <c r="B34" s="152"/>
      <c r="C34" s="174"/>
      <c r="D34" s="181">
        <v>365597.41</v>
      </c>
      <c r="E34" s="181"/>
      <c r="F34" s="181"/>
      <c r="G34" s="174">
        <f>SUM(D34:F34)</f>
        <v>365597.41</v>
      </c>
      <c r="H34" s="174"/>
      <c r="I34" s="174">
        <f t="shared" si="4"/>
        <v>365597.41</v>
      </c>
    </row>
    <row r="35" spans="1:11">
      <c r="A35" s="180" t="s">
        <v>193</v>
      </c>
      <c r="B35" s="152"/>
      <c r="C35" s="194"/>
      <c r="D35" s="181">
        <v>2767250.6</v>
      </c>
      <c r="E35" s="181"/>
      <c r="F35" s="181"/>
      <c r="G35" s="174"/>
      <c r="H35" s="174"/>
      <c r="I35" s="174"/>
    </row>
    <row r="36" spans="1:11">
      <c r="A36" s="180" t="s">
        <v>194</v>
      </c>
      <c r="B36" s="152"/>
      <c r="C36" s="194"/>
      <c r="D36" s="181">
        <v>1863434.5</v>
      </c>
      <c r="E36" s="181"/>
      <c r="F36" s="181"/>
      <c r="G36" s="174"/>
      <c r="H36" s="174"/>
      <c r="I36" s="174"/>
    </row>
    <row r="37" spans="1:11">
      <c r="A37" s="152"/>
      <c r="B37" s="152"/>
      <c r="C37" s="166">
        <f t="shared" ref="C37:I37" si="5">SUM(C24:C36)</f>
        <v>3949572.9699999997</v>
      </c>
      <c r="D37" s="166">
        <f t="shared" si="5"/>
        <v>46628344.659999996</v>
      </c>
      <c r="E37" s="166">
        <f t="shared" si="5"/>
        <v>-21416190</v>
      </c>
      <c r="F37" s="166">
        <f t="shared" si="5"/>
        <v>22136045</v>
      </c>
      <c r="G37" s="166">
        <f t="shared" si="5"/>
        <v>42717514.559999995</v>
      </c>
      <c r="H37" s="166">
        <f t="shared" si="5"/>
        <v>-5537.5693500000016</v>
      </c>
      <c r="I37" s="166">
        <f t="shared" si="5"/>
        <v>42711976.990649998</v>
      </c>
    </row>
    <row r="38" spans="1:11" ht="14.4" thickBot="1">
      <c r="A38" s="152"/>
      <c r="B38" s="152"/>
      <c r="D38" s="167"/>
      <c r="E38" s="152"/>
      <c r="F38" s="152"/>
    </row>
    <row r="39" spans="1:11">
      <c r="A39" s="152" t="s">
        <v>19</v>
      </c>
      <c r="B39" s="152"/>
      <c r="C39" s="169">
        <f t="shared" ref="C39:I39" si="6">C24+C25</f>
        <v>1875006.5</v>
      </c>
      <c r="D39" s="168">
        <f t="shared" si="6"/>
        <v>20756892.290000003</v>
      </c>
      <c r="E39" s="168">
        <f t="shared" si="6"/>
        <v>-11820515</v>
      </c>
      <c r="F39" s="168">
        <f t="shared" si="6"/>
        <v>11369709</v>
      </c>
      <c r="G39" s="168">
        <f t="shared" si="6"/>
        <v>20306086.290000003</v>
      </c>
      <c r="H39" s="168">
        <f t="shared" si="6"/>
        <v>18856.439129999999</v>
      </c>
      <c r="I39" s="169">
        <f t="shared" si="6"/>
        <v>20324942.72913</v>
      </c>
    </row>
    <row r="40" spans="1:11" ht="6" customHeight="1">
      <c r="A40" s="152"/>
      <c r="B40" s="152"/>
      <c r="C40" s="173"/>
      <c r="D40" s="168"/>
      <c r="E40" s="152"/>
      <c r="F40" s="152"/>
      <c r="I40" s="190"/>
    </row>
    <row r="41" spans="1:11" ht="14.4" thickBot="1">
      <c r="A41" s="152" t="s">
        <v>184</v>
      </c>
      <c r="B41" s="152"/>
      <c r="C41" s="175">
        <f>SUM(C26:C29,C31:C33)</f>
        <v>1591566.47</v>
      </c>
      <c r="D41" s="176">
        <f t="shared" ref="D41:I41" si="7">SUM(D26:D29,D31:D33)</f>
        <v>17068951</v>
      </c>
      <c r="E41" s="176">
        <f t="shared" si="7"/>
        <v>-8585970</v>
      </c>
      <c r="F41" s="176">
        <f t="shared" si="7"/>
        <v>8207325</v>
      </c>
      <c r="G41" s="176">
        <f t="shared" si="7"/>
        <v>16690306.000000002</v>
      </c>
      <c r="H41" s="176">
        <f t="shared" si="7"/>
        <v>24305.741720000002</v>
      </c>
      <c r="I41" s="175">
        <f t="shared" si="7"/>
        <v>16714611.741720002</v>
      </c>
    </row>
    <row r="42" spans="1:11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11">
      <c r="A43" s="152"/>
      <c r="B43" s="152"/>
      <c r="C43" s="188"/>
      <c r="D43" s="176"/>
      <c r="E43" s="176"/>
      <c r="F43" s="176"/>
      <c r="G43" s="176"/>
      <c r="H43" s="176"/>
      <c r="I43" s="188"/>
    </row>
    <row r="44" spans="1:11">
      <c r="A44" s="152"/>
      <c r="B44" s="152"/>
      <c r="C44" s="188"/>
      <c r="D44" s="176"/>
      <c r="E44" s="176"/>
      <c r="F44" s="176"/>
      <c r="G44" s="176"/>
      <c r="H44" s="176"/>
      <c r="I44" s="188"/>
    </row>
    <row r="45" spans="1:11">
      <c r="A45" s="152"/>
      <c r="B45" s="152"/>
      <c r="C45" s="188"/>
      <c r="D45" s="176"/>
      <c r="E45" s="176"/>
      <c r="F45" s="176"/>
      <c r="G45" s="176"/>
      <c r="H45" s="176"/>
      <c r="I45" s="188"/>
    </row>
    <row r="46" spans="1:11">
      <c r="A46" s="152"/>
      <c r="B46" s="152"/>
      <c r="C46" s="188"/>
      <c r="D46" s="176"/>
      <c r="E46" s="176"/>
      <c r="F46" s="176"/>
      <c r="G46" s="176"/>
      <c r="H46" s="176"/>
      <c r="I46" s="188"/>
    </row>
    <row r="47" spans="1:11">
      <c r="A47" s="152"/>
      <c r="B47" s="152"/>
      <c r="C47" s="188"/>
      <c r="D47" s="176"/>
      <c r="E47" s="176"/>
      <c r="F47" s="176"/>
      <c r="G47" s="176"/>
      <c r="H47" s="176"/>
      <c r="I47" s="188"/>
    </row>
    <row r="48" spans="1:11">
      <c r="C48" s="191">
        <v>43040</v>
      </c>
      <c r="D48" s="196">
        <v>43040</v>
      </c>
      <c r="E48" s="192">
        <v>42278</v>
      </c>
      <c r="F48" s="191">
        <v>42583</v>
      </c>
      <c r="G48" s="191">
        <v>43009</v>
      </c>
      <c r="H48" s="191">
        <v>42380</v>
      </c>
      <c r="I48" s="191">
        <v>42917</v>
      </c>
      <c r="J48" s="191"/>
      <c r="K48" s="196"/>
    </row>
    <row r="49" spans="1:13" ht="42" customHeight="1">
      <c r="A49" s="179" t="s">
        <v>195</v>
      </c>
      <c r="B49" s="154"/>
      <c r="C49" s="165" t="s">
        <v>196</v>
      </c>
      <c r="D49" s="165" t="s">
        <v>213</v>
      </c>
      <c r="E49" s="165" t="s">
        <v>197</v>
      </c>
      <c r="F49" s="165" t="s">
        <v>198</v>
      </c>
      <c r="G49" s="165" t="s">
        <v>199</v>
      </c>
      <c r="H49" s="165" t="s">
        <v>200</v>
      </c>
      <c r="I49" s="165" t="s">
        <v>201</v>
      </c>
      <c r="K49" s="211" t="s">
        <v>229</v>
      </c>
      <c r="L49" s="1" t="s">
        <v>230</v>
      </c>
    </row>
    <row r="50" spans="1:13">
      <c r="A50" s="180" t="s">
        <v>131</v>
      </c>
      <c r="B50" s="152"/>
      <c r="C50" s="171">
        <v>-8.0999999999999996E-4</v>
      </c>
      <c r="D50" s="171">
        <v>4.45E-3</v>
      </c>
      <c r="E50" s="171"/>
      <c r="F50" s="171">
        <v>3.4399999999999999E-3</v>
      </c>
      <c r="G50" s="171">
        <v>1.0499999999999999E-3</v>
      </c>
      <c r="H50" s="171">
        <v>0</v>
      </c>
      <c r="I50" s="171">
        <v>-5.6999999999999998E-4</v>
      </c>
      <c r="K50" s="171">
        <f t="shared" ref="K50:K62" si="8">SUM(C50:I50)</f>
        <v>7.5599999999999999E-3</v>
      </c>
      <c r="L50" s="212">
        <f t="shared" ref="L50:L62" si="9">K50*H3</f>
        <v>-19111.264200000001</v>
      </c>
    </row>
    <row r="51" spans="1:13">
      <c r="A51" s="180" t="s">
        <v>178</v>
      </c>
      <c r="B51" s="152"/>
      <c r="C51" s="171">
        <v>-8.0999999999999996E-4</v>
      </c>
      <c r="D51" s="171">
        <v>4.45E-3</v>
      </c>
      <c r="E51" s="171">
        <v>-3.1530000000000002E-2</v>
      </c>
      <c r="F51" s="171">
        <v>3.4399999999999999E-3</v>
      </c>
      <c r="G51" s="171">
        <v>1.0499999999999999E-3</v>
      </c>
      <c r="H51" s="171">
        <v>0</v>
      </c>
      <c r="I51" s="171">
        <v>-5.6999999999999998E-4</v>
      </c>
      <c r="K51" s="171">
        <f t="shared" si="8"/>
        <v>-2.3970000000000005E-2</v>
      </c>
      <c r="L51" s="212">
        <f t="shared" si="9"/>
        <v>254.82507000000007</v>
      </c>
    </row>
    <row r="52" spans="1:13">
      <c r="A52" s="180" t="s">
        <v>132</v>
      </c>
      <c r="B52" s="152"/>
      <c r="C52" s="171">
        <v>0</v>
      </c>
      <c r="D52" s="171">
        <v>4.0000000000000002E-4</v>
      </c>
      <c r="E52" s="171"/>
      <c r="F52" s="171">
        <v>4.6299999999999996E-3</v>
      </c>
      <c r="G52" s="171">
        <v>1.5200000000000001E-3</v>
      </c>
      <c r="H52" s="171">
        <v>0</v>
      </c>
      <c r="I52" s="171">
        <v>-5.6999999999999998E-4</v>
      </c>
      <c r="K52" s="171">
        <f t="shared" si="8"/>
        <v>5.9800000000000001E-3</v>
      </c>
      <c r="L52" s="212">
        <f t="shared" si="9"/>
        <v>-8019.1740200000004</v>
      </c>
    </row>
    <row r="53" spans="1:13">
      <c r="A53" s="180" t="s">
        <v>133</v>
      </c>
      <c r="B53" s="152"/>
      <c r="C53" s="171">
        <v>-8.0999999999999996E-4</v>
      </c>
      <c r="D53" s="171">
        <v>4.0000000000000002E-4</v>
      </c>
      <c r="E53" s="171"/>
      <c r="F53" s="171">
        <v>4.6299999999999996E-3</v>
      </c>
      <c r="G53" s="171">
        <v>1.5200000000000001E-3</v>
      </c>
      <c r="H53" s="171">
        <v>0</v>
      </c>
      <c r="I53" s="171">
        <v>-5.6999999999999998E-4</v>
      </c>
      <c r="K53" s="171">
        <f t="shared" si="8"/>
        <v>5.1700000000000001E-3</v>
      </c>
      <c r="L53" s="212">
        <f t="shared" si="9"/>
        <v>-782.31923000000006</v>
      </c>
    </row>
    <row r="54" spans="1:13">
      <c r="A54" s="180" t="s">
        <v>134</v>
      </c>
      <c r="B54" s="152"/>
      <c r="C54" s="171">
        <v>0</v>
      </c>
      <c r="D54" s="171">
        <v>4.0000000000000002E-4</v>
      </c>
      <c r="E54" s="171"/>
      <c r="F54" s="171">
        <v>3.6600000000000001E-3</v>
      </c>
      <c r="G54" s="171">
        <v>1.1000000000000001E-3</v>
      </c>
      <c r="H54" s="171">
        <v>0</v>
      </c>
      <c r="I54" s="171">
        <v>-5.9000000000000003E-4</v>
      </c>
      <c r="K54" s="171">
        <f t="shared" si="8"/>
        <v>4.5700000000000003E-3</v>
      </c>
      <c r="L54" s="212">
        <f t="shared" si="9"/>
        <v>-14594.550920000001</v>
      </c>
    </row>
    <row r="55" spans="1:13">
      <c r="A55" s="180" t="s">
        <v>135</v>
      </c>
      <c r="B55" s="152"/>
      <c r="C55" s="171">
        <v>-8.0999999999999996E-4</v>
      </c>
      <c r="D55" s="171">
        <v>4.0000000000000002E-4</v>
      </c>
      <c r="E55" s="171"/>
      <c r="F55" s="171">
        <v>3.6600000000000001E-3</v>
      </c>
      <c r="G55" s="171">
        <v>1.1000000000000001E-3</v>
      </c>
      <c r="H55" s="171">
        <v>0</v>
      </c>
      <c r="I55" s="171">
        <v>-5.9000000000000003E-4</v>
      </c>
      <c r="K55" s="171">
        <f t="shared" si="8"/>
        <v>3.7600000000000003E-3</v>
      </c>
      <c r="L55" s="212">
        <f t="shared" si="9"/>
        <v>-342.46080000000001</v>
      </c>
    </row>
    <row r="56" spans="1:13">
      <c r="A56" s="180" t="s">
        <v>136</v>
      </c>
      <c r="B56" s="152"/>
      <c r="C56" s="171">
        <v>0</v>
      </c>
      <c r="D56" s="171">
        <v>0</v>
      </c>
      <c r="E56" s="171"/>
      <c r="F56" s="171">
        <v>2.32E-3</v>
      </c>
      <c r="G56" s="171">
        <v>6.8999999999999997E-4</v>
      </c>
      <c r="H56" s="171">
        <v>0</v>
      </c>
      <c r="I56" s="171">
        <v>-5.6999999999999998E-4</v>
      </c>
      <c r="K56" s="171">
        <f t="shared" si="8"/>
        <v>2.4400000000000003E-3</v>
      </c>
      <c r="L56" s="212">
        <f t="shared" si="9"/>
        <v>-12550.249800000001</v>
      </c>
    </row>
    <row r="57" spans="1:13">
      <c r="A57" s="180" t="s">
        <v>179</v>
      </c>
      <c r="B57" s="152"/>
      <c r="C57" s="171">
        <v>0</v>
      </c>
      <c r="D57" s="171">
        <v>0</v>
      </c>
      <c r="E57" s="171"/>
      <c r="F57" s="171">
        <v>2.32E-3</v>
      </c>
      <c r="G57" s="171">
        <v>0</v>
      </c>
      <c r="H57" s="171">
        <v>0</v>
      </c>
      <c r="I57" s="171">
        <v>-5.6999999999999998E-4</v>
      </c>
      <c r="K57" s="171">
        <f t="shared" si="8"/>
        <v>1.75E-3</v>
      </c>
      <c r="L57" s="212">
        <f t="shared" si="9"/>
        <v>61250</v>
      </c>
    </row>
    <row r="58" spans="1:13">
      <c r="A58" s="180" t="s">
        <v>180</v>
      </c>
      <c r="B58" s="152"/>
      <c r="C58" s="171">
        <v>0</v>
      </c>
      <c r="D58" s="171">
        <v>4.0000000000000002E-4</v>
      </c>
      <c r="E58" s="171"/>
      <c r="F58" s="171">
        <v>3.4099999999999998E-3</v>
      </c>
      <c r="G58" s="171">
        <v>9.6000000000000002E-4</v>
      </c>
      <c r="H58" s="171">
        <v>0</v>
      </c>
      <c r="I58" s="171">
        <v>-6.0999999999999997E-4</v>
      </c>
      <c r="K58" s="171">
        <f t="shared" si="8"/>
        <v>4.1599999999999996E-3</v>
      </c>
      <c r="L58" s="212">
        <f t="shared" si="9"/>
        <v>0</v>
      </c>
    </row>
    <row r="59" spans="1:13">
      <c r="A59" s="180" t="s">
        <v>137</v>
      </c>
      <c r="B59" s="152"/>
      <c r="C59" s="171">
        <v>0</v>
      </c>
      <c r="D59" s="171">
        <v>4.0000000000000002E-4</v>
      </c>
      <c r="E59" s="171"/>
      <c r="F59" s="171">
        <v>3.4099999999999998E-3</v>
      </c>
      <c r="G59" s="171">
        <v>9.6000000000000002E-4</v>
      </c>
      <c r="H59" s="171">
        <v>0</v>
      </c>
      <c r="I59" s="171">
        <v>-6.0999999999999997E-4</v>
      </c>
      <c r="K59" s="171">
        <f t="shared" si="8"/>
        <v>4.1599999999999996E-3</v>
      </c>
      <c r="L59" s="212">
        <f t="shared" si="9"/>
        <v>-551.4079999999999</v>
      </c>
    </row>
    <row r="60" spans="1:13">
      <c r="A60" s="180" t="s">
        <v>138</v>
      </c>
      <c r="B60" s="152"/>
      <c r="C60" s="171">
        <v>-8.0999999999999996E-4</v>
      </c>
      <c r="D60" s="171">
        <v>4.0000000000000002E-4</v>
      </c>
      <c r="E60" s="171"/>
      <c r="F60" s="171">
        <v>3.4099999999999998E-3</v>
      </c>
      <c r="G60" s="171">
        <v>9.6000000000000002E-4</v>
      </c>
      <c r="H60" s="171">
        <v>0</v>
      </c>
      <c r="I60" s="171">
        <v>-6.0999999999999997E-4</v>
      </c>
      <c r="K60" s="171">
        <f t="shared" si="8"/>
        <v>3.3500000000000001E-3</v>
      </c>
      <c r="L60" s="212">
        <f t="shared" si="9"/>
        <v>-15.828750000000001</v>
      </c>
    </row>
    <row r="61" spans="1:13" ht="14.4" customHeight="1">
      <c r="A61" s="180" t="s">
        <v>192</v>
      </c>
      <c r="B61" s="152"/>
      <c r="C61" s="171">
        <v>0</v>
      </c>
      <c r="D61" s="171">
        <v>0</v>
      </c>
      <c r="E61" s="171"/>
      <c r="F61" s="186">
        <v>1.2149999999999999E-2</v>
      </c>
      <c r="G61" s="401" t="s">
        <v>214</v>
      </c>
      <c r="H61" s="171">
        <v>0</v>
      </c>
      <c r="I61" s="186">
        <v>-6.4999999999999997E-4</v>
      </c>
      <c r="K61" s="171">
        <f t="shared" si="8"/>
        <v>1.15E-2</v>
      </c>
      <c r="L61" s="212">
        <f t="shared" si="9"/>
        <v>0</v>
      </c>
    </row>
    <row r="62" spans="1:13">
      <c r="A62" s="180" t="s">
        <v>183</v>
      </c>
      <c r="B62" s="152"/>
      <c r="C62" s="171">
        <v>-8.0999999999999996E-4</v>
      </c>
      <c r="D62" s="171">
        <v>0</v>
      </c>
      <c r="E62" s="171"/>
      <c r="F62" s="186">
        <v>1.2149999999999999E-2</v>
      </c>
      <c r="G62" s="401"/>
      <c r="H62" s="171">
        <v>0</v>
      </c>
      <c r="I62" s="186">
        <v>-6.4999999999999997E-4</v>
      </c>
      <c r="K62" s="171">
        <f t="shared" si="8"/>
        <v>1.069E-2</v>
      </c>
      <c r="L62" s="212">
        <f t="shared" si="9"/>
        <v>0</v>
      </c>
    </row>
    <row r="63" spans="1:13">
      <c r="E63" s="152"/>
      <c r="L63" s="212">
        <f>SUM(L50:L62)</f>
        <v>5537.5693499999879</v>
      </c>
    </row>
    <row r="64" spans="1:13" ht="52.8">
      <c r="A64" s="179" t="s">
        <v>202</v>
      </c>
      <c r="B64" s="154"/>
      <c r="C64" s="172" t="s">
        <v>209</v>
      </c>
      <c r="D64" s="172" t="s">
        <v>213</v>
      </c>
      <c r="E64" s="172" t="s">
        <v>203</v>
      </c>
      <c r="F64" s="172" t="s">
        <v>204</v>
      </c>
      <c r="G64" s="172" t="s">
        <v>205</v>
      </c>
      <c r="H64" s="172" t="s">
        <v>206</v>
      </c>
      <c r="I64" s="172" t="s">
        <v>207</v>
      </c>
      <c r="J64" s="172" t="s">
        <v>208</v>
      </c>
      <c r="M64" s="209"/>
    </row>
    <row r="65" spans="1:13">
      <c r="A65" s="180" t="s">
        <v>131</v>
      </c>
      <c r="C65" s="168">
        <f t="shared" ref="C65:C70" si="10">C50*H3</f>
        <v>2047.63545</v>
      </c>
      <c r="D65" s="168">
        <f t="shared" ref="D65:D70" si="11">D50*H3</f>
        <v>-11249.355250000001</v>
      </c>
      <c r="E65" s="168">
        <f t="shared" ref="E65:E70" si="12">$H3*E50</f>
        <v>0</v>
      </c>
      <c r="F65" s="168">
        <f t="shared" ref="F65:G70" si="13">($H3*F50)</f>
        <v>-8696.130799999999</v>
      </c>
      <c r="G65" s="168">
        <f t="shared" si="13"/>
        <v>-2654.3422499999997</v>
      </c>
      <c r="H65" s="168">
        <f t="shared" ref="H65:H70" si="14">$H3*H50</f>
        <v>0</v>
      </c>
      <c r="I65" s="168">
        <f t="shared" ref="I65:I70" si="15">(I50*H3)</f>
        <v>1440.9286499999998</v>
      </c>
      <c r="J65" s="168">
        <f>SUM(C65:I65)</f>
        <v>-19111.264199999998</v>
      </c>
      <c r="M65" s="168"/>
    </row>
    <row r="66" spans="1:13">
      <c r="A66" s="180" t="s">
        <v>178</v>
      </c>
      <c r="C66" s="168">
        <f t="shared" si="10"/>
        <v>8.61111</v>
      </c>
      <c r="D66" s="168">
        <f t="shared" si="11"/>
        <v>-47.307949999999998</v>
      </c>
      <c r="E66" s="168">
        <f t="shared" si="12"/>
        <v>335.19543000000004</v>
      </c>
      <c r="F66" s="168">
        <f t="shared" si="13"/>
        <v>-36.570639999999997</v>
      </c>
      <c r="G66" s="168">
        <f t="shared" si="13"/>
        <v>-11.16255</v>
      </c>
      <c r="H66" s="168">
        <f t="shared" si="14"/>
        <v>0</v>
      </c>
      <c r="I66" s="168">
        <f t="shared" si="15"/>
        <v>6.0596699999999997</v>
      </c>
      <c r="J66" s="168">
        <f t="shared" ref="J66:J75" si="16">SUM(C66:I66)</f>
        <v>254.82507000000001</v>
      </c>
      <c r="M66" s="168"/>
    </row>
    <row r="67" spans="1:13">
      <c r="A67" s="180" t="s">
        <v>132</v>
      </c>
      <c r="C67" s="168">
        <f t="shared" si="10"/>
        <v>0</v>
      </c>
      <c r="D67" s="168">
        <f t="shared" si="11"/>
        <v>-536.39960000000008</v>
      </c>
      <c r="E67" s="168">
        <f t="shared" si="12"/>
        <v>0</v>
      </c>
      <c r="F67" s="168">
        <f t="shared" si="13"/>
        <v>-6208.8253699999996</v>
      </c>
      <c r="G67" s="168">
        <f t="shared" si="13"/>
        <v>-2038.3184800000001</v>
      </c>
      <c r="H67" s="168">
        <f t="shared" si="14"/>
        <v>0</v>
      </c>
      <c r="I67" s="168">
        <f t="shared" si="15"/>
        <v>764.36942999999997</v>
      </c>
      <c r="J67" s="168">
        <f t="shared" si="16"/>
        <v>-8019.1740199999995</v>
      </c>
      <c r="M67" s="168"/>
    </row>
    <row r="68" spans="1:13">
      <c r="A68" s="180" t="s">
        <v>133</v>
      </c>
      <c r="C68" s="168">
        <f t="shared" si="10"/>
        <v>122.56838999999999</v>
      </c>
      <c r="D68" s="168">
        <f t="shared" si="11"/>
        <v>-60.5276</v>
      </c>
      <c r="E68" s="168">
        <f t="shared" si="12"/>
        <v>0</v>
      </c>
      <c r="F68" s="168">
        <f t="shared" si="13"/>
        <v>-700.60696999999993</v>
      </c>
      <c r="G68" s="168">
        <f t="shared" si="13"/>
        <v>-230.00488000000001</v>
      </c>
      <c r="H68" s="168">
        <f t="shared" si="14"/>
        <v>0</v>
      </c>
      <c r="I68" s="168">
        <f t="shared" si="15"/>
        <v>86.251829999999998</v>
      </c>
      <c r="J68" s="168">
        <f t="shared" si="16"/>
        <v>-782.31922999999995</v>
      </c>
      <c r="M68" s="168"/>
    </row>
    <row r="69" spans="1:13">
      <c r="A69" s="180" t="s">
        <v>134</v>
      </c>
      <c r="C69" s="168">
        <f t="shared" si="10"/>
        <v>0</v>
      </c>
      <c r="D69" s="168">
        <f t="shared" si="11"/>
        <v>-1277.4224000000002</v>
      </c>
      <c r="E69" s="168">
        <f t="shared" si="12"/>
        <v>0</v>
      </c>
      <c r="F69" s="168">
        <f t="shared" si="13"/>
        <v>-11688.41496</v>
      </c>
      <c r="G69" s="168">
        <f t="shared" si="13"/>
        <v>-3512.9116000000004</v>
      </c>
      <c r="H69" s="168">
        <f t="shared" si="14"/>
        <v>0</v>
      </c>
      <c r="I69" s="168">
        <f t="shared" si="15"/>
        <v>1884.19804</v>
      </c>
      <c r="J69" s="168">
        <f t="shared" si="16"/>
        <v>-14594.550920000001</v>
      </c>
      <c r="M69" s="168"/>
    </row>
    <row r="70" spans="1:13">
      <c r="A70" s="180" t="s">
        <v>135</v>
      </c>
      <c r="C70" s="168">
        <f t="shared" si="10"/>
        <v>73.774799999999999</v>
      </c>
      <c r="D70" s="168">
        <f t="shared" si="11"/>
        <v>-36.432000000000002</v>
      </c>
      <c r="E70" s="168">
        <f t="shared" si="12"/>
        <v>0</v>
      </c>
      <c r="F70" s="168">
        <f t="shared" si="13"/>
        <v>-333.3528</v>
      </c>
      <c r="G70" s="168">
        <f t="shared" si="13"/>
        <v>-100.188</v>
      </c>
      <c r="H70" s="168">
        <f t="shared" si="14"/>
        <v>0</v>
      </c>
      <c r="I70" s="168">
        <f t="shared" si="15"/>
        <v>53.737200000000001</v>
      </c>
      <c r="J70" s="168">
        <f>SUM(C70:I70)</f>
        <v>-342.46079999999995</v>
      </c>
      <c r="M70" s="168"/>
    </row>
    <row r="71" spans="1:13">
      <c r="A71" s="180" t="s">
        <v>136</v>
      </c>
      <c r="C71" s="168">
        <f t="shared" ref="C71:I71" si="17">$H9*C56+$H10*C57</f>
        <v>0</v>
      </c>
      <c r="D71" s="168">
        <f t="shared" si="17"/>
        <v>0</v>
      </c>
      <c r="E71" s="168">
        <f t="shared" si="17"/>
        <v>0</v>
      </c>
      <c r="F71" s="168">
        <f t="shared" si="17"/>
        <v>69266.975600000005</v>
      </c>
      <c r="G71" s="168">
        <f t="shared" si="17"/>
        <v>-3549.0460499999999</v>
      </c>
      <c r="H71" s="168">
        <f t="shared" si="17"/>
        <v>0</v>
      </c>
      <c r="I71" s="168">
        <f t="shared" si="17"/>
        <v>-17018.179349999999</v>
      </c>
      <c r="J71" s="168">
        <f t="shared" si="16"/>
        <v>48699.750200000002</v>
      </c>
      <c r="M71" s="168"/>
    </row>
    <row r="72" spans="1:13">
      <c r="A72" s="180" t="s">
        <v>180</v>
      </c>
      <c r="C72" s="168">
        <f t="shared" ref="C72:E74" si="18">$H11*C58</f>
        <v>0</v>
      </c>
      <c r="D72" s="168">
        <f t="shared" si="18"/>
        <v>0</v>
      </c>
      <c r="E72" s="168">
        <f t="shared" si="18"/>
        <v>0</v>
      </c>
      <c r="F72" s="168">
        <f t="shared" ref="F72:G74" si="19">($H11*F58)</f>
        <v>0</v>
      </c>
      <c r="G72" s="168">
        <f t="shared" si="19"/>
        <v>0</v>
      </c>
      <c r="H72" s="168">
        <f t="shared" ref="H72:I74" si="20">$H11*H58</f>
        <v>0</v>
      </c>
      <c r="I72" s="168">
        <f t="shared" si="20"/>
        <v>0</v>
      </c>
      <c r="J72" s="168">
        <f t="shared" si="16"/>
        <v>0</v>
      </c>
      <c r="M72" s="168"/>
    </row>
    <row r="73" spans="1:13">
      <c r="A73" s="180" t="s">
        <v>137</v>
      </c>
      <c r="C73" s="168">
        <f t="shared" si="18"/>
        <v>0</v>
      </c>
      <c r="D73" s="168">
        <f t="shared" si="18"/>
        <v>-53.02</v>
      </c>
      <c r="E73" s="168">
        <f t="shared" si="18"/>
        <v>0</v>
      </c>
      <c r="F73" s="168">
        <f t="shared" si="19"/>
        <v>-451.99549999999999</v>
      </c>
      <c r="G73" s="168">
        <f t="shared" si="19"/>
        <v>-127.248</v>
      </c>
      <c r="H73" s="168">
        <f t="shared" si="20"/>
        <v>0</v>
      </c>
      <c r="I73" s="168">
        <f t="shared" si="20"/>
        <v>80.855499999999992</v>
      </c>
      <c r="J73" s="168">
        <f t="shared" si="16"/>
        <v>-551.40800000000002</v>
      </c>
      <c r="M73" s="168"/>
    </row>
    <row r="74" spans="1:13">
      <c r="A74" s="180" t="s">
        <v>138</v>
      </c>
      <c r="C74" s="168">
        <f t="shared" si="18"/>
        <v>3.8272499999999998</v>
      </c>
      <c r="D74" s="168">
        <f t="shared" si="18"/>
        <v>-1.8900000000000001</v>
      </c>
      <c r="E74" s="168">
        <f t="shared" si="18"/>
        <v>0</v>
      </c>
      <c r="F74" s="168">
        <f t="shared" si="19"/>
        <v>-16.11225</v>
      </c>
      <c r="G74" s="168">
        <f t="shared" si="19"/>
        <v>-4.5360000000000005</v>
      </c>
      <c r="H74" s="168">
        <f t="shared" si="20"/>
        <v>0</v>
      </c>
      <c r="I74" s="168">
        <f t="shared" si="20"/>
        <v>2.88225</v>
      </c>
      <c r="J74" s="168">
        <f t="shared" si="16"/>
        <v>-15.828750000000003</v>
      </c>
      <c r="M74" s="168"/>
    </row>
    <row r="75" spans="1:13">
      <c r="A75" s="180" t="s">
        <v>192</v>
      </c>
      <c r="C75" s="168">
        <f>($H14+$H15)*C61+$H16*C62</f>
        <v>0</v>
      </c>
      <c r="D75" s="168">
        <f>($H14+$H15)*D61+$H16*D62</f>
        <v>0</v>
      </c>
      <c r="E75" s="168">
        <f>($H14+$H15)*E61+$H16*E62</f>
        <v>0</v>
      </c>
      <c r="F75" s="168">
        <f>($H14+$H15)*F61+$H16*F62</f>
        <v>0</v>
      </c>
      <c r="G75" s="168"/>
      <c r="H75" s="168">
        <f>($H14+$H15)*H61+$H16*H62</f>
        <v>0</v>
      </c>
      <c r="I75" s="168">
        <f>($H14+$H15)*I61+$H16*I62</f>
        <v>0</v>
      </c>
      <c r="J75" s="168">
        <f t="shared" si="16"/>
        <v>0</v>
      </c>
      <c r="M75" s="168"/>
    </row>
    <row r="76" spans="1:13">
      <c r="A76" s="157"/>
      <c r="C76" s="193">
        <f t="shared" ref="C76:J76" si="21">SUM(C65:C75)</f>
        <v>2256.4169999999999</v>
      </c>
      <c r="D76" s="193">
        <f t="shared" si="21"/>
        <v>-13262.354800000001</v>
      </c>
      <c r="E76" s="193">
        <f t="shared" si="21"/>
        <v>335.19543000000004</v>
      </c>
      <c r="F76" s="193">
        <f t="shared" si="21"/>
        <v>41134.966310000011</v>
      </c>
      <c r="G76" s="193">
        <f t="shared" si="21"/>
        <v>-12227.757809999999</v>
      </c>
      <c r="H76" s="193">
        <f t="shared" si="21"/>
        <v>0</v>
      </c>
      <c r="I76" s="193">
        <f t="shared" si="21"/>
        <v>-12698.896779999999</v>
      </c>
      <c r="J76" s="193">
        <f t="shared" si="21"/>
        <v>5537.5693500000016</v>
      </c>
    </row>
    <row r="77" spans="1:13" ht="15.75" customHeight="1"/>
    <row r="78" spans="1:13">
      <c r="A78" s="152" t="s">
        <v>19</v>
      </c>
      <c r="B78" s="152"/>
      <c r="C78" s="168">
        <f t="shared" ref="C78:J78" si="22">C65+C66</f>
        <v>2056.24656</v>
      </c>
      <c r="D78" s="168">
        <f t="shared" si="22"/>
        <v>-11296.663200000001</v>
      </c>
      <c r="E78" s="168">
        <f t="shared" si="22"/>
        <v>335.19543000000004</v>
      </c>
      <c r="F78" s="168">
        <f t="shared" si="22"/>
        <v>-8732.7014399999989</v>
      </c>
      <c r="G78" s="168">
        <f t="shared" si="22"/>
        <v>-2665.5047999999997</v>
      </c>
      <c r="H78" s="168">
        <f t="shared" si="22"/>
        <v>0</v>
      </c>
      <c r="I78" s="168">
        <f t="shared" si="22"/>
        <v>1446.9883199999999</v>
      </c>
      <c r="J78" s="168">
        <f t="shared" si="22"/>
        <v>-18856.439129999999</v>
      </c>
    </row>
    <row r="79" spans="1:13">
      <c r="A79" s="152"/>
      <c r="B79" s="152"/>
      <c r="C79" s="168"/>
      <c r="D79" s="168"/>
      <c r="E79" s="168"/>
      <c r="F79" s="168"/>
      <c r="G79" s="168"/>
      <c r="H79" s="168"/>
      <c r="I79" s="168"/>
      <c r="J79" s="168"/>
    </row>
    <row r="80" spans="1:13">
      <c r="A80" s="152" t="s">
        <v>184</v>
      </c>
      <c r="B80" s="152"/>
      <c r="C80" s="176">
        <f t="shared" ref="C80:J80" si="23">SUM(C67:C70,C72:C74)</f>
        <v>200.17043999999999</v>
      </c>
      <c r="D80" s="176">
        <f t="shared" si="23"/>
        <v>-1965.6916000000003</v>
      </c>
      <c r="E80" s="176">
        <f t="shared" si="23"/>
        <v>0</v>
      </c>
      <c r="F80" s="176">
        <f t="shared" si="23"/>
        <v>-19399.307850000001</v>
      </c>
      <c r="G80" s="176">
        <f t="shared" si="23"/>
        <v>-6013.2069600000004</v>
      </c>
      <c r="H80" s="176">
        <f t="shared" si="23"/>
        <v>0</v>
      </c>
      <c r="I80" s="176">
        <f t="shared" si="23"/>
        <v>2872.2942500000004</v>
      </c>
      <c r="J80" s="176">
        <f t="shared" si="23"/>
        <v>-24305.741720000002</v>
      </c>
    </row>
    <row r="81" spans="1:14" ht="15.75" customHeight="1"/>
    <row r="82" spans="1:14" ht="14.4">
      <c r="A82" s="151" t="s">
        <v>215</v>
      </c>
      <c r="B82" s="151"/>
      <c r="C82" s="151"/>
      <c r="D82" s="151"/>
      <c r="E82" s="151"/>
      <c r="F82" s="151"/>
    </row>
    <row r="83" spans="1:14" ht="14.4">
      <c r="A83" s="151" t="s">
        <v>223</v>
      </c>
      <c r="B83" s="151"/>
      <c r="C83" s="151"/>
      <c r="D83" s="151"/>
      <c r="E83" s="151"/>
      <c r="F83" s="151"/>
    </row>
    <row r="84" spans="1:14" ht="14.4">
      <c r="A84" s="170" t="s">
        <v>222</v>
      </c>
      <c r="B84" s="170"/>
      <c r="C84" s="170"/>
      <c r="D84" s="170"/>
      <c r="E84" s="170"/>
      <c r="F84" s="151"/>
    </row>
    <row r="85" spans="1:14" ht="28.8">
      <c r="A85" s="170"/>
      <c r="B85" s="197" t="s">
        <v>216</v>
      </c>
      <c r="C85" s="197" t="s">
        <v>217</v>
      </c>
      <c r="D85" s="197" t="s">
        <v>218</v>
      </c>
      <c r="E85" s="197" t="s">
        <v>221</v>
      </c>
      <c r="F85" s="151"/>
    </row>
    <row r="86" spans="1:14" ht="14.4">
      <c r="A86" s="170" t="s">
        <v>231</v>
      </c>
      <c r="B86" s="198">
        <v>1</v>
      </c>
      <c r="C86" s="199">
        <v>951957.3</v>
      </c>
      <c r="D86" s="200">
        <f>78038.39-C86*SUM(K56)</f>
        <v>75715.614187999992</v>
      </c>
      <c r="E86" s="200">
        <v>500</v>
      </c>
      <c r="F86" s="201" t="s">
        <v>219</v>
      </c>
      <c r="K86" s="198"/>
      <c r="L86" s="199"/>
      <c r="M86" s="200"/>
      <c r="N86" s="200"/>
    </row>
    <row r="87" spans="1:14" ht="28.8">
      <c r="A87" s="202" t="s">
        <v>220</v>
      </c>
      <c r="B87" s="203">
        <f>SUM(B86:B86)</f>
        <v>1</v>
      </c>
      <c r="C87" s="204">
        <f>SUM(C86:C86)</f>
        <v>951957.3</v>
      </c>
      <c r="D87" s="205">
        <f>SUM(D86:D86)</f>
        <v>75715.614187999992</v>
      </c>
      <c r="E87" s="205">
        <f>SUM(E86:E86)</f>
        <v>500</v>
      </c>
      <c r="F87" s="151"/>
    </row>
    <row r="88" spans="1:14" ht="9" customHeight="1">
      <c r="A88" s="170"/>
      <c r="B88" s="170"/>
      <c r="C88" s="170"/>
      <c r="D88" s="170"/>
      <c r="E88" s="170"/>
      <c r="F88" s="151"/>
    </row>
    <row r="89" spans="1:14" ht="14.4">
      <c r="A89" s="206" t="s">
        <v>232</v>
      </c>
      <c r="B89" s="206"/>
      <c r="C89" s="206"/>
      <c r="D89" s="206"/>
      <c r="E89" s="206"/>
      <c r="F89" s="151"/>
    </row>
  </sheetData>
  <mergeCells count="2">
    <mergeCell ref="A1:I1"/>
    <mergeCell ref="G61:G62"/>
  </mergeCells>
  <pageMargins left="0.57999999999999996" right="0.6" top="0.47" bottom="0.5" header="0.3" footer="0.3"/>
  <pageSetup scale="77" orientation="landscape" r:id="rId1"/>
  <headerFooter>
    <oddFooter>&amp;L&amp;F / &amp;A&amp;RPage &amp;P</oddFooter>
  </headerFooter>
  <rowBreaks count="1" manualBreakCount="1">
    <brk id="46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opLeftCell="E23" workbookViewId="0">
      <selection activeCell="M52" sqref="M52"/>
    </sheetView>
  </sheetViews>
  <sheetFormatPr defaultRowHeight="14.4"/>
  <cols>
    <col min="1" max="1" width="2.44140625" customWidth="1"/>
    <col min="2" max="2" width="22.6640625" customWidth="1"/>
    <col min="4" max="15" width="12.5546875" bestFit="1" customWidth="1"/>
    <col min="16" max="16" width="14.33203125" bestFit="1" customWidth="1"/>
  </cols>
  <sheetData>
    <row r="1" spans="1:16">
      <c r="A1" t="s">
        <v>287</v>
      </c>
    </row>
    <row r="2" spans="1:16">
      <c r="A2" t="s">
        <v>80</v>
      </c>
    </row>
    <row r="3" spans="1:16">
      <c r="A3" t="s">
        <v>266</v>
      </c>
    </row>
    <row r="4" spans="1:16">
      <c r="A4" t="s">
        <v>81</v>
      </c>
    </row>
    <row r="5" spans="1:16">
      <c r="D5" s="327">
        <v>42370</v>
      </c>
      <c r="E5" s="327">
        <v>42401</v>
      </c>
      <c r="F5" s="327">
        <v>42430</v>
      </c>
      <c r="G5" s="327">
        <v>42461</v>
      </c>
      <c r="H5" s="327">
        <v>42491</v>
      </c>
      <c r="I5" s="327">
        <v>42522</v>
      </c>
      <c r="J5" s="327">
        <v>42552</v>
      </c>
      <c r="K5" s="327">
        <v>42583</v>
      </c>
      <c r="L5" s="327">
        <v>42614</v>
      </c>
      <c r="M5" s="327">
        <v>42644</v>
      </c>
      <c r="N5" s="327">
        <v>42675</v>
      </c>
      <c r="O5" s="327">
        <v>42705</v>
      </c>
      <c r="P5" t="s">
        <v>66</v>
      </c>
    </row>
    <row r="6" spans="1:16">
      <c r="A6" t="s">
        <v>84</v>
      </c>
    </row>
    <row r="7" spans="1:16">
      <c r="B7" t="s">
        <v>267</v>
      </c>
      <c r="D7" s="50">
        <v>281027480</v>
      </c>
      <c r="E7" s="50">
        <v>230506821</v>
      </c>
      <c r="F7" s="50">
        <v>198363507</v>
      </c>
      <c r="G7" s="50">
        <v>175201661</v>
      </c>
      <c r="H7" s="50">
        <v>148495652</v>
      </c>
      <c r="I7" s="50">
        <v>154090136.59999999</v>
      </c>
      <c r="J7" s="50">
        <v>163425633</v>
      </c>
      <c r="K7" s="50">
        <v>176921758</v>
      </c>
      <c r="L7" s="50">
        <v>176555296</v>
      </c>
      <c r="M7" s="50">
        <v>148062106</v>
      </c>
      <c r="N7" s="50">
        <v>171637794</v>
      </c>
      <c r="O7" s="50">
        <v>244773659</v>
      </c>
      <c r="P7" s="50">
        <v>2269061503.5999999</v>
      </c>
    </row>
    <row r="8" spans="1:16">
      <c r="B8" t="s">
        <v>85</v>
      </c>
      <c r="D8" s="50">
        <v>62103053</v>
      </c>
      <c r="E8" s="50">
        <v>55492050</v>
      </c>
      <c r="F8" s="50">
        <v>51335713</v>
      </c>
      <c r="G8" s="50">
        <v>47127306</v>
      </c>
      <c r="H8" s="50">
        <v>45475268</v>
      </c>
      <c r="I8" s="50">
        <v>46917495</v>
      </c>
      <c r="J8" s="50">
        <v>48733807</v>
      </c>
      <c r="K8" s="50">
        <v>51765642</v>
      </c>
      <c r="L8" s="50">
        <v>52690785</v>
      </c>
      <c r="M8" s="50">
        <v>45883770</v>
      </c>
      <c r="N8" s="50">
        <v>46983800</v>
      </c>
      <c r="O8" s="50">
        <v>57305285</v>
      </c>
      <c r="P8" s="50">
        <v>611813974</v>
      </c>
    </row>
    <row r="9" spans="1:16">
      <c r="B9" t="s">
        <v>86</v>
      </c>
      <c r="D9" s="50">
        <v>125186862</v>
      </c>
      <c r="E9" s="50">
        <v>112643414</v>
      </c>
      <c r="F9" s="50">
        <v>107231528</v>
      </c>
      <c r="G9" s="50">
        <v>112981690</v>
      </c>
      <c r="H9" s="50">
        <v>112626772</v>
      </c>
      <c r="I9" s="50">
        <v>118295108</v>
      </c>
      <c r="J9" s="50">
        <v>119288439</v>
      </c>
      <c r="K9" s="50">
        <v>119517243</v>
      </c>
      <c r="L9" s="50">
        <v>125067964</v>
      </c>
      <c r="M9" s="50">
        <v>111371375</v>
      </c>
      <c r="N9" s="50">
        <v>108423915</v>
      </c>
      <c r="O9" s="50">
        <v>125109526</v>
      </c>
      <c r="P9" s="50">
        <v>1397743836</v>
      </c>
    </row>
    <row r="10" spans="1:16">
      <c r="B10" t="s">
        <v>268</v>
      </c>
      <c r="D10" s="50">
        <v>93759560</v>
      </c>
      <c r="E10" s="50">
        <v>89320116</v>
      </c>
      <c r="F10" s="50">
        <v>92724920</v>
      </c>
      <c r="G10" s="50">
        <v>81644231</v>
      </c>
      <c r="H10" s="50">
        <v>98986457</v>
      </c>
      <c r="I10" s="50">
        <v>55033539</v>
      </c>
      <c r="J10" s="50">
        <v>135689737</v>
      </c>
      <c r="K10" s="50">
        <v>98320357</v>
      </c>
      <c r="L10" s="50">
        <v>86043771</v>
      </c>
      <c r="M10" s="50">
        <v>91087801</v>
      </c>
      <c r="N10" s="50">
        <v>88451909</v>
      </c>
      <c r="O10" s="50">
        <v>95010892</v>
      </c>
      <c r="P10" s="50">
        <v>1106073290</v>
      </c>
    </row>
    <row r="11" spans="1:16">
      <c r="B11" t="s">
        <v>269</v>
      </c>
      <c r="D11" s="50">
        <v>3962568.5</v>
      </c>
      <c r="E11" s="50">
        <v>3835415</v>
      </c>
      <c r="F11" s="50">
        <v>3817404</v>
      </c>
      <c r="G11" s="50">
        <v>5668911</v>
      </c>
      <c r="H11" s="50">
        <v>11827237</v>
      </c>
      <c r="I11" s="50">
        <v>17473356.666670002</v>
      </c>
      <c r="J11" s="50">
        <v>21240193</v>
      </c>
      <c r="K11" s="50">
        <v>24373405</v>
      </c>
      <c r="L11" s="50">
        <v>21721978</v>
      </c>
      <c r="M11" s="50">
        <v>12100052</v>
      </c>
      <c r="N11" s="50">
        <v>3753578</v>
      </c>
      <c r="O11" s="50">
        <v>3803632</v>
      </c>
      <c r="P11" s="50">
        <v>133577730.16666999</v>
      </c>
    </row>
    <row r="12" spans="1:16">
      <c r="B12" t="s">
        <v>87</v>
      </c>
      <c r="D12" s="50">
        <v>2124844.9717100002</v>
      </c>
      <c r="E12" s="50">
        <v>1905380.7574100001</v>
      </c>
      <c r="F12" s="50">
        <v>1884539.6084299998</v>
      </c>
      <c r="G12" s="50">
        <v>1916999.49967</v>
      </c>
      <c r="H12" s="50">
        <v>1959056.7826600003</v>
      </c>
      <c r="I12" s="50">
        <v>1909984.0465300002</v>
      </c>
      <c r="J12" s="50">
        <v>1897894.3302699998</v>
      </c>
      <c r="K12" s="50">
        <v>1950448.3249700002</v>
      </c>
      <c r="L12" s="50">
        <v>1909711.9522499999</v>
      </c>
      <c r="M12" s="50">
        <v>1857123.46842</v>
      </c>
      <c r="N12" s="50">
        <v>1889621.05859</v>
      </c>
      <c r="O12" s="50">
        <v>1915566.0024200003</v>
      </c>
      <c r="P12" s="50">
        <v>23121170.803329997</v>
      </c>
    </row>
    <row r="13" spans="1:16">
      <c r="A13" t="s">
        <v>88</v>
      </c>
      <c r="D13" s="51">
        <v>568164368.47170997</v>
      </c>
      <c r="E13" s="51">
        <v>493703196.75740999</v>
      </c>
      <c r="F13" s="51">
        <v>455357611.60843003</v>
      </c>
      <c r="G13" s="51">
        <v>424540798.49967003</v>
      </c>
      <c r="H13" s="51">
        <v>419370442.78266001</v>
      </c>
      <c r="I13" s="51">
        <v>393719619.31320006</v>
      </c>
      <c r="J13" s="51">
        <v>490275703.33026999</v>
      </c>
      <c r="K13" s="51">
        <v>472848853.32497001</v>
      </c>
      <c r="L13" s="51">
        <v>463989505.95225</v>
      </c>
      <c r="M13" s="51">
        <v>410362227.46842003</v>
      </c>
      <c r="N13" s="51">
        <v>421140617.05858999</v>
      </c>
      <c r="O13" s="51">
        <v>527918560.00242001</v>
      </c>
      <c r="P13" s="51">
        <v>5541391504.5700006</v>
      </c>
    </row>
    <row r="14" spans="1:16"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>
      <c r="A15" t="s">
        <v>89</v>
      </c>
    </row>
    <row r="16" spans="1:16">
      <c r="B16" t="s">
        <v>267</v>
      </c>
      <c r="D16" s="50">
        <v>-5802194</v>
      </c>
      <c r="E16" s="50">
        <v>-20987679</v>
      </c>
      <c r="F16" s="50">
        <v>142616</v>
      </c>
      <c r="G16" s="50">
        <v>-18536904</v>
      </c>
      <c r="H16" s="50">
        <v>-6065337</v>
      </c>
      <c r="I16" s="50">
        <v>2412838</v>
      </c>
      <c r="J16" s="50">
        <v>15208818</v>
      </c>
      <c r="K16" s="50">
        <v>4646020</v>
      </c>
      <c r="L16" s="50">
        <v>-22372199</v>
      </c>
      <c r="M16" s="50">
        <v>9116055</v>
      </c>
      <c r="N16" s="50">
        <v>21662026</v>
      </c>
      <c r="O16" s="50">
        <v>39741167</v>
      </c>
      <c r="P16" s="50">
        <v>19165227</v>
      </c>
    </row>
    <row r="17" spans="1:16">
      <c r="B17" t="s">
        <v>85</v>
      </c>
      <c r="D17" s="50">
        <v>-2623049</v>
      </c>
      <c r="E17" s="50">
        <v>-2413188</v>
      </c>
      <c r="F17" s="50">
        <v>2101017</v>
      </c>
      <c r="G17" s="50">
        <v>-3831123</v>
      </c>
      <c r="H17" s="50">
        <v>1698711</v>
      </c>
      <c r="I17" s="50">
        <v>602404</v>
      </c>
      <c r="J17" s="50">
        <v>3918304</v>
      </c>
      <c r="K17" s="50">
        <v>774679</v>
      </c>
      <c r="L17" s="50">
        <v>-6018955</v>
      </c>
      <c r="M17" s="50">
        <v>3843245</v>
      </c>
      <c r="N17" s="50">
        <v>2414933</v>
      </c>
      <c r="O17" s="50">
        <v>4423953</v>
      </c>
      <c r="P17" s="50">
        <v>4890931</v>
      </c>
    </row>
    <row r="18" spans="1:16">
      <c r="B18" t="s">
        <v>86</v>
      </c>
      <c r="D18" s="50">
        <v>-10193765</v>
      </c>
      <c r="E18" s="50">
        <v>-4767451</v>
      </c>
      <c r="F18" s="50">
        <v>6082535</v>
      </c>
      <c r="G18" s="50">
        <v>-133123</v>
      </c>
      <c r="H18" s="50">
        <v>6764776</v>
      </c>
      <c r="I18" s="50">
        <v>2048807</v>
      </c>
      <c r="J18" s="50">
        <v>7701313</v>
      </c>
      <c r="K18" s="50">
        <v>-2644118</v>
      </c>
      <c r="L18" s="50">
        <v>-12188232</v>
      </c>
      <c r="M18" s="50">
        <v>10680568</v>
      </c>
      <c r="N18" s="50">
        <v>1970093</v>
      </c>
      <c r="O18" s="50">
        <v>5732655</v>
      </c>
      <c r="P18" s="50">
        <v>11054058</v>
      </c>
    </row>
    <row r="19" spans="1:16">
      <c r="B19" t="s">
        <v>268</v>
      </c>
      <c r="D19" s="50">
        <v>-1129891</v>
      </c>
      <c r="E19" s="50">
        <v>-1524703</v>
      </c>
      <c r="F19" s="50">
        <v>0</v>
      </c>
      <c r="G19" s="50">
        <v>952096</v>
      </c>
      <c r="H19" s="50">
        <v>2295167</v>
      </c>
      <c r="I19" s="50">
        <v>38362784</v>
      </c>
      <c r="J19" s="50">
        <v>-41610047</v>
      </c>
      <c r="K19" s="50">
        <v>0</v>
      </c>
      <c r="L19" s="50">
        <v>4399998</v>
      </c>
      <c r="M19" s="50">
        <v>2327328</v>
      </c>
      <c r="N19" s="50">
        <v>-339369</v>
      </c>
      <c r="O19" s="50">
        <v>-1814256</v>
      </c>
      <c r="P19" s="50">
        <v>1919107</v>
      </c>
    </row>
    <row r="20" spans="1:16">
      <c r="B20" t="s">
        <v>269</v>
      </c>
      <c r="D20" s="50">
        <v>-486558</v>
      </c>
      <c r="E20" s="50">
        <v>-27471</v>
      </c>
      <c r="F20" s="50">
        <v>294254</v>
      </c>
      <c r="G20" s="50">
        <v>328652</v>
      </c>
      <c r="H20" s="50">
        <v>1261969</v>
      </c>
      <c r="I20" s="50">
        <v>3988789</v>
      </c>
      <c r="J20" s="50">
        <v>338264</v>
      </c>
      <c r="K20" s="50">
        <v>1094999</v>
      </c>
      <c r="L20" s="50">
        <v>-2742861</v>
      </c>
      <c r="M20" s="50">
        <v>-1221586</v>
      </c>
      <c r="N20" s="50">
        <v>-2947312</v>
      </c>
      <c r="O20" s="50">
        <v>36441</v>
      </c>
      <c r="P20" s="50">
        <v>-82420</v>
      </c>
    </row>
    <row r="21" spans="1:16">
      <c r="B21" t="s">
        <v>87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</row>
    <row r="22" spans="1:16">
      <c r="A22" t="s">
        <v>90</v>
      </c>
      <c r="D22" s="51">
        <v>-20235457</v>
      </c>
      <c r="E22" s="51">
        <v>-29720492</v>
      </c>
      <c r="F22" s="51">
        <v>8620422</v>
      </c>
      <c r="G22" s="51">
        <v>-21220402</v>
      </c>
      <c r="H22" s="51">
        <v>5955286</v>
      </c>
      <c r="I22" s="51">
        <v>47415622</v>
      </c>
      <c r="J22" s="51">
        <v>-14443348</v>
      </c>
      <c r="K22" s="51">
        <v>3871580</v>
      </c>
      <c r="L22" s="51">
        <v>-38922249</v>
      </c>
      <c r="M22" s="51">
        <v>24745610</v>
      </c>
      <c r="N22" s="51">
        <v>22760371</v>
      </c>
      <c r="O22" s="51">
        <v>48119960</v>
      </c>
      <c r="P22" s="51">
        <v>36946903</v>
      </c>
    </row>
    <row r="24" spans="1:16">
      <c r="A24" t="s">
        <v>91</v>
      </c>
    </row>
    <row r="25" spans="1:16">
      <c r="B25" t="s">
        <v>85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>
        <v>0</v>
      </c>
    </row>
    <row r="26" spans="1:16">
      <c r="B26" t="s">
        <v>86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>
        <v>0</v>
      </c>
    </row>
    <row r="27" spans="1:16">
      <c r="A27" t="s">
        <v>91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</row>
    <row r="28" spans="1:16"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>
      <c r="A29" t="s">
        <v>92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>
      <c r="B30" t="s">
        <v>268</v>
      </c>
      <c r="D30" s="50">
        <v>-409662</v>
      </c>
      <c r="E30" s="50">
        <v>0</v>
      </c>
      <c r="F30" s="50">
        <v>647398</v>
      </c>
      <c r="G30" s="50">
        <v>5960523</v>
      </c>
      <c r="H30" s="50">
        <v>-6761048</v>
      </c>
      <c r="I30" s="50">
        <v>270619</v>
      </c>
      <c r="J30" s="50">
        <v>-117492</v>
      </c>
      <c r="K30" s="50">
        <v>0</v>
      </c>
      <c r="L30" s="50">
        <v>0</v>
      </c>
      <c r="M30" s="50">
        <v>-255888</v>
      </c>
      <c r="N30" s="50">
        <v>204162</v>
      </c>
      <c r="O30" s="50">
        <v>-122851</v>
      </c>
      <c r="P30" s="50">
        <v>-584239</v>
      </c>
    </row>
    <row r="32" spans="1:16">
      <c r="A32" t="s">
        <v>93</v>
      </c>
    </row>
    <row r="33" spans="1:16">
      <c r="B33" t="s">
        <v>267</v>
      </c>
      <c r="D33" s="50">
        <v>7493658</v>
      </c>
      <c r="E33" s="50">
        <v>19509772</v>
      </c>
      <c r="F33" s="50">
        <v>11259273</v>
      </c>
      <c r="G33" s="50">
        <v>20261319</v>
      </c>
      <c r="H33" s="50">
        <v>12470672</v>
      </c>
      <c r="I33" s="50">
        <v>-12886269</v>
      </c>
      <c r="J33" s="50">
        <v>11867820</v>
      </c>
      <c r="K33" s="50">
        <v>-9609386</v>
      </c>
      <c r="L33" s="50">
        <v>8630784</v>
      </c>
      <c r="M33" s="50">
        <v>1891413</v>
      </c>
      <c r="N33" s="50">
        <v>22644242</v>
      </c>
      <c r="O33" s="50">
        <v>-19874040</v>
      </c>
      <c r="P33" s="50">
        <v>73659258</v>
      </c>
    </row>
    <row r="34" spans="1:16">
      <c r="B34" t="s">
        <v>85</v>
      </c>
      <c r="D34" s="50">
        <v>773421</v>
      </c>
      <c r="E34" s="50">
        <v>2011636</v>
      </c>
      <c r="F34" s="50">
        <v>1164560</v>
      </c>
      <c r="G34" s="50">
        <v>1558673</v>
      </c>
      <c r="H34" s="50">
        <v>1369986</v>
      </c>
      <c r="I34" s="50">
        <v>-2017662</v>
      </c>
      <c r="J34" s="50">
        <v>1708541</v>
      </c>
      <c r="K34" s="50">
        <v>-1386802</v>
      </c>
      <c r="L34" s="50">
        <v>1237399</v>
      </c>
      <c r="M34" s="50">
        <v>205058</v>
      </c>
      <c r="N34" s="50">
        <v>1964258</v>
      </c>
      <c r="O34" s="50">
        <v>-2050090</v>
      </c>
      <c r="P34" s="50">
        <v>6538978</v>
      </c>
    </row>
    <row r="35" spans="1:16">
      <c r="B35" t="s">
        <v>86</v>
      </c>
      <c r="D35" s="50">
        <v>330596</v>
      </c>
      <c r="E35" s="50">
        <v>859369</v>
      </c>
      <c r="F35" s="50">
        <v>485505</v>
      </c>
      <c r="G35" s="50">
        <v>145546</v>
      </c>
      <c r="H35" s="50">
        <v>67587</v>
      </c>
      <c r="I35" s="50">
        <v>-1808649</v>
      </c>
      <c r="J35" s="50">
        <v>1378886</v>
      </c>
      <c r="K35" s="50">
        <v>-1106978</v>
      </c>
      <c r="L35" s="50">
        <v>998618</v>
      </c>
      <c r="M35" s="50">
        <v>10259</v>
      </c>
      <c r="N35" s="50">
        <v>142416</v>
      </c>
      <c r="O35" s="50">
        <v>-841848</v>
      </c>
      <c r="P35" s="50">
        <v>661307</v>
      </c>
    </row>
    <row r="36" spans="1:16">
      <c r="B36" t="s">
        <v>268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</row>
    <row r="37" spans="1:16">
      <c r="B37" t="s">
        <v>269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</row>
    <row r="38" spans="1:16">
      <c r="B38" t="s">
        <v>87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</row>
    <row r="39" spans="1:16">
      <c r="A39" t="s">
        <v>94</v>
      </c>
      <c r="D39" s="51">
        <v>8597675</v>
      </c>
      <c r="E39" s="51">
        <v>22380777</v>
      </c>
      <c r="F39" s="51">
        <v>12909338</v>
      </c>
      <c r="G39" s="51">
        <v>21965538</v>
      </c>
      <c r="H39" s="51">
        <v>13908245</v>
      </c>
      <c r="I39" s="51">
        <v>-16712580</v>
      </c>
      <c r="J39" s="51">
        <v>14955247</v>
      </c>
      <c r="K39" s="51">
        <v>-12103166</v>
      </c>
      <c r="L39" s="51">
        <v>10866801</v>
      </c>
      <c r="M39" s="51">
        <v>2106730</v>
      </c>
      <c r="N39" s="51">
        <v>24750916</v>
      </c>
      <c r="O39" s="51">
        <v>-22765978</v>
      </c>
      <c r="P39" s="51">
        <v>80859543</v>
      </c>
    </row>
    <row r="41" spans="1:16">
      <c r="A41" t="s">
        <v>95</v>
      </c>
    </row>
    <row r="42" spans="1:16">
      <c r="B42" t="s">
        <v>267</v>
      </c>
      <c r="D42" s="50">
        <v>282718944</v>
      </c>
      <c r="E42" s="50">
        <v>229028914</v>
      </c>
      <c r="F42" s="50">
        <v>209765396</v>
      </c>
      <c r="G42" s="50">
        <v>176926076</v>
      </c>
      <c r="H42" s="50">
        <v>154900987</v>
      </c>
      <c r="I42" s="50">
        <v>143616705.59999999</v>
      </c>
      <c r="J42" s="50">
        <v>190502271</v>
      </c>
      <c r="K42" s="50">
        <v>171958392</v>
      </c>
      <c r="L42" s="50">
        <v>162813881</v>
      </c>
      <c r="M42" s="50">
        <v>159069574</v>
      </c>
      <c r="N42" s="50">
        <v>215944062</v>
      </c>
      <c r="O42" s="50">
        <v>264640786</v>
      </c>
      <c r="P42" s="50">
        <v>2361885988.5999999</v>
      </c>
    </row>
    <row r="43" spans="1:16">
      <c r="B43" t="s">
        <v>85</v>
      </c>
      <c r="D43" s="50">
        <v>60253425</v>
      </c>
      <c r="E43" s="50">
        <v>55090498</v>
      </c>
      <c r="F43" s="50">
        <v>54601290</v>
      </c>
      <c r="G43" s="50">
        <v>44854856</v>
      </c>
      <c r="H43" s="50">
        <v>48543965</v>
      </c>
      <c r="I43" s="50">
        <v>45502237</v>
      </c>
      <c r="J43" s="50">
        <v>54360652</v>
      </c>
      <c r="K43" s="50">
        <v>51153519</v>
      </c>
      <c r="L43" s="50">
        <v>47909229</v>
      </c>
      <c r="M43" s="50">
        <v>49932073</v>
      </c>
      <c r="N43" s="50">
        <v>51362991</v>
      </c>
      <c r="O43" s="50">
        <v>59679148</v>
      </c>
      <c r="P43" s="50">
        <v>623243883</v>
      </c>
    </row>
    <row r="44" spans="1:16">
      <c r="B44" t="s">
        <v>86</v>
      </c>
      <c r="D44" s="50">
        <v>115323693</v>
      </c>
      <c r="E44" s="50">
        <v>108735332</v>
      </c>
      <c r="F44" s="50">
        <v>113799568</v>
      </c>
      <c r="G44" s="50">
        <v>112994113</v>
      </c>
      <c r="H44" s="50">
        <v>119459135</v>
      </c>
      <c r="I44" s="50">
        <v>118535266</v>
      </c>
      <c r="J44" s="50">
        <v>128368638</v>
      </c>
      <c r="K44" s="50">
        <v>115766147</v>
      </c>
      <c r="L44" s="50">
        <v>113878350</v>
      </c>
      <c r="M44" s="50">
        <v>122062202</v>
      </c>
      <c r="N44" s="50">
        <v>110536424</v>
      </c>
      <c r="O44" s="50">
        <v>130000333</v>
      </c>
      <c r="P44" s="50">
        <v>1409459201</v>
      </c>
    </row>
    <row r="45" spans="1:16">
      <c r="B45" t="s">
        <v>268</v>
      </c>
      <c r="D45" s="50">
        <v>92220007</v>
      </c>
      <c r="E45" s="50">
        <v>87795413</v>
      </c>
      <c r="F45" s="50">
        <v>93372318</v>
      </c>
      <c r="G45" s="50">
        <v>88556850</v>
      </c>
      <c r="H45" s="50">
        <v>94520576</v>
      </c>
      <c r="I45" s="50">
        <v>93666942</v>
      </c>
      <c r="J45" s="50">
        <v>93962198</v>
      </c>
      <c r="K45" s="50">
        <v>98320357</v>
      </c>
      <c r="L45" s="50">
        <v>90443769</v>
      </c>
      <c r="M45" s="50">
        <v>93159241</v>
      </c>
      <c r="N45" s="50">
        <v>88316702</v>
      </c>
      <c r="O45" s="50">
        <v>93073785</v>
      </c>
      <c r="P45" s="50">
        <v>1107408158</v>
      </c>
    </row>
    <row r="46" spans="1:16">
      <c r="B46" t="s">
        <v>269</v>
      </c>
      <c r="D46" s="50">
        <v>3476010.5</v>
      </c>
      <c r="E46" s="50">
        <v>3807944</v>
      </c>
      <c r="F46" s="50">
        <v>4111658</v>
      </c>
      <c r="G46" s="50">
        <v>5997563</v>
      </c>
      <c r="H46" s="50">
        <v>13089206</v>
      </c>
      <c r="I46" s="50">
        <v>21462145.666670002</v>
      </c>
      <c r="J46" s="50">
        <v>21578457</v>
      </c>
      <c r="K46" s="50">
        <v>25468404</v>
      </c>
      <c r="L46" s="50">
        <v>18979117</v>
      </c>
      <c r="M46" s="50">
        <v>10878466</v>
      </c>
      <c r="N46" s="50">
        <v>806266</v>
      </c>
      <c r="O46" s="50">
        <v>3840073</v>
      </c>
      <c r="P46" s="50">
        <v>133495310.16666999</v>
      </c>
    </row>
    <row r="47" spans="1:16">
      <c r="B47" t="s">
        <v>87</v>
      </c>
      <c r="D47" s="50">
        <v>2124844.9717100002</v>
      </c>
      <c r="E47" s="50">
        <v>1905380.7574100001</v>
      </c>
      <c r="F47" s="50">
        <v>1884539.6084299998</v>
      </c>
      <c r="G47" s="50">
        <v>1916999.49967</v>
      </c>
      <c r="H47" s="50">
        <v>1959056.7826600003</v>
      </c>
      <c r="I47" s="50">
        <v>1909984.0465300002</v>
      </c>
      <c r="J47" s="50">
        <v>1897894.3302699998</v>
      </c>
      <c r="K47" s="50">
        <v>1950448.3249700002</v>
      </c>
      <c r="L47" s="50">
        <v>1909711.9522499999</v>
      </c>
      <c r="M47" s="50">
        <v>1857123.46842</v>
      </c>
      <c r="N47" s="50">
        <v>1889621.05859</v>
      </c>
      <c r="O47" s="50">
        <v>1915566.0024200003</v>
      </c>
      <c r="P47" s="50">
        <v>23121170.803329997</v>
      </c>
    </row>
    <row r="48" spans="1:16">
      <c r="A48" t="s">
        <v>96</v>
      </c>
      <c r="D48" s="51">
        <v>556116924.47170997</v>
      </c>
      <c r="E48" s="51">
        <v>486363481.75740999</v>
      </c>
      <c r="F48" s="51">
        <v>477534769.60843003</v>
      </c>
      <c r="G48" s="51">
        <v>431246457.49967003</v>
      </c>
      <c r="H48" s="51">
        <v>432472925.78266001</v>
      </c>
      <c r="I48" s="51">
        <v>424693280.31320006</v>
      </c>
      <c r="J48" s="51">
        <v>490670110.33026999</v>
      </c>
      <c r="K48" s="51">
        <v>464617267.32497001</v>
      </c>
      <c r="L48" s="51">
        <v>435934057.95225</v>
      </c>
      <c r="M48" s="51">
        <v>436958679.46842003</v>
      </c>
      <c r="N48" s="51">
        <v>468856066.05858999</v>
      </c>
      <c r="O48" s="51">
        <v>553149691.00241995</v>
      </c>
      <c r="P48" s="51">
        <v>5658613711.5700006</v>
      </c>
    </row>
    <row r="50" spans="2:16">
      <c r="B50" t="s">
        <v>97</v>
      </c>
      <c r="D50" s="50">
        <v>282718944</v>
      </c>
      <c r="E50" s="50">
        <v>229028914</v>
      </c>
      <c r="F50" s="50">
        <v>209765396</v>
      </c>
      <c r="G50" s="50">
        <v>176926076</v>
      </c>
      <c r="H50" s="50">
        <v>154900987</v>
      </c>
      <c r="I50" s="50">
        <v>143616705.59999999</v>
      </c>
      <c r="J50" s="50">
        <v>190502271</v>
      </c>
      <c r="K50" s="50">
        <v>171958392</v>
      </c>
      <c r="L50" s="50">
        <v>162813881</v>
      </c>
      <c r="M50" s="50">
        <v>159069574</v>
      </c>
      <c r="N50" s="50">
        <v>215944062</v>
      </c>
      <c r="O50" s="50">
        <v>264640786</v>
      </c>
      <c r="P50" s="50">
        <v>2361885988.5999999</v>
      </c>
    </row>
    <row r="51" spans="2:16">
      <c r="B51" t="s">
        <v>98</v>
      </c>
      <c r="D51" s="50">
        <v>208217</v>
      </c>
      <c r="E51" s="50">
        <v>210418</v>
      </c>
      <c r="F51" s="50">
        <v>209750</v>
      </c>
      <c r="G51" s="50">
        <v>209405</v>
      </c>
      <c r="H51" s="50">
        <v>209004</v>
      </c>
      <c r="I51" s="50">
        <v>208965</v>
      </c>
      <c r="J51" s="50">
        <v>209204</v>
      </c>
      <c r="K51" s="50">
        <v>209512</v>
      </c>
      <c r="L51" s="50">
        <v>210314</v>
      </c>
      <c r="M51" s="50">
        <v>210674</v>
      </c>
      <c r="N51" s="50">
        <v>211346</v>
      </c>
      <c r="O51" s="50">
        <v>211562</v>
      </c>
      <c r="P51" s="50">
        <v>2518371</v>
      </c>
    </row>
    <row r="52" spans="2:16">
      <c r="B52" t="s">
        <v>99</v>
      </c>
      <c r="D52" s="56">
        <v>1357.8091318192078</v>
      </c>
      <c r="E52" s="56">
        <v>1088.4473476603712</v>
      </c>
      <c r="F52" s="56">
        <v>1000.0734016686531</v>
      </c>
      <c r="G52" s="56">
        <v>844.89900432176887</v>
      </c>
      <c r="H52" s="56">
        <v>741.138863371036</v>
      </c>
      <c r="I52" s="56">
        <v>687.27636494149738</v>
      </c>
      <c r="J52" s="56">
        <v>910.60529913385972</v>
      </c>
      <c r="K52" s="56">
        <v>820.75676810874791</v>
      </c>
      <c r="L52" s="56">
        <v>774.14666165828237</v>
      </c>
      <c r="M52" s="56">
        <v>755.05080835793694</v>
      </c>
      <c r="N52" s="56">
        <v>1021.7560871745858</v>
      </c>
      <c r="O52" s="56">
        <v>1250.8899802421986</v>
      </c>
      <c r="P52" s="56">
        <v>937.86260586704657</v>
      </c>
    </row>
    <row r="53" spans="2:16">
      <c r="B53" t="s">
        <v>100</v>
      </c>
      <c r="D53" s="50">
        <v>179053128.5</v>
      </c>
      <c r="E53" s="50">
        <v>167633774</v>
      </c>
      <c r="F53" s="50">
        <v>172512516</v>
      </c>
      <c r="G53" s="50">
        <v>163846532</v>
      </c>
      <c r="H53" s="50">
        <v>181092306</v>
      </c>
      <c r="I53" s="50">
        <v>185499648.66666999</v>
      </c>
      <c r="J53" s="50">
        <v>204307747</v>
      </c>
      <c r="K53" s="50">
        <v>192388070</v>
      </c>
      <c r="L53" s="50">
        <v>180766696</v>
      </c>
      <c r="M53" s="50">
        <v>182872741</v>
      </c>
      <c r="N53" s="50">
        <v>162705681</v>
      </c>
      <c r="O53" s="50">
        <v>193519554</v>
      </c>
      <c r="P53" s="50">
        <v>2166198394.1666698</v>
      </c>
    </row>
    <row r="54" spans="2:16">
      <c r="B54" t="s">
        <v>101</v>
      </c>
      <c r="D54" s="50">
        <v>35331</v>
      </c>
      <c r="E54" s="50">
        <v>35572</v>
      </c>
      <c r="F54" s="50">
        <v>35571</v>
      </c>
      <c r="G54" s="50">
        <v>35497</v>
      </c>
      <c r="H54" s="50">
        <v>35658</v>
      </c>
      <c r="I54" s="50">
        <v>35582</v>
      </c>
      <c r="J54" s="50">
        <v>35519</v>
      </c>
      <c r="K54" s="50">
        <v>35694</v>
      </c>
      <c r="L54" s="50">
        <v>35669</v>
      </c>
      <c r="M54" s="50">
        <v>35828</v>
      </c>
      <c r="N54" s="50">
        <v>35762</v>
      </c>
      <c r="O54" s="50">
        <v>35782</v>
      </c>
      <c r="P54" s="50">
        <v>427465</v>
      </c>
    </row>
    <row r="55" spans="2:16">
      <c r="B55" t="s">
        <v>102</v>
      </c>
      <c r="D55" s="50">
        <v>5067.8760437009987</v>
      </c>
      <c r="E55" s="50">
        <v>4712.5203530866975</v>
      </c>
      <c r="F55" s="50">
        <v>4849.8078772033396</v>
      </c>
      <c r="G55" s="50">
        <v>4615.7853339718849</v>
      </c>
      <c r="H55" s="50">
        <v>5078.5884233552079</v>
      </c>
      <c r="I55" s="50">
        <v>5213.3002267064803</v>
      </c>
      <c r="J55" s="50">
        <v>5752.0692305526618</v>
      </c>
      <c r="K55" s="50">
        <v>5389.9274387852302</v>
      </c>
      <c r="L55" s="50">
        <v>5067.8935770557064</v>
      </c>
      <c r="M55" s="50">
        <v>5104.1850228871272</v>
      </c>
      <c r="N55" s="50">
        <v>4549.6806945920252</v>
      </c>
      <c r="O55" s="50">
        <v>5408.2933877368505</v>
      </c>
      <c r="P55" s="50">
        <v>5067.5456333657021</v>
      </c>
    </row>
    <row r="57" spans="2:16">
      <c r="B57" t="s">
        <v>103</v>
      </c>
      <c r="D57" s="57">
        <v>9.8277944531649883E-2</v>
      </c>
      <c r="E57" s="57">
        <v>8.5950995517322007E-2</v>
      </c>
      <c r="F57" s="57">
        <v>8.4390770239719456E-2</v>
      </c>
      <c r="G57" s="57">
        <v>7.6210619681974956E-2</v>
      </c>
      <c r="H57" s="57">
        <v>7.6427363277757482E-2</v>
      </c>
      <c r="I57" s="57">
        <v>7.505253087780886E-2</v>
      </c>
      <c r="J57" s="57">
        <v>8.6712070365752528E-2</v>
      </c>
      <c r="K57" s="57">
        <v>8.210796689920373E-2</v>
      </c>
      <c r="L57" s="57">
        <v>7.7039020539767272E-2</v>
      </c>
      <c r="M57" s="57">
        <v>7.722009342588336E-2</v>
      </c>
      <c r="N57" s="57">
        <v>8.2857054741152208E-2</v>
      </c>
      <c r="O57" s="57">
        <v>9.7753569902008175E-2</v>
      </c>
      <c r="P57" s="57">
        <v>1</v>
      </c>
    </row>
  </sheetData>
  <pageMargins left="0.7" right="0.7" top="0.75" bottom="0.75" header="0.3" footer="0.3"/>
  <pageSetup scale="6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M89"/>
  <sheetViews>
    <sheetView workbookViewId="0">
      <selection sqref="A1:I1"/>
    </sheetView>
  </sheetViews>
  <sheetFormatPr defaultColWidth="9.109375" defaultRowHeight="13.8"/>
  <cols>
    <col min="1" max="1" width="14.6640625" style="1" customWidth="1"/>
    <col min="2" max="2" width="10.109375" style="1" customWidth="1"/>
    <col min="3" max="3" width="16.33203125" style="1" customWidth="1"/>
    <col min="4" max="4" width="20.6640625" style="1" bestFit="1" customWidth="1"/>
    <col min="5" max="5" width="15.5546875" style="1" customWidth="1"/>
    <col min="6" max="6" width="14.6640625" style="1" bestFit="1" customWidth="1"/>
    <col min="7" max="7" width="18.88671875" style="1" bestFit="1" customWidth="1"/>
    <col min="8" max="8" width="13.5546875" style="1" bestFit="1" customWidth="1"/>
    <col min="9" max="9" width="14.5546875" style="1" bestFit="1" customWidth="1"/>
    <col min="10" max="10" width="13.33203125" style="1" bestFit="1" customWidth="1"/>
    <col min="11" max="11" width="13.109375" style="1" customWidth="1"/>
    <col min="12" max="12" width="13.44140625" style="1" bestFit="1" customWidth="1"/>
    <col min="13" max="13" width="27.5546875" style="1" bestFit="1" customWidth="1"/>
    <col min="14" max="16384" width="9.109375" style="1"/>
  </cols>
  <sheetData>
    <row r="1" spans="1:9">
      <c r="A1" s="399" t="s">
        <v>172</v>
      </c>
      <c r="B1" s="399"/>
      <c r="C1" s="399"/>
      <c r="D1" s="399"/>
      <c r="E1" s="399"/>
      <c r="F1" s="399"/>
      <c r="G1" s="399"/>
      <c r="H1" s="399"/>
      <c r="I1" s="399"/>
    </row>
    <row r="2" spans="1:9" ht="26.4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</row>
    <row r="3" spans="1:9">
      <c r="A3" s="180" t="s">
        <v>131</v>
      </c>
      <c r="B3" s="152"/>
      <c r="C3" s="158">
        <v>213789</v>
      </c>
      <c r="D3" s="194"/>
      <c r="E3" s="182">
        <v>227037407.68599999</v>
      </c>
      <c r="F3" s="182">
        <v>-131744919</v>
      </c>
      <c r="G3" s="182">
        <v>120366856</v>
      </c>
      <c r="H3" s="189">
        <f>SUM(F3:G3)</f>
        <v>-11378063</v>
      </c>
      <c r="I3" s="159">
        <f>E3+H3</f>
        <v>215659344.68599999</v>
      </c>
    </row>
    <row r="4" spans="1:9">
      <c r="A4" s="180" t="s">
        <v>178</v>
      </c>
      <c r="B4" s="152"/>
      <c r="C4" s="158">
        <v>408</v>
      </c>
      <c r="D4" s="194"/>
      <c r="E4" s="182">
        <v>537918.89899999998</v>
      </c>
      <c r="F4" s="182">
        <v>-328050</v>
      </c>
      <c r="G4" s="182">
        <v>288189</v>
      </c>
      <c r="H4" s="189">
        <f t="shared" ref="H4:H16" si="0">SUM(F4:G4)</f>
        <v>-39861</v>
      </c>
      <c r="I4" s="159">
        <f t="shared" ref="I4:I16" si="1">E4+H4</f>
        <v>498057.89899999998</v>
      </c>
    </row>
    <row r="5" spans="1:9">
      <c r="A5" s="180" t="s">
        <v>132</v>
      </c>
      <c r="B5" s="152"/>
      <c r="C5" s="158">
        <v>22712</v>
      </c>
      <c r="D5" s="194"/>
      <c r="E5" s="182">
        <v>49814123.362000003</v>
      </c>
      <c r="F5" s="182">
        <v>-25948763</v>
      </c>
      <c r="G5" s="182">
        <v>26321244</v>
      </c>
      <c r="H5" s="189">
        <f t="shared" si="0"/>
        <v>372481</v>
      </c>
      <c r="I5" s="159">
        <f t="shared" si="1"/>
        <v>50186604.362000003</v>
      </c>
    </row>
    <row r="6" spans="1:9">
      <c r="A6" s="180" t="s">
        <v>133</v>
      </c>
      <c r="B6" s="152"/>
      <c r="C6" s="158">
        <v>9369</v>
      </c>
      <c r="D6" s="194"/>
      <c r="E6" s="182">
        <v>6143985.8619999997</v>
      </c>
      <c r="F6" s="182">
        <v>-3411721</v>
      </c>
      <c r="G6" s="182">
        <v>3266140</v>
      </c>
      <c r="H6" s="189">
        <f t="shared" si="0"/>
        <v>-145581</v>
      </c>
      <c r="I6" s="159">
        <f t="shared" si="1"/>
        <v>5998404.8619999997</v>
      </c>
    </row>
    <row r="7" spans="1:9">
      <c r="A7" s="180" t="s">
        <v>134</v>
      </c>
      <c r="B7" s="152"/>
      <c r="C7" s="158">
        <v>1856</v>
      </c>
      <c r="D7" s="194"/>
      <c r="E7" s="182">
        <v>110329898.21799999</v>
      </c>
      <c r="F7" s="182">
        <v>-55178026</v>
      </c>
      <c r="G7" s="182">
        <v>58150096</v>
      </c>
      <c r="H7" s="189">
        <f t="shared" si="0"/>
        <v>2972070</v>
      </c>
      <c r="I7" s="159">
        <f t="shared" si="1"/>
        <v>113301968.21799999</v>
      </c>
    </row>
    <row r="8" spans="1:9">
      <c r="A8" s="180" t="s">
        <v>135</v>
      </c>
      <c r="B8" s="152"/>
      <c r="C8" s="158">
        <v>47</v>
      </c>
      <c r="D8" s="194"/>
      <c r="E8" s="182">
        <v>3069712</v>
      </c>
      <c r="F8" s="182">
        <v>-1673055</v>
      </c>
      <c r="G8" s="182">
        <v>1633070</v>
      </c>
      <c r="H8" s="189">
        <f t="shared" si="0"/>
        <v>-39985</v>
      </c>
      <c r="I8" s="159">
        <f t="shared" si="1"/>
        <v>3029727</v>
      </c>
    </row>
    <row r="9" spans="1:9">
      <c r="A9" s="180" t="s">
        <v>136</v>
      </c>
      <c r="B9" s="152"/>
      <c r="C9" s="158">
        <v>22</v>
      </c>
      <c r="D9" s="194"/>
      <c r="E9" s="182">
        <f>82389792.7-E10</f>
        <v>49663102.700000003</v>
      </c>
      <c r="F9" s="182">
        <v>-11830759</v>
      </c>
      <c r="G9" s="182">
        <v>16075679</v>
      </c>
      <c r="H9" s="189">
        <f t="shared" si="0"/>
        <v>4244920</v>
      </c>
      <c r="I9" s="159">
        <f t="shared" si="1"/>
        <v>53908022.700000003</v>
      </c>
    </row>
    <row r="10" spans="1:9">
      <c r="A10" s="180" t="s">
        <v>179</v>
      </c>
      <c r="B10" s="152"/>
      <c r="C10" s="158"/>
      <c r="D10" s="194"/>
      <c r="E10" s="182">
        <v>32726690</v>
      </c>
      <c r="F10" s="182">
        <v>0</v>
      </c>
      <c r="G10" s="182">
        <v>0</v>
      </c>
      <c r="H10" s="189">
        <f t="shared" si="0"/>
        <v>0</v>
      </c>
      <c r="I10" s="159">
        <f t="shared" si="1"/>
        <v>32726690</v>
      </c>
    </row>
    <row r="11" spans="1:9">
      <c r="A11" s="180" t="s">
        <v>180</v>
      </c>
      <c r="B11" s="152"/>
      <c r="C11" s="158">
        <v>49</v>
      </c>
      <c r="D11" s="194"/>
      <c r="E11" s="182">
        <v>8140</v>
      </c>
      <c r="F11" s="182">
        <v>0</v>
      </c>
      <c r="G11" s="182">
        <v>0</v>
      </c>
      <c r="H11" s="189">
        <f t="shared" si="0"/>
        <v>0</v>
      </c>
      <c r="I11" s="159">
        <f t="shared" si="1"/>
        <v>8140</v>
      </c>
    </row>
    <row r="12" spans="1:9">
      <c r="A12" s="180" t="s">
        <v>137</v>
      </c>
      <c r="B12" s="152"/>
      <c r="C12" s="158">
        <v>1200</v>
      </c>
      <c r="D12" s="194"/>
      <c r="E12" s="182">
        <v>4012886.1570000001</v>
      </c>
      <c r="F12" s="182">
        <v>-2033911</v>
      </c>
      <c r="G12" s="182">
        <v>1921259</v>
      </c>
      <c r="H12" s="189">
        <f t="shared" si="0"/>
        <v>-112652</v>
      </c>
      <c r="I12" s="159">
        <f t="shared" si="1"/>
        <v>3900234.1570000001</v>
      </c>
    </row>
    <row r="13" spans="1:9">
      <c r="A13" s="180" t="s">
        <v>138</v>
      </c>
      <c r="B13" s="152"/>
      <c r="C13" s="158">
        <v>1212</v>
      </c>
      <c r="D13" s="194"/>
      <c r="E13" s="182">
        <v>274299.12199999997</v>
      </c>
      <c r="F13" s="182">
        <v>-131220</v>
      </c>
      <c r="G13" s="182">
        <v>128084</v>
      </c>
      <c r="H13" s="189">
        <f t="shared" si="0"/>
        <v>-3136</v>
      </c>
      <c r="I13" s="159">
        <f t="shared" si="1"/>
        <v>271163.12199999997</v>
      </c>
    </row>
    <row r="14" spans="1:9">
      <c r="A14" s="180" t="s">
        <v>181</v>
      </c>
      <c r="B14" s="152"/>
      <c r="C14" s="158">
        <v>418</v>
      </c>
      <c r="D14" s="194"/>
      <c r="E14" s="182">
        <v>882378.83770000003</v>
      </c>
      <c r="F14" s="182"/>
      <c r="G14" s="182"/>
      <c r="H14" s="189"/>
      <c r="I14" s="159">
        <f t="shared" si="1"/>
        <v>882378.83770000003</v>
      </c>
    </row>
    <row r="15" spans="1:9">
      <c r="A15" s="180" t="s">
        <v>182</v>
      </c>
      <c r="B15" s="152"/>
      <c r="C15" s="158"/>
      <c r="D15" s="194"/>
      <c r="E15" s="182">
        <v>408057.92842000001</v>
      </c>
      <c r="F15" s="182"/>
      <c r="G15" s="182"/>
      <c r="H15" s="189">
        <f t="shared" si="0"/>
        <v>0</v>
      </c>
      <c r="I15" s="159">
        <f t="shared" si="1"/>
        <v>408057.92842000001</v>
      </c>
    </row>
    <row r="16" spans="1:9">
      <c r="A16" s="180" t="s">
        <v>183</v>
      </c>
      <c r="B16" s="152"/>
      <c r="C16" s="158"/>
      <c r="D16" s="195"/>
      <c r="E16" s="182">
        <v>214711.842</v>
      </c>
      <c r="F16" s="182"/>
      <c r="G16" s="182"/>
      <c r="H16" s="189">
        <f t="shared" si="0"/>
        <v>0</v>
      </c>
      <c r="I16" s="159">
        <f t="shared" si="1"/>
        <v>214711.842</v>
      </c>
    </row>
    <row r="17" spans="1:9">
      <c r="A17" s="152"/>
      <c r="B17" s="152"/>
      <c r="C17" s="160">
        <f>SUM(C3:C16)</f>
        <v>251082</v>
      </c>
      <c r="E17" s="160">
        <f>SUM(E3:E16)</f>
        <v>485123312.61411995</v>
      </c>
      <c r="F17" s="160">
        <f>SUM(F3:F16)</f>
        <v>-232280424</v>
      </c>
      <c r="G17" s="160">
        <f>SUM(G3:G16)</f>
        <v>228150617</v>
      </c>
      <c r="H17" s="160">
        <f>SUM(H3:H16)</f>
        <v>-4129807</v>
      </c>
      <c r="I17" s="160">
        <f>SUM(I3:I16)</f>
        <v>480993505.61411995</v>
      </c>
    </row>
    <row r="18" spans="1:9" ht="14.4" thickBot="1">
      <c r="A18" s="152"/>
      <c r="B18" s="152"/>
      <c r="C18" s="152"/>
      <c r="E18" s="152"/>
      <c r="F18" s="152"/>
      <c r="G18" s="152"/>
      <c r="I18" s="152"/>
    </row>
    <row r="19" spans="1:9">
      <c r="A19" s="152" t="s">
        <v>19</v>
      </c>
      <c r="B19" s="152"/>
      <c r="C19" s="161">
        <f>C3+C4</f>
        <v>214197</v>
      </c>
      <c r="E19" s="162">
        <f>E3+E4</f>
        <v>227575326.58499998</v>
      </c>
      <c r="F19" s="162">
        <f>F3+F4</f>
        <v>-132072969</v>
      </c>
      <c r="G19" s="162">
        <f>G3+G4</f>
        <v>120655045</v>
      </c>
      <c r="H19" s="162">
        <f>H3+H4</f>
        <v>-11417924</v>
      </c>
      <c r="I19" s="161">
        <f>I3+I4</f>
        <v>216157402.58499998</v>
      </c>
    </row>
    <row r="20" spans="1:9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9" ht="14.4" thickBot="1">
      <c r="A21" s="152" t="s">
        <v>184</v>
      </c>
      <c r="B21" s="152"/>
      <c r="C21" s="177">
        <f>SUM(C5:C8,C11:C13)</f>
        <v>36445</v>
      </c>
      <c r="E21" s="178">
        <f>SUM(E5:E8,E11:E13)</f>
        <v>173653044.72100002</v>
      </c>
      <c r="F21" s="178">
        <f>SUM(F5:F8,F11:F13)</f>
        <v>-88376696</v>
      </c>
      <c r="G21" s="178">
        <f>SUM(G5:G8,G11:G13)</f>
        <v>91419893</v>
      </c>
      <c r="H21" s="178">
        <f>SUM(H5:H8,H11:H13)</f>
        <v>3043197</v>
      </c>
      <c r="I21" s="177">
        <f>SUM(I5:I8,I11:I13)</f>
        <v>176696241.72100002</v>
      </c>
    </row>
    <row r="22" spans="1:9">
      <c r="A22" s="152"/>
      <c r="B22" s="152"/>
      <c r="C22" s="152"/>
      <c r="D22" s="152"/>
      <c r="E22" s="152"/>
    </row>
    <row r="23" spans="1:9" ht="43.2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</row>
    <row r="24" spans="1:9">
      <c r="A24" s="180" t="s">
        <v>131</v>
      </c>
      <c r="B24" s="152"/>
      <c r="C24" s="181">
        <v>1849532</v>
      </c>
      <c r="D24" s="181">
        <v>20170613.800000001</v>
      </c>
      <c r="E24" s="183">
        <v>-13061982</v>
      </c>
      <c r="F24" s="183">
        <v>11801787</v>
      </c>
      <c r="G24" s="174">
        <f>SUM(D24:F24)</f>
        <v>18910418.800000001</v>
      </c>
      <c r="H24" s="174">
        <f>-J65</f>
        <v>86018.156279999996</v>
      </c>
      <c r="I24" s="174">
        <f>SUM(G24:H24)</f>
        <v>18996436.956280001</v>
      </c>
    </row>
    <row r="25" spans="1:9">
      <c r="A25" s="180" t="s">
        <v>178</v>
      </c>
      <c r="B25" s="152"/>
      <c r="C25" s="181">
        <v>3485</v>
      </c>
      <c r="D25" s="181">
        <v>47850.54</v>
      </c>
      <c r="E25" s="183">
        <v>-21672</v>
      </c>
      <c r="F25" s="183">
        <v>18728</v>
      </c>
      <c r="G25" s="174">
        <f t="shared" ref="G25:G33" si="2">SUM(D25:F25)</f>
        <v>44906.54</v>
      </c>
      <c r="H25" s="174">
        <f t="shared" ref="H25:H33" si="3">-J66</f>
        <v>-955.4681700000001</v>
      </c>
      <c r="I25" s="174">
        <f t="shared" ref="I25:I34" si="4">SUM(G25:H25)</f>
        <v>43951.071830000001</v>
      </c>
    </row>
    <row r="26" spans="1:9">
      <c r="A26" s="180" t="s">
        <v>132</v>
      </c>
      <c r="B26" s="152"/>
      <c r="C26" s="181">
        <v>416344.69</v>
      </c>
      <c r="D26" s="181">
        <v>5755107.5700000003</v>
      </c>
      <c r="E26" s="183">
        <v>-2984952</v>
      </c>
      <c r="F26" s="183">
        <v>3051861</v>
      </c>
      <c r="G26" s="174">
        <f t="shared" si="2"/>
        <v>5822016.5700000003</v>
      </c>
      <c r="H26" s="174">
        <f t="shared" si="3"/>
        <v>-2227.4363800000001</v>
      </c>
      <c r="I26" s="174">
        <f t="shared" si="4"/>
        <v>5819789.1336200004</v>
      </c>
    </row>
    <row r="27" spans="1:9">
      <c r="A27" s="180" t="s">
        <v>133</v>
      </c>
      <c r="B27" s="152"/>
      <c r="C27" s="181">
        <v>170435.28</v>
      </c>
      <c r="D27" s="181">
        <v>845192.84</v>
      </c>
      <c r="E27" s="183">
        <v>-471297</v>
      </c>
      <c r="F27" s="183">
        <v>453450</v>
      </c>
      <c r="G27" s="174">
        <f t="shared" si="2"/>
        <v>827345.84</v>
      </c>
      <c r="H27" s="174">
        <f t="shared" si="3"/>
        <v>752.65376999999989</v>
      </c>
      <c r="I27" s="174">
        <f t="shared" si="4"/>
        <v>828098.49376999994</v>
      </c>
    </row>
    <row r="28" spans="1:9">
      <c r="A28" s="180" t="s">
        <v>134</v>
      </c>
      <c r="B28" s="152"/>
      <c r="C28" s="181">
        <v>928302.67</v>
      </c>
      <c r="D28" s="181">
        <v>9892457.9299999997</v>
      </c>
      <c r="E28" s="183">
        <v>-4569940</v>
      </c>
      <c r="F28" s="183">
        <v>4802235</v>
      </c>
      <c r="G28" s="174">
        <f t="shared" si="2"/>
        <v>10124752.93</v>
      </c>
      <c r="H28" s="174">
        <f t="shared" si="3"/>
        <v>-13582.359899999999</v>
      </c>
      <c r="I28" s="174">
        <f t="shared" si="4"/>
        <v>10111170.5701</v>
      </c>
    </row>
    <row r="29" spans="1:9">
      <c r="A29" s="180" t="s">
        <v>135</v>
      </c>
      <c r="B29" s="152"/>
      <c r="C29" s="181">
        <v>23500</v>
      </c>
      <c r="D29" s="181">
        <v>270467.44</v>
      </c>
      <c r="E29" s="183">
        <v>-136786</v>
      </c>
      <c r="F29" s="183">
        <v>133641</v>
      </c>
      <c r="G29" s="174">
        <f t="shared" si="2"/>
        <v>267322.44</v>
      </c>
      <c r="H29" s="174">
        <f t="shared" si="3"/>
        <v>150.34360000000001</v>
      </c>
      <c r="I29" s="174">
        <f t="shared" si="4"/>
        <v>267472.78360000002</v>
      </c>
    </row>
    <row r="30" spans="1:9">
      <c r="A30" s="180" t="s">
        <v>136</v>
      </c>
      <c r="B30" s="152"/>
      <c r="C30" s="181">
        <v>462000</v>
      </c>
      <c r="D30" s="181">
        <f>4933545.65-84498.8</f>
        <v>4849046.8500000006</v>
      </c>
      <c r="E30" s="183">
        <v>-820909</v>
      </c>
      <c r="F30" s="183">
        <v>1009705</v>
      </c>
      <c r="G30" s="174">
        <f t="shared" si="2"/>
        <v>5037842.8500000006</v>
      </c>
      <c r="H30" s="174">
        <f t="shared" si="3"/>
        <v>-10357.604800000001</v>
      </c>
      <c r="I30" s="174">
        <f t="shared" si="4"/>
        <v>5027485.2452000007</v>
      </c>
    </row>
    <row r="31" spans="1:9">
      <c r="A31" s="180" t="s">
        <v>180</v>
      </c>
      <c r="B31" s="152"/>
      <c r="C31" s="181">
        <v>882</v>
      </c>
      <c r="D31" s="181">
        <v>1439.04</v>
      </c>
      <c r="E31" s="183">
        <v>0</v>
      </c>
      <c r="F31" s="183">
        <v>0</v>
      </c>
      <c r="G31" s="174">
        <f t="shared" si="2"/>
        <v>1439.04</v>
      </c>
      <c r="H31" s="174">
        <f t="shared" si="3"/>
        <v>0</v>
      </c>
      <c r="I31" s="174">
        <f t="shared" si="4"/>
        <v>1439.04</v>
      </c>
    </row>
    <row r="32" spans="1:9">
      <c r="A32" s="180" t="s">
        <v>137</v>
      </c>
      <c r="B32" s="152"/>
      <c r="C32" s="181">
        <v>21690</v>
      </c>
      <c r="D32" s="181">
        <v>352055.59</v>
      </c>
      <c r="E32" s="183">
        <v>-127197</v>
      </c>
      <c r="F32" s="183">
        <v>123720</v>
      </c>
      <c r="G32" s="174">
        <f t="shared" si="2"/>
        <v>348578.59</v>
      </c>
      <c r="H32" s="174">
        <f t="shared" si="3"/>
        <v>315.42559999999997</v>
      </c>
      <c r="I32" s="174">
        <f t="shared" si="4"/>
        <v>348894.01560000004</v>
      </c>
    </row>
    <row r="33" spans="1:11">
      <c r="A33" s="180" t="s">
        <v>138</v>
      </c>
      <c r="B33" s="152"/>
      <c r="C33" s="181">
        <v>21960</v>
      </c>
      <c r="D33" s="181">
        <v>45395.66</v>
      </c>
      <c r="E33" s="183">
        <v>-21018</v>
      </c>
      <c r="F33" s="183">
        <v>21063</v>
      </c>
      <c r="G33" s="174">
        <f t="shared" si="2"/>
        <v>45440.66</v>
      </c>
      <c r="H33" s="174">
        <f t="shared" si="3"/>
        <v>161.98752000000002</v>
      </c>
      <c r="I33" s="174">
        <f t="shared" si="4"/>
        <v>45602.647520000006</v>
      </c>
    </row>
    <row r="34" spans="1:11">
      <c r="A34" s="180" t="s">
        <v>192</v>
      </c>
      <c r="B34" s="152"/>
      <c r="C34" s="174"/>
      <c r="D34" s="181">
        <v>541798.31999999995</v>
      </c>
      <c r="E34" s="181"/>
      <c r="F34" s="181"/>
      <c r="G34" s="174">
        <f>SUM(D34:F34)</f>
        <v>541798.31999999995</v>
      </c>
      <c r="H34" s="174"/>
      <c r="I34" s="174">
        <f t="shared" si="4"/>
        <v>541798.31999999995</v>
      </c>
    </row>
    <row r="35" spans="1:11">
      <c r="A35" s="180" t="s">
        <v>193</v>
      </c>
      <c r="B35" s="152"/>
      <c r="C35" s="194"/>
      <c r="D35" s="181">
        <v>2769628.1</v>
      </c>
      <c r="E35" s="181"/>
      <c r="F35" s="181"/>
      <c r="G35" s="174"/>
      <c r="H35" s="174"/>
      <c r="I35" s="174"/>
    </row>
    <row r="36" spans="1:11">
      <c r="A36" s="180" t="s">
        <v>194</v>
      </c>
      <c r="B36" s="152"/>
      <c r="C36" s="194"/>
      <c r="D36" s="181">
        <v>1695880.71</v>
      </c>
      <c r="E36" s="181"/>
      <c r="F36" s="181"/>
      <c r="G36" s="174"/>
      <c r="H36" s="174"/>
      <c r="I36" s="174"/>
    </row>
    <row r="37" spans="1:11">
      <c r="A37" s="152"/>
      <c r="B37" s="152"/>
      <c r="C37" s="166">
        <f t="shared" ref="C37:I37" si="5">SUM(C24:C36)</f>
        <v>3898131.6399999997</v>
      </c>
      <c r="D37" s="166">
        <f t="shared" si="5"/>
        <v>47236934.390000001</v>
      </c>
      <c r="E37" s="166">
        <f t="shared" si="5"/>
        <v>-22215753</v>
      </c>
      <c r="F37" s="166">
        <f t="shared" si="5"/>
        <v>21416190</v>
      </c>
      <c r="G37" s="166">
        <f t="shared" si="5"/>
        <v>41971862.579999998</v>
      </c>
      <c r="H37" s="166">
        <f t="shared" si="5"/>
        <v>60275.697519999994</v>
      </c>
      <c r="I37" s="166">
        <f t="shared" si="5"/>
        <v>42032138.277520008</v>
      </c>
    </row>
    <row r="38" spans="1:11" ht="14.4" thickBot="1">
      <c r="A38" s="152"/>
      <c r="B38" s="152"/>
      <c r="D38" s="167"/>
      <c r="E38" s="152"/>
      <c r="F38" s="152"/>
    </row>
    <row r="39" spans="1:11">
      <c r="A39" s="152" t="s">
        <v>19</v>
      </c>
      <c r="B39" s="152"/>
      <c r="C39" s="169">
        <f t="shared" ref="C39:I39" si="6">C24+C25</f>
        <v>1853017</v>
      </c>
      <c r="D39" s="168">
        <f t="shared" si="6"/>
        <v>20218464.34</v>
      </c>
      <c r="E39" s="168">
        <f t="shared" si="6"/>
        <v>-13083654</v>
      </c>
      <c r="F39" s="168">
        <f t="shared" si="6"/>
        <v>11820515</v>
      </c>
      <c r="G39" s="168">
        <f t="shared" si="6"/>
        <v>18955325.34</v>
      </c>
      <c r="H39" s="168">
        <f t="shared" si="6"/>
        <v>85062.688109999988</v>
      </c>
      <c r="I39" s="169">
        <f t="shared" si="6"/>
        <v>19040388.028110001</v>
      </c>
    </row>
    <row r="40" spans="1:11" ht="6" customHeight="1">
      <c r="A40" s="152"/>
      <c r="B40" s="152"/>
      <c r="C40" s="173"/>
      <c r="D40" s="168"/>
      <c r="E40" s="152"/>
      <c r="F40" s="152"/>
      <c r="I40" s="190"/>
    </row>
    <row r="41" spans="1:11" ht="14.4" thickBot="1">
      <c r="A41" s="152" t="s">
        <v>184</v>
      </c>
      <c r="B41" s="152"/>
      <c r="C41" s="175">
        <f>SUM(C26:C29,C31:C33)</f>
        <v>1583114.6400000001</v>
      </c>
      <c r="D41" s="176">
        <f t="shared" ref="D41:I41" si="7">SUM(D26:D29,D31:D33)</f>
        <v>17162116.07</v>
      </c>
      <c r="E41" s="176">
        <f t="shared" si="7"/>
        <v>-8311190</v>
      </c>
      <c r="F41" s="176">
        <f t="shared" si="7"/>
        <v>8585970</v>
      </c>
      <c r="G41" s="176">
        <f t="shared" si="7"/>
        <v>17436896.07</v>
      </c>
      <c r="H41" s="176">
        <f t="shared" si="7"/>
        <v>-14429.385789999998</v>
      </c>
      <c r="I41" s="175">
        <f t="shared" si="7"/>
        <v>17422466.684209995</v>
      </c>
    </row>
    <row r="42" spans="1:11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11">
      <c r="A43" s="152"/>
      <c r="B43" s="152"/>
      <c r="C43" s="188"/>
      <c r="D43" s="176"/>
      <c r="E43" s="176"/>
      <c r="F43" s="176"/>
      <c r="G43" s="176"/>
      <c r="H43" s="176"/>
      <c r="I43" s="188"/>
    </row>
    <row r="44" spans="1:11">
      <c r="A44" s="152"/>
      <c r="B44" s="152"/>
      <c r="C44" s="188"/>
      <c r="D44" s="176"/>
      <c r="E44" s="176"/>
      <c r="F44" s="176"/>
      <c r="G44" s="176"/>
      <c r="H44" s="176"/>
      <c r="I44" s="188"/>
    </row>
    <row r="45" spans="1:11">
      <c r="A45" s="152"/>
      <c r="B45" s="152"/>
      <c r="C45" s="188"/>
      <c r="D45" s="176"/>
      <c r="E45" s="176"/>
      <c r="F45" s="176"/>
      <c r="G45" s="176"/>
      <c r="H45" s="176"/>
      <c r="I45" s="188"/>
    </row>
    <row r="46" spans="1:11">
      <c r="A46" s="152"/>
      <c r="B46" s="152"/>
      <c r="C46" s="188"/>
      <c r="D46" s="176"/>
      <c r="E46" s="176"/>
      <c r="F46" s="176"/>
      <c r="G46" s="176"/>
      <c r="H46" s="176"/>
      <c r="I46" s="188"/>
    </row>
    <row r="47" spans="1:11">
      <c r="A47" s="152"/>
      <c r="B47" s="152"/>
      <c r="C47" s="188"/>
      <c r="D47" s="176"/>
      <c r="E47" s="176"/>
      <c r="F47" s="176"/>
      <c r="G47" s="176"/>
      <c r="H47" s="176"/>
      <c r="I47" s="188"/>
    </row>
    <row r="48" spans="1:11">
      <c r="C48" s="191">
        <v>43040</v>
      </c>
      <c r="D48" s="196">
        <v>43040</v>
      </c>
      <c r="E48" s="192">
        <v>42278</v>
      </c>
      <c r="F48" s="191">
        <v>42583</v>
      </c>
      <c r="G48" s="191">
        <v>43009</v>
      </c>
      <c r="H48" s="191">
        <v>42380</v>
      </c>
      <c r="I48" s="191">
        <v>42917</v>
      </c>
      <c r="J48" s="191"/>
      <c r="K48" s="196"/>
    </row>
    <row r="49" spans="1:13" ht="42" customHeight="1">
      <c r="A49" s="179" t="s">
        <v>195</v>
      </c>
      <c r="B49" s="154"/>
      <c r="C49" s="165" t="s">
        <v>196</v>
      </c>
      <c r="D49" s="165" t="s">
        <v>213</v>
      </c>
      <c r="E49" s="165" t="s">
        <v>197</v>
      </c>
      <c r="F49" s="165" t="s">
        <v>198</v>
      </c>
      <c r="G49" s="165" t="s">
        <v>199</v>
      </c>
      <c r="H49" s="165" t="s">
        <v>200</v>
      </c>
      <c r="I49" s="165" t="s">
        <v>201</v>
      </c>
      <c r="J49" s="208"/>
      <c r="K49" s="208"/>
    </row>
    <row r="50" spans="1:13">
      <c r="A50" s="180" t="s">
        <v>131</v>
      </c>
      <c r="B50" s="152"/>
      <c r="C50" s="171">
        <v>-8.0999999999999996E-4</v>
      </c>
      <c r="D50" s="171">
        <v>4.45E-3</v>
      </c>
      <c r="E50" s="171"/>
      <c r="F50" s="171">
        <v>3.4399999999999999E-3</v>
      </c>
      <c r="G50" s="171">
        <v>1.0499999999999999E-3</v>
      </c>
      <c r="H50" s="171">
        <v>0</v>
      </c>
      <c r="I50" s="171">
        <v>-5.6999999999999998E-4</v>
      </c>
      <c r="J50" s="171"/>
      <c r="K50" s="171"/>
    </row>
    <row r="51" spans="1:13">
      <c r="A51" s="180" t="s">
        <v>178</v>
      </c>
      <c r="B51" s="152"/>
      <c r="C51" s="171">
        <v>-8.0999999999999996E-4</v>
      </c>
      <c r="D51" s="171">
        <v>4.45E-3</v>
      </c>
      <c r="E51" s="171">
        <v>-3.1530000000000002E-2</v>
      </c>
      <c r="F51" s="171">
        <v>3.4399999999999999E-3</v>
      </c>
      <c r="G51" s="171">
        <v>1.0499999999999999E-3</v>
      </c>
      <c r="H51" s="171">
        <v>0</v>
      </c>
      <c r="I51" s="171">
        <v>-5.6999999999999998E-4</v>
      </c>
      <c r="J51" s="171"/>
      <c r="K51" s="171"/>
    </row>
    <row r="52" spans="1:13">
      <c r="A52" s="180" t="s">
        <v>132</v>
      </c>
      <c r="B52" s="152"/>
      <c r="C52" s="171">
        <v>0</v>
      </c>
      <c r="D52" s="171">
        <v>4.0000000000000002E-4</v>
      </c>
      <c r="E52" s="171"/>
      <c r="F52" s="171">
        <v>4.6299999999999996E-3</v>
      </c>
      <c r="G52" s="171">
        <v>1.5200000000000001E-3</v>
      </c>
      <c r="H52" s="171">
        <v>0</v>
      </c>
      <c r="I52" s="171">
        <v>-5.6999999999999998E-4</v>
      </c>
      <c r="J52" s="171"/>
      <c r="K52" s="171"/>
    </row>
    <row r="53" spans="1:13">
      <c r="A53" s="180" t="s">
        <v>133</v>
      </c>
      <c r="B53" s="152"/>
      <c r="C53" s="171">
        <v>-8.0999999999999996E-4</v>
      </c>
      <c r="D53" s="171">
        <v>4.0000000000000002E-4</v>
      </c>
      <c r="E53" s="171"/>
      <c r="F53" s="171">
        <v>4.6299999999999996E-3</v>
      </c>
      <c r="G53" s="171">
        <v>1.5200000000000001E-3</v>
      </c>
      <c r="H53" s="171">
        <v>0</v>
      </c>
      <c r="I53" s="171">
        <v>-5.6999999999999998E-4</v>
      </c>
      <c r="J53" s="171"/>
      <c r="K53" s="171"/>
    </row>
    <row r="54" spans="1:13">
      <c r="A54" s="180" t="s">
        <v>134</v>
      </c>
      <c r="B54" s="152"/>
      <c r="C54" s="171">
        <v>0</v>
      </c>
      <c r="D54" s="171">
        <v>4.0000000000000002E-4</v>
      </c>
      <c r="E54" s="171"/>
      <c r="F54" s="171">
        <v>3.6600000000000001E-3</v>
      </c>
      <c r="G54" s="171">
        <v>1.1000000000000001E-3</v>
      </c>
      <c r="H54" s="171">
        <v>0</v>
      </c>
      <c r="I54" s="171">
        <v>-5.9000000000000003E-4</v>
      </c>
      <c r="J54" s="171"/>
      <c r="K54" s="171"/>
    </row>
    <row r="55" spans="1:13">
      <c r="A55" s="180" t="s">
        <v>135</v>
      </c>
      <c r="B55" s="152"/>
      <c r="C55" s="171">
        <v>-8.0999999999999996E-4</v>
      </c>
      <c r="D55" s="171">
        <v>4.0000000000000002E-4</v>
      </c>
      <c r="E55" s="171"/>
      <c r="F55" s="171">
        <v>3.6600000000000001E-3</v>
      </c>
      <c r="G55" s="171">
        <v>1.1000000000000001E-3</v>
      </c>
      <c r="H55" s="171">
        <v>0</v>
      </c>
      <c r="I55" s="171">
        <v>-5.9000000000000003E-4</v>
      </c>
      <c r="J55" s="171"/>
      <c r="K55" s="171"/>
    </row>
    <row r="56" spans="1:13">
      <c r="A56" s="180" t="s">
        <v>136</v>
      </c>
      <c r="B56" s="152"/>
      <c r="C56" s="171">
        <v>0</v>
      </c>
      <c r="D56" s="171">
        <v>0</v>
      </c>
      <c r="E56" s="171"/>
      <c r="F56" s="171">
        <v>2.32E-3</v>
      </c>
      <c r="G56" s="171">
        <v>6.8999999999999997E-4</v>
      </c>
      <c r="H56" s="171">
        <v>0</v>
      </c>
      <c r="I56" s="171">
        <v>-5.6999999999999998E-4</v>
      </c>
      <c r="J56" s="171"/>
      <c r="K56" s="171"/>
    </row>
    <row r="57" spans="1:13">
      <c r="A57" s="180" t="s">
        <v>179</v>
      </c>
      <c r="B57" s="152"/>
      <c r="C57" s="171">
        <v>0</v>
      </c>
      <c r="D57" s="171">
        <v>0</v>
      </c>
      <c r="E57" s="171"/>
      <c r="F57" s="171">
        <v>2.32E-3</v>
      </c>
      <c r="G57" s="171">
        <v>0</v>
      </c>
      <c r="H57" s="171">
        <v>0</v>
      </c>
      <c r="I57" s="171">
        <v>-5.6999999999999998E-4</v>
      </c>
      <c r="J57" s="171"/>
      <c r="K57" s="171"/>
    </row>
    <row r="58" spans="1:13">
      <c r="A58" s="180" t="s">
        <v>180</v>
      </c>
      <c r="B58" s="152"/>
      <c r="C58" s="171">
        <v>0</v>
      </c>
      <c r="D58" s="171">
        <v>4.0000000000000002E-4</v>
      </c>
      <c r="E58" s="171"/>
      <c r="F58" s="171">
        <v>3.4099999999999998E-3</v>
      </c>
      <c r="G58" s="171">
        <v>9.6000000000000002E-4</v>
      </c>
      <c r="H58" s="171">
        <v>0</v>
      </c>
      <c r="I58" s="171">
        <v>-6.0999999999999997E-4</v>
      </c>
      <c r="J58" s="171"/>
      <c r="K58" s="171"/>
    </row>
    <row r="59" spans="1:13">
      <c r="A59" s="180" t="s">
        <v>137</v>
      </c>
      <c r="B59" s="152"/>
      <c r="C59" s="171">
        <v>0</v>
      </c>
      <c r="D59" s="171">
        <v>4.0000000000000002E-4</v>
      </c>
      <c r="E59" s="171"/>
      <c r="F59" s="171">
        <v>3.4099999999999998E-3</v>
      </c>
      <c r="G59" s="171">
        <v>9.6000000000000002E-4</v>
      </c>
      <c r="H59" s="171">
        <v>0</v>
      </c>
      <c r="I59" s="171">
        <v>-6.0999999999999997E-4</v>
      </c>
      <c r="J59" s="171"/>
      <c r="K59" s="171"/>
    </row>
    <row r="60" spans="1:13">
      <c r="A60" s="180" t="s">
        <v>138</v>
      </c>
      <c r="B60" s="152"/>
      <c r="C60" s="171">
        <v>-8.0999999999999996E-4</v>
      </c>
      <c r="D60" s="171">
        <v>4.0000000000000002E-4</v>
      </c>
      <c r="E60" s="171"/>
      <c r="F60" s="171">
        <v>3.4099999999999998E-3</v>
      </c>
      <c r="G60" s="171">
        <v>9.6000000000000002E-4</v>
      </c>
      <c r="H60" s="171">
        <v>0</v>
      </c>
      <c r="I60" s="171">
        <v>-6.0999999999999997E-4</v>
      </c>
      <c r="J60" s="171"/>
      <c r="K60" s="171"/>
    </row>
    <row r="61" spans="1:13" ht="14.4" customHeight="1">
      <c r="A61" s="180" t="s">
        <v>192</v>
      </c>
      <c r="B61" s="152"/>
      <c r="C61" s="171">
        <v>0</v>
      </c>
      <c r="D61" s="171">
        <v>0</v>
      </c>
      <c r="E61" s="171"/>
      <c r="F61" s="186">
        <v>1.2149999999999999E-2</v>
      </c>
      <c r="G61" s="401" t="s">
        <v>214</v>
      </c>
      <c r="H61" s="171">
        <v>0</v>
      </c>
      <c r="I61" s="186">
        <v>-6.4999999999999997E-4</v>
      </c>
      <c r="J61" s="171"/>
      <c r="K61" s="171"/>
    </row>
    <row r="62" spans="1:13">
      <c r="A62" s="180" t="s">
        <v>183</v>
      </c>
      <c r="B62" s="152"/>
      <c r="C62" s="171">
        <v>-8.0999999999999996E-4</v>
      </c>
      <c r="D62" s="171">
        <v>0</v>
      </c>
      <c r="E62" s="171"/>
      <c r="F62" s="186">
        <v>1.2149999999999999E-2</v>
      </c>
      <c r="G62" s="401"/>
      <c r="H62" s="171">
        <v>0</v>
      </c>
      <c r="I62" s="186">
        <v>-6.4999999999999997E-4</v>
      </c>
      <c r="J62" s="171"/>
      <c r="K62" s="171"/>
    </row>
    <row r="63" spans="1:13">
      <c r="E63" s="152"/>
    </row>
    <row r="64" spans="1:13" ht="52.8">
      <c r="A64" s="179" t="s">
        <v>202</v>
      </c>
      <c r="B64" s="154"/>
      <c r="C64" s="172" t="s">
        <v>209</v>
      </c>
      <c r="D64" s="172" t="s">
        <v>213</v>
      </c>
      <c r="E64" s="172" t="s">
        <v>203</v>
      </c>
      <c r="F64" s="172" t="s">
        <v>204</v>
      </c>
      <c r="G64" s="172" t="s">
        <v>205</v>
      </c>
      <c r="H64" s="172" t="s">
        <v>206</v>
      </c>
      <c r="I64" s="172" t="s">
        <v>207</v>
      </c>
      <c r="J64" s="172" t="s">
        <v>208</v>
      </c>
      <c r="M64" s="208"/>
    </row>
    <row r="65" spans="1:13">
      <c r="A65" s="180" t="s">
        <v>131</v>
      </c>
      <c r="C65" s="168">
        <f>C50*H3</f>
        <v>9216.231029999999</v>
      </c>
      <c r="D65" s="168">
        <f>D50*H3</f>
        <v>-50632.380349999999</v>
      </c>
      <c r="E65" s="168">
        <f t="shared" ref="E65:E70" si="8">$H3*E50</f>
        <v>0</v>
      </c>
      <c r="F65" s="168">
        <f t="shared" ref="F65:G70" si="9">($H3*F50)</f>
        <v>-39140.536719999996</v>
      </c>
      <c r="G65" s="168">
        <f t="shared" si="9"/>
        <v>-11946.966149999998</v>
      </c>
      <c r="H65" s="168">
        <f t="shared" ref="H65:H70" si="10">$H3*H50</f>
        <v>0</v>
      </c>
      <c r="I65" s="168">
        <f t="shared" ref="I65:I70" si="11">(I50*H3)</f>
        <v>6485.4959099999996</v>
      </c>
      <c r="J65" s="168">
        <f>SUM(C65:I65)</f>
        <v>-86018.156279999996</v>
      </c>
      <c r="M65" s="168"/>
    </row>
    <row r="66" spans="1:13">
      <c r="A66" s="180" t="s">
        <v>178</v>
      </c>
      <c r="C66" s="168">
        <f t="shared" ref="C66:C75" si="12">C51*H4</f>
        <v>32.287410000000001</v>
      </c>
      <c r="D66" s="168">
        <f t="shared" ref="D66:D75" si="13">D51*H4</f>
        <v>-177.38145</v>
      </c>
      <c r="E66" s="168">
        <f t="shared" si="8"/>
        <v>1256.8173300000001</v>
      </c>
      <c r="F66" s="168">
        <f t="shared" si="9"/>
        <v>-137.12183999999999</v>
      </c>
      <c r="G66" s="168">
        <f t="shared" si="9"/>
        <v>-41.854050000000001</v>
      </c>
      <c r="H66" s="168">
        <f t="shared" si="10"/>
        <v>0</v>
      </c>
      <c r="I66" s="168">
        <f t="shared" si="11"/>
        <v>22.720769999999998</v>
      </c>
      <c r="J66" s="168">
        <f t="shared" ref="J66:J75" si="14">SUM(C66:I66)</f>
        <v>955.4681700000001</v>
      </c>
      <c r="M66" s="168"/>
    </row>
    <row r="67" spans="1:13">
      <c r="A67" s="180" t="s">
        <v>132</v>
      </c>
      <c r="C67" s="168">
        <f t="shared" si="12"/>
        <v>0</v>
      </c>
      <c r="D67" s="168">
        <f t="shared" si="13"/>
        <v>148.9924</v>
      </c>
      <c r="E67" s="168">
        <f t="shared" si="8"/>
        <v>0</v>
      </c>
      <c r="F67" s="168">
        <f t="shared" si="9"/>
        <v>1724.5870299999999</v>
      </c>
      <c r="G67" s="168">
        <f t="shared" si="9"/>
        <v>566.17112000000009</v>
      </c>
      <c r="H67" s="168">
        <f t="shared" si="10"/>
        <v>0</v>
      </c>
      <c r="I67" s="168">
        <f t="shared" si="11"/>
        <v>-212.31416999999999</v>
      </c>
      <c r="J67" s="168">
        <f t="shared" si="14"/>
        <v>2227.4363800000001</v>
      </c>
      <c r="M67" s="168"/>
    </row>
    <row r="68" spans="1:13">
      <c r="A68" s="180" t="s">
        <v>133</v>
      </c>
      <c r="C68" s="168">
        <f t="shared" si="12"/>
        <v>117.92061</v>
      </c>
      <c r="D68" s="168">
        <f t="shared" si="13"/>
        <v>-58.232400000000005</v>
      </c>
      <c r="E68" s="168">
        <f t="shared" si="8"/>
        <v>0</v>
      </c>
      <c r="F68" s="168">
        <f t="shared" si="9"/>
        <v>-674.04002999999989</v>
      </c>
      <c r="G68" s="168">
        <f t="shared" si="9"/>
        <v>-221.28312000000003</v>
      </c>
      <c r="H68" s="168">
        <f t="shared" si="10"/>
        <v>0</v>
      </c>
      <c r="I68" s="168">
        <f t="shared" si="11"/>
        <v>82.981169999999992</v>
      </c>
      <c r="J68" s="168">
        <f t="shared" si="14"/>
        <v>-752.65376999999989</v>
      </c>
      <c r="M68" s="168"/>
    </row>
    <row r="69" spans="1:13">
      <c r="A69" s="180" t="s">
        <v>134</v>
      </c>
      <c r="C69" s="168">
        <f t="shared" si="12"/>
        <v>0</v>
      </c>
      <c r="D69" s="168">
        <f t="shared" si="13"/>
        <v>1188.828</v>
      </c>
      <c r="E69" s="168">
        <f t="shared" si="8"/>
        <v>0</v>
      </c>
      <c r="F69" s="168">
        <f t="shared" si="9"/>
        <v>10877.7762</v>
      </c>
      <c r="G69" s="168">
        <f t="shared" si="9"/>
        <v>3269.277</v>
      </c>
      <c r="H69" s="168">
        <f t="shared" si="10"/>
        <v>0</v>
      </c>
      <c r="I69" s="168">
        <f t="shared" si="11"/>
        <v>-1753.5213000000001</v>
      </c>
      <c r="J69" s="168">
        <f t="shared" si="14"/>
        <v>13582.359899999999</v>
      </c>
      <c r="M69" s="168"/>
    </row>
    <row r="70" spans="1:13">
      <c r="A70" s="180" t="s">
        <v>135</v>
      </c>
      <c r="C70" s="168">
        <f t="shared" si="12"/>
        <v>32.38785</v>
      </c>
      <c r="D70" s="168">
        <f t="shared" si="13"/>
        <v>-15.994000000000002</v>
      </c>
      <c r="E70" s="168">
        <f t="shared" si="8"/>
        <v>0</v>
      </c>
      <c r="F70" s="168">
        <f t="shared" si="9"/>
        <v>-146.3451</v>
      </c>
      <c r="G70" s="168">
        <f t="shared" si="9"/>
        <v>-43.983499999999999</v>
      </c>
      <c r="H70" s="168">
        <f t="shared" si="10"/>
        <v>0</v>
      </c>
      <c r="I70" s="168">
        <f t="shared" si="11"/>
        <v>23.591150000000003</v>
      </c>
      <c r="J70" s="168">
        <f>SUM(C70:I70)</f>
        <v>-150.34360000000001</v>
      </c>
      <c r="M70" s="168"/>
    </row>
    <row r="71" spans="1:13">
      <c r="A71" s="180" t="s">
        <v>136</v>
      </c>
      <c r="C71" s="168">
        <f t="shared" si="12"/>
        <v>0</v>
      </c>
      <c r="D71" s="168">
        <f t="shared" si="13"/>
        <v>0</v>
      </c>
      <c r="E71" s="168">
        <f>$H9*E56+$H10*E57</f>
        <v>0</v>
      </c>
      <c r="F71" s="168">
        <f>$H9*F56+$H10*F57</f>
        <v>9848.2144000000008</v>
      </c>
      <c r="G71" s="168">
        <f>($H9*G56)</f>
        <v>2928.9947999999999</v>
      </c>
      <c r="H71" s="168">
        <f>$H9*H56+$H10*H57</f>
        <v>0</v>
      </c>
      <c r="I71" s="168">
        <f>$H9*I56+$H10*I57</f>
        <v>-2419.6043999999997</v>
      </c>
      <c r="J71" s="168">
        <f t="shared" si="14"/>
        <v>10357.604800000001</v>
      </c>
      <c r="M71" s="168"/>
    </row>
    <row r="72" spans="1:13">
      <c r="A72" s="180" t="s">
        <v>180</v>
      </c>
      <c r="C72" s="168">
        <f t="shared" si="12"/>
        <v>0</v>
      </c>
      <c r="D72" s="168">
        <f t="shared" si="13"/>
        <v>0</v>
      </c>
      <c r="E72" s="168">
        <f>$H11*E58</f>
        <v>0</v>
      </c>
      <c r="F72" s="168">
        <f>($H11*F57)</f>
        <v>0</v>
      </c>
      <c r="G72" s="168">
        <f>($H10*G57)</f>
        <v>0</v>
      </c>
      <c r="H72" s="168">
        <f t="shared" ref="H72:I74" si="15">$H11*H58</f>
        <v>0</v>
      </c>
      <c r="I72" s="168">
        <f t="shared" si="15"/>
        <v>0</v>
      </c>
      <c r="J72" s="168">
        <f t="shared" si="14"/>
        <v>0</v>
      </c>
      <c r="M72" s="168"/>
    </row>
    <row r="73" spans="1:13">
      <c r="A73" s="180" t="s">
        <v>137</v>
      </c>
      <c r="C73" s="168">
        <f t="shared" si="12"/>
        <v>0</v>
      </c>
      <c r="D73" s="168">
        <f t="shared" si="13"/>
        <v>0</v>
      </c>
      <c r="E73" s="168">
        <f>$H12*E59</f>
        <v>0</v>
      </c>
      <c r="F73" s="168">
        <f>($H12*F58)</f>
        <v>-384.14331999999996</v>
      </c>
      <c r="G73" s="168">
        <f>($H11*G58)</f>
        <v>0</v>
      </c>
      <c r="H73" s="168">
        <f t="shared" si="15"/>
        <v>0</v>
      </c>
      <c r="I73" s="168">
        <f t="shared" si="15"/>
        <v>68.71772</v>
      </c>
      <c r="J73" s="168">
        <f t="shared" si="14"/>
        <v>-315.42559999999997</v>
      </c>
      <c r="M73" s="168"/>
    </row>
    <row r="74" spans="1:13">
      <c r="A74" s="180" t="s">
        <v>138</v>
      </c>
      <c r="C74" s="168">
        <f t="shared" si="12"/>
        <v>0</v>
      </c>
      <c r="D74" s="168">
        <f t="shared" si="13"/>
        <v>-45.0608</v>
      </c>
      <c r="E74" s="168">
        <f>$H13*E60</f>
        <v>0</v>
      </c>
      <c r="F74" s="168">
        <f>($H13*F59)</f>
        <v>-10.693759999999999</v>
      </c>
      <c r="G74" s="168">
        <f>($H12*G59)</f>
        <v>-108.14592</v>
      </c>
      <c r="H74" s="168">
        <f t="shared" si="15"/>
        <v>0</v>
      </c>
      <c r="I74" s="168">
        <f t="shared" si="15"/>
        <v>1.91296</v>
      </c>
      <c r="J74" s="168">
        <f t="shared" si="14"/>
        <v>-161.98752000000002</v>
      </c>
      <c r="M74" s="168"/>
    </row>
    <row r="75" spans="1:13">
      <c r="A75" s="180" t="s">
        <v>192</v>
      </c>
      <c r="C75" s="168">
        <f t="shared" si="12"/>
        <v>2.5401599999999998</v>
      </c>
      <c r="D75" s="168">
        <f t="shared" si="13"/>
        <v>-1.2544</v>
      </c>
      <c r="E75" s="168">
        <f>($H14+$H15)*E61</f>
        <v>0</v>
      </c>
      <c r="F75" s="168">
        <f>($H14*F60)</f>
        <v>0</v>
      </c>
      <c r="G75" s="168">
        <f>($H13*G60)</f>
        <v>-3.0105599999999999</v>
      </c>
      <c r="H75" s="168">
        <f>($H14+$H15)*H61</f>
        <v>0</v>
      </c>
      <c r="I75" s="168">
        <f>($H14+$H15)*I61</f>
        <v>0</v>
      </c>
      <c r="J75" s="168">
        <f t="shared" si="14"/>
        <v>-1.7248000000000001</v>
      </c>
      <c r="M75" s="168"/>
    </row>
    <row r="76" spans="1:13">
      <c r="A76" s="157"/>
      <c r="C76" s="193">
        <f>SUM(C65:C75)</f>
        <v>9401.3670599999987</v>
      </c>
      <c r="D76" s="193">
        <f t="shared" ref="D76:I76" si="16">SUM(D65:D75)</f>
        <v>-49592.482999999993</v>
      </c>
      <c r="E76" s="193">
        <f t="shared" si="16"/>
        <v>1256.8173300000001</v>
      </c>
      <c r="F76" s="193">
        <f t="shared" si="16"/>
        <v>-18042.303139999985</v>
      </c>
      <c r="G76" s="193">
        <f t="shared" si="16"/>
        <v>-5600.8003799999969</v>
      </c>
      <c r="H76" s="193">
        <f t="shared" si="16"/>
        <v>0</v>
      </c>
      <c r="I76" s="193">
        <f t="shared" si="16"/>
        <v>2299.9798100000003</v>
      </c>
      <c r="J76" s="193">
        <f>SUM(J65:J75)</f>
        <v>-60277.422319999998</v>
      </c>
    </row>
    <row r="77" spans="1:13" ht="15.75" customHeight="1"/>
    <row r="78" spans="1:13">
      <c r="A78" s="152" t="s">
        <v>19</v>
      </c>
      <c r="B78" s="152"/>
      <c r="C78" s="168">
        <f>C65+C66</f>
        <v>9248.5184399999998</v>
      </c>
      <c r="D78" s="168">
        <f t="shared" ref="D78:I78" si="17">D65+D66</f>
        <v>-50809.7618</v>
      </c>
      <c r="E78" s="168">
        <f t="shared" si="17"/>
        <v>1256.8173300000001</v>
      </c>
      <c r="F78" s="168">
        <f t="shared" si="17"/>
        <v>-39277.658559999996</v>
      </c>
      <c r="G78" s="168">
        <f t="shared" si="17"/>
        <v>-11988.820199999998</v>
      </c>
      <c r="H78" s="168">
        <f t="shared" si="17"/>
        <v>0</v>
      </c>
      <c r="I78" s="168">
        <f t="shared" si="17"/>
        <v>6508.2166799999995</v>
      </c>
      <c r="J78" s="168">
        <f>J65+J66</f>
        <v>-85062.688109999988</v>
      </c>
    </row>
    <row r="79" spans="1:13">
      <c r="A79" s="152"/>
      <c r="B79" s="152"/>
      <c r="C79" s="168"/>
      <c r="D79" s="168"/>
      <c r="E79" s="168"/>
      <c r="F79" s="168"/>
      <c r="G79" s="168"/>
      <c r="H79" s="168"/>
      <c r="I79" s="168"/>
      <c r="J79" s="168"/>
    </row>
    <row r="80" spans="1:13">
      <c r="A80" s="152" t="s">
        <v>184</v>
      </c>
      <c r="B80" s="152"/>
      <c r="C80" s="176">
        <f>SUM(C67:C70,C72:C74)</f>
        <v>150.30846</v>
      </c>
      <c r="D80" s="176">
        <f t="shared" ref="D80:I80" si="18">SUM(D67:D70,D72:D74)</f>
        <v>1218.5332000000001</v>
      </c>
      <c r="E80" s="176">
        <f t="shared" si="18"/>
        <v>0</v>
      </c>
      <c r="F80" s="176">
        <f t="shared" si="18"/>
        <v>11387.141020000001</v>
      </c>
      <c r="G80" s="176">
        <f t="shared" si="18"/>
        <v>3462.0355800000002</v>
      </c>
      <c r="H80" s="176">
        <f t="shared" si="18"/>
        <v>0</v>
      </c>
      <c r="I80" s="176">
        <f t="shared" si="18"/>
        <v>-1788.63247</v>
      </c>
      <c r="J80" s="176">
        <f>SUM(J67:J70,J72:J74)</f>
        <v>14429.385789999998</v>
      </c>
    </row>
    <row r="81" spans="1:6" ht="15.75" customHeight="1"/>
    <row r="82" spans="1:6" ht="14.4">
      <c r="A82" s="151" t="s">
        <v>215</v>
      </c>
      <c r="B82" s="151"/>
      <c r="C82" s="151"/>
      <c r="D82" s="151"/>
      <c r="E82" s="151"/>
      <c r="F82" s="151"/>
    </row>
    <row r="83" spans="1:6" ht="14.4">
      <c r="A83" s="151" t="s">
        <v>223</v>
      </c>
      <c r="B83" s="151"/>
      <c r="C83" s="151"/>
      <c r="D83" s="151"/>
      <c r="E83" s="151"/>
      <c r="F83" s="151"/>
    </row>
    <row r="84" spans="1:6" ht="14.4">
      <c r="A84" s="170" t="s">
        <v>222</v>
      </c>
      <c r="B84" s="170"/>
      <c r="C84" s="170"/>
      <c r="D84" s="170"/>
      <c r="E84" s="170"/>
      <c r="F84" s="151"/>
    </row>
    <row r="85" spans="1:6" ht="28.8">
      <c r="A85" s="170"/>
      <c r="B85" s="197" t="s">
        <v>216</v>
      </c>
      <c r="C85" s="197" t="s">
        <v>217</v>
      </c>
      <c r="D85" s="197" t="s">
        <v>218</v>
      </c>
      <c r="E85" s="197" t="s">
        <v>221</v>
      </c>
      <c r="F85" s="151"/>
    </row>
    <row r="86" spans="1:6" ht="14.4">
      <c r="A86" s="170" t="s">
        <v>227</v>
      </c>
      <c r="B86" s="198">
        <v>1</v>
      </c>
      <c r="C86" s="199">
        <v>895377</v>
      </c>
      <c r="D86" s="200">
        <f>75308.6-C86*SUM($C$56:$K$56)</f>
        <v>73123.880120000002</v>
      </c>
      <c r="E86" s="200">
        <v>500</v>
      </c>
      <c r="F86" s="201" t="s">
        <v>219</v>
      </c>
    </row>
    <row r="87" spans="1:6" ht="28.8">
      <c r="A87" s="202" t="s">
        <v>220</v>
      </c>
      <c r="B87" s="203">
        <f>SUM(B86:B86)</f>
        <v>1</v>
      </c>
      <c r="C87" s="204">
        <f>SUM(C86:C86)</f>
        <v>895377</v>
      </c>
      <c r="D87" s="205">
        <f>SUM(D86:D86)</f>
        <v>73123.880120000002</v>
      </c>
      <c r="E87" s="205">
        <f>SUM(E86:E86)</f>
        <v>500</v>
      </c>
      <c r="F87" s="151"/>
    </row>
    <row r="88" spans="1:6" ht="9" customHeight="1">
      <c r="A88" s="170"/>
      <c r="B88" s="170"/>
      <c r="C88" s="170"/>
      <c r="D88" s="170"/>
      <c r="E88" s="170"/>
      <c r="F88" s="151"/>
    </row>
    <row r="89" spans="1:6" ht="14.4">
      <c r="A89" s="206" t="s">
        <v>228</v>
      </c>
      <c r="B89" s="206"/>
      <c r="C89" s="206"/>
      <c r="D89" s="206"/>
      <c r="E89" s="206"/>
      <c r="F89" s="151"/>
    </row>
  </sheetData>
  <mergeCells count="2">
    <mergeCell ref="A1:I1"/>
    <mergeCell ref="G61:G62"/>
  </mergeCells>
  <pageMargins left="0.7" right="0.7" top="0.66" bottom="0.64" header="0.3" footer="0.3"/>
  <pageSetup scale="10" fitToHeight="2" orientation="landscape" r:id="rId1"/>
  <headerFooter>
    <oddFooter>&amp;L&amp;F / &amp;A&amp;RPage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M89"/>
  <sheetViews>
    <sheetView workbookViewId="0">
      <selection sqref="A1:I1"/>
    </sheetView>
  </sheetViews>
  <sheetFormatPr defaultColWidth="9.109375" defaultRowHeight="13.8"/>
  <cols>
    <col min="1" max="1" width="14.6640625" style="1" customWidth="1"/>
    <col min="2" max="2" width="10.109375" style="1" customWidth="1"/>
    <col min="3" max="3" width="16.33203125" style="1" customWidth="1"/>
    <col min="4" max="4" width="20.6640625" style="1" bestFit="1" customWidth="1"/>
    <col min="5" max="5" width="15.5546875" style="1" customWidth="1"/>
    <col min="6" max="6" width="14.6640625" style="1" bestFit="1" customWidth="1"/>
    <col min="7" max="7" width="18.88671875" style="1" bestFit="1" customWidth="1"/>
    <col min="8" max="8" width="13.5546875" style="1" bestFit="1" customWidth="1"/>
    <col min="9" max="9" width="14.5546875" style="1" bestFit="1" customWidth="1"/>
    <col min="10" max="10" width="13.33203125" style="1" bestFit="1" customWidth="1"/>
    <col min="11" max="11" width="13.109375" style="1" customWidth="1"/>
    <col min="12" max="12" width="13.44140625" style="1" bestFit="1" customWidth="1"/>
    <col min="13" max="13" width="27.5546875" style="1" bestFit="1" customWidth="1"/>
    <col min="14" max="16384" width="9.109375" style="1"/>
  </cols>
  <sheetData>
    <row r="1" spans="1:9">
      <c r="A1" s="399" t="s">
        <v>172</v>
      </c>
      <c r="B1" s="399"/>
      <c r="C1" s="399"/>
      <c r="D1" s="399"/>
      <c r="E1" s="399"/>
      <c r="F1" s="399"/>
      <c r="G1" s="399"/>
      <c r="H1" s="399"/>
      <c r="I1" s="399"/>
    </row>
    <row r="2" spans="1:9" ht="26.4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</row>
    <row r="3" spans="1:9">
      <c r="A3" s="180" t="s">
        <v>131</v>
      </c>
      <c r="B3" s="152"/>
      <c r="C3" s="158">
        <v>214784</v>
      </c>
      <c r="D3" s="194"/>
      <c r="E3" s="182">
        <v>290082617.78600001</v>
      </c>
      <c r="F3" s="182">
        <v>-148528721</v>
      </c>
      <c r="G3" s="182">
        <v>131744919</v>
      </c>
      <c r="H3" s="189">
        <f>SUM(F3:G3)</f>
        <v>-16783802</v>
      </c>
      <c r="I3" s="159">
        <f>E3+H3</f>
        <v>273298815.78600001</v>
      </c>
    </row>
    <row r="4" spans="1:9">
      <c r="A4" s="180" t="s">
        <v>178</v>
      </c>
      <c r="B4" s="152"/>
      <c r="C4" s="158">
        <v>414</v>
      </c>
      <c r="D4" s="194"/>
      <c r="E4" s="182">
        <v>698936.27599999995</v>
      </c>
      <c r="F4" s="182">
        <v>-351593</v>
      </c>
      <c r="G4" s="182">
        <v>328050</v>
      </c>
      <c r="H4" s="189">
        <f t="shared" ref="H4:H16" si="0">SUM(F4:G4)</f>
        <v>-23543</v>
      </c>
      <c r="I4" s="159">
        <f t="shared" ref="I4:I16" si="1">E4+H4</f>
        <v>675393.27599999995</v>
      </c>
    </row>
    <row r="5" spans="1:9">
      <c r="A5" s="180" t="s">
        <v>132</v>
      </c>
      <c r="B5" s="152"/>
      <c r="C5" s="158">
        <v>22901</v>
      </c>
      <c r="D5" s="194"/>
      <c r="E5" s="182">
        <v>57439818.197999999</v>
      </c>
      <c r="F5" s="182">
        <v>-30705832</v>
      </c>
      <c r="G5" s="182">
        <v>25948763</v>
      </c>
      <c r="H5" s="189">
        <f t="shared" si="0"/>
        <v>-4757069</v>
      </c>
      <c r="I5" s="159">
        <f t="shared" si="1"/>
        <v>52682749.197999999</v>
      </c>
    </row>
    <row r="6" spans="1:9">
      <c r="A6" s="180" t="s">
        <v>133</v>
      </c>
      <c r="B6" s="152"/>
      <c r="C6" s="158">
        <v>9566</v>
      </c>
      <c r="D6" s="194"/>
      <c r="E6" s="182">
        <v>7528199.0209999997</v>
      </c>
      <c r="F6" s="182">
        <v>-3711265</v>
      </c>
      <c r="G6" s="182">
        <v>3411721</v>
      </c>
      <c r="H6" s="189">
        <f t="shared" si="0"/>
        <v>-299544</v>
      </c>
      <c r="I6" s="159">
        <f t="shared" si="1"/>
        <v>7228655.0209999997</v>
      </c>
    </row>
    <row r="7" spans="1:9">
      <c r="A7" s="180" t="s">
        <v>134</v>
      </c>
      <c r="B7" s="152"/>
      <c r="C7" s="158">
        <v>1866</v>
      </c>
      <c r="D7" s="194"/>
      <c r="E7" s="182">
        <v>122241827.957</v>
      </c>
      <c r="F7" s="182">
        <v>-72193864</v>
      </c>
      <c r="G7" s="182">
        <v>55178026</v>
      </c>
      <c r="H7" s="189">
        <f t="shared" si="0"/>
        <v>-17015838</v>
      </c>
      <c r="I7" s="159">
        <f t="shared" si="1"/>
        <v>105225989.957</v>
      </c>
    </row>
    <row r="8" spans="1:9">
      <c r="A8" s="180" t="s">
        <v>135</v>
      </c>
      <c r="B8" s="152"/>
      <c r="C8" s="158">
        <v>48</v>
      </c>
      <c r="D8" s="194"/>
      <c r="E8" s="182">
        <v>3695224.88</v>
      </c>
      <c r="F8" s="182">
        <v>-1992363</v>
      </c>
      <c r="G8" s="182">
        <v>1673055</v>
      </c>
      <c r="H8" s="189">
        <f t="shared" si="0"/>
        <v>-319308</v>
      </c>
      <c r="I8" s="159">
        <f t="shared" si="1"/>
        <v>3375916.88</v>
      </c>
    </row>
    <row r="9" spans="1:9">
      <c r="A9" s="180" t="s">
        <v>136</v>
      </c>
      <c r="B9" s="152"/>
      <c r="C9" s="158">
        <v>21</v>
      </c>
      <c r="D9" s="194"/>
      <c r="E9" s="182">
        <f>85895739.5-E10</f>
        <v>49782169.5</v>
      </c>
      <c r="F9" s="182">
        <v>-2136242</v>
      </c>
      <c r="G9" s="182">
        <v>11830759</v>
      </c>
      <c r="H9" s="189">
        <f t="shared" si="0"/>
        <v>9694517</v>
      </c>
      <c r="I9" s="159">
        <f t="shared" si="1"/>
        <v>59476686.5</v>
      </c>
    </row>
    <row r="10" spans="1:9">
      <c r="A10" s="180" t="s">
        <v>179</v>
      </c>
      <c r="B10" s="152"/>
      <c r="C10" s="158"/>
      <c r="D10" s="194"/>
      <c r="E10" s="182">
        <v>36113570</v>
      </c>
      <c r="F10" s="182">
        <v>0</v>
      </c>
      <c r="G10" s="182">
        <v>0</v>
      </c>
      <c r="H10" s="189">
        <f t="shared" si="0"/>
        <v>0</v>
      </c>
      <c r="I10" s="159">
        <f t="shared" si="1"/>
        <v>36113570</v>
      </c>
    </row>
    <row r="11" spans="1:9">
      <c r="A11" s="180" t="s">
        <v>180</v>
      </c>
      <c r="B11" s="152"/>
      <c r="C11" s="158">
        <v>49</v>
      </c>
      <c r="D11" s="194"/>
      <c r="E11" s="182">
        <v>8400</v>
      </c>
      <c r="F11" s="182">
        <v>0</v>
      </c>
      <c r="G11" s="182">
        <v>0</v>
      </c>
      <c r="H11" s="189">
        <f t="shared" si="0"/>
        <v>0</v>
      </c>
      <c r="I11" s="159">
        <f t="shared" si="1"/>
        <v>8400</v>
      </c>
    </row>
    <row r="12" spans="1:9">
      <c r="A12" s="180" t="s">
        <v>137</v>
      </c>
      <c r="B12" s="152"/>
      <c r="C12" s="158">
        <v>1245</v>
      </c>
      <c r="D12" s="194"/>
      <c r="E12" s="182">
        <v>4871955.8380000005</v>
      </c>
      <c r="F12" s="182">
        <v>-1679835</v>
      </c>
      <c r="G12" s="182">
        <v>2033911</v>
      </c>
      <c r="H12" s="189">
        <f t="shared" si="0"/>
        <v>354076</v>
      </c>
      <c r="I12" s="159">
        <f t="shared" si="1"/>
        <v>5226031.8380000005</v>
      </c>
    </row>
    <row r="13" spans="1:9">
      <c r="A13" s="180" t="s">
        <v>138</v>
      </c>
      <c r="B13" s="152"/>
      <c r="C13" s="158">
        <v>1193</v>
      </c>
      <c r="D13" s="194"/>
      <c r="E13" s="182">
        <v>319449.84000000003</v>
      </c>
      <c r="F13" s="182">
        <v>-156264</v>
      </c>
      <c r="G13" s="182">
        <v>131220</v>
      </c>
      <c r="H13" s="189">
        <f t="shared" si="0"/>
        <v>-25044</v>
      </c>
      <c r="I13" s="159">
        <f t="shared" si="1"/>
        <v>294405.84000000003</v>
      </c>
    </row>
    <row r="14" spans="1:9">
      <c r="A14" s="180" t="s">
        <v>181</v>
      </c>
      <c r="B14" s="152"/>
      <c r="C14" s="158">
        <v>427</v>
      </c>
      <c r="D14" s="194"/>
      <c r="E14" s="182">
        <v>997006</v>
      </c>
      <c r="F14" s="182"/>
      <c r="G14" s="182"/>
      <c r="H14" s="189"/>
      <c r="I14" s="159">
        <f t="shared" si="1"/>
        <v>997006</v>
      </c>
    </row>
    <row r="15" spans="1:9">
      <c r="A15" s="180" t="s">
        <v>182</v>
      </c>
      <c r="B15" s="152"/>
      <c r="C15" s="158"/>
      <c r="D15" s="194"/>
      <c r="E15" s="182">
        <v>441811.02402999997</v>
      </c>
      <c r="F15" s="182"/>
      <c r="G15" s="182"/>
      <c r="H15" s="189">
        <f t="shared" si="0"/>
        <v>0</v>
      </c>
      <c r="I15" s="159">
        <f t="shared" si="1"/>
        <v>441811.02402999997</v>
      </c>
    </row>
    <row r="16" spans="1:9">
      <c r="A16" s="180" t="s">
        <v>183</v>
      </c>
      <c r="B16" s="152"/>
      <c r="C16" s="158"/>
      <c r="D16" s="195"/>
      <c r="E16" s="182">
        <v>238692.97</v>
      </c>
      <c r="F16" s="182"/>
      <c r="G16" s="182"/>
      <c r="H16" s="189">
        <f t="shared" si="0"/>
        <v>0</v>
      </c>
      <c r="I16" s="159">
        <f t="shared" si="1"/>
        <v>238692.97</v>
      </c>
    </row>
    <row r="17" spans="1:9">
      <c r="A17" s="152"/>
      <c r="B17" s="152"/>
      <c r="C17" s="160">
        <f>SUM(C3:C16)</f>
        <v>252514</v>
      </c>
      <c r="E17" s="160">
        <f>SUM(E3:E16)</f>
        <v>574459679.29003012</v>
      </c>
      <c r="F17" s="160">
        <f>SUM(F3:F16)</f>
        <v>-261455979</v>
      </c>
      <c r="G17" s="160">
        <f>SUM(G3:G16)</f>
        <v>232280424</v>
      </c>
      <c r="H17" s="160">
        <f>SUM(H3:H16)</f>
        <v>-29175555</v>
      </c>
      <c r="I17" s="160">
        <f>SUM(I3:I16)</f>
        <v>545284124.29003012</v>
      </c>
    </row>
    <row r="18" spans="1:9" ht="14.4" thickBot="1">
      <c r="A18" s="152"/>
      <c r="B18" s="152"/>
      <c r="C18" s="152"/>
      <c r="E18" s="152"/>
      <c r="F18" s="152"/>
      <c r="G18" s="152"/>
      <c r="I18" s="152"/>
    </row>
    <row r="19" spans="1:9">
      <c r="A19" s="152" t="s">
        <v>19</v>
      </c>
      <c r="B19" s="152"/>
      <c r="C19" s="161">
        <f>C3+C4</f>
        <v>215198</v>
      </c>
      <c r="E19" s="162">
        <f>E3+E4</f>
        <v>290781554.06200004</v>
      </c>
      <c r="F19" s="162">
        <f>F3+F4</f>
        <v>-148880314</v>
      </c>
      <c r="G19" s="162">
        <f>G3+G4</f>
        <v>132072969</v>
      </c>
      <c r="H19" s="162">
        <f>H3+H4</f>
        <v>-16807345</v>
      </c>
      <c r="I19" s="161">
        <f>I3+I4</f>
        <v>273974209.06200004</v>
      </c>
    </row>
    <row r="20" spans="1:9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9" ht="14.4" thickBot="1">
      <c r="A21" s="152" t="s">
        <v>184</v>
      </c>
      <c r="B21" s="152"/>
      <c r="C21" s="177">
        <f>SUM(C5:C8,C11:C13)</f>
        <v>36868</v>
      </c>
      <c r="E21" s="178">
        <f>SUM(E5:E8,E11:E13)</f>
        <v>196104875.734</v>
      </c>
      <c r="F21" s="178">
        <f>SUM(F5:F8,F11:F13)</f>
        <v>-110439423</v>
      </c>
      <c r="G21" s="178">
        <f>SUM(G5:G8,G11:G13)</f>
        <v>88376696</v>
      </c>
      <c r="H21" s="178">
        <f>SUM(H5:H8,H11:H13)</f>
        <v>-22062727</v>
      </c>
      <c r="I21" s="177">
        <f>SUM(I5:I8,I11:I13)</f>
        <v>174042148.734</v>
      </c>
    </row>
    <row r="22" spans="1:9">
      <c r="A22" s="152"/>
      <c r="B22" s="152"/>
      <c r="C22" s="152"/>
      <c r="D22" s="152"/>
      <c r="E22" s="152"/>
    </row>
    <row r="23" spans="1:9" ht="43.2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</row>
    <row r="24" spans="1:9">
      <c r="A24" s="180" t="s">
        <v>131</v>
      </c>
      <c r="B24" s="152"/>
      <c r="C24" s="181">
        <v>1860556.5</v>
      </c>
      <c r="D24" s="181">
        <v>25975343.259999998</v>
      </c>
      <c r="E24" s="183">
        <v>-14216193</v>
      </c>
      <c r="F24" s="183">
        <v>13061982</v>
      </c>
      <c r="G24" s="174">
        <f>SUM(D24:F24)</f>
        <v>24821132.259999998</v>
      </c>
      <c r="H24" s="174">
        <f>-J65</f>
        <v>126885.54312</v>
      </c>
      <c r="I24" s="174">
        <f>SUM(G24:H24)</f>
        <v>24948017.803119998</v>
      </c>
    </row>
    <row r="25" spans="1:9">
      <c r="A25" s="180" t="s">
        <v>178</v>
      </c>
      <c r="B25" s="152"/>
      <c r="C25" s="181">
        <v>3536</v>
      </c>
      <c r="D25" s="181">
        <v>62971.11</v>
      </c>
      <c r="E25" s="183">
        <v>-22157</v>
      </c>
      <c r="F25" s="183">
        <v>21672</v>
      </c>
      <c r="G25" s="174">
        <f t="shared" ref="G25:G33" si="2">SUM(D25:F25)</f>
        <v>62486.11</v>
      </c>
      <c r="H25" s="174">
        <f t="shared" ref="H25:H33" si="3">-J66</f>
        <v>-564.32571000000007</v>
      </c>
      <c r="I25" s="174">
        <f t="shared" ref="I25:I34" si="4">SUM(G25:H25)</f>
        <v>61921.784290000003</v>
      </c>
    </row>
    <row r="26" spans="1:9">
      <c r="A26" s="180" t="s">
        <v>132</v>
      </c>
      <c r="B26" s="152"/>
      <c r="C26" s="181">
        <v>420211.43</v>
      </c>
      <c r="D26" s="181">
        <v>6492525.4799999995</v>
      </c>
      <c r="E26" s="183">
        <v>-3556674</v>
      </c>
      <c r="F26" s="183">
        <v>2984952</v>
      </c>
      <c r="G26" s="174">
        <f t="shared" si="2"/>
        <v>5920803.4799999995</v>
      </c>
      <c r="H26" s="174">
        <f t="shared" si="3"/>
        <v>28447.27262</v>
      </c>
      <c r="I26" s="174">
        <f t="shared" si="4"/>
        <v>5949250.7526199995</v>
      </c>
    </row>
    <row r="27" spans="1:9">
      <c r="A27" s="180" t="s">
        <v>133</v>
      </c>
      <c r="B27" s="152"/>
      <c r="C27" s="181">
        <v>173685.17</v>
      </c>
      <c r="D27" s="181">
        <v>997016.43</v>
      </c>
      <c r="E27" s="183">
        <v>-511590</v>
      </c>
      <c r="F27" s="183">
        <v>471297</v>
      </c>
      <c r="G27" s="174">
        <f t="shared" si="2"/>
        <v>956723.43</v>
      </c>
      <c r="H27" s="174">
        <f t="shared" si="3"/>
        <v>1548.64248</v>
      </c>
      <c r="I27" s="174">
        <f t="shared" si="4"/>
        <v>958272.07248000009</v>
      </c>
    </row>
    <row r="28" spans="1:9">
      <c r="A28" s="180" t="s">
        <v>134</v>
      </c>
      <c r="B28" s="152"/>
      <c r="C28" s="181">
        <v>936002.69</v>
      </c>
      <c r="D28" s="181">
        <v>10736825.129999999</v>
      </c>
      <c r="E28" s="183">
        <v>-5870374</v>
      </c>
      <c r="F28" s="183">
        <v>4569940</v>
      </c>
      <c r="G28" s="174">
        <f t="shared" si="2"/>
        <v>9436391.129999999</v>
      </c>
      <c r="H28" s="174">
        <f t="shared" si="3"/>
        <v>77762.379660000006</v>
      </c>
      <c r="I28" s="174">
        <f t="shared" si="4"/>
        <v>9514153.5096599981</v>
      </c>
    </row>
    <row r="29" spans="1:9">
      <c r="A29" s="180" t="s">
        <v>135</v>
      </c>
      <c r="B29" s="152"/>
      <c r="C29" s="181">
        <v>23900</v>
      </c>
      <c r="D29" s="181">
        <v>317055.09000000003</v>
      </c>
      <c r="E29" s="183">
        <v>-161186</v>
      </c>
      <c r="F29" s="183">
        <v>136786</v>
      </c>
      <c r="G29" s="174">
        <f t="shared" si="2"/>
        <v>292655.09000000003</v>
      </c>
      <c r="H29" s="174">
        <f t="shared" si="3"/>
        <v>1200.5980800000002</v>
      </c>
      <c r="I29" s="174">
        <f t="shared" si="4"/>
        <v>293855.68808000005</v>
      </c>
    </row>
    <row r="30" spans="1:9">
      <c r="A30" s="180" t="s">
        <v>136</v>
      </c>
      <c r="B30" s="152"/>
      <c r="C30" s="181">
        <v>441000</v>
      </c>
      <c r="D30" s="181">
        <f>5030728.76-168856</f>
        <v>4861872.76</v>
      </c>
      <c r="E30" s="183">
        <v>-147054</v>
      </c>
      <c r="F30" s="183">
        <v>820909</v>
      </c>
      <c r="G30" s="174">
        <f t="shared" si="2"/>
        <v>5535727.7599999998</v>
      </c>
      <c r="H30" s="174">
        <f t="shared" si="3"/>
        <v>-23654.621479999998</v>
      </c>
      <c r="I30" s="174">
        <f t="shared" si="4"/>
        <v>5512073.1385199996</v>
      </c>
    </row>
    <row r="31" spans="1:9">
      <c r="A31" s="180" t="s">
        <v>180</v>
      </c>
      <c r="B31" s="152"/>
      <c r="C31" s="181">
        <v>882</v>
      </c>
      <c r="D31" s="181">
        <v>1455.1799999999998</v>
      </c>
      <c r="E31" s="183">
        <v>0</v>
      </c>
      <c r="F31" s="183">
        <v>0</v>
      </c>
      <c r="G31" s="174">
        <f t="shared" si="2"/>
        <v>1455.1799999999998</v>
      </c>
      <c r="H31" s="174">
        <f t="shared" si="3"/>
        <v>0</v>
      </c>
      <c r="I31" s="174">
        <f t="shared" si="4"/>
        <v>1455.1799999999998</v>
      </c>
    </row>
    <row r="32" spans="1:9">
      <c r="A32" s="180" t="s">
        <v>137</v>
      </c>
      <c r="B32" s="152"/>
      <c r="C32" s="181">
        <v>22500</v>
      </c>
      <c r="D32" s="181">
        <v>418285.85</v>
      </c>
      <c r="E32" s="183">
        <v>-151206</v>
      </c>
      <c r="F32" s="183">
        <v>127197</v>
      </c>
      <c r="G32" s="174">
        <f t="shared" si="2"/>
        <v>394276.85</v>
      </c>
      <c r="H32" s="174">
        <f t="shared" si="3"/>
        <v>-991.41279999999995</v>
      </c>
      <c r="I32" s="174">
        <f t="shared" si="4"/>
        <v>393285.43719999999</v>
      </c>
    </row>
    <row r="33" spans="1:11">
      <c r="A33" s="180" t="s">
        <v>138</v>
      </c>
      <c r="B33" s="152"/>
      <c r="C33" s="181">
        <v>21672</v>
      </c>
      <c r="D33" s="181">
        <v>48708.66</v>
      </c>
      <c r="E33" s="183">
        <v>-23653</v>
      </c>
      <c r="F33" s="183">
        <v>21018</v>
      </c>
      <c r="G33" s="174">
        <f t="shared" si="2"/>
        <v>46073.66</v>
      </c>
      <c r="H33" s="174">
        <f t="shared" si="3"/>
        <v>-411.42016000000001</v>
      </c>
      <c r="I33" s="174">
        <f t="shared" si="4"/>
        <v>45662.239840000002</v>
      </c>
    </row>
    <row r="34" spans="1:11">
      <c r="A34" s="180" t="s">
        <v>192</v>
      </c>
      <c r="B34" s="152"/>
      <c r="C34" s="174"/>
      <c r="D34" s="181">
        <v>549591.4</v>
      </c>
      <c r="E34" s="181"/>
      <c r="F34" s="181"/>
      <c r="G34" s="174">
        <f>SUM(D34:F34)</f>
        <v>549591.4</v>
      </c>
      <c r="H34" s="174"/>
      <c r="I34" s="174">
        <f t="shared" si="4"/>
        <v>549591.4</v>
      </c>
    </row>
    <row r="35" spans="1:11">
      <c r="A35" s="180" t="s">
        <v>193</v>
      </c>
      <c r="B35" s="152"/>
      <c r="C35" s="194"/>
      <c r="D35" s="181">
        <v>3362061.5600000005</v>
      </c>
      <c r="E35" s="181"/>
      <c r="F35" s="181"/>
      <c r="G35" s="174"/>
      <c r="H35" s="174"/>
      <c r="I35" s="174"/>
    </row>
    <row r="36" spans="1:11">
      <c r="A36" s="180" t="s">
        <v>194</v>
      </c>
      <c r="B36" s="152"/>
      <c r="C36" s="194"/>
      <c r="D36" s="181">
        <v>1982919.83</v>
      </c>
      <c r="E36" s="181"/>
      <c r="F36" s="181"/>
      <c r="G36" s="174"/>
      <c r="H36" s="174"/>
      <c r="I36" s="174"/>
    </row>
    <row r="37" spans="1:11">
      <c r="A37" s="152"/>
      <c r="B37" s="152"/>
      <c r="C37" s="166">
        <f t="shared" ref="C37:I37" si="5">SUM(C24:C36)</f>
        <v>3903945.79</v>
      </c>
      <c r="D37" s="166">
        <f t="shared" si="5"/>
        <v>55806631.739999995</v>
      </c>
      <c r="E37" s="166">
        <f t="shared" si="5"/>
        <v>-24660087</v>
      </c>
      <c r="F37" s="166">
        <f t="shared" si="5"/>
        <v>22215753</v>
      </c>
      <c r="G37" s="166">
        <f t="shared" si="5"/>
        <v>48017316.349999994</v>
      </c>
      <c r="H37" s="166">
        <f t="shared" si="5"/>
        <v>210222.65581</v>
      </c>
      <c r="I37" s="166">
        <f t="shared" si="5"/>
        <v>48227539.00581</v>
      </c>
    </row>
    <row r="38" spans="1:11" ht="14.4" thickBot="1">
      <c r="A38" s="152"/>
      <c r="B38" s="152"/>
      <c r="D38" s="167"/>
      <c r="E38" s="152"/>
      <c r="F38" s="152"/>
    </row>
    <row r="39" spans="1:11">
      <c r="A39" s="152" t="s">
        <v>19</v>
      </c>
      <c r="B39" s="152"/>
      <c r="C39" s="169">
        <f>C24+C25</f>
        <v>1864092.5</v>
      </c>
      <c r="D39" s="168">
        <f t="shared" ref="D39:I39" si="6">D24+D25</f>
        <v>26038314.369999997</v>
      </c>
      <c r="E39" s="168">
        <f t="shared" si="6"/>
        <v>-14238350</v>
      </c>
      <c r="F39" s="168">
        <f t="shared" si="6"/>
        <v>13083654</v>
      </c>
      <c r="G39" s="168">
        <f t="shared" si="6"/>
        <v>24883618.369999997</v>
      </c>
      <c r="H39" s="168">
        <f t="shared" si="6"/>
        <v>126321.21741</v>
      </c>
      <c r="I39" s="169">
        <f t="shared" si="6"/>
        <v>25009939.587409999</v>
      </c>
    </row>
    <row r="40" spans="1:11" ht="6" customHeight="1">
      <c r="A40" s="152"/>
      <c r="B40" s="152"/>
      <c r="C40" s="173"/>
      <c r="D40" s="168"/>
      <c r="E40" s="152"/>
      <c r="F40" s="152"/>
      <c r="I40" s="190"/>
    </row>
    <row r="41" spans="1:11" ht="14.4" thickBot="1">
      <c r="A41" s="152" t="s">
        <v>184</v>
      </c>
      <c r="B41" s="152"/>
      <c r="C41" s="175">
        <f>SUM(C26:C29,C31:C33)</f>
        <v>1598853.29</v>
      </c>
      <c r="D41" s="176">
        <f t="shared" ref="D41:I41" si="7">SUM(D26:D29,D31:D33)</f>
        <v>19011871.82</v>
      </c>
      <c r="E41" s="176">
        <f t="shared" si="7"/>
        <v>-10274683</v>
      </c>
      <c r="F41" s="176">
        <f t="shared" si="7"/>
        <v>8311190</v>
      </c>
      <c r="G41" s="176">
        <f t="shared" si="7"/>
        <v>17048378.82</v>
      </c>
      <c r="H41" s="176">
        <f t="shared" si="7"/>
        <v>107556.05988</v>
      </c>
      <c r="I41" s="175">
        <f t="shared" si="7"/>
        <v>17155934.879879996</v>
      </c>
    </row>
    <row r="42" spans="1:11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11">
      <c r="A43" s="152"/>
      <c r="B43" s="152"/>
      <c r="C43" s="188"/>
      <c r="D43" s="176"/>
      <c r="E43" s="176"/>
      <c r="F43" s="176"/>
      <c r="G43" s="176"/>
      <c r="H43" s="176"/>
      <c r="I43" s="188"/>
    </row>
    <row r="44" spans="1:11">
      <c r="A44" s="152"/>
      <c r="B44" s="152"/>
      <c r="C44" s="188"/>
      <c r="D44" s="176"/>
      <c r="E44" s="176"/>
      <c r="F44" s="176"/>
      <c r="G44" s="176"/>
      <c r="H44" s="176"/>
      <c r="I44" s="188"/>
    </row>
    <row r="45" spans="1:11">
      <c r="A45" s="152"/>
      <c r="B45" s="152"/>
      <c r="C45" s="188"/>
      <c r="D45" s="176"/>
      <c r="E45" s="176"/>
      <c r="F45" s="176"/>
      <c r="G45" s="176"/>
      <c r="H45" s="176"/>
      <c r="I45" s="188"/>
    </row>
    <row r="46" spans="1:11">
      <c r="A46" s="152"/>
      <c r="B46" s="152"/>
      <c r="C46" s="188"/>
      <c r="D46" s="176"/>
      <c r="E46" s="176"/>
      <c r="F46" s="176"/>
      <c r="G46" s="176"/>
      <c r="H46" s="176"/>
      <c r="I46" s="188"/>
    </row>
    <row r="47" spans="1:11">
      <c r="A47" s="152"/>
      <c r="B47" s="152"/>
      <c r="C47" s="188"/>
      <c r="D47" s="176"/>
      <c r="E47" s="176"/>
      <c r="F47" s="176"/>
      <c r="G47" s="176"/>
      <c r="H47" s="176"/>
      <c r="I47" s="188"/>
    </row>
    <row r="48" spans="1:11">
      <c r="C48" s="191">
        <v>43040</v>
      </c>
      <c r="D48" s="196">
        <v>43040</v>
      </c>
      <c r="E48" s="192">
        <v>42278</v>
      </c>
      <c r="F48" s="191">
        <v>42583</v>
      </c>
      <c r="G48" s="191">
        <v>43009</v>
      </c>
      <c r="H48" s="191">
        <v>42380</v>
      </c>
      <c r="I48" s="191">
        <v>42917</v>
      </c>
      <c r="J48" s="191"/>
      <c r="K48" s="196"/>
    </row>
    <row r="49" spans="1:13" ht="42" customHeight="1">
      <c r="A49" s="179" t="s">
        <v>195</v>
      </c>
      <c r="B49" s="154"/>
      <c r="C49" s="165" t="s">
        <v>196</v>
      </c>
      <c r="D49" s="165" t="s">
        <v>213</v>
      </c>
      <c r="E49" s="165" t="s">
        <v>197</v>
      </c>
      <c r="F49" s="165" t="s">
        <v>198</v>
      </c>
      <c r="G49" s="165" t="s">
        <v>199</v>
      </c>
      <c r="H49" s="165" t="s">
        <v>200</v>
      </c>
      <c r="I49" s="165" t="s">
        <v>201</v>
      </c>
      <c r="J49" s="207"/>
      <c r="K49" s="207"/>
    </row>
    <row r="50" spans="1:13">
      <c r="A50" s="180" t="s">
        <v>131</v>
      </c>
      <c r="B50" s="152"/>
      <c r="C50" s="171">
        <v>-8.0999999999999996E-4</v>
      </c>
      <c r="D50" s="171">
        <v>4.45E-3</v>
      </c>
      <c r="E50" s="171"/>
      <c r="F50" s="171">
        <v>3.4399999999999999E-3</v>
      </c>
      <c r="G50" s="171">
        <v>1.0499999999999999E-3</v>
      </c>
      <c r="H50" s="171">
        <v>0</v>
      </c>
      <c r="I50" s="171">
        <v>-5.6999999999999998E-4</v>
      </c>
      <c r="J50" s="171"/>
      <c r="K50" s="171"/>
    </row>
    <row r="51" spans="1:13">
      <c r="A51" s="180" t="s">
        <v>178</v>
      </c>
      <c r="B51" s="152"/>
      <c r="C51" s="171">
        <v>-8.0999999999999996E-4</v>
      </c>
      <c r="D51" s="171">
        <v>4.45E-3</v>
      </c>
      <c r="E51" s="171">
        <v>-3.1530000000000002E-2</v>
      </c>
      <c r="F51" s="171">
        <v>3.4399999999999999E-3</v>
      </c>
      <c r="G51" s="171">
        <v>1.0499999999999999E-3</v>
      </c>
      <c r="H51" s="171">
        <v>0</v>
      </c>
      <c r="I51" s="171">
        <v>-5.6999999999999998E-4</v>
      </c>
      <c r="J51" s="171"/>
      <c r="K51" s="171"/>
    </row>
    <row r="52" spans="1:13">
      <c r="A52" s="180" t="s">
        <v>132</v>
      </c>
      <c r="B52" s="152"/>
      <c r="C52" s="171">
        <v>0</v>
      </c>
      <c r="D52" s="171">
        <v>4.0000000000000002E-4</v>
      </c>
      <c r="E52" s="171"/>
      <c r="F52" s="171">
        <v>4.6299999999999996E-3</v>
      </c>
      <c r="G52" s="171">
        <v>1.5200000000000001E-3</v>
      </c>
      <c r="H52" s="171">
        <v>0</v>
      </c>
      <c r="I52" s="171">
        <v>-5.6999999999999998E-4</v>
      </c>
      <c r="J52" s="171"/>
      <c r="K52" s="171"/>
    </row>
    <row r="53" spans="1:13">
      <c r="A53" s="180" t="s">
        <v>133</v>
      </c>
      <c r="B53" s="152"/>
      <c r="C53" s="171">
        <v>-8.0999999999999996E-4</v>
      </c>
      <c r="D53" s="171">
        <v>4.0000000000000002E-4</v>
      </c>
      <c r="E53" s="171"/>
      <c r="F53" s="171">
        <v>4.6299999999999996E-3</v>
      </c>
      <c r="G53" s="171">
        <v>1.5200000000000001E-3</v>
      </c>
      <c r="H53" s="171">
        <v>0</v>
      </c>
      <c r="I53" s="171">
        <v>-5.6999999999999998E-4</v>
      </c>
      <c r="J53" s="171"/>
      <c r="K53" s="171"/>
    </row>
    <row r="54" spans="1:13">
      <c r="A54" s="180" t="s">
        <v>134</v>
      </c>
      <c r="B54" s="152"/>
      <c r="C54" s="171">
        <v>0</v>
      </c>
      <c r="D54" s="171">
        <v>4.0000000000000002E-4</v>
      </c>
      <c r="E54" s="171"/>
      <c r="F54" s="171">
        <v>3.6600000000000001E-3</v>
      </c>
      <c r="G54" s="171">
        <v>1.1000000000000001E-3</v>
      </c>
      <c r="H54" s="171">
        <v>0</v>
      </c>
      <c r="I54" s="171">
        <v>-5.9000000000000003E-4</v>
      </c>
      <c r="J54" s="171"/>
      <c r="K54" s="171"/>
    </row>
    <row r="55" spans="1:13">
      <c r="A55" s="180" t="s">
        <v>135</v>
      </c>
      <c r="B55" s="152"/>
      <c r="C55" s="171">
        <v>-8.0999999999999996E-4</v>
      </c>
      <c r="D55" s="171">
        <v>4.0000000000000002E-4</v>
      </c>
      <c r="E55" s="171"/>
      <c r="F55" s="171">
        <v>3.6600000000000001E-3</v>
      </c>
      <c r="G55" s="171">
        <v>1.1000000000000001E-3</v>
      </c>
      <c r="H55" s="171">
        <v>0</v>
      </c>
      <c r="I55" s="171">
        <v>-5.9000000000000003E-4</v>
      </c>
      <c r="J55" s="171"/>
      <c r="K55" s="171"/>
    </row>
    <row r="56" spans="1:13">
      <c r="A56" s="180" t="s">
        <v>136</v>
      </c>
      <c r="B56" s="152"/>
      <c r="C56" s="171">
        <v>0</v>
      </c>
      <c r="D56" s="171">
        <v>0</v>
      </c>
      <c r="E56" s="171"/>
      <c r="F56" s="171">
        <v>2.32E-3</v>
      </c>
      <c r="G56" s="171">
        <v>6.8999999999999997E-4</v>
      </c>
      <c r="H56" s="171">
        <v>0</v>
      </c>
      <c r="I56" s="171">
        <v>-5.6999999999999998E-4</v>
      </c>
      <c r="J56" s="171"/>
      <c r="K56" s="171"/>
    </row>
    <row r="57" spans="1:13">
      <c r="A57" s="180" t="s">
        <v>179</v>
      </c>
      <c r="B57" s="152"/>
      <c r="C57" s="171">
        <v>0</v>
      </c>
      <c r="D57" s="171">
        <v>0</v>
      </c>
      <c r="E57" s="171"/>
      <c r="F57" s="171">
        <v>2.32E-3</v>
      </c>
      <c r="G57" s="171">
        <v>0</v>
      </c>
      <c r="H57" s="171">
        <v>0</v>
      </c>
      <c r="I57" s="171">
        <v>-5.6999999999999998E-4</v>
      </c>
      <c r="J57" s="171"/>
      <c r="K57" s="171"/>
    </row>
    <row r="58" spans="1:13">
      <c r="A58" s="180" t="s">
        <v>180</v>
      </c>
      <c r="B58" s="152"/>
      <c r="C58" s="171">
        <v>0</v>
      </c>
      <c r="D58" s="171">
        <v>4.0000000000000002E-4</v>
      </c>
      <c r="E58" s="171"/>
      <c r="F58" s="171">
        <v>3.4099999999999998E-3</v>
      </c>
      <c r="G58" s="171">
        <v>9.6000000000000002E-4</v>
      </c>
      <c r="H58" s="171">
        <v>0</v>
      </c>
      <c r="I58" s="171">
        <v>-6.0999999999999997E-4</v>
      </c>
      <c r="J58" s="171"/>
      <c r="K58" s="171"/>
    </row>
    <row r="59" spans="1:13">
      <c r="A59" s="180" t="s">
        <v>137</v>
      </c>
      <c r="B59" s="152"/>
      <c r="C59" s="171">
        <v>0</v>
      </c>
      <c r="D59" s="171">
        <v>4.0000000000000002E-4</v>
      </c>
      <c r="E59" s="171"/>
      <c r="F59" s="171">
        <v>3.4099999999999998E-3</v>
      </c>
      <c r="G59" s="171">
        <v>9.6000000000000002E-4</v>
      </c>
      <c r="H59" s="171">
        <v>0</v>
      </c>
      <c r="I59" s="171">
        <v>-6.0999999999999997E-4</v>
      </c>
      <c r="J59" s="171"/>
      <c r="K59" s="171"/>
    </row>
    <row r="60" spans="1:13">
      <c r="A60" s="180" t="s">
        <v>138</v>
      </c>
      <c r="B60" s="152"/>
      <c r="C60" s="171">
        <v>-8.0999999999999996E-4</v>
      </c>
      <c r="D60" s="171">
        <v>4.0000000000000002E-4</v>
      </c>
      <c r="E60" s="171"/>
      <c r="F60" s="171">
        <v>3.4099999999999998E-3</v>
      </c>
      <c r="G60" s="171">
        <v>9.6000000000000002E-4</v>
      </c>
      <c r="H60" s="171">
        <v>0</v>
      </c>
      <c r="I60" s="171">
        <v>-6.0999999999999997E-4</v>
      </c>
      <c r="J60" s="171"/>
      <c r="K60" s="171"/>
    </row>
    <row r="61" spans="1:13" ht="14.4" customHeight="1">
      <c r="A61" s="180" t="s">
        <v>192</v>
      </c>
      <c r="B61" s="152"/>
      <c r="C61" s="171">
        <v>0</v>
      </c>
      <c r="D61" s="171">
        <v>0</v>
      </c>
      <c r="E61" s="171"/>
      <c r="F61" s="186">
        <v>1.2149999999999999E-2</v>
      </c>
      <c r="G61" s="401" t="s">
        <v>214</v>
      </c>
      <c r="H61" s="171">
        <v>0</v>
      </c>
      <c r="I61" s="186">
        <v>-6.4999999999999997E-4</v>
      </c>
      <c r="J61" s="171"/>
      <c r="K61" s="171"/>
    </row>
    <row r="62" spans="1:13">
      <c r="A62" s="180" t="s">
        <v>183</v>
      </c>
      <c r="B62" s="152"/>
      <c r="C62" s="171">
        <v>-8.0999999999999996E-4</v>
      </c>
      <c r="D62" s="171">
        <v>0</v>
      </c>
      <c r="E62" s="171"/>
      <c r="F62" s="186">
        <v>1.2149999999999999E-2</v>
      </c>
      <c r="G62" s="401"/>
      <c r="H62" s="171">
        <v>0</v>
      </c>
      <c r="I62" s="186">
        <v>-6.4999999999999997E-4</v>
      </c>
      <c r="J62" s="171"/>
      <c r="K62" s="171"/>
    </row>
    <row r="63" spans="1:13">
      <c r="E63" s="152"/>
    </row>
    <row r="64" spans="1:13" ht="52.8">
      <c r="A64" s="179" t="s">
        <v>202</v>
      </c>
      <c r="B64" s="154"/>
      <c r="C64" s="172" t="s">
        <v>209</v>
      </c>
      <c r="D64" s="172" t="s">
        <v>213</v>
      </c>
      <c r="E64" s="172" t="s">
        <v>203</v>
      </c>
      <c r="F64" s="172" t="s">
        <v>204</v>
      </c>
      <c r="G64" s="172" t="s">
        <v>205</v>
      </c>
      <c r="H64" s="172" t="s">
        <v>206</v>
      </c>
      <c r="I64" s="172" t="s">
        <v>207</v>
      </c>
      <c r="J64" s="172" t="s">
        <v>208</v>
      </c>
      <c r="M64" s="207"/>
    </row>
    <row r="65" spans="1:13">
      <c r="A65" s="180" t="s">
        <v>131</v>
      </c>
      <c r="C65" s="168">
        <f>C50*H3</f>
        <v>13594.87962</v>
      </c>
      <c r="D65" s="168">
        <f>D50*H3</f>
        <v>-74687.918900000004</v>
      </c>
      <c r="E65" s="168">
        <f t="shared" ref="E65:E70" si="8">$H3*E50</f>
        <v>0</v>
      </c>
      <c r="F65" s="168">
        <f t="shared" ref="F65:G70" si="9">($H3*F50)</f>
        <v>-57736.278879999998</v>
      </c>
      <c r="G65" s="168">
        <f t="shared" si="9"/>
        <v>-17622.992099999999</v>
      </c>
      <c r="H65" s="168">
        <f t="shared" ref="H65:H70" si="10">$H3*H50</f>
        <v>0</v>
      </c>
      <c r="I65" s="168">
        <f t="shared" ref="I65:I70" si="11">(I50*H3)</f>
        <v>9566.7671399999999</v>
      </c>
      <c r="J65" s="168">
        <f>SUM(C65:I65)</f>
        <v>-126885.54312</v>
      </c>
      <c r="M65" s="168"/>
    </row>
    <row r="66" spans="1:13">
      <c r="A66" s="180" t="s">
        <v>178</v>
      </c>
      <c r="C66" s="168">
        <f t="shared" ref="C66:C75" si="12">C51*H4</f>
        <v>19.06983</v>
      </c>
      <c r="D66" s="168">
        <f t="shared" ref="D66:D75" si="13">D51*H4</f>
        <v>-104.76635</v>
      </c>
      <c r="E66" s="168">
        <f t="shared" si="8"/>
        <v>742.31079000000011</v>
      </c>
      <c r="F66" s="168">
        <f t="shared" si="9"/>
        <v>-80.987920000000003</v>
      </c>
      <c r="G66" s="168">
        <f t="shared" si="9"/>
        <v>-24.720149999999997</v>
      </c>
      <c r="H66" s="168">
        <f t="shared" si="10"/>
        <v>0</v>
      </c>
      <c r="I66" s="168">
        <f t="shared" si="11"/>
        <v>13.419509999999999</v>
      </c>
      <c r="J66" s="168">
        <f t="shared" ref="J66:J75" si="14">SUM(C66:I66)</f>
        <v>564.32571000000007</v>
      </c>
      <c r="M66" s="168"/>
    </row>
    <row r="67" spans="1:13">
      <c r="A67" s="180" t="s">
        <v>132</v>
      </c>
      <c r="C67" s="168">
        <f t="shared" si="12"/>
        <v>0</v>
      </c>
      <c r="D67" s="168">
        <f t="shared" si="13"/>
        <v>-1902.8276000000001</v>
      </c>
      <c r="E67" s="168">
        <f t="shared" si="8"/>
        <v>0</v>
      </c>
      <c r="F67" s="168">
        <f t="shared" si="9"/>
        <v>-22025.229469999998</v>
      </c>
      <c r="G67" s="168">
        <f t="shared" si="9"/>
        <v>-7230.7448800000002</v>
      </c>
      <c r="H67" s="168">
        <f t="shared" si="10"/>
        <v>0</v>
      </c>
      <c r="I67" s="168">
        <f t="shared" si="11"/>
        <v>2711.5293299999998</v>
      </c>
      <c r="J67" s="168">
        <f t="shared" si="14"/>
        <v>-28447.27262</v>
      </c>
      <c r="M67" s="168"/>
    </row>
    <row r="68" spans="1:13">
      <c r="A68" s="180" t="s">
        <v>133</v>
      </c>
      <c r="C68" s="168">
        <f t="shared" si="12"/>
        <v>242.63064</v>
      </c>
      <c r="D68" s="168">
        <f t="shared" si="13"/>
        <v>-119.8176</v>
      </c>
      <c r="E68" s="168">
        <f t="shared" si="8"/>
        <v>0</v>
      </c>
      <c r="F68" s="168">
        <f t="shared" si="9"/>
        <v>-1386.8887199999999</v>
      </c>
      <c r="G68" s="168">
        <f t="shared" si="9"/>
        <v>-455.30688000000004</v>
      </c>
      <c r="H68" s="168">
        <f t="shared" si="10"/>
        <v>0</v>
      </c>
      <c r="I68" s="168">
        <f t="shared" si="11"/>
        <v>170.74008000000001</v>
      </c>
      <c r="J68" s="168">
        <f t="shared" si="14"/>
        <v>-1548.64248</v>
      </c>
      <c r="M68" s="168"/>
    </row>
    <row r="69" spans="1:13">
      <c r="A69" s="180" t="s">
        <v>134</v>
      </c>
      <c r="C69" s="168">
        <f t="shared" si="12"/>
        <v>0</v>
      </c>
      <c r="D69" s="168">
        <f t="shared" si="13"/>
        <v>-6806.3352000000004</v>
      </c>
      <c r="E69" s="168">
        <f t="shared" si="8"/>
        <v>0</v>
      </c>
      <c r="F69" s="168">
        <f t="shared" si="9"/>
        <v>-62277.967080000002</v>
      </c>
      <c r="G69" s="168">
        <f t="shared" si="9"/>
        <v>-18717.4218</v>
      </c>
      <c r="H69" s="168">
        <f t="shared" si="10"/>
        <v>0</v>
      </c>
      <c r="I69" s="168">
        <f t="shared" si="11"/>
        <v>10039.344420000001</v>
      </c>
      <c r="J69" s="168">
        <f t="shared" si="14"/>
        <v>-77762.379660000006</v>
      </c>
      <c r="M69" s="168"/>
    </row>
    <row r="70" spans="1:13">
      <c r="A70" s="180" t="s">
        <v>135</v>
      </c>
      <c r="C70" s="168">
        <f t="shared" si="12"/>
        <v>258.63947999999999</v>
      </c>
      <c r="D70" s="168">
        <f t="shared" si="13"/>
        <v>-127.72320000000001</v>
      </c>
      <c r="E70" s="168">
        <f t="shared" si="8"/>
        <v>0</v>
      </c>
      <c r="F70" s="168">
        <f t="shared" si="9"/>
        <v>-1168.6672800000001</v>
      </c>
      <c r="G70" s="168">
        <f t="shared" si="9"/>
        <v>-351.23880000000003</v>
      </c>
      <c r="H70" s="168">
        <f t="shared" si="10"/>
        <v>0</v>
      </c>
      <c r="I70" s="168">
        <f t="shared" si="11"/>
        <v>188.39172000000002</v>
      </c>
      <c r="J70" s="168">
        <f>SUM(C70:I70)</f>
        <v>-1200.5980800000002</v>
      </c>
      <c r="M70" s="168"/>
    </row>
    <row r="71" spans="1:13">
      <c r="A71" s="180" t="s">
        <v>136</v>
      </c>
      <c r="C71" s="168">
        <f t="shared" si="12"/>
        <v>0</v>
      </c>
      <c r="D71" s="168">
        <f t="shared" si="13"/>
        <v>0</v>
      </c>
      <c r="E71" s="168">
        <f>$H9*E56+$H10*E57</f>
        <v>0</v>
      </c>
      <c r="F71" s="168">
        <f>$H9*F56+$H10*F57</f>
        <v>22491.279439999998</v>
      </c>
      <c r="G71" s="168">
        <f>($H9*G56)</f>
        <v>6689.2167300000001</v>
      </c>
      <c r="H71" s="168">
        <f>$H9*H56+$H10*H57</f>
        <v>0</v>
      </c>
      <c r="I71" s="168">
        <f>$H9*I56+$H10*I57</f>
        <v>-5525.8746899999996</v>
      </c>
      <c r="J71" s="168">
        <f t="shared" si="14"/>
        <v>23654.621479999998</v>
      </c>
      <c r="M71" s="168"/>
    </row>
    <row r="72" spans="1:13">
      <c r="A72" s="180" t="s">
        <v>180</v>
      </c>
      <c r="C72" s="168">
        <f t="shared" si="12"/>
        <v>0</v>
      </c>
      <c r="D72" s="168">
        <f t="shared" si="13"/>
        <v>0</v>
      </c>
      <c r="E72" s="168">
        <f>$H11*E58</f>
        <v>0</v>
      </c>
      <c r="F72" s="168">
        <f>($H11*F57)</f>
        <v>0</v>
      </c>
      <c r="G72" s="168">
        <f>($H10*G57)</f>
        <v>0</v>
      </c>
      <c r="H72" s="168">
        <f t="shared" ref="H72:I74" si="15">$H11*H58</f>
        <v>0</v>
      </c>
      <c r="I72" s="168">
        <f t="shared" si="15"/>
        <v>0</v>
      </c>
      <c r="J72" s="168">
        <f t="shared" si="14"/>
        <v>0</v>
      </c>
      <c r="M72" s="168"/>
    </row>
    <row r="73" spans="1:13">
      <c r="A73" s="180" t="s">
        <v>137</v>
      </c>
      <c r="C73" s="168">
        <f t="shared" si="12"/>
        <v>0</v>
      </c>
      <c r="D73" s="168">
        <f t="shared" si="13"/>
        <v>0</v>
      </c>
      <c r="E73" s="168">
        <f>$H12*E59</f>
        <v>0</v>
      </c>
      <c r="F73" s="168">
        <f>($H12*F58)</f>
        <v>1207.3991599999999</v>
      </c>
      <c r="G73" s="168">
        <f>($H11*G58)</f>
        <v>0</v>
      </c>
      <c r="H73" s="168">
        <f t="shared" si="15"/>
        <v>0</v>
      </c>
      <c r="I73" s="168">
        <f t="shared" si="15"/>
        <v>-215.98635999999999</v>
      </c>
      <c r="J73" s="168">
        <f t="shared" si="14"/>
        <v>991.41279999999995</v>
      </c>
      <c r="M73" s="168"/>
    </row>
    <row r="74" spans="1:13">
      <c r="A74" s="180" t="s">
        <v>138</v>
      </c>
      <c r="C74" s="168">
        <f t="shared" si="12"/>
        <v>0</v>
      </c>
      <c r="D74" s="168">
        <f t="shared" si="13"/>
        <v>141.63040000000001</v>
      </c>
      <c r="E74" s="168">
        <f>$H13*E60</f>
        <v>0</v>
      </c>
      <c r="F74" s="168">
        <f>($H13*F59)</f>
        <v>-85.40003999999999</v>
      </c>
      <c r="G74" s="168">
        <f>($H12*G59)</f>
        <v>339.91296</v>
      </c>
      <c r="H74" s="168">
        <f t="shared" si="15"/>
        <v>0</v>
      </c>
      <c r="I74" s="168">
        <f t="shared" si="15"/>
        <v>15.27684</v>
      </c>
      <c r="J74" s="168">
        <f t="shared" si="14"/>
        <v>411.42016000000001</v>
      </c>
      <c r="M74" s="168"/>
    </row>
    <row r="75" spans="1:13">
      <c r="A75" s="180" t="s">
        <v>192</v>
      </c>
      <c r="C75" s="168">
        <f t="shared" si="12"/>
        <v>20.285639999999997</v>
      </c>
      <c r="D75" s="168">
        <f t="shared" si="13"/>
        <v>-10.0176</v>
      </c>
      <c r="E75" s="168">
        <f>($H14+$H15)*E61</f>
        <v>0</v>
      </c>
      <c r="F75" s="168">
        <f>($H14*F60)</f>
        <v>0</v>
      </c>
      <c r="G75" s="168">
        <f>($H13*G60)</f>
        <v>-24.04224</v>
      </c>
      <c r="H75" s="168">
        <f>($H14+$H15)*H61</f>
        <v>0</v>
      </c>
      <c r="I75" s="168">
        <f>($H14+$H15)*I61</f>
        <v>0</v>
      </c>
      <c r="J75" s="168">
        <f t="shared" si="14"/>
        <v>-13.774200000000002</v>
      </c>
      <c r="M75" s="168"/>
    </row>
    <row r="76" spans="1:13">
      <c r="A76" s="157"/>
      <c r="C76" s="193">
        <f>SUM(C65:C75)</f>
        <v>14135.505209999999</v>
      </c>
      <c r="D76" s="193">
        <f t="shared" ref="D76:I76" si="16">SUM(D65:D75)</f>
        <v>-83617.776050000015</v>
      </c>
      <c r="E76" s="193">
        <f t="shared" si="16"/>
        <v>742.31079000000011</v>
      </c>
      <c r="F76" s="193">
        <f t="shared" si="16"/>
        <v>-121062.74079000001</v>
      </c>
      <c r="G76" s="193">
        <f t="shared" si="16"/>
        <v>-37397.337160000003</v>
      </c>
      <c r="H76" s="193">
        <f t="shared" si="16"/>
        <v>0</v>
      </c>
      <c r="I76" s="193">
        <f t="shared" si="16"/>
        <v>16963.607989999997</v>
      </c>
      <c r="J76" s="193">
        <f>SUM(J65:J75)</f>
        <v>-210236.43001000001</v>
      </c>
    </row>
    <row r="77" spans="1:13" ht="15.75" customHeight="1"/>
    <row r="78" spans="1:13">
      <c r="A78" s="152" t="s">
        <v>19</v>
      </c>
      <c r="B78" s="152"/>
      <c r="C78" s="168">
        <f>C65+C66</f>
        <v>13613.94945</v>
      </c>
      <c r="D78" s="168">
        <f t="shared" ref="D78:I78" si="17">D65+D66</f>
        <v>-74792.68525000001</v>
      </c>
      <c r="E78" s="168">
        <f t="shared" si="17"/>
        <v>742.31079000000011</v>
      </c>
      <c r="F78" s="168">
        <f t="shared" si="17"/>
        <v>-57817.266799999998</v>
      </c>
      <c r="G78" s="168">
        <f t="shared" si="17"/>
        <v>-17647.71225</v>
      </c>
      <c r="H78" s="168">
        <f t="shared" si="17"/>
        <v>0</v>
      </c>
      <c r="I78" s="168">
        <f t="shared" si="17"/>
        <v>9580.1866499999996</v>
      </c>
      <c r="J78" s="168">
        <f>J65+J66</f>
        <v>-126321.21741</v>
      </c>
    </row>
    <row r="79" spans="1:13">
      <c r="A79" s="152"/>
      <c r="B79" s="152"/>
      <c r="C79" s="168"/>
      <c r="D79" s="168"/>
      <c r="E79" s="168"/>
      <c r="F79" s="168"/>
      <c r="G79" s="168"/>
      <c r="H79" s="168"/>
      <c r="I79" s="168"/>
      <c r="J79" s="168"/>
    </row>
    <row r="80" spans="1:13">
      <c r="A80" s="152" t="s">
        <v>184</v>
      </c>
      <c r="B80" s="152"/>
      <c r="C80" s="176">
        <f>SUM(C67:C70,C72:C74)</f>
        <v>501.27012000000002</v>
      </c>
      <c r="D80" s="176">
        <f t="shared" ref="D80:I80" si="18">SUM(D67:D70,D72:D74)</f>
        <v>-8815.0732000000007</v>
      </c>
      <c r="E80" s="176">
        <f t="shared" si="18"/>
        <v>0</v>
      </c>
      <c r="F80" s="176">
        <f t="shared" si="18"/>
        <v>-85736.753429999982</v>
      </c>
      <c r="G80" s="176">
        <f t="shared" si="18"/>
        <v>-26414.799399999996</v>
      </c>
      <c r="H80" s="176">
        <f t="shared" si="18"/>
        <v>0</v>
      </c>
      <c r="I80" s="176">
        <f t="shared" si="18"/>
        <v>12909.296030000001</v>
      </c>
      <c r="J80" s="176">
        <f>SUM(J67:J70,J72:J74)</f>
        <v>-107556.05988</v>
      </c>
    </row>
    <row r="81" spans="1:6" ht="15.75" customHeight="1"/>
    <row r="82" spans="1:6" ht="14.4">
      <c r="A82" s="151" t="s">
        <v>215</v>
      </c>
      <c r="B82" s="151"/>
      <c r="C82" s="151"/>
      <c r="D82" s="151"/>
      <c r="E82" s="151"/>
      <c r="F82" s="151"/>
    </row>
    <row r="83" spans="1:6" ht="14.4">
      <c r="A83" s="151" t="s">
        <v>223</v>
      </c>
      <c r="B83" s="151"/>
      <c r="C83" s="151"/>
      <c r="D83" s="151"/>
      <c r="E83" s="151"/>
      <c r="F83" s="151"/>
    </row>
    <row r="84" spans="1:6" ht="14.4">
      <c r="A84" s="170" t="s">
        <v>222</v>
      </c>
      <c r="B84" s="170"/>
      <c r="C84" s="170"/>
      <c r="D84" s="170"/>
      <c r="E84" s="170"/>
      <c r="F84" s="151"/>
    </row>
    <row r="85" spans="1:6" ht="28.8">
      <c r="A85" s="170"/>
      <c r="B85" s="197" t="s">
        <v>216</v>
      </c>
      <c r="C85" s="197" t="s">
        <v>217</v>
      </c>
      <c r="D85" s="197" t="s">
        <v>218</v>
      </c>
      <c r="E85" s="197" t="s">
        <v>221</v>
      </c>
      <c r="F85" s="151"/>
    </row>
    <row r="86" spans="1:6" ht="14.4">
      <c r="A86" s="170" t="s">
        <v>226</v>
      </c>
      <c r="B86" s="198">
        <v>1</v>
      </c>
      <c r="C86" s="199">
        <v>979473.6</v>
      </c>
      <c r="D86" s="200">
        <f>79873.45-C86*SUM($C$54:$K$54)</f>
        <v>75397.255647999991</v>
      </c>
      <c r="E86" s="200">
        <v>500</v>
      </c>
      <c r="F86" s="201" t="s">
        <v>219</v>
      </c>
    </row>
    <row r="87" spans="1:6" ht="28.8">
      <c r="A87" s="202" t="s">
        <v>220</v>
      </c>
      <c r="B87" s="203">
        <f>SUM(B86:B86)</f>
        <v>1</v>
      </c>
      <c r="C87" s="204">
        <f>SUM(C86:C86)</f>
        <v>979473.6</v>
      </c>
      <c r="D87" s="205">
        <f>SUM(D86:D86)</f>
        <v>75397.255647999991</v>
      </c>
      <c r="E87" s="205">
        <f>SUM(E86:E86)</f>
        <v>500</v>
      </c>
      <c r="F87" s="151"/>
    </row>
    <row r="88" spans="1:6" ht="9" customHeight="1">
      <c r="A88" s="170"/>
      <c r="B88" s="170"/>
      <c r="C88" s="170"/>
      <c r="D88" s="170"/>
      <c r="E88" s="170"/>
      <c r="F88" s="151"/>
    </row>
    <row r="89" spans="1:6" ht="14.4">
      <c r="A89" s="206" t="s">
        <v>224</v>
      </c>
      <c r="B89" s="206"/>
      <c r="C89" s="206"/>
      <c r="D89" s="206"/>
      <c r="E89" s="206"/>
      <c r="F89" s="151"/>
    </row>
  </sheetData>
  <mergeCells count="2">
    <mergeCell ref="A1:I1"/>
    <mergeCell ref="G61:G62"/>
  </mergeCells>
  <pageMargins left="0.7" right="0.7" top="0.66" bottom="0.64" header="0.3" footer="0.3"/>
  <pageSetup scale="75" fitToHeight="2" orientation="landscape" r:id="rId1"/>
  <headerFooter>
    <oddFooter>&amp;L&amp;F / &amp;A&amp;RPage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0"/>
  <sheetViews>
    <sheetView workbookViewId="0">
      <selection sqref="A1:K1"/>
    </sheetView>
  </sheetViews>
  <sheetFormatPr defaultColWidth="9.109375" defaultRowHeight="15.6"/>
  <cols>
    <col min="1" max="1" width="5.33203125" style="3" customWidth="1"/>
    <col min="2" max="2" width="9.109375" style="2"/>
    <col min="3" max="3" width="22.5546875" style="2" customWidth="1"/>
    <col min="4" max="4" width="17.33203125" style="2" customWidth="1"/>
    <col min="5" max="5" width="17.6640625" style="2" customWidth="1"/>
    <col min="6" max="6" width="16.88671875" style="2" customWidth="1"/>
    <col min="7" max="7" width="17.6640625" style="2" customWidth="1"/>
    <col min="8" max="8" width="16.33203125" style="2" customWidth="1"/>
    <col min="9" max="10" width="17.33203125" style="2" customWidth="1"/>
    <col min="11" max="11" width="16.5546875" style="2" customWidth="1"/>
    <col min="12" max="16384" width="9.109375" style="2"/>
  </cols>
  <sheetData>
    <row r="1" spans="1:11">
      <c r="A1" s="386" t="s">
        <v>20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</row>
    <row r="2" spans="1:11">
      <c r="A2" s="386" t="s">
        <v>52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>
      <c r="A3" s="387" t="s">
        <v>76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4" spans="1:11">
      <c r="A4" s="393" t="s">
        <v>270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</row>
    <row r="5" spans="1:11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>
      <c r="A6" s="7"/>
      <c r="B6" s="8"/>
      <c r="C6" s="8"/>
      <c r="D6" s="8"/>
      <c r="E6" s="9" t="s">
        <v>21</v>
      </c>
      <c r="F6" s="9" t="s">
        <v>22</v>
      </c>
      <c r="G6" s="9" t="s">
        <v>23</v>
      </c>
      <c r="H6" s="9" t="s">
        <v>24</v>
      </c>
      <c r="I6" s="9" t="s">
        <v>26</v>
      </c>
      <c r="J6" s="102" t="s">
        <v>25</v>
      </c>
      <c r="K6" s="9" t="s">
        <v>27</v>
      </c>
    </row>
    <row r="7" spans="1:11">
      <c r="A7" s="7"/>
      <c r="B7" s="8"/>
      <c r="C7" s="8"/>
      <c r="D7" s="8"/>
      <c r="E7" s="238" t="s">
        <v>28</v>
      </c>
      <c r="F7" s="238" t="s">
        <v>271</v>
      </c>
      <c r="G7" s="238" t="s">
        <v>29</v>
      </c>
      <c r="H7" s="238" t="s">
        <v>30</v>
      </c>
      <c r="I7" s="238" t="s">
        <v>32</v>
      </c>
      <c r="J7" s="103" t="s">
        <v>31</v>
      </c>
      <c r="K7" s="238" t="s">
        <v>33</v>
      </c>
    </row>
    <row r="8" spans="1:11">
      <c r="A8" s="7"/>
      <c r="B8" s="8"/>
      <c r="C8" s="8"/>
      <c r="D8" s="8"/>
      <c r="E8" s="8"/>
      <c r="F8" s="8"/>
      <c r="G8" s="8"/>
      <c r="H8" s="8"/>
      <c r="I8" s="8"/>
      <c r="J8" s="104"/>
      <c r="K8" s="105"/>
    </row>
    <row r="9" spans="1:11">
      <c r="A9" s="7">
        <v>1</v>
      </c>
      <c r="B9" s="8" t="s">
        <v>272</v>
      </c>
      <c r="C9" s="8"/>
      <c r="D9" s="8"/>
      <c r="E9" s="10">
        <f>SUM(F9:K9)</f>
        <v>492134000</v>
      </c>
      <c r="F9" s="55">
        <v>209489000</v>
      </c>
      <c r="G9" s="55">
        <v>73766000</v>
      </c>
      <c r="H9" s="55">
        <v>126766000</v>
      </c>
      <c r="I9" s="55">
        <v>10894000</v>
      </c>
      <c r="J9" s="106">
        <v>64348000</v>
      </c>
      <c r="K9" s="107">
        <v>6871000</v>
      </c>
    </row>
    <row r="10" spans="1:11">
      <c r="A10" s="7">
        <v>2</v>
      </c>
      <c r="B10" s="239" t="s">
        <v>143</v>
      </c>
      <c r="C10" s="8"/>
      <c r="D10" s="8"/>
      <c r="E10" s="10">
        <f>SUM(F10:K10)</f>
        <v>10763000</v>
      </c>
      <c r="F10" s="55">
        <v>4904000</v>
      </c>
      <c r="G10" s="55">
        <v>1291000</v>
      </c>
      <c r="H10" s="55">
        <v>2775000</v>
      </c>
      <c r="I10" s="55">
        <v>238000</v>
      </c>
      <c r="J10" s="106">
        <v>1405000</v>
      </c>
      <c r="K10" s="107">
        <v>150000</v>
      </c>
    </row>
    <row r="11" spans="1:11">
      <c r="A11" s="7">
        <v>3</v>
      </c>
      <c r="B11" s="8" t="s">
        <v>273</v>
      </c>
      <c r="C11" s="8"/>
      <c r="D11" s="8"/>
      <c r="E11" s="10">
        <f>SUM(F11:K11)</f>
        <v>502897000</v>
      </c>
      <c r="F11" s="10">
        <f t="shared" ref="F11:K11" si="0">F9+F10</f>
        <v>214393000</v>
      </c>
      <c r="G11" s="10">
        <f t="shared" si="0"/>
        <v>75057000</v>
      </c>
      <c r="H11" s="10">
        <f t="shared" si="0"/>
        <v>129541000</v>
      </c>
      <c r="I11" s="10">
        <f t="shared" si="0"/>
        <v>11132000</v>
      </c>
      <c r="J11" s="108">
        <f>J9+J10</f>
        <v>65753000</v>
      </c>
      <c r="K11" s="109">
        <f t="shared" si="0"/>
        <v>7021000</v>
      </c>
    </row>
    <row r="12" spans="1:11">
      <c r="A12" s="7"/>
      <c r="B12" s="8"/>
      <c r="C12" s="8"/>
      <c r="D12" s="8"/>
      <c r="E12" s="10"/>
      <c r="F12" s="10"/>
      <c r="G12" s="10"/>
      <c r="H12" s="10"/>
      <c r="I12" s="10"/>
      <c r="J12" s="108"/>
      <c r="K12" s="109"/>
    </row>
    <row r="13" spans="1:11">
      <c r="A13" s="7">
        <v>4</v>
      </c>
      <c r="B13" s="8" t="s">
        <v>274</v>
      </c>
      <c r="C13" s="8"/>
      <c r="D13" s="8"/>
      <c r="E13" s="11">
        <f>SUM(F13:K13)</f>
        <v>5658613712</v>
      </c>
      <c r="F13" s="12">
        <v>2361885989</v>
      </c>
      <c r="G13" s="12">
        <v>623243883</v>
      </c>
      <c r="H13" s="12">
        <v>1409459201</v>
      </c>
      <c r="I13" s="12">
        <v>133495310</v>
      </c>
      <c r="J13" s="110">
        <v>1107408158</v>
      </c>
      <c r="K13" s="111">
        <v>23121171</v>
      </c>
    </row>
    <row r="14" spans="1:11">
      <c r="A14" s="7">
        <v>5</v>
      </c>
      <c r="B14" s="8" t="s">
        <v>144</v>
      </c>
      <c r="C14" s="8"/>
      <c r="D14" s="13"/>
      <c r="E14" s="13">
        <f t="shared" ref="E14:K14" si="1">$E$27</f>
        <v>1.9E-2</v>
      </c>
      <c r="F14" s="13">
        <f t="shared" si="1"/>
        <v>1.9E-2</v>
      </c>
      <c r="G14" s="13">
        <f t="shared" si="1"/>
        <v>1.9E-2</v>
      </c>
      <c r="H14" s="13">
        <f t="shared" si="1"/>
        <v>1.9E-2</v>
      </c>
      <c r="I14" s="13">
        <f t="shared" si="1"/>
        <v>1.9E-2</v>
      </c>
      <c r="J14" s="112">
        <f t="shared" si="1"/>
        <v>1.9E-2</v>
      </c>
      <c r="K14" s="113">
        <f t="shared" si="1"/>
        <v>1.9E-2</v>
      </c>
    </row>
    <row r="15" spans="1:11">
      <c r="A15" s="7">
        <v>6</v>
      </c>
      <c r="B15" s="8" t="s">
        <v>58</v>
      </c>
      <c r="C15" s="8"/>
      <c r="D15" s="13"/>
      <c r="E15" s="10">
        <f>SUM(F15:K15)</f>
        <v>107513660.528</v>
      </c>
      <c r="F15" s="10">
        <f t="shared" ref="F15:K15" si="2">F14*F13</f>
        <v>44875833.791000001</v>
      </c>
      <c r="G15" s="10">
        <f t="shared" si="2"/>
        <v>11841633.776999999</v>
      </c>
      <c r="H15" s="10">
        <f t="shared" si="2"/>
        <v>26779724.818999998</v>
      </c>
      <c r="I15" s="10">
        <f t="shared" si="2"/>
        <v>2536410.89</v>
      </c>
      <c r="J15" s="108">
        <f t="shared" si="2"/>
        <v>21040755.002</v>
      </c>
      <c r="K15" s="109">
        <f t="shared" si="2"/>
        <v>439302.24900000001</v>
      </c>
    </row>
    <row r="16" spans="1:11">
      <c r="A16" s="7"/>
      <c r="B16" s="8"/>
      <c r="C16" s="8"/>
      <c r="D16" s="8"/>
      <c r="E16" s="10"/>
      <c r="F16" s="10"/>
      <c r="G16" s="10"/>
      <c r="H16" s="10"/>
      <c r="I16" s="10"/>
      <c r="J16" s="108"/>
      <c r="K16" s="109"/>
    </row>
    <row r="17" spans="1:11">
      <c r="A17" s="7">
        <v>7</v>
      </c>
      <c r="B17" s="8" t="s">
        <v>61</v>
      </c>
      <c r="C17" s="8"/>
      <c r="D17" s="8"/>
      <c r="E17" s="10">
        <f>SUM(F17:K17)</f>
        <v>344089396.72299999</v>
      </c>
      <c r="F17" s="14">
        <f>F11-F15</f>
        <v>169517166.20899999</v>
      </c>
      <c r="G17" s="14">
        <f>G11-G15</f>
        <v>63215366.223000005</v>
      </c>
      <c r="H17" s="14">
        <f>H11-H15</f>
        <v>102761275.18099999</v>
      </c>
      <c r="I17" s="14">
        <f>I11-I15</f>
        <v>8595589.1099999994</v>
      </c>
      <c r="J17" s="104"/>
      <c r="K17" s="105"/>
    </row>
    <row r="18" spans="1:11">
      <c r="A18" s="7"/>
      <c r="B18" s="8"/>
      <c r="C18" s="8"/>
      <c r="D18" s="8"/>
      <c r="E18" s="8"/>
      <c r="F18" s="8"/>
      <c r="G18" s="8"/>
      <c r="H18" s="8"/>
      <c r="I18" s="8"/>
      <c r="J18" s="104"/>
      <c r="K18" s="105"/>
    </row>
    <row r="19" spans="1:11">
      <c r="A19" s="7">
        <v>8</v>
      </c>
      <c r="B19" s="8" t="s">
        <v>275</v>
      </c>
      <c r="C19" s="8"/>
      <c r="D19" s="8"/>
      <c r="E19" s="11">
        <f>SUM(F19:K19)</f>
        <v>2945836</v>
      </c>
      <c r="F19" s="15">
        <v>2518371</v>
      </c>
      <c r="G19" s="15">
        <v>375436</v>
      </c>
      <c r="H19" s="15">
        <v>22836</v>
      </c>
      <c r="I19" s="15">
        <v>29193</v>
      </c>
      <c r="J19" s="104"/>
      <c r="K19" s="105"/>
    </row>
    <row r="20" spans="1:11">
      <c r="A20" s="7">
        <v>9</v>
      </c>
      <c r="B20" s="8" t="s">
        <v>145</v>
      </c>
      <c r="C20" s="8"/>
      <c r="D20" s="8"/>
      <c r="E20" s="10"/>
      <c r="F20" s="54">
        <v>9</v>
      </c>
      <c r="G20" s="54">
        <v>20</v>
      </c>
      <c r="H20" s="54">
        <v>500</v>
      </c>
      <c r="I20" s="54">
        <v>20</v>
      </c>
      <c r="J20" s="104"/>
      <c r="K20" s="105"/>
    </row>
    <row r="21" spans="1:11">
      <c r="A21" s="7">
        <v>10</v>
      </c>
      <c r="B21" s="8" t="s">
        <v>59</v>
      </c>
      <c r="C21" s="8"/>
      <c r="D21" s="8"/>
      <c r="E21" s="10">
        <f>SUM(F21:K21)</f>
        <v>42175919</v>
      </c>
      <c r="F21" s="16">
        <f>F20*F19</f>
        <v>22665339</v>
      </c>
      <c r="G21" s="16">
        <f>G20*G19</f>
        <v>7508720</v>
      </c>
      <c r="H21" s="16">
        <f>H20*H19</f>
        <v>11418000</v>
      </c>
      <c r="I21" s="16">
        <f>I20*I19</f>
        <v>583860</v>
      </c>
      <c r="J21" s="104"/>
      <c r="K21" s="105"/>
    </row>
    <row r="22" spans="1:11">
      <c r="A22" s="7"/>
      <c r="B22" s="8"/>
      <c r="C22" s="8"/>
      <c r="D22" s="8"/>
      <c r="E22" s="10"/>
      <c r="F22" s="16"/>
      <c r="G22" s="16"/>
      <c r="H22" s="16"/>
      <c r="I22" s="16"/>
      <c r="J22" s="389" t="s">
        <v>78</v>
      </c>
      <c r="K22" s="390"/>
    </row>
    <row r="23" spans="1:11">
      <c r="A23" s="7">
        <v>11</v>
      </c>
      <c r="B23" s="8" t="s">
        <v>60</v>
      </c>
      <c r="C23" s="8"/>
      <c r="D23" s="8"/>
      <c r="E23" s="10">
        <f>SUM(F23:K23)</f>
        <v>301913477.72299999</v>
      </c>
      <c r="F23" s="14">
        <f>F17-F21</f>
        <v>146851827.20899999</v>
      </c>
      <c r="G23" s="14">
        <f>G17-G21</f>
        <v>55706646.223000005</v>
      </c>
      <c r="H23" s="14">
        <f>H17-H21</f>
        <v>91343275.180999994</v>
      </c>
      <c r="I23" s="14">
        <f>I17-I21</f>
        <v>8011729.1099999994</v>
      </c>
      <c r="J23" s="389"/>
      <c r="K23" s="390"/>
    </row>
    <row r="24" spans="1:11">
      <c r="A24" s="7"/>
      <c r="B24" s="8"/>
      <c r="C24" s="8"/>
      <c r="D24" s="8"/>
      <c r="E24" s="8"/>
      <c r="F24" s="11"/>
      <c r="G24" s="8"/>
      <c r="H24" s="8"/>
      <c r="I24" s="8"/>
      <c r="J24" s="8"/>
      <c r="K24" s="8"/>
    </row>
    <row r="25" spans="1:11">
      <c r="A25" s="7">
        <v>12</v>
      </c>
      <c r="B25" s="8" t="s">
        <v>146</v>
      </c>
      <c r="C25" s="8"/>
      <c r="D25" s="8"/>
      <c r="E25" s="114">
        <v>1.8110000000000001E-2</v>
      </c>
      <c r="F25" s="8"/>
      <c r="G25" s="8"/>
      <c r="H25" s="8"/>
      <c r="I25" s="8"/>
      <c r="J25" s="8"/>
      <c r="K25" s="8"/>
    </row>
    <row r="26" spans="1:11">
      <c r="A26" s="7">
        <v>13</v>
      </c>
      <c r="B26" s="8" t="s">
        <v>55</v>
      </c>
      <c r="C26" s="8"/>
      <c r="D26" s="8"/>
      <c r="E26" s="18">
        <f>1/'Attachment 4, Page 4'!E22</f>
        <v>1.0489624188234208</v>
      </c>
      <c r="F26" s="19"/>
      <c r="G26" s="8"/>
      <c r="H26" s="19"/>
      <c r="I26" s="8"/>
      <c r="J26" s="8"/>
      <c r="K26" s="8"/>
    </row>
    <row r="27" spans="1:11">
      <c r="A27" s="7">
        <v>14</v>
      </c>
      <c r="B27" s="8" t="s">
        <v>147</v>
      </c>
      <c r="C27" s="8"/>
      <c r="D27" s="8"/>
      <c r="E27" s="17">
        <f>ROUND(E25*E26,5)</f>
        <v>1.9E-2</v>
      </c>
      <c r="F27" s="19"/>
      <c r="G27" s="8"/>
      <c r="H27" s="19"/>
      <c r="I27" s="8"/>
      <c r="J27" s="8"/>
      <c r="K27" s="8"/>
    </row>
    <row r="28" spans="1:11">
      <c r="F28" s="4"/>
    </row>
    <row r="29" spans="1:11">
      <c r="F29" s="6" t="s">
        <v>19</v>
      </c>
      <c r="G29" s="2" t="s">
        <v>57</v>
      </c>
      <c r="H29" s="6"/>
    </row>
    <row r="30" spans="1:11">
      <c r="A30" s="3">
        <v>15</v>
      </c>
      <c r="B30" s="2" t="s">
        <v>65</v>
      </c>
      <c r="F30" s="47">
        <f>ROUND(F19/12,0)</f>
        <v>209864</v>
      </c>
      <c r="G30" s="47">
        <f>ROUND((G19+H19+I19)/12,0)</f>
        <v>35622</v>
      </c>
    </row>
    <row r="31" spans="1:11">
      <c r="A31" s="3">
        <v>16</v>
      </c>
      <c r="B31" s="2" t="s">
        <v>64</v>
      </c>
      <c r="F31" s="48">
        <f>F13</f>
        <v>2361885989</v>
      </c>
      <c r="G31" s="48">
        <f>G13+H13+I13</f>
        <v>2166198394</v>
      </c>
    </row>
    <row r="32" spans="1:11">
      <c r="A32" s="3">
        <v>17</v>
      </c>
      <c r="B32" s="2" t="s">
        <v>62</v>
      </c>
      <c r="F32" s="48">
        <f>F21</f>
        <v>22665339</v>
      </c>
      <c r="G32" s="48">
        <f>G21+H21+I21</f>
        <v>19510580</v>
      </c>
    </row>
    <row r="33" spans="1:9">
      <c r="A33" s="3">
        <v>18</v>
      </c>
      <c r="B33" s="2" t="s">
        <v>34</v>
      </c>
      <c r="F33" s="5">
        <f>F19</f>
        <v>2518371</v>
      </c>
      <c r="G33" s="5">
        <f>G19+H19+I19</f>
        <v>427465</v>
      </c>
    </row>
    <row r="34" spans="1:9">
      <c r="A34" s="3">
        <v>19</v>
      </c>
      <c r="B34" s="2" t="s">
        <v>63</v>
      </c>
      <c r="F34" s="49">
        <f>F32/F33</f>
        <v>9</v>
      </c>
      <c r="G34" s="49">
        <f>G32/G33</f>
        <v>45.642520440269962</v>
      </c>
    </row>
    <row r="35" spans="1:9">
      <c r="F35" s="49"/>
      <c r="G35" s="49"/>
    </row>
    <row r="36" spans="1:9">
      <c r="A36" s="245" t="s">
        <v>151</v>
      </c>
      <c r="F36" s="49"/>
      <c r="G36" s="49"/>
    </row>
    <row r="37" spans="1:9">
      <c r="F37" s="49"/>
      <c r="G37" s="49"/>
    </row>
    <row r="38" spans="1:9">
      <c r="D38" s="2" t="s">
        <v>148</v>
      </c>
    </row>
    <row r="39" spans="1:9">
      <c r="D39" s="2" t="s">
        <v>149</v>
      </c>
      <c r="F39" s="115">
        <f>F23/F13</f>
        <v>6.2175662962959385E-2</v>
      </c>
      <c r="G39" s="115">
        <f>G23/G13</f>
        <v>8.9381777731784018E-2</v>
      </c>
      <c r="H39" s="115">
        <f>H23/H13</f>
        <v>6.4807321216671376E-2</v>
      </c>
      <c r="I39" s="115">
        <f>I23/I13</f>
        <v>6.0015060529092744E-2</v>
      </c>
    </row>
    <row r="40" spans="1:9">
      <c r="D40" s="2" t="s">
        <v>150</v>
      </c>
      <c r="F40" s="116">
        <f>F39+F14</f>
        <v>8.1175662962959388E-2</v>
      </c>
      <c r="G40" s="116">
        <f>G39+G14</f>
        <v>0.10838177773178402</v>
      </c>
      <c r="H40" s="116">
        <f>H39+H14</f>
        <v>8.3807321216671379E-2</v>
      </c>
      <c r="I40" s="116">
        <f>I39+I14</f>
        <v>7.901506052909274E-2</v>
      </c>
    </row>
  </sheetData>
  <mergeCells count="5">
    <mergeCell ref="A1:K1"/>
    <mergeCell ref="A2:K2"/>
    <mergeCell ref="A3:K3"/>
    <mergeCell ref="J22:K23"/>
    <mergeCell ref="A4:K4"/>
  </mergeCells>
  <printOptions horizontalCentered="1"/>
  <pageMargins left="0.6" right="0.6" top="0.75" bottom="0.75" header="0.3" footer="0.61"/>
  <pageSetup scale="71" orientation="landscape" r:id="rId1"/>
  <headerFooter scaleWithDoc="0">
    <oddHeader>&amp;CUE-150204 Final Decoupling Base</oddHeader>
    <oddFooter>&amp;C&amp;12
&amp;R&amp;12 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F24"/>
  <sheetViews>
    <sheetView workbookViewId="0"/>
  </sheetViews>
  <sheetFormatPr defaultColWidth="9.109375" defaultRowHeight="15.6"/>
  <cols>
    <col min="1" max="1" width="6" style="2" customWidth="1"/>
    <col min="2" max="2" width="38" style="2" customWidth="1"/>
    <col min="3" max="3" width="19.33203125" style="2" customWidth="1"/>
    <col min="4" max="4" width="16.88671875" style="2" bestFit="1" customWidth="1"/>
    <col min="5" max="5" width="16.33203125" style="2" customWidth="1"/>
    <col min="6" max="6" width="13.6640625" style="2" bestFit="1" customWidth="1"/>
    <col min="7" max="16384" width="9.109375" style="2"/>
  </cols>
  <sheetData>
    <row r="2" spans="1:6">
      <c r="A2" s="386" t="s">
        <v>20</v>
      </c>
      <c r="B2" s="386"/>
      <c r="C2" s="386"/>
      <c r="D2" s="386"/>
      <c r="E2" s="386"/>
    </row>
    <row r="3" spans="1:6">
      <c r="A3" s="386" t="s">
        <v>52</v>
      </c>
      <c r="B3" s="386"/>
      <c r="C3" s="386"/>
      <c r="D3" s="386"/>
      <c r="E3" s="386"/>
    </row>
    <row r="4" spans="1:6">
      <c r="A4" s="387" t="s">
        <v>73</v>
      </c>
      <c r="B4" s="387"/>
      <c r="C4" s="387"/>
      <c r="D4" s="387"/>
      <c r="E4" s="387"/>
    </row>
    <row r="5" spans="1:6">
      <c r="A5" s="394" t="str">
        <f>'Attachment 4, Page 1'!A4:K4</f>
        <v>Washington Docket No. UE-170485 Compliance Filing</v>
      </c>
      <c r="B5" s="394"/>
      <c r="C5" s="394"/>
      <c r="D5" s="394"/>
      <c r="E5" s="394"/>
    </row>
    <row r="6" spans="1:6">
      <c r="A6" s="24"/>
      <c r="B6" s="24"/>
      <c r="C6" s="24"/>
      <c r="D6" s="24"/>
      <c r="E6" s="24"/>
    </row>
    <row r="7" spans="1:6" ht="46.8">
      <c r="A7" s="117" t="s">
        <v>17</v>
      </c>
      <c r="B7" s="118"/>
      <c r="C7" s="117" t="s">
        <v>16</v>
      </c>
      <c r="D7" s="117" t="s">
        <v>19</v>
      </c>
      <c r="E7" s="117" t="s">
        <v>18</v>
      </c>
    </row>
    <row r="8" spans="1:6">
      <c r="A8" s="24"/>
      <c r="B8" s="25" t="s">
        <v>14</v>
      </c>
      <c r="C8" s="25" t="s">
        <v>13</v>
      </c>
      <c r="D8" s="25" t="s">
        <v>12</v>
      </c>
      <c r="E8" s="25" t="s">
        <v>11</v>
      </c>
    </row>
    <row r="9" spans="1:6" ht="16.2">
      <c r="A9" s="25"/>
      <c r="B9" s="26"/>
      <c r="C9" s="25"/>
      <c r="D9" s="25"/>
      <c r="E9" s="25"/>
    </row>
    <row r="10" spans="1:6" ht="17.25" customHeight="1">
      <c r="A10" s="25">
        <v>1</v>
      </c>
      <c r="B10" s="24" t="s">
        <v>67</v>
      </c>
      <c r="C10" s="25" t="s">
        <v>151</v>
      </c>
      <c r="D10" s="27">
        <f>'Attachment 4, Page 1'!F23</f>
        <v>146851827.20899999</v>
      </c>
      <c r="E10" s="27">
        <f>SUM('Attachment 4, Page 1'!G23:I23)</f>
        <v>155061650.514</v>
      </c>
      <c r="F10" s="4"/>
    </row>
    <row r="11" spans="1:6" ht="17.25" customHeight="1">
      <c r="A11" s="25"/>
      <c r="B11" s="24"/>
      <c r="C11" s="24"/>
      <c r="D11" s="24"/>
      <c r="E11" s="24"/>
    </row>
    <row r="12" spans="1:6" ht="17.25" customHeight="1">
      <c r="A12" s="25">
        <v>2</v>
      </c>
      <c r="B12" s="24" t="s">
        <v>284</v>
      </c>
      <c r="C12" s="25" t="s">
        <v>56</v>
      </c>
      <c r="D12" s="28">
        <f>'Attachment 4, Page 1'!F19/12</f>
        <v>209864.25</v>
      </c>
      <c r="E12" s="28">
        <f>SUM('Attachment 4, Page 1'!G19:I19)/12</f>
        <v>35622.083333333336</v>
      </c>
    </row>
    <row r="13" spans="1:6" ht="17.25" customHeight="1">
      <c r="A13" s="25"/>
      <c r="B13" s="24"/>
      <c r="C13" s="24"/>
      <c r="D13" s="28"/>
      <c r="E13" s="28"/>
    </row>
    <row r="14" spans="1:6" ht="17.25" customHeight="1">
      <c r="A14" s="25">
        <v>3</v>
      </c>
      <c r="B14" s="24" t="s">
        <v>68</v>
      </c>
      <c r="C14" s="25" t="str">
        <f>"("&amp;A10&amp;") / ("&amp;A12&amp;")"</f>
        <v>(1) / (2)</v>
      </c>
      <c r="D14" s="29">
        <f>ROUND(D10/D12,2)</f>
        <v>699.75</v>
      </c>
      <c r="E14" s="29">
        <f>ROUND(E10/E12,2)</f>
        <v>4352.96</v>
      </c>
    </row>
    <row r="15" spans="1:6" ht="17.25" customHeight="1">
      <c r="A15" s="25"/>
      <c r="B15" s="24"/>
      <c r="C15" s="24"/>
      <c r="D15" s="30"/>
      <c r="E15" s="30"/>
    </row>
    <row r="16" spans="1:6" ht="17.25" customHeight="1">
      <c r="A16" s="25"/>
      <c r="B16" s="31" t="s">
        <v>51</v>
      </c>
      <c r="C16" s="24"/>
      <c r="D16" s="24"/>
      <c r="E16" s="24"/>
    </row>
    <row r="19" spans="1:5">
      <c r="A19" s="245" t="s">
        <v>285</v>
      </c>
    </row>
    <row r="20" spans="1:5">
      <c r="B20" s="52" t="s">
        <v>69</v>
      </c>
    </row>
    <row r="21" spans="1:5">
      <c r="B21" s="52" t="s">
        <v>70</v>
      </c>
      <c r="D21" s="27">
        <f>D12*D14</f>
        <v>146852508.9375</v>
      </c>
      <c r="E21" s="27">
        <f>E12*E14</f>
        <v>155061503.86666667</v>
      </c>
    </row>
    <row r="22" spans="1:5">
      <c r="B22" s="52" t="s">
        <v>72</v>
      </c>
      <c r="D22" s="27">
        <f>'Attachment 4, Page 1'!F32</f>
        <v>22665339</v>
      </c>
      <c r="E22" s="27">
        <f>'Attachment 4, Page 1'!G32</f>
        <v>19510580</v>
      </c>
    </row>
    <row r="23" spans="1:5">
      <c r="B23" s="52" t="s">
        <v>71</v>
      </c>
      <c r="D23" s="27">
        <f>'Attachment 4, Page 1'!F15</f>
        <v>44875833.791000001</v>
      </c>
      <c r="E23" s="27">
        <f>'Attachment 4, Page 1'!G15+'Attachment 4, Page 1'!H15+'Attachment 4, Page 1'!I15</f>
        <v>41157769.486000001</v>
      </c>
    </row>
    <row r="24" spans="1:5">
      <c r="B24" s="52" t="s">
        <v>15</v>
      </c>
      <c r="D24" s="53">
        <f>SUM(D21:D23)</f>
        <v>214393681.72850001</v>
      </c>
      <c r="E24" s="53">
        <f>SUM(E21:E23)</f>
        <v>215729853.35266668</v>
      </c>
    </row>
  </sheetData>
  <mergeCells count="4">
    <mergeCell ref="A2:E2"/>
    <mergeCell ref="A3:E3"/>
    <mergeCell ref="A4:E4"/>
    <mergeCell ref="A5:E5"/>
  </mergeCells>
  <printOptions horizontalCentered="1"/>
  <pageMargins left="0.6" right="0.6" top="0.75" bottom="0.75" header="0.3" footer="0.6"/>
  <pageSetup orientation="landscape" r:id="rId1"/>
  <headerFooter scaleWithDoc="0">
    <oddHeader>&amp;CUE-150204 Final Decoupling Base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7"/>
  <sheetViews>
    <sheetView topLeftCell="D3" workbookViewId="0">
      <selection activeCell="J14" sqref="J14"/>
    </sheetView>
  </sheetViews>
  <sheetFormatPr defaultColWidth="9.109375" defaultRowHeight="13.8"/>
  <cols>
    <col min="1" max="1" width="5.6640625" style="1" customWidth="1"/>
    <col min="2" max="2" width="26.33203125" style="1" customWidth="1"/>
    <col min="3" max="3" width="16.88671875" style="1" customWidth="1"/>
    <col min="4" max="4" width="12.5546875" style="1" customWidth="1"/>
    <col min="5" max="5" width="12.6640625" style="1" customWidth="1"/>
    <col min="6" max="6" width="12.5546875" style="1" customWidth="1"/>
    <col min="7" max="7" width="12.33203125" style="1" customWidth="1"/>
    <col min="8" max="9" width="12.5546875" style="1" customWidth="1"/>
    <col min="10" max="10" width="12.33203125" style="1" customWidth="1"/>
    <col min="11" max="11" width="12.6640625" style="1" customWidth="1"/>
    <col min="12" max="12" width="12.5546875" style="1" customWidth="1"/>
    <col min="13" max="13" width="12.33203125" style="1" customWidth="1"/>
    <col min="14" max="14" width="12.109375" style="1" customWidth="1"/>
    <col min="15" max="15" width="12.33203125" style="1" customWidth="1"/>
    <col min="16" max="16" width="13.88671875" style="1" customWidth="1"/>
    <col min="17" max="16384" width="9.109375" style="1"/>
  </cols>
  <sheetData>
    <row r="1" spans="1:16" ht="17.399999999999999">
      <c r="A1" s="384" t="s">
        <v>20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</row>
    <row r="2" spans="1:16" ht="17.399999999999999">
      <c r="A2" s="384" t="str">
        <f>'Attachment 4, Page 2'!A3:E3</f>
        <v xml:space="preserve"> Electric Decoupling Mechanism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</row>
    <row r="3" spans="1:16" ht="17.399999999999999">
      <c r="A3" s="385" t="s">
        <v>75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</row>
    <row r="4" spans="1:16" ht="17.399999999999999">
      <c r="A4" s="385" t="str">
        <f>'Attachment 4, Page 1'!A4:K4</f>
        <v>Washington Docket No. UE-170485 Compliance Filing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</row>
    <row r="5" spans="1:16" ht="15.6">
      <c r="A5" s="386"/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</row>
    <row r="6" spans="1:16" ht="30.6" customHeight="1">
      <c r="A6" s="119" t="s">
        <v>17</v>
      </c>
      <c r="B6" s="120"/>
      <c r="C6" s="121" t="s">
        <v>16</v>
      </c>
      <c r="D6" s="122" t="s">
        <v>35</v>
      </c>
      <c r="E6" s="122" t="s">
        <v>36</v>
      </c>
      <c r="F6" s="122" t="s">
        <v>37</v>
      </c>
      <c r="G6" s="122" t="s">
        <v>38</v>
      </c>
      <c r="H6" s="122" t="s">
        <v>39</v>
      </c>
      <c r="I6" s="122" t="s">
        <v>40</v>
      </c>
      <c r="J6" s="122" t="s">
        <v>41</v>
      </c>
      <c r="K6" s="122" t="s">
        <v>42</v>
      </c>
      <c r="L6" s="122" t="s">
        <v>43</v>
      </c>
      <c r="M6" s="122" t="s">
        <v>44</v>
      </c>
      <c r="N6" s="122" t="s">
        <v>45</v>
      </c>
      <c r="O6" s="122" t="s">
        <v>46</v>
      </c>
      <c r="P6" s="119" t="s">
        <v>28</v>
      </c>
    </row>
    <row r="7" spans="1:16">
      <c r="A7" s="20"/>
      <c r="B7" s="21" t="s">
        <v>14</v>
      </c>
      <c r="C7" s="21" t="s">
        <v>13</v>
      </c>
      <c r="D7" s="21" t="s">
        <v>12</v>
      </c>
      <c r="E7" s="21" t="s">
        <v>11</v>
      </c>
      <c r="F7" s="21" t="s">
        <v>10</v>
      </c>
      <c r="G7" s="21" t="s">
        <v>9</v>
      </c>
      <c r="H7" s="21" t="s">
        <v>8</v>
      </c>
      <c r="I7" s="21" t="s">
        <v>7</v>
      </c>
      <c r="J7" s="21" t="s">
        <v>6</v>
      </c>
      <c r="K7" s="21" t="s">
        <v>5</v>
      </c>
      <c r="L7" s="21" t="s">
        <v>4</v>
      </c>
      <c r="M7" s="21" t="s">
        <v>3</v>
      </c>
      <c r="N7" s="21" t="s">
        <v>2</v>
      </c>
      <c r="O7" s="21" t="s">
        <v>1</v>
      </c>
      <c r="P7" s="21" t="s">
        <v>0</v>
      </c>
    </row>
    <row r="8" spans="1:16">
      <c r="A8" s="21">
        <v>1</v>
      </c>
      <c r="B8" s="32" t="s">
        <v>47</v>
      </c>
      <c r="C8" s="21"/>
      <c r="D8" s="20"/>
      <c r="E8" s="20"/>
      <c r="F8" s="20"/>
      <c r="G8" s="20"/>
      <c r="H8" s="22"/>
      <c r="I8" s="22"/>
      <c r="J8" s="20"/>
      <c r="K8" s="20"/>
      <c r="L8" s="20"/>
      <c r="M8" s="20"/>
      <c r="N8" s="20"/>
      <c r="O8" s="20"/>
      <c r="P8" s="33"/>
    </row>
    <row r="9" spans="1:16">
      <c r="A9" s="21">
        <f>A8+1</f>
        <v>2</v>
      </c>
      <c r="B9" s="34" t="s">
        <v>19</v>
      </c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33"/>
    </row>
    <row r="10" spans="1:16">
      <c r="A10" s="21">
        <f>A9+1</f>
        <v>3</v>
      </c>
      <c r="B10" s="23" t="s">
        <v>48</v>
      </c>
      <c r="C10" s="21" t="s">
        <v>77</v>
      </c>
      <c r="D10" s="45">
        <f>'TY Normalized Usage by Month'!D50</f>
        <v>282718944</v>
      </c>
      <c r="E10" s="45">
        <f>'TY Normalized Usage by Month'!E50</f>
        <v>229028914</v>
      </c>
      <c r="F10" s="45">
        <f>'TY Normalized Usage by Month'!F50</f>
        <v>209765396</v>
      </c>
      <c r="G10" s="45">
        <f>'TY Normalized Usage by Month'!G50</f>
        <v>176926076</v>
      </c>
      <c r="H10" s="45">
        <f>'TY Normalized Usage by Month'!H50</f>
        <v>154900987</v>
      </c>
      <c r="I10" s="45">
        <f>'TY Normalized Usage by Month'!I50</f>
        <v>143616705.59999999</v>
      </c>
      <c r="J10" s="45">
        <f>'TY Normalized Usage by Month'!J50</f>
        <v>190502271</v>
      </c>
      <c r="K10" s="45">
        <f>'TY Normalized Usage by Month'!K50</f>
        <v>171958392</v>
      </c>
      <c r="L10" s="45">
        <f>'TY Normalized Usage by Month'!L50</f>
        <v>162813881</v>
      </c>
      <c r="M10" s="45">
        <f>'TY Normalized Usage by Month'!M50</f>
        <v>159069574</v>
      </c>
      <c r="N10" s="45">
        <f>'TY Normalized Usage by Month'!N50</f>
        <v>215944062</v>
      </c>
      <c r="O10" s="45">
        <f>'TY Normalized Usage by Month'!O50</f>
        <v>264640786</v>
      </c>
      <c r="P10" s="35">
        <f>SUM(D10:O10)</f>
        <v>2361885988.5999999</v>
      </c>
    </row>
    <row r="11" spans="1:16">
      <c r="A11" s="21">
        <f>A10+1</f>
        <v>4</v>
      </c>
      <c r="B11" s="20" t="s">
        <v>49</v>
      </c>
      <c r="C11" s="36" t="s">
        <v>53</v>
      </c>
      <c r="D11" s="37">
        <f t="shared" ref="D11:O11" si="0">D10/$P10</f>
        <v>0.11970050432772189</v>
      </c>
      <c r="E11" s="37">
        <f t="shared" si="0"/>
        <v>9.6968657719061255E-2</v>
      </c>
      <c r="F11" s="37">
        <f t="shared" si="0"/>
        <v>8.8812667932518519E-2</v>
      </c>
      <c r="G11" s="37">
        <f t="shared" si="0"/>
        <v>7.4908813064627364E-2</v>
      </c>
      <c r="H11" s="37">
        <f t="shared" si="0"/>
        <v>6.558360045643738E-2</v>
      </c>
      <c r="I11" s="37">
        <f t="shared" si="0"/>
        <v>6.0805943340697964E-2</v>
      </c>
      <c r="J11" s="37">
        <f t="shared" si="0"/>
        <v>8.065684453842735E-2</v>
      </c>
      <c r="K11" s="37">
        <f t="shared" si="0"/>
        <v>7.2805543040596873E-2</v>
      </c>
      <c r="L11" s="37">
        <f t="shared" si="0"/>
        <v>6.8933844303173744E-2</v>
      </c>
      <c r="M11" s="37">
        <f t="shared" si="0"/>
        <v>6.7348540432422804E-2</v>
      </c>
      <c r="N11" s="37">
        <f t="shared" si="0"/>
        <v>9.1428656185051554E-2</v>
      </c>
      <c r="O11" s="37">
        <f t="shared" si="0"/>
        <v>0.11204638465926331</v>
      </c>
      <c r="P11" s="37">
        <f>SUM(D11:O11)</f>
        <v>1</v>
      </c>
    </row>
    <row r="12" spans="1:16">
      <c r="A12" s="21"/>
      <c r="B12" s="20"/>
      <c r="C12" s="38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>
      <c r="A13" s="21">
        <v>5</v>
      </c>
      <c r="B13" s="34" t="s">
        <v>50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>
      <c r="A14" s="21">
        <v>6</v>
      </c>
      <c r="B14" s="23" t="s">
        <v>48</v>
      </c>
      <c r="C14" s="21" t="s">
        <v>77</v>
      </c>
      <c r="D14" s="45">
        <f>'TY Normalized Usage by Month'!D53</f>
        <v>179053128.5</v>
      </c>
      <c r="E14" s="45">
        <f>'TY Normalized Usage by Month'!E53</f>
        <v>167633774</v>
      </c>
      <c r="F14" s="45">
        <f>'TY Normalized Usage by Month'!F53</f>
        <v>172512516</v>
      </c>
      <c r="G14" s="45">
        <f>'TY Normalized Usage by Month'!G53</f>
        <v>163846532</v>
      </c>
      <c r="H14" s="45">
        <f>'TY Normalized Usage by Month'!H53</f>
        <v>181092306</v>
      </c>
      <c r="I14" s="45">
        <f>'TY Normalized Usage by Month'!I53</f>
        <v>185499648.66666999</v>
      </c>
      <c r="J14" s="45">
        <f>'TY Normalized Usage by Month'!J53</f>
        <v>204307747</v>
      </c>
      <c r="K14" s="45">
        <f>'TY Normalized Usage by Month'!K53</f>
        <v>192388070</v>
      </c>
      <c r="L14" s="45">
        <f>'TY Normalized Usage by Month'!L53</f>
        <v>180766696</v>
      </c>
      <c r="M14" s="45">
        <f>'TY Normalized Usage by Month'!M53</f>
        <v>182872741</v>
      </c>
      <c r="N14" s="45">
        <f>'TY Normalized Usage by Month'!N53</f>
        <v>162705681</v>
      </c>
      <c r="O14" s="45">
        <f>'TY Normalized Usage by Month'!O53</f>
        <v>193519554</v>
      </c>
      <c r="P14" s="35">
        <f>SUM(D14:O14)</f>
        <v>2166198394.1666698</v>
      </c>
    </row>
    <row r="15" spans="1:16">
      <c r="A15" s="21">
        <v>7</v>
      </c>
      <c r="B15" s="20" t="s">
        <v>49</v>
      </c>
      <c r="C15" s="36" t="s">
        <v>53</v>
      </c>
      <c r="D15" s="40">
        <f t="shared" ref="D15:O15" si="1">D14/$P14</f>
        <v>8.2657769935648578E-2</v>
      </c>
      <c r="E15" s="40">
        <f t="shared" si="1"/>
        <v>7.7386159297051935E-2</v>
      </c>
      <c r="F15" s="40">
        <f t="shared" si="1"/>
        <v>7.9638373135423296E-2</v>
      </c>
      <c r="G15" s="40">
        <f t="shared" si="1"/>
        <v>7.5637823590498629E-2</v>
      </c>
      <c r="H15" s="40">
        <f t="shared" si="1"/>
        <v>8.359913223445338E-2</v>
      </c>
      <c r="I15" s="40">
        <f t="shared" si="1"/>
        <v>8.5633730117333579E-2</v>
      </c>
      <c r="J15" s="40">
        <f t="shared" si="1"/>
        <v>9.4316267406613322E-2</v>
      </c>
      <c r="K15" s="40">
        <f t="shared" si="1"/>
        <v>8.8813688772957991E-2</v>
      </c>
      <c r="L15" s="40">
        <f t="shared" si="1"/>
        <v>8.3448818209257522E-2</v>
      </c>
      <c r="M15" s="40">
        <f t="shared" si="1"/>
        <v>8.4421049102637993E-2</v>
      </c>
      <c r="N15" s="40">
        <f t="shared" si="1"/>
        <v>7.5111163150221247E-2</v>
      </c>
      <c r="O15" s="40">
        <f t="shared" si="1"/>
        <v>8.9336025047902598E-2</v>
      </c>
      <c r="P15" s="40">
        <f>SUM(D15:O15)</f>
        <v>1.0000000000000002</v>
      </c>
    </row>
    <row r="16" spans="1:16">
      <c r="A16" s="21"/>
      <c r="B16" s="20"/>
      <c r="C16" s="41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>
      <c r="A17" s="21"/>
      <c r="B17" s="34"/>
      <c r="C17" s="21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33"/>
    </row>
    <row r="18" spans="1:16">
      <c r="A18" s="21"/>
      <c r="B18" s="23"/>
      <c r="C18" s="21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35"/>
    </row>
    <row r="19" spans="1:16">
      <c r="A19" s="21"/>
      <c r="B19" s="20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>
      <c r="A20" s="21"/>
      <c r="B20" s="20"/>
      <c r="C20" s="21"/>
      <c r="D20" s="40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>
      <c r="A21" s="21">
        <v>8</v>
      </c>
      <c r="B21" s="32" t="s">
        <v>74</v>
      </c>
      <c r="C21" s="21"/>
      <c r="D21" s="40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6">
      <c r="A22" s="21">
        <f>A21+1</f>
        <v>9</v>
      </c>
      <c r="B22" s="34" t="s">
        <v>19</v>
      </c>
      <c r="C22" s="21"/>
      <c r="D22" s="4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>
      <c r="A23" s="21">
        <f>A22+1</f>
        <v>10</v>
      </c>
      <c r="B23" s="20" t="s">
        <v>286</v>
      </c>
      <c r="C23" s="21" t="s">
        <v>153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42">
        <f>'Attachment 4, Page 2'!D14</f>
        <v>699.75</v>
      </c>
    </row>
    <row r="24" spans="1:16">
      <c r="A24" s="21">
        <f>A23+1</f>
        <v>11</v>
      </c>
      <c r="B24" s="20" t="s">
        <v>154</v>
      </c>
      <c r="C24" s="21" t="str">
        <f>"("&amp;A$11&amp;") x ("&amp;A23&amp;")"</f>
        <v>(4) x (10)</v>
      </c>
      <c r="D24" s="43">
        <f t="shared" ref="D24:O24" si="2">$P23*D$11</f>
        <v>83.760427903323389</v>
      </c>
      <c r="E24" s="43">
        <f>$P23*E$11</f>
        <v>67.853818238913107</v>
      </c>
      <c r="F24" s="43">
        <f t="shared" si="2"/>
        <v>62.146664385779836</v>
      </c>
      <c r="G24" s="43">
        <f t="shared" si="2"/>
        <v>52.417441941972996</v>
      </c>
      <c r="H24" s="43">
        <f t="shared" si="2"/>
        <v>45.892124419392054</v>
      </c>
      <c r="I24" s="43">
        <f t="shared" si="2"/>
        <v>42.548958852653399</v>
      </c>
      <c r="J24" s="43">
        <f t="shared" si="2"/>
        <v>56.439626965764539</v>
      </c>
      <c r="K24" s="43">
        <f t="shared" si="2"/>
        <v>50.945678742657662</v>
      </c>
      <c r="L24" s="43">
        <f t="shared" si="2"/>
        <v>48.236457551145826</v>
      </c>
      <c r="M24" s="43">
        <f t="shared" si="2"/>
        <v>47.127141167587858</v>
      </c>
      <c r="N24" s="43">
        <f t="shared" si="2"/>
        <v>63.977202165489828</v>
      </c>
      <c r="O24" s="43">
        <f t="shared" si="2"/>
        <v>78.404457665319498</v>
      </c>
      <c r="P24" s="42">
        <f>SUM(D24:O24)</f>
        <v>699.75</v>
      </c>
    </row>
    <row r="25" spans="1:16">
      <c r="A25" s="21"/>
      <c r="B25" s="20"/>
      <c r="C25" s="21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2"/>
    </row>
    <row r="26" spans="1:16">
      <c r="A26" s="21">
        <f>A24+1</f>
        <v>12</v>
      </c>
      <c r="B26" s="34" t="s">
        <v>50</v>
      </c>
      <c r="C26" s="44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42"/>
    </row>
    <row r="27" spans="1:16">
      <c r="A27" s="21">
        <f>A26+1</f>
        <v>13</v>
      </c>
      <c r="B27" s="20" t="s">
        <v>286</v>
      </c>
      <c r="C27" s="21" t="s">
        <v>153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42">
        <f>'Attachment 4, Page 2'!E14</f>
        <v>4352.96</v>
      </c>
    </row>
    <row r="28" spans="1:16">
      <c r="A28" s="21">
        <f>A27+1</f>
        <v>14</v>
      </c>
      <c r="B28" s="20" t="s">
        <v>154</v>
      </c>
      <c r="C28" s="21" t="str">
        <f>"("&amp;A$15&amp;") x ("&amp;A27&amp;")"</f>
        <v>(7) x (13)</v>
      </c>
      <c r="D28" s="43">
        <f t="shared" ref="D28:O28" si="3">$P27*D$15</f>
        <v>359.80596621908086</v>
      </c>
      <c r="E28" s="43">
        <f t="shared" si="3"/>
        <v>336.8588559736952</v>
      </c>
      <c r="F28" s="43">
        <f t="shared" si="3"/>
        <v>346.66265272357219</v>
      </c>
      <c r="G28" s="43">
        <f t="shared" si="3"/>
        <v>329.24842057649693</v>
      </c>
      <c r="H28" s="43">
        <f t="shared" si="3"/>
        <v>363.90367865128621</v>
      </c>
      <c r="I28" s="43">
        <f t="shared" si="3"/>
        <v>372.7602018515484</v>
      </c>
      <c r="J28" s="43">
        <f t="shared" si="3"/>
        <v>410.55493937029155</v>
      </c>
      <c r="K28" s="43">
        <f t="shared" si="3"/>
        <v>386.60243468113521</v>
      </c>
      <c r="L28" s="43">
        <f t="shared" si="3"/>
        <v>363.2493677121696</v>
      </c>
      <c r="M28" s="43">
        <f t="shared" si="3"/>
        <v>367.48144990181908</v>
      </c>
      <c r="N28" s="43">
        <f t="shared" si="3"/>
        <v>326.95588874638707</v>
      </c>
      <c r="O28" s="43">
        <f t="shared" si="3"/>
        <v>388.87614359251808</v>
      </c>
      <c r="P28" s="42">
        <f>SUM(D28:O28)</f>
        <v>4352.9600000000009</v>
      </c>
    </row>
    <row r="29" spans="1:16">
      <c r="A29" s="21"/>
      <c r="B29" s="20"/>
      <c r="C29" s="21"/>
      <c r="D29" s="43"/>
      <c r="E29" s="43"/>
      <c r="F29" s="43"/>
      <c r="G29" s="43"/>
      <c r="I29" s="43"/>
      <c r="J29" s="43"/>
      <c r="K29" s="43"/>
      <c r="L29" s="43"/>
      <c r="M29" s="43"/>
      <c r="N29" s="43"/>
      <c r="O29" s="43"/>
      <c r="P29" s="42"/>
    </row>
    <row r="30" spans="1:16">
      <c r="A30" s="21"/>
      <c r="B30" s="34"/>
      <c r="C30" s="44"/>
      <c r="D30" s="20"/>
      <c r="E30" s="20"/>
      <c r="F30" s="20"/>
      <c r="G30" s="20"/>
      <c r="H30" s="20"/>
      <c r="I30" s="43"/>
      <c r="J30" s="20"/>
      <c r="K30" s="43"/>
      <c r="L30" s="20"/>
      <c r="M30" s="20"/>
      <c r="N30" s="20"/>
      <c r="O30" s="20"/>
      <c r="P30" s="42"/>
    </row>
    <row r="31" spans="1:16">
      <c r="A31" s="21"/>
      <c r="B31" s="20"/>
      <c r="C31" s="21"/>
      <c r="D31" s="20"/>
      <c r="E31" s="20"/>
      <c r="F31" s="20"/>
      <c r="G31" s="20"/>
      <c r="H31" s="20"/>
      <c r="I31" s="43"/>
      <c r="J31" s="20"/>
      <c r="K31" s="43"/>
      <c r="L31" s="20"/>
      <c r="M31" s="20"/>
      <c r="N31" s="20"/>
      <c r="O31" s="20"/>
      <c r="P31" s="42"/>
    </row>
    <row r="32" spans="1:16">
      <c r="A32" s="21"/>
      <c r="B32" s="20"/>
      <c r="C32" s="21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2"/>
    </row>
    <row r="33" spans="1:16">
      <c r="A33" s="21"/>
      <c r="B33" s="20"/>
      <c r="C33" s="44"/>
      <c r="D33" s="21"/>
      <c r="E33" s="21"/>
      <c r="F33" s="21"/>
      <c r="G33" s="21"/>
      <c r="H33" s="20"/>
      <c r="I33" s="43"/>
      <c r="J33" s="20"/>
      <c r="K33" s="43"/>
      <c r="L33" s="20"/>
      <c r="M33" s="20"/>
      <c r="N33" s="20"/>
      <c r="O33" s="20"/>
      <c r="P33" s="42"/>
    </row>
    <row r="34" spans="1:16">
      <c r="A34" s="21"/>
      <c r="B34" s="23" t="s">
        <v>54</v>
      </c>
      <c r="C34" s="21"/>
      <c r="D34" s="21"/>
      <c r="E34" s="21"/>
      <c r="F34" s="21"/>
      <c r="G34" s="21"/>
      <c r="H34" s="20"/>
      <c r="I34" s="43"/>
      <c r="J34" s="20"/>
      <c r="K34" s="43"/>
      <c r="L34" s="20"/>
      <c r="M34" s="20"/>
      <c r="N34" s="20"/>
      <c r="O34" s="20"/>
      <c r="P34" s="20"/>
    </row>
    <row r="35" spans="1:16">
      <c r="I35" s="43"/>
    </row>
    <row r="36" spans="1:16">
      <c r="H36" s="43"/>
    </row>
    <row r="37" spans="1:16" ht="15.6">
      <c r="A37" s="245" t="s">
        <v>170</v>
      </c>
    </row>
  </sheetData>
  <mergeCells count="5">
    <mergeCell ref="A1:P1"/>
    <mergeCell ref="A2:P2"/>
    <mergeCell ref="A3:P3"/>
    <mergeCell ref="A5:P5"/>
    <mergeCell ref="A4:P4"/>
  </mergeCells>
  <pageMargins left="0.6" right="0.6" top="1.07" bottom="0.84099999999999997" header="0.3" footer="0.6"/>
  <pageSetup scale="58" orientation="landscape" r:id="rId1"/>
  <headerFooter scaleWithDoc="0">
    <oddHeader>&amp;CUE-150204 Final Decoupling Base</oddHeader>
    <oddFooter>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/>
  <cols>
    <col min="1" max="16384" width="9.109375" style="187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3"/>
  <sheetViews>
    <sheetView workbookViewId="0"/>
  </sheetViews>
  <sheetFormatPr defaultRowHeight="14.4"/>
  <cols>
    <col min="2" max="2" width="7.33203125" customWidth="1"/>
    <col min="3" max="3" width="33.6640625" customWidth="1"/>
    <col min="4" max="4" width="7.88671875" customWidth="1"/>
  </cols>
  <sheetData>
    <row r="1" spans="1:5">
      <c r="A1" s="124" t="s">
        <v>276</v>
      </c>
      <c r="B1" s="124"/>
      <c r="C1" s="124"/>
      <c r="D1" s="124"/>
      <c r="E1" s="125"/>
    </row>
    <row r="2" spans="1:5">
      <c r="A2" s="396" t="s">
        <v>169</v>
      </c>
      <c r="B2" s="396"/>
      <c r="C2" s="396"/>
      <c r="D2" s="396"/>
      <c r="E2" s="396"/>
    </row>
    <row r="3" spans="1:5">
      <c r="A3" s="388" t="s">
        <v>277</v>
      </c>
      <c r="B3" s="388"/>
      <c r="C3" s="388"/>
      <c r="D3" s="388"/>
      <c r="E3" s="388"/>
    </row>
    <row r="4" spans="1:5">
      <c r="A4" s="124" t="s">
        <v>278</v>
      </c>
      <c r="B4" s="124"/>
      <c r="C4" s="124"/>
      <c r="D4" s="124"/>
      <c r="E4" s="125"/>
    </row>
    <row r="5" spans="1:5" s="151" customFormat="1">
      <c r="A5" s="388" t="s">
        <v>279</v>
      </c>
      <c r="B5" s="388"/>
      <c r="C5" s="388"/>
      <c r="D5" s="388"/>
      <c r="E5" s="388"/>
    </row>
    <row r="6" spans="1:5" s="151" customFormat="1">
      <c r="A6" s="388" t="str">
        <f>'Attachment 4, Page 1'!A4:K4</f>
        <v>Washington Docket No. UE-170485 Compliance Filing</v>
      </c>
      <c r="B6" s="388"/>
      <c r="C6" s="388"/>
      <c r="D6" s="388"/>
      <c r="E6" s="388"/>
    </row>
    <row r="7" spans="1:5" s="151" customFormat="1" ht="30.6" customHeight="1">
      <c r="A7" s="241"/>
      <c r="B7" s="242"/>
      <c r="C7" s="241"/>
      <c r="D7" s="241"/>
      <c r="E7" s="241"/>
    </row>
    <row r="8" spans="1:5">
      <c r="A8" s="128" t="s">
        <v>158</v>
      </c>
      <c r="B8" s="128"/>
      <c r="C8" s="128"/>
      <c r="D8" s="128"/>
      <c r="E8" s="129"/>
    </row>
    <row r="9" spans="1:5">
      <c r="A9" s="130" t="s">
        <v>159</v>
      </c>
      <c r="B9" s="128"/>
      <c r="C9" s="130" t="s">
        <v>160</v>
      </c>
      <c r="D9" s="131"/>
      <c r="E9" s="132" t="s">
        <v>161</v>
      </c>
    </row>
    <row r="10" spans="1:5">
      <c r="A10" s="126"/>
      <c r="B10" s="126"/>
      <c r="C10" s="126"/>
      <c r="D10" s="126"/>
      <c r="E10" s="127"/>
    </row>
    <row r="11" spans="1:5">
      <c r="A11" s="133">
        <v>1</v>
      </c>
      <c r="B11" s="126"/>
      <c r="C11" s="134" t="s">
        <v>69</v>
      </c>
      <c r="D11" s="126"/>
      <c r="E11" s="135">
        <v>1</v>
      </c>
    </row>
    <row r="12" spans="1:5">
      <c r="A12" s="133"/>
      <c r="B12" s="126"/>
      <c r="C12" s="126"/>
      <c r="D12" s="126"/>
      <c r="E12" s="135"/>
    </row>
    <row r="13" spans="1:5">
      <c r="A13" s="133"/>
      <c r="B13" s="126"/>
      <c r="C13" s="136" t="s">
        <v>162</v>
      </c>
      <c r="D13" s="137"/>
      <c r="E13" s="135"/>
    </row>
    <row r="14" spans="1:5">
      <c r="A14" s="133">
        <v>2</v>
      </c>
      <c r="B14" s="126"/>
      <c r="C14" s="137" t="s">
        <v>163</v>
      </c>
      <c r="D14" s="137"/>
      <c r="E14" s="137">
        <v>6.1824999999999996E-3</v>
      </c>
    </row>
    <row r="15" spans="1:5">
      <c r="A15" s="133"/>
      <c r="B15" s="126"/>
      <c r="C15" s="137"/>
      <c r="D15" s="137"/>
      <c r="E15" s="137"/>
    </row>
    <row r="16" spans="1:5">
      <c r="A16" s="133">
        <v>3</v>
      </c>
      <c r="B16" s="126"/>
      <c r="C16" s="137" t="s">
        <v>164</v>
      </c>
      <c r="D16" s="137"/>
      <c r="E16" s="137">
        <v>2E-3</v>
      </c>
    </row>
    <row r="17" spans="1:5">
      <c r="A17" s="133"/>
      <c r="B17" s="126"/>
      <c r="C17" s="137"/>
      <c r="D17" s="137"/>
      <c r="E17" s="137"/>
    </row>
    <row r="18" spans="1:5">
      <c r="A18" s="133">
        <v>4</v>
      </c>
      <c r="B18" s="126"/>
      <c r="C18" s="137" t="s">
        <v>165</v>
      </c>
      <c r="D18" s="137"/>
      <c r="E18" s="137">
        <v>3.8494500000000001E-2</v>
      </c>
    </row>
    <row r="19" spans="1:5">
      <c r="A19" s="133"/>
      <c r="B19" s="126"/>
      <c r="C19" s="137"/>
      <c r="D19" s="137"/>
      <c r="E19" s="137"/>
    </row>
    <row r="20" spans="1:5">
      <c r="A20" s="133">
        <v>5</v>
      </c>
      <c r="B20" s="126"/>
      <c r="C20" s="137" t="s">
        <v>166</v>
      </c>
      <c r="D20" s="137"/>
      <c r="E20" s="138">
        <v>4.6676999999999996E-2</v>
      </c>
    </row>
    <row r="21" spans="1:5">
      <c r="A21" s="133"/>
      <c r="B21" s="126"/>
      <c r="C21" s="137"/>
      <c r="D21" s="137"/>
      <c r="E21" s="139"/>
    </row>
    <row r="22" spans="1:5">
      <c r="A22" s="133">
        <v>6</v>
      </c>
      <c r="B22" s="126"/>
      <c r="C22" s="137" t="s">
        <v>167</v>
      </c>
      <c r="D22" s="137"/>
      <c r="E22" s="139">
        <v>0.95332300000000003</v>
      </c>
    </row>
    <row r="23" spans="1:5">
      <c r="A23" s="126"/>
      <c r="B23" s="126"/>
      <c r="C23" s="137"/>
      <c r="D23" s="137"/>
      <c r="E23" s="139"/>
    </row>
    <row r="24" spans="1:5">
      <c r="A24" s="133">
        <v>7</v>
      </c>
      <c r="B24" s="126"/>
      <c r="C24" s="137" t="s">
        <v>280</v>
      </c>
      <c r="D24" s="140"/>
      <c r="E24" s="141">
        <v>0.20019799999999999</v>
      </c>
    </row>
    <row r="25" spans="1:5">
      <c r="A25" s="126"/>
      <c r="B25" s="126"/>
      <c r="C25" s="137"/>
      <c r="D25" s="137"/>
      <c r="E25" s="139"/>
    </row>
    <row r="26" spans="1:5" ht="15" thickBot="1">
      <c r="A26" s="133">
        <v>8</v>
      </c>
      <c r="B26" s="126"/>
      <c r="C26" s="136" t="s">
        <v>169</v>
      </c>
      <c r="D26" s="137"/>
      <c r="E26" s="142">
        <v>0.75312500000000004</v>
      </c>
    </row>
    <row r="27" spans="1:5" ht="15" thickTop="1"/>
    <row r="29" spans="1:5" ht="14.4" customHeight="1">
      <c r="A29" s="395" t="s">
        <v>281</v>
      </c>
      <c r="B29" s="395"/>
      <c r="C29" s="395"/>
      <c r="D29" s="395"/>
      <c r="E29" s="395"/>
    </row>
    <row r="30" spans="1:5">
      <c r="A30" s="126"/>
      <c r="B30" s="126"/>
      <c r="C30" s="243"/>
      <c r="D30" s="243"/>
      <c r="E30" s="243"/>
    </row>
    <row r="31" spans="1:5">
      <c r="A31" s="126" t="s">
        <v>282</v>
      </c>
      <c r="B31" s="126"/>
      <c r="C31" s="244"/>
      <c r="D31" s="244"/>
      <c r="E31" s="244"/>
    </row>
    <row r="32" spans="1:5">
      <c r="A32" s="151"/>
      <c r="B32" s="151"/>
      <c r="C32" s="151"/>
      <c r="D32" s="151"/>
      <c r="E32" s="151"/>
    </row>
    <row r="33" spans="1:5" ht="15.6">
      <c r="A33" s="245" t="s">
        <v>283</v>
      </c>
      <c r="B33" s="151"/>
      <c r="C33" s="151"/>
      <c r="D33" s="151"/>
      <c r="E33" s="151"/>
    </row>
  </sheetData>
  <mergeCells count="5">
    <mergeCell ref="A29:E29"/>
    <mergeCell ref="A2:E2"/>
    <mergeCell ref="A3:E3"/>
    <mergeCell ref="A5:E5"/>
    <mergeCell ref="A6:E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X67"/>
  <sheetViews>
    <sheetView zoomScaleNormal="100" workbookViewId="0">
      <pane xSplit="3" ySplit="12" topLeftCell="J13" activePane="bottomRight" state="frozen"/>
      <selection pane="topRight" activeCell="D1" sqref="D1"/>
      <selection pane="bottomLeft" activeCell="A13" sqref="A13"/>
      <selection pane="bottomRight" activeCell="P33" sqref="P33"/>
    </sheetView>
  </sheetViews>
  <sheetFormatPr defaultColWidth="8.88671875" defaultRowHeight="14.4"/>
  <cols>
    <col min="1" max="1" width="13.88671875" style="151" customWidth="1"/>
    <col min="2" max="2" width="17.6640625" style="151" customWidth="1"/>
    <col min="3" max="3" width="15" style="151" customWidth="1"/>
    <col min="4" max="8" width="14.33203125" style="151" customWidth="1"/>
    <col min="9" max="9" width="12.5546875" style="151" customWidth="1"/>
    <col min="10" max="10" width="12.33203125" style="151" customWidth="1"/>
    <col min="11" max="11" width="12.44140625" style="151" customWidth="1"/>
    <col min="12" max="12" width="12.109375" style="151" customWidth="1"/>
    <col min="13" max="13" width="12.44140625" style="151" customWidth="1"/>
    <col min="14" max="14" width="14.6640625" style="151" customWidth="1"/>
    <col min="15" max="15" width="12.6640625" style="151" customWidth="1"/>
    <col min="16" max="16" width="12.44140625" style="151" customWidth="1"/>
    <col min="17" max="17" width="13.109375" style="151" customWidth="1"/>
    <col min="18" max="18" width="13" style="151" customWidth="1"/>
    <col min="19" max="19" width="13.33203125" style="151" customWidth="1"/>
    <col min="20" max="20" width="12.44140625" style="151" customWidth="1"/>
    <col min="21" max="21" width="12.33203125" style="151" customWidth="1"/>
    <col min="22" max="22" width="12.88671875" style="151" customWidth="1"/>
    <col min="23" max="23" width="13.33203125" style="151" customWidth="1"/>
    <col min="24" max="24" width="12.44140625" style="151" customWidth="1"/>
    <col min="25" max="25" width="12.6640625" style="151" customWidth="1"/>
    <col min="26" max="26" width="13.109375" style="151" customWidth="1"/>
    <col min="27" max="27" width="13.33203125" style="151" customWidth="1"/>
    <col min="28" max="28" width="13" style="151" customWidth="1"/>
    <col min="29" max="29" width="14.44140625" style="151" customWidth="1"/>
    <col min="30" max="30" width="13.5546875" style="151" customWidth="1"/>
    <col min="31" max="33" width="12.6640625" style="151" customWidth="1"/>
    <col min="34" max="36" width="12.109375" style="151" customWidth="1"/>
    <col min="37" max="37" width="11.5546875" style="151" customWidth="1"/>
    <col min="38" max="38" width="13.33203125" style="151" customWidth="1"/>
    <col min="39" max="39" width="13.109375" style="151" customWidth="1"/>
    <col min="40" max="49" width="11.5546875" style="151" bestFit="1" customWidth="1"/>
    <col min="50" max="16384" width="8.88671875" style="151"/>
  </cols>
  <sheetData>
    <row r="1" spans="1:49">
      <c r="C1" s="151" t="s">
        <v>347</v>
      </c>
      <c r="D1" s="291">
        <v>43101</v>
      </c>
      <c r="E1" s="291">
        <v>43132</v>
      </c>
      <c r="F1" s="291">
        <v>43160</v>
      </c>
      <c r="G1" s="291">
        <v>43191</v>
      </c>
      <c r="H1" s="291">
        <v>43221</v>
      </c>
      <c r="I1" s="291">
        <v>43252</v>
      </c>
      <c r="J1" s="291">
        <v>43282</v>
      </c>
      <c r="K1" s="291">
        <v>43313</v>
      </c>
      <c r="L1" s="291">
        <v>43344</v>
      </c>
      <c r="M1" s="291">
        <v>43374</v>
      </c>
      <c r="N1" s="291">
        <v>43405</v>
      </c>
      <c r="O1" s="291">
        <v>43435</v>
      </c>
      <c r="P1" s="291">
        <v>43466</v>
      </c>
      <c r="Q1" s="291">
        <v>43497</v>
      </c>
      <c r="R1" s="291">
        <v>43525</v>
      </c>
      <c r="S1" s="291">
        <v>43556</v>
      </c>
      <c r="T1" s="291">
        <v>43586</v>
      </c>
      <c r="U1" s="291">
        <v>43617</v>
      </c>
      <c r="V1" s="291">
        <v>43647</v>
      </c>
      <c r="W1" s="291">
        <v>43678</v>
      </c>
      <c r="X1" s="291">
        <v>43709</v>
      </c>
      <c r="Y1" s="291">
        <v>43739</v>
      </c>
      <c r="Z1" s="291">
        <v>43770</v>
      </c>
      <c r="AA1" s="291">
        <v>43800</v>
      </c>
      <c r="AB1" s="291">
        <v>43831</v>
      </c>
      <c r="AC1" s="291">
        <v>43862</v>
      </c>
      <c r="AD1" s="291">
        <v>43891</v>
      </c>
      <c r="AE1" s="291">
        <v>43922</v>
      </c>
      <c r="AF1" s="291">
        <v>43952</v>
      </c>
      <c r="AG1" s="291">
        <v>43983</v>
      </c>
      <c r="AH1" s="291">
        <v>44013</v>
      </c>
      <c r="AI1" s="291">
        <v>44044</v>
      </c>
      <c r="AJ1" s="291">
        <v>44075</v>
      </c>
      <c r="AK1" s="291">
        <v>44105</v>
      </c>
      <c r="AL1" s="291">
        <v>44136</v>
      </c>
      <c r="AM1" s="291">
        <v>44166</v>
      </c>
      <c r="AN1" s="291">
        <v>44197</v>
      </c>
      <c r="AO1" s="291">
        <v>44228</v>
      </c>
      <c r="AP1" s="291">
        <v>44256</v>
      </c>
      <c r="AQ1" s="291">
        <v>44287</v>
      </c>
      <c r="AR1" s="291">
        <v>44317</v>
      </c>
      <c r="AS1" s="291">
        <v>44348</v>
      </c>
      <c r="AT1" s="291">
        <v>44378</v>
      </c>
      <c r="AU1" s="291">
        <v>44409</v>
      </c>
      <c r="AV1" s="291">
        <v>44440</v>
      </c>
      <c r="AW1" s="291">
        <v>44470</v>
      </c>
    </row>
    <row r="2" spans="1:49">
      <c r="A2" s="397" t="s">
        <v>19</v>
      </c>
      <c r="B2" s="397"/>
      <c r="C2" s="292"/>
      <c r="D2" s="292"/>
      <c r="E2" s="292"/>
      <c r="F2" s="292"/>
      <c r="G2" s="292"/>
      <c r="H2" s="292"/>
    </row>
    <row r="3" spans="1:49">
      <c r="A3" s="293" t="s">
        <v>314</v>
      </c>
      <c r="B3" s="312" t="s">
        <v>344</v>
      </c>
      <c r="C3" s="292"/>
      <c r="D3" s="292" t="s">
        <v>346</v>
      </c>
      <c r="E3" s="292" t="s">
        <v>346</v>
      </c>
      <c r="F3" s="292" t="s">
        <v>346</v>
      </c>
      <c r="G3" s="292" t="s">
        <v>346</v>
      </c>
      <c r="H3" s="292" t="s">
        <v>346</v>
      </c>
      <c r="I3" s="314" t="s">
        <v>346</v>
      </c>
      <c r="J3" s="330" t="s">
        <v>346</v>
      </c>
      <c r="K3" s="334" t="s">
        <v>346</v>
      </c>
      <c r="L3" s="340" t="s">
        <v>346</v>
      </c>
      <c r="M3" s="367" t="s">
        <v>346</v>
      </c>
      <c r="N3" s="377" t="s">
        <v>346</v>
      </c>
      <c r="O3" s="382" t="s">
        <v>346</v>
      </c>
      <c r="P3" s="294">
        <v>269096124.85328448</v>
      </c>
      <c r="Q3" s="294">
        <v>220969040.82341322</v>
      </c>
      <c r="R3" s="294">
        <v>212731215.51071823</v>
      </c>
      <c r="S3" s="294">
        <v>170754523.24900281</v>
      </c>
      <c r="T3" s="294">
        <v>156360975.7966482</v>
      </c>
      <c r="U3" s="294">
        <v>148668087.39059395</v>
      </c>
      <c r="V3" s="294">
        <v>188439202.77841285</v>
      </c>
      <c r="W3" s="294">
        <v>180392735.78821561</v>
      </c>
      <c r="X3" s="294">
        <v>156834680.2126509</v>
      </c>
      <c r="Y3" s="294">
        <v>176283611.7278176</v>
      </c>
      <c r="Z3" s="294">
        <v>225173549.70547396</v>
      </c>
      <c r="AA3" s="294">
        <v>283209300.06458104</v>
      </c>
      <c r="AB3" s="294">
        <v>274772848.13945717</v>
      </c>
      <c r="AC3" s="294">
        <v>224389766.51455256</v>
      </c>
      <c r="AD3" s="294">
        <v>216629232.09181711</v>
      </c>
      <c r="AE3" s="294">
        <v>173277441.89511448</v>
      </c>
      <c r="AF3" s="294">
        <v>156610475.83180889</v>
      </c>
      <c r="AG3" s="294">
        <v>148547483.97841835</v>
      </c>
      <c r="AH3" s="294">
        <v>185529977.72392735</v>
      </c>
      <c r="AI3" s="294">
        <v>181124193.11311957</v>
      </c>
      <c r="AJ3" s="294">
        <v>155498592.58416045</v>
      </c>
      <c r="AK3" s="294">
        <v>174913594.78830299</v>
      </c>
      <c r="AL3" s="294">
        <v>223474602.89389163</v>
      </c>
      <c r="AM3" s="294">
        <v>284390385.49230736</v>
      </c>
      <c r="AN3" s="294">
        <v>278939315.33524585</v>
      </c>
      <c r="AO3" s="294">
        <v>227297463.52739656</v>
      </c>
      <c r="AP3" s="294">
        <v>220281413.2544322</v>
      </c>
      <c r="AQ3" s="294">
        <v>175693454.33211213</v>
      </c>
      <c r="AR3" s="294">
        <v>158308518.71301138</v>
      </c>
      <c r="AS3" s="294">
        <v>149582437.49889219</v>
      </c>
      <c r="AT3" s="294">
        <v>184855392.70456728</v>
      </c>
      <c r="AU3" s="294">
        <v>181603627.19813922</v>
      </c>
      <c r="AV3" s="294">
        <v>154419090.12636662</v>
      </c>
      <c r="AW3" s="294">
        <v>173723818.20166939</v>
      </c>
    </row>
    <row r="4" spans="1:49" s="297" customFormat="1">
      <c r="A4" s="295" t="s">
        <v>254</v>
      </c>
      <c r="B4" s="296"/>
      <c r="C4" s="296"/>
      <c r="D4" s="297">
        <v>4.2399999999999998E-3</v>
      </c>
      <c r="E4" s="297">
        <f t="shared" ref="E4:J4" si="0">D4</f>
        <v>4.2399999999999998E-3</v>
      </c>
      <c r="F4" s="297">
        <f t="shared" si="0"/>
        <v>4.2399999999999998E-3</v>
      </c>
      <c r="G4" s="297">
        <f t="shared" si="0"/>
        <v>4.2399999999999998E-3</v>
      </c>
      <c r="H4" s="297">
        <f t="shared" si="0"/>
        <v>4.2399999999999998E-3</v>
      </c>
      <c r="I4" s="297">
        <f t="shared" si="0"/>
        <v>4.2399999999999998E-3</v>
      </c>
      <c r="J4" s="297">
        <f t="shared" si="0"/>
        <v>4.2399999999999998E-3</v>
      </c>
      <c r="K4" s="297">
        <f t="shared" ref="K4:AW4" si="1">J4</f>
        <v>4.2399999999999998E-3</v>
      </c>
      <c r="L4" s="297">
        <f t="shared" si="1"/>
        <v>4.2399999999999998E-3</v>
      </c>
      <c r="M4" s="297">
        <f t="shared" si="1"/>
        <v>4.2399999999999998E-3</v>
      </c>
      <c r="N4" s="338">
        <v>-1.1100000000000001E-3</v>
      </c>
      <c r="O4" s="297">
        <f t="shared" si="1"/>
        <v>-1.1100000000000001E-3</v>
      </c>
      <c r="P4" s="297">
        <f t="shared" si="1"/>
        <v>-1.1100000000000001E-3</v>
      </c>
      <c r="Q4" s="297">
        <f t="shared" si="1"/>
        <v>-1.1100000000000001E-3</v>
      </c>
      <c r="R4" s="297">
        <f t="shared" si="1"/>
        <v>-1.1100000000000001E-3</v>
      </c>
      <c r="S4" s="297">
        <f t="shared" si="1"/>
        <v>-1.1100000000000001E-3</v>
      </c>
      <c r="T4" s="297">
        <f t="shared" si="1"/>
        <v>-1.1100000000000001E-3</v>
      </c>
      <c r="U4" s="297">
        <f t="shared" si="1"/>
        <v>-1.1100000000000001E-3</v>
      </c>
      <c r="V4" s="297">
        <f t="shared" si="1"/>
        <v>-1.1100000000000001E-3</v>
      </c>
      <c r="W4" s="297">
        <f t="shared" si="1"/>
        <v>-1.1100000000000001E-3</v>
      </c>
      <c r="X4" s="297">
        <f t="shared" si="1"/>
        <v>-1.1100000000000001E-3</v>
      </c>
      <c r="Y4" s="297">
        <f t="shared" si="1"/>
        <v>-1.1100000000000001E-3</v>
      </c>
      <c r="Z4" s="297">
        <f>ROUND(Z5-Z8,5)</f>
        <v>2.7899999999999999E-3</v>
      </c>
      <c r="AA4" s="297">
        <f t="shared" si="1"/>
        <v>2.7899999999999999E-3</v>
      </c>
      <c r="AB4" s="297">
        <f t="shared" si="1"/>
        <v>2.7899999999999999E-3</v>
      </c>
      <c r="AC4" s="297">
        <f t="shared" si="1"/>
        <v>2.7899999999999999E-3</v>
      </c>
      <c r="AD4" s="297">
        <f t="shared" si="1"/>
        <v>2.7899999999999999E-3</v>
      </c>
      <c r="AE4" s="297">
        <f t="shared" si="1"/>
        <v>2.7899999999999999E-3</v>
      </c>
      <c r="AF4" s="297">
        <f t="shared" si="1"/>
        <v>2.7899999999999999E-3</v>
      </c>
      <c r="AG4" s="297">
        <f t="shared" si="1"/>
        <v>2.7899999999999999E-3</v>
      </c>
      <c r="AH4" s="297">
        <f t="shared" si="1"/>
        <v>2.7899999999999999E-3</v>
      </c>
      <c r="AI4" s="297">
        <f t="shared" si="1"/>
        <v>2.7899999999999999E-3</v>
      </c>
      <c r="AJ4" s="297">
        <f t="shared" si="1"/>
        <v>2.7899999999999999E-3</v>
      </c>
      <c r="AK4" s="297">
        <f t="shared" si="1"/>
        <v>2.7899999999999999E-3</v>
      </c>
      <c r="AL4" s="297">
        <f>ROUND(AL5-AL8,5)</f>
        <v>1.09E-3</v>
      </c>
      <c r="AM4" s="297">
        <f t="shared" si="1"/>
        <v>1.09E-3</v>
      </c>
      <c r="AN4" s="297">
        <f t="shared" si="1"/>
        <v>1.09E-3</v>
      </c>
      <c r="AO4" s="297">
        <f t="shared" si="1"/>
        <v>1.09E-3</v>
      </c>
      <c r="AP4" s="297">
        <f t="shared" si="1"/>
        <v>1.09E-3</v>
      </c>
      <c r="AQ4" s="297">
        <f t="shared" si="1"/>
        <v>1.09E-3</v>
      </c>
      <c r="AR4" s="297">
        <f t="shared" si="1"/>
        <v>1.09E-3</v>
      </c>
      <c r="AS4" s="297">
        <f t="shared" si="1"/>
        <v>1.09E-3</v>
      </c>
      <c r="AT4" s="297">
        <f t="shared" si="1"/>
        <v>1.09E-3</v>
      </c>
      <c r="AU4" s="297">
        <f t="shared" si="1"/>
        <v>1.09E-3</v>
      </c>
      <c r="AV4" s="297">
        <f t="shared" si="1"/>
        <v>1.09E-3</v>
      </c>
      <c r="AW4" s="297">
        <f t="shared" si="1"/>
        <v>1.09E-3</v>
      </c>
    </row>
    <row r="5" spans="1:49">
      <c r="A5" s="293" t="s">
        <v>315</v>
      </c>
      <c r="B5" s="292"/>
      <c r="C5" s="292"/>
      <c r="D5" s="292"/>
      <c r="E5" s="292"/>
      <c r="F5" s="292"/>
      <c r="G5" s="292"/>
      <c r="H5" s="292"/>
      <c r="L5" s="222"/>
      <c r="N5" s="298">
        <f>ROUND((M16+M17+M22)*1.02/(SUM(N3:Y3)),5)</f>
        <v>-1.3699999999999999E-3</v>
      </c>
      <c r="O5" s="299">
        <v>0.95444899999999999</v>
      </c>
      <c r="P5" s="201" t="s">
        <v>252</v>
      </c>
      <c r="Z5" s="298">
        <f>ROUND((Y16+Y17+Y22)*1.02/(SUM(Z3:AK3)),5)</f>
        <v>3.82E-3</v>
      </c>
      <c r="AA5" s="300">
        <f>O5</f>
        <v>0.95444899999999999</v>
      </c>
      <c r="AB5" s="201" t="s">
        <v>252</v>
      </c>
      <c r="AL5" s="298">
        <f>ROUND((AK16+AK17+AK22)*1.025/(SUM(AL3:AW3)),5)</f>
        <v>1.09E-3</v>
      </c>
      <c r="AM5" s="300">
        <f>AA5</f>
        <v>0.95444899999999999</v>
      </c>
      <c r="AN5" s="201" t="s">
        <v>252</v>
      </c>
      <c r="AV5" s="222"/>
      <c r="AW5" s="300"/>
    </row>
    <row r="6" spans="1:49">
      <c r="A6" s="293" t="s">
        <v>316</v>
      </c>
      <c r="B6" s="292"/>
      <c r="C6" s="292"/>
      <c r="D6" s="292"/>
      <c r="E6" s="292"/>
      <c r="F6" s="292"/>
      <c r="G6" s="292"/>
      <c r="H6" s="292"/>
      <c r="L6" s="222"/>
      <c r="N6" s="301">
        <f>IF(M4&gt;0,N5*SUM(N3:Y3)-M4*SUM(N3:Y3),N5*SUM(N3:Y3))</f>
        <v>-10549774.41151355</v>
      </c>
      <c r="O6" s="338">
        <f>ROUND(N4/O5,5)</f>
        <v>-1.16E-3</v>
      </c>
      <c r="P6" s="339" t="s">
        <v>373</v>
      </c>
      <c r="Z6" s="301">
        <f>IF(Y4&gt;0,Z5*SUM(Z3:AK3)-Y4*SUM(Z3:AK3),Z5*SUM(Z3:AK3))</f>
        <v>9166764.0635654032</v>
      </c>
      <c r="AA6" s="297">
        <f>ROUND(Z4/AA5,5)</f>
        <v>2.9199999999999999E-3</v>
      </c>
      <c r="AB6" s="201" t="s">
        <v>317</v>
      </c>
      <c r="AL6" s="301">
        <f>IF(AK4&gt;0,AL5*SUM(AL3:AW3)-AK4*SUM(AL3:AW3),AL5*SUM(AL3:AW3))</f>
        <v>-4101368.1827726541</v>
      </c>
      <c r="AM6" s="297">
        <f>ROUND(AL4/AM5,5)</f>
        <v>1.14E-3</v>
      </c>
      <c r="AN6" s="201" t="s">
        <v>317</v>
      </c>
      <c r="AV6" s="222"/>
      <c r="AW6" s="297"/>
    </row>
    <row r="7" spans="1:49">
      <c r="A7" s="293" t="s">
        <v>318</v>
      </c>
      <c r="B7" s="292"/>
      <c r="C7" s="292"/>
      <c r="D7" s="292"/>
      <c r="E7" s="292"/>
      <c r="F7" s="292"/>
      <c r="G7" s="292"/>
      <c r="H7" s="292"/>
      <c r="L7" s="222" t="s">
        <v>319</v>
      </c>
      <c r="M7" s="302">
        <f>234050</f>
        <v>234050</v>
      </c>
      <c r="N7" s="301">
        <f>M7*1000*0.03</f>
        <v>7021500</v>
      </c>
      <c r="O7" s="303">
        <f>IF(M4&gt;0,M4*SUM(N3:Y3)+N7,N7)</f>
        <v>14994948.040074412</v>
      </c>
      <c r="P7" s="151" t="s">
        <v>320</v>
      </c>
      <c r="X7" s="222" t="s">
        <v>319</v>
      </c>
      <c r="Y7" s="301">
        <f>M7</f>
        <v>234050</v>
      </c>
      <c r="Z7" s="301">
        <f>Y7*1000*0.03</f>
        <v>7021500</v>
      </c>
      <c r="AA7" s="303">
        <f>IF(Y4&gt;0,Y4/AA5*SUM(Z3:AK3)+Z7,Z7)</f>
        <v>7021500</v>
      </c>
      <c r="AB7" s="151" t="s">
        <v>320</v>
      </c>
      <c r="AJ7" s="222" t="s">
        <v>319</v>
      </c>
      <c r="AK7" s="301">
        <f>Y7</f>
        <v>234050</v>
      </c>
      <c r="AL7" s="301">
        <f>AK7*1000*0.03</f>
        <v>7021500</v>
      </c>
      <c r="AM7" s="303">
        <f>IF(AK4&gt;0,AK4*SUM(AL3:AW3)+AL7,AL7)</f>
        <v>13752568.958785709</v>
      </c>
      <c r="AN7" s="151" t="s">
        <v>320</v>
      </c>
      <c r="AV7" s="222"/>
      <c r="AW7" s="304"/>
    </row>
    <row r="8" spans="1:49">
      <c r="A8" s="293" t="s">
        <v>360</v>
      </c>
      <c r="B8" s="292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277">
        <f>IF(N6&gt;N7,N5-N10,0)</f>
        <v>0</v>
      </c>
      <c r="Z8" s="277">
        <f>IF(Z6&gt;Z7,Z5-Z10,0)</f>
        <v>1.0272636560896965E-3</v>
      </c>
      <c r="AL8" s="277">
        <f>IF(AL6&gt;AL7,AL5-AL10,0)</f>
        <v>0</v>
      </c>
    </row>
    <row r="9" spans="1:49">
      <c r="A9" s="293" t="s">
        <v>322</v>
      </c>
      <c r="B9" s="292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277"/>
      <c r="Z9" s="301">
        <f>N8*Z3</f>
        <v>0</v>
      </c>
      <c r="AA9" s="301">
        <f>N8*AA3</f>
        <v>0</v>
      </c>
      <c r="AB9" s="301">
        <f>N8*AB3</f>
        <v>0</v>
      </c>
      <c r="AC9" s="301">
        <f>N8*AC3</f>
        <v>0</v>
      </c>
      <c r="AD9" s="301">
        <f>N8*AD3</f>
        <v>0</v>
      </c>
      <c r="AE9" s="301">
        <f>N8*AE3</f>
        <v>0</v>
      </c>
      <c r="AF9" s="301">
        <f>N8*AF3</f>
        <v>0</v>
      </c>
      <c r="AG9" s="301">
        <f>N8*AG3</f>
        <v>0</v>
      </c>
      <c r="AH9" s="301">
        <f>N8*AH3</f>
        <v>0</v>
      </c>
      <c r="AI9" s="301">
        <f>N8*AI3</f>
        <v>0</v>
      </c>
      <c r="AJ9" s="301">
        <f>N8*AJ3</f>
        <v>0</v>
      </c>
      <c r="AK9" s="301">
        <f>N8*AK3</f>
        <v>0</v>
      </c>
      <c r="AL9" s="301">
        <f>Z8*AL3</f>
        <v>229567.33761197218</v>
      </c>
      <c r="AM9" s="301">
        <f>Z8*AM3</f>
        <v>292143.90715758584</v>
      </c>
      <c r="AN9" s="301">
        <f>Z8*AN3</f>
        <v>286544.22089844139</v>
      </c>
      <c r="AO9" s="301">
        <f>Z8*AO3</f>
        <v>233494.42340306783</v>
      </c>
      <c r="AP9" s="301">
        <f>Z8*AP3</f>
        <v>226287.08994835336</v>
      </c>
      <c r="AQ9" s="301">
        <f>Z8*AQ3</f>
        <v>180483.50024823364</v>
      </c>
      <c r="AR9" s="301">
        <f>Z8*AR3</f>
        <v>162624.58772327221</v>
      </c>
      <c r="AS9" s="301">
        <f>Z8*AS3</f>
        <v>153660.60163192049</v>
      </c>
      <c r="AT9" s="301">
        <f>Z8*AT3</f>
        <v>189895.22655759039</v>
      </c>
      <c r="AU9" s="301">
        <f>Z8*AU3</f>
        <v>186554.80603471075</v>
      </c>
      <c r="AV9" s="301">
        <f>Z8*AV3</f>
        <v>158629.11909325572</v>
      </c>
      <c r="AW9" s="301">
        <f>Z8*AW3</f>
        <v>178460.16463570867</v>
      </c>
    </row>
    <row r="10" spans="1:49">
      <c r="A10" s="293" t="s">
        <v>358</v>
      </c>
      <c r="B10" s="315"/>
      <c r="C10" s="315"/>
      <c r="D10" s="315"/>
      <c r="E10" s="315"/>
      <c r="F10" s="315"/>
      <c r="G10" s="315"/>
      <c r="H10" s="315"/>
      <c r="L10" s="222"/>
      <c r="M10" s="302"/>
      <c r="N10" s="277">
        <f>O7/SUM(N3:Y3)*O5</f>
        <v>7.6105734309010239E-3</v>
      </c>
      <c r="O10" s="303"/>
      <c r="X10" s="222"/>
      <c r="Y10" s="301"/>
      <c r="Z10" s="277">
        <f>AA7/SUM(Z3:AK3)*AA5</f>
        <v>2.7927363439103035E-3</v>
      </c>
      <c r="AA10" s="277">
        <f>Z10</f>
        <v>2.7927363439103035E-3</v>
      </c>
      <c r="AB10" s="277">
        <f t="shared" ref="AB10:AK10" si="2">AA10</f>
        <v>2.7927363439103035E-3</v>
      </c>
      <c r="AC10" s="277">
        <f t="shared" si="2"/>
        <v>2.7927363439103035E-3</v>
      </c>
      <c r="AD10" s="277">
        <f t="shared" si="2"/>
        <v>2.7927363439103035E-3</v>
      </c>
      <c r="AE10" s="277">
        <f t="shared" si="2"/>
        <v>2.7927363439103035E-3</v>
      </c>
      <c r="AF10" s="277">
        <f t="shared" si="2"/>
        <v>2.7927363439103035E-3</v>
      </c>
      <c r="AG10" s="277">
        <f t="shared" si="2"/>
        <v>2.7927363439103035E-3</v>
      </c>
      <c r="AH10" s="277">
        <f t="shared" si="2"/>
        <v>2.7927363439103035E-3</v>
      </c>
      <c r="AI10" s="277">
        <f t="shared" si="2"/>
        <v>2.7927363439103035E-3</v>
      </c>
      <c r="AJ10" s="277">
        <f t="shared" si="2"/>
        <v>2.7927363439103035E-3</v>
      </c>
      <c r="AK10" s="277">
        <f t="shared" si="2"/>
        <v>2.7927363439103035E-3</v>
      </c>
      <c r="AL10" s="277">
        <f>AM7/SUM(AL3:AW3)*AM5</f>
        <v>5.4407243336441098E-3</v>
      </c>
      <c r="AM10" s="277">
        <f>AL10</f>
        <v>5.4407243336441098E-3</v>
      </c>
      <c r="AN10" s="277">
        <f t="shared" ref="AN10:AW10" si="3">AM10</f>
        <v>5.4407243336441098E-3</v>
      </c>
      <c r="AO10" s="277">
        <f t="shared" si="3"/>
        <v>5.4407243336441098E-3</v>
      </c>
      <c r="AP10" s="277">
        <f t="shared" si="3"/>
        <v>5.4407243336441098E-3</v>
      </c>
      <c r="AQ10" s="277">
        <f t="shared" si="3"/>
        <v>5.4407243336441098E-3</v>
      </c>
      <c r="AR10" s="277">
        <f t="shared" si="3"/>
        <v>5.4407243336441098E-3</v>
      </c>
      <c r="AS10" s="277">
        <f t="shared" si="3"/>
        <v>5.4407243336441098E-3</v>
      </c>
      <c r="AT10" s="277">
        <f t="shared" si="3"/>
        <v>5.4407243336441098E-3</v>
      </c>
      <c r="AU10" s="277">
        <f t="shared" si="3"/>
        <v>5.4407243336441098E-3</v>
      </c>
      <c r="AV10" s="277">
        <f t="shared" si="3"/>
        <v>5.4407243336441098E-3</v>
      </c>
      <c r="AW10" s="277">
        <f t="shared" si="3"/>
        <v>5.4407243336441098E-3</v>
      </c>
    </row>
    <row r="11" spans="1:49">
      <c r="A11" s="293" t="s">
        <v>359</v>
      </c>
      <c r="B11" s="31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1"/>
      <c r="O11" s="301">
        <f>SUMPRODUCT($Z3:$AK3,-$Z10:$AK10)-SUM($AL9:AM9)</f>
        <v>-7223374.8982695593</v>
      </c>
      <c r="P11" s="301">
        <f>SUMPRODUCT($Z3:$AK3,-$Z10:$AK10)-SUM($AL9:AN9)</f>
        <v>-7509919.1191680003</v>
      </c>
      <c r="Q11" s="301">
        <f>SUMPRODUCT($Z3:$AK3,-$Z10:$AK10)-SUM($AL9:AO9)</f>
        <v>-7743413.5425710678</v>
      </c>
      <c r="R11" s="301">
        <f>SUMPRODUCT($Z3:$AK3,-$Z10:$AK10)-SUM($AL9:AP9)</f>
        <v>-7969700.6325194221</v>
      </c>
      <c r="S11" s="301">
        <f>SUMPRODUCT($Z3:$AK3,-$Z10:$AK10)-SUM($AL9:AQ9)</f>
        <v>-8150184.132767655</v>
      </c>
      <c r="T11" s="301">
        <f>SUMPRODUCT($Z3:$AK3,-$Z10:$AK10)-SUM($AL9:AR9)</f>
        <v>-8312808.7204909269</v>
      </c>
      <c r="U11" s="301">
        <f>SUMPRODUCT($Z3:$AK3,-$Z10:$AK10)-SUM($AL9:AS9)</f>
        <v>-8466469.3221228477</v>
      </c>
      <c r="V11" s="301">
        <f>SUMPRODUCT($Z3:$AK3,-$Z10:$AK10)-SUM($AL9:AT9)</f>
        <v>-8656364.5486804377</v>
      </c>
      <c r="W11" s="301">
        <f>SUMPRODUCT($Z3:$AK3,-$Z10:$AK10)-SUM($AL9:AU9)</f>
        <v>-8842919.3547151498</v>
      </c>
      <c r="X11" s="301">
        <f>SUMPRODUCT($Z3:$AK3,-$Z10:$AK10)-SUM($AL9:AV9)</f>
        <v>-9001548.4738084041</v>
      </c>
      <c r="Y11" s="301">
        <f>SUMPRODUCT($Z3:$AK3,-$Z10:$AK10)-SUM($AL9:AW9)</f>
        <v>-9180008.6384441126</v>
      </c>
      <c r="Z11" s="301"/>
      <c r="AA11" s="303"/>
      <c r="AJ11" s="222"/>
      <c r="AK11" s="301"/>
      <c r="AL11" s="301"/>
      <c r="AM11" s="303"/>
      <c r="AV11" s="222"/>
      <c r="AW11" s="304"/>
    </row>
    <row r="12" spans="1:49">
      <c r="A12" s="293" t="s">
        <v>361</v>
      </c>
      <c r="O12" s="326">
        <f>IF($Y16&gt;0,IF(O11+O15+O16+O22&lt;0,0,+O11+O15+O16+O22),0)</f>
        <v>1396884.3755832305</v>
      </c>
      <c r="P12" s="280">
        <f>IF($Y16&gt;0,IF(P11+P16+P22&lt;0,0,+P11+P16+P22),0)</f>
        <v>1145970.5596833806</v>
      </c>
      <c r="Q12" s="280">
        <f t="shared" ref="Q12:Y12" si="4">IF($Y16&gt;0,IF(Q11+Q16+Q22&lt;0,0,+Q11+Q16+Q22),0)</f>
        <v>948253.81361956522</v>
      </c>
      <c r="R12" s="280">
        <f t="shared" si="4"/>
        <v>757892.28207679838</v>
      </c>
      <c r="S12" s="280">
        <f t="shared" si="4"/>
        <v>613482.83254222944</v>
      </c>
      <c r="T12" s="280">
        <f t="shared" si="4"/>
        <v>487081.40160890482</v>
      </c>
      <c r="U12" s="280">
        <f t="shared" si="4"/>
        <v>369793.67914832942</v>
      </c>
      <c r="V12" s="280">
        <f t="shared" si="4"/>
        <v>216421.67299599387</v>
      </c>
      <c r="W12" s="280">
        <f t="shared" si="4"/>
        <v>66541.050010878593</v>
      </c>
      <c r="X12" s="280">
        <f t="shared" si="4"/>
        <v>0</v>
      </c>
      <c r="Y12" s="280">
        <f t="shared" si="4"/>
        <v>0</v>
      </c>
    </row>
    <row r="13" spans="1:49" ht="5.4" customHeight="1"/>
    <row r="14" spans="1:49">
      <c r="A14" s="151" t="s">
        <v>323</v>
      </c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</row>
    <row r="15" spans="1:49">
      <c r="A15" s="151">
        <v>186328</v>
      </c>
      <c r="B15" s="151" t="s">
        <v>324</v>
      </c>
      <c r="C15" s="302">
        <v>-2092789.9</v>
      </c>
      <c r="D15" s="306">
        <f>0-D26+(0+0-D26)/2*D24/12</f>
        <v>341177.85259188991</v>
      </c>
      <c r="E15" s="301">
        <f>D15-E26+(D15+D15-E26)/2*E24/12</f>
        <v>2079411.3910603344</v>
      </c>
      <c r="F15" s="301">
        <f>E15-F26+(E15+E15-F26)/2*F24/12</f>
        <v>2724630.6129319076</v>
      </c>
      <c r="G15" s="301">
        <f>F15-G26+(F15+F15-G26)/2*G24/12</f>
        <v>3543429.221483204</v>
      </c>
      <c r="H15" s="301">
        <f>G15-H26+(G15+G15-H26)/2*H24/12</f>
        <v>4699800.7904610932</v>
      </c>
      <c r="I15" s="301">
        <f>H15-I26+(H15+H15-I26)/2*I24/12</f>
        <v>5305351.9698947705</v>
      </c>
      <c r="J15" s="301">
        <f t="shared" ref="J15:O15" si="5">I15-J26+(I15+I15-J26)/2*J$24/12</f>
        <v>6315433.2219057959</v>
      </c>
      <c r="K15" s="301">
        <f t="shared" si="5"/>
        <v>4770285.5495783361</v>
      </c>
      <c r="L15" s="301">
        <f t="shared" si="5"/>
        <v>6601759.6787987724</v>
      </c>
      <c r="M15" s="301">
        <f t="shared" si="5"/>
        <v>7458007.1532744737</v>
      </c>
      <c r="N15" s="301">
        <f t="shared" si="5"/>
        <v>8343980.5316406749</v>
      </c>
      <c r="O15" s="301">
        <f t="shared" si="5"/>
        <v>8620259.2738527898</v>
      </c>
      <c r="P15" s="306">
        <f>0-P26+(0+0-P26)/2*P24/12</f>
        <v>0</v>
      </c>
      <c r="Q15" s="301">
        <f>P15-Q26+(P15+P15-Q26)/2*Q24/12</f>
        <v>0</v>
      </c>
      <c r="R15" s="301">
        <f t="shared" ref="R15:AA15" si="6">Q15-R26+(Q15+Q15-R26)/2*R24/12</f>
        <v>0</v>
      </c>
      <c r="S15" s="301">
        <f t="shared" si="6"/>
        <v>0</v>
      </c>
      <c r="T15" s="301">
        <f t="shared" si="6"/>
        <v>0</v>
      </c>
      <c r="U15" s="301">
        <f t="shared" si="6"/>
        <v>0</v>
      </c>
      <c r="V15" s="301">
        <f t="shared" si="6"/>
        <v>0</v>
      </c>
      <c r="W15" s="301">
        <f t="shared" si="6"/>
        <v>0</v>
      </c>
      <c r="X15" s="301">
        <f t="shared" si="6"/>
        <v>0</v>
      </c>
      <c r="Y15" s="301">
        <f t="shared" si="6"/>
        <v>0</v>
      </c>
      <c r="Z15" s="301">
        <f t="shared" si="6"/>
        <v>0</v>
      </c>
      <c r="AA15" s="301">
        <f t="shared" si="6"/>
        <v>0</v>
      </c>
      <c r="AB15" s="306">
        <f>0-AB26+(0+0-AB26)/2*AB24/12</f>
        <v>0</v>
      </c>
      <c r="AC15" s="301">
        <f>AB15-AC26+(AB15+AB15-AC26)/2*AC24/12</f>
        <v>0</v>
      </c>
      <c r="AD15" s="301">
        <f t="shared" ref="AD15:AM15" si="7">AC15-AD26+(AC15+AC15-AD26)/2*AD24/12</f>
        <v>0</v>
      </c>
      <c r="AE15" s="301">
        <f t="shared" si="7"/>
        <v>0</v>
      </c>
      <c r="AF15" s="301">
        <f t="shared" si="7"/>
        <v>0</v>
      </c>
      <c r="AG15" s="301">
        <f t="shared" si="7"/>
        <v>0</v>
      </c>
      <c r="AH15" s="301">
        <f t="shared" si="7"/>
        <v>0</v>
      </c>
      <c r="AI15" s="301">
        <f t="shared" si="7"/>
        <v>0</v>
      </c>
      <c r="AJ15" s="301">
        <f t="shared" si="7"/>
        <v>0</v>
      </c>
      <c r="AK15" s="301">
        <f t="shared" si="7"/>
        <v>0</v>
      </c>
      <c r="AL15" s="301">
        <f t="shared" si="7"/>
        <v>0</v>
      </c>
      <c r="AM15" s="301">
        <f t="shared" si="7"/>
        <v>0</v>
      </c>
      <c r="AN15" s="306">
        <f>0-AN26+(0+0-AN26)/2*AN24/12</f>
        <v>0</v>
      </c>
      <c r="AO15" s="301">
        <f>AN15-AO26+(AN15+AN15-AO26)/2*AO24/12</f>
        <v>0</v>
      </c>
      <c r="AP15" s="301">
        <f t="shared" ref="AP15:AW15" si="8">AO15-AP26+(AO15+AO15-AP26)/2*AP24/12</f>
        <v>0</v>
      </c>
      <c r="AQ15" s="301">
        <f t="shared" si="8"/>
        <v>0</v>
      </c>
      <c r="AR15" s="301">
        <f t="shared" si="8"/>
        <v>0</v>
      </c>
      <c r="AS15" s="301">
        <f t="shared" si="8"/>
        <v>0</v>
      </c>
      <c r="AT15" s="301">
        <f t="shared" si="8"/>
        <v>0</v>
      </c>
      <c r="AU15" s="301">
        <f t="shared" si="8"/>
        <v>0</v>
      </c>
      <c r="AV15" s="301">
        <f t="shared" si="8"/>
        <v>0</v>
      </c>
      <c r="AW15" s="301">
        <f t="shared" si="8"/>
        <v>0</v>
      </c>
    </row>
    <row r="16" spans="1:49">
      <c r="A16" s="151">
        <v>182329</v>
      </c>
      <c r="B16" s="151" t="s">
        <v>325</v>
      </c>
      <c r="C16" s="302">
        <v>0</v>
      </c>
      <c r="D16" s="306">
        <f>C15+(C15+C22)*D24/12</f>
        <v>-2102780.6119375001</v>
      </c>
      <c r="E16" s="301">
        <f>D16+(D16+D22)*E24/12</f>
        <v>-2112806.7076464454</v>
      </c>
      <c r="F16" s="301">
        <f>E16+(E16+E22)*F24/12</f>
        <v>-2122868.31244436</v>
      </c>
      <c r="G16" s="301">
        <f>F16+(F16+F22)*G24/12</f>
        <v>-2133488.2327332152</v>
      </c>
      <c r="H16" s="301">
        <f>G16+(G16+G22)*H24/12</f>
        <v>-2144147.7122251466</v>
      </c>
      <c r="I16" s="301">
        <f>H16+(H16+H22)*I24/12</f>
        <v>-2154846.8982781852</v>
      </c>
      <c r="J16" s="301">
        <f>I16+(I16+I22)*J$24/12</f>
        <v>-2166114.4821806224</v>
      </c>
      <c r="K16" s="301">
        <f>J16+(J16+J22)*K$24/12</f>
        <v>-2177426.1035568118</v>
      </c>
      <c r="L16" s="301">
        <f>K16+(K16+K22)*L$24/12</f>
        <v>-2188781.9345198795</v>
      </c>
      <c r="M16" s="301">
        <f>L16+(L16+L22)*M$24/12</f>
        <v>-2200838.4501158949</v>
      </c>
      <c r="N16" s="301">
        <v>0</v>
      </c>
      <c r="O16" s="301">
        <v>0</v>
      </c>
      <c r="P16" s="306">
        <f>O15+(O15+O22)*P24/12</f>
        <v>8655889.6788513809</v>
      </c>
      <c r="Q16" s="301">
        <f>P16+(P16+P22)*Q24/12</f>
        <v>8691667.356190633</v>
      </c>
      <c r="R16" s="301">
        <f t="shared" ref="R16:Y16" si="9">Q16+(Q16+Q22)*R24/12</f>
        <v>8727592.9145962205</v>
      </c>
      <c r="S16" s="301">
        <f t="shared" si="9"/>
        <v>8763666.9653098844</v>
      </c>
      <c r="T16" s="301">
        <f t="shared" si="9"/>
        <v>8799890.1220998317</v>
      </c>
      <c r="U16" s="301">
        <f t="shared" si="9"/>
        <v>8836263.0012711771</v>
      </c>
      <c r="V16" s="301">
        <f t="shared" si="9"/>
        <v>8872786.2216764316</v>
      </c>
      <c r="W16" s="301">
        <f t="shared" si="9"/>
        <v>8909460.4047260284</v>
      </c>
      <c r="X16" s="301">
        <f t="shared" si="9"/>
        <v>8946286.1743988954</v>
      </c>
      <c r="Y16" s="301">
        <f t="shared" si="9"/>
        <v>8983264.1572530773</v>
      </c>
      <c r="Z16" s="301">
        <v>0</v>
      </c>
      <c r="AA16" s="301">
        <v>0</v>
      </c>
      <c r="AB16" s="306">
        <f>AA15+(AA15+AA22)*AB24/12</f>
        <v>0</v>
      </c>
      <c r="AC16" s="301">
        <f>AB16+(AB16+AB22)*AC24/12</f>
        <v>0</v>
      </c>
      <c r="AD16" s="301">
        <f t="shared" ref="AD16:AK16" si="10">AC16+(AC16+AC22)*AD24/12</f>
        <v>0</v>
      </c>
      <c r="AE16" s="301">
        <f t="shared" si="10"/>
        <v>0</v>
      </c>
      <c r="AF16" s="301">
        <f t="shared" si="10"/>
        <v>0</v>
      </c>
      <c r="AG16" s="301">
        <f t="shared" si="10"/>
        <v>0</v>
      </c>
      <c r="AH16" s="301">
        <f t="shared" si="10"/>
        <v>0</v>
      </c>
      <c r="AI16" s="301">
        <f t="shared" si="10"/>
        <v>0</v>
      </c>
      <c r="AJ16" s="301">
        <f t="shared" si="10"/>
        <v>0</v>
      </c>
      <c r="AK16" s="301">
        <f t="shared" si="10"/>
        <v>0</v>
      </c>
      <c r="AL16" s="301">
        <v>0</v>
      </c>
      <c r="AM16" s="301">
        <v>0</v>
      </c>
      <c r="AN16" s="306">
        <f>AM15+(AM15+AM22)*AN24/12</f>
        <v>0</v>
      </c>
      <c r="AO16" s="301">
        <f>AN16+(AN16+AN22)*AO24/12</f>
        <v>0</v>
      </c>
      <c r="AP16" s="301">
        <f t="shared" ref="AP16:AW16" si="11">AO16+(AO16+AO22)*AP24/12</f>
        <v>0</v>
      </c>
      <c r="AQ16" s="301">
        <f t="shared" si="11"/>
        <v>0</v>
      </c>
      <c r="AR16" s="301">
        <f t="shared" si="11"/>
        <v>0</v>
      </c>
      <c r="AS16" s="301">
        <f t="shared" si="11"/>
        <v>0</v>
      </c>
      <c r="AT16" s="301">
        <f t="shared" si="11"/>
        <v>0</v>
      </c>
      <c r="AU16" s="301">
        <f t="shared" si="11"/>
        <v>0</v>
      </c>
      <c r="AV16" s="301">
        <f t="shared" si="11"/>
        <v>0</v>
      </c>
      <c r="AW16" s="301">
        <f t="shared" si="11"/>
        <v>0</v>
      </c>
    </row>
    <row r="17" spans="1:50">
      <c r="A17" s="151">
        <v>182328</v>
      </c>
      <c r="B17" s="151" t="s">
        <v>326</v>
      </c>
      <c r="C17" s="302">
        <v>8212539.75</v>
      </c>
      <c r="D17" s="301">
        <f t="shared" ref="D17:I17" si="12">C17-D27+(C17+C17-D27)/2*D24/12</f>
        <v>7077316.9058760423</v>
      </c>
      <c r="E17" s="301">
        <f t="shared" si="12"/>
        <v>6183807.4455187293</v>
      </c>
      <c r="F17" s="301">
        <f t="shared" si="12"/>
        <v>5225694.8171924409</v>
      </c>
      <c r="G17" s="301">
        <f t="shared" si="12"/>
        <v>4503526.432813582</v>
      </c>
      <c r="H17" s="301">
        <f t="shared" si="12"/>
        <v>3892086.3308411143</v>
      </c>
      <c r="I17" s="301">
        <f t="shared" si="12"/>
        <v>3298325.1253019138</v>
      </c>
      <c r="J17" s="301">
        <f>I17-J27+(I17+I17-J27)/2*J$24/12</f>
        <v>2523815.9728441001</v>
      </c>
      <c r="K17" s="301">
        <f>J17-K27+(J17+J17-K27)/2*K$24/12</f>
        <v>1674081.5778774268</v>
      </c>
      <c r="L17" s="301">
        <f>K17-L27+(K17+K17-L27)/2*L$24/12</f>
        <v>1088330.496507657</v>
      </c>
      <c r="M17" s="301">
        <f>L17-M27+(L17+L17-M27)/2*M$24/12</f>
        <v>411850.24736628862</v>
      </c>
      <c r="N17" s="306">
        <f>IF(M16+M17+M22&gt;0,(M16+M17+M22)-N27+(M16+M17+M22-N27/2)*N24/12,0)</f>
        <v>0</v>
      </c>
      <c r="O17" s="301">
        <f>IF(N17&lt;&gt;0,N17-O27+(N17+N17-O27)/2*O$24/12,0)</f>
        <v>0</v>
      </c>
      <c r="P17" s="301">
        <f>IF(O17&lt;&gt;0,O17-P27+(O17+O17-P27)/2*P24/12,0)</f>
        <v>0</v>
      </c>
      <c r="Q17" s="301">
        <f>IF(P17&lt;&gt;0,P17-Q27+(P17+P17-Q27)/2*Q24/12,0)</f>
        <v>0</v>
      </c>
      <c r="R17" s="301">
        <f t="shared" ref="R17:Y17" si="13">IF(Q17&lt;&gt;0,Q17-R27+(Q17+Q17-R27)/2*R24/12,0)</f>
        <v>0</v>
      </c>
      <c r="S17" s="301">
        <f t="shared" si="13"/>
        <v>0</v>
      </c>
      <c r="T17" s="301">
        <f t="shared" si="13"/>
        <v>0</v>
      </c>
      <c r="U17" s="301">
        <f t="shared" si="13"/>
        <v>0</v>
      </c>
      <c r="V17" s="301">
        <f t="shared" si="13"/>
        <v>0</v>
      </c>
      <c r="W17" s="301">
        <f t="shared" si="13"/>
        <v>0</v>
      </c>
      <c r="X17" s="301">
        <f t="shared" si="13"/>
        <v>0</v>
      </c>
      <c r="Y17" s="301">
        <f t="shared" si="13"/>
        <v>0</v>
      </c>
      <c r="Z17" s="306">
        <f>IF(Y16+Y17+Y22&gt;0,(Y16+Y17+Y22)-Z27+(Y16+Y17+Y22-Z27/2)*Z24/12,0)</f>
        <v>8390862.4280705154</v>
      </c>
      <c r="AA17" s="301">
        <f>IF(Z17&lt;&gt;0,Z17-AA27+(Z17+Z17-AA27)/2*AA$24/12,0)</f>
        <v>7633757.7274355199</v>
      </c>
      <c r="AB17" s="301">
        <f>IF(AA17&lt;&gt;0,AA17-AB27+(AA17+AA17-AB27)/2*AB24/12,0)</f>
        <v>6897110.0061574625</v>
      </c>
      <c r="AC17" s="301">
        <f>IF(AB17&lt;&gt;0,AB17-AC27+(AB17+AB17-AC27)/2*AC24/12,0)</f>
        <v>6298276.7808802556</v>
      </c>
      <c r="AD17" s="301">
        <f t="shared" ref="AD17:AK17" si="14">IF(AC17&lt;&gt;0,AC17-AD27+(AC17+AC17-AD27)/2*AD24/12,0)</f>
        <v>5718665.0165528161</v>
      </c>
      <c r="AE17" s="301">
        <f t="shared" si="14"/>
        <v>5257858.9846705645</v>
      </c>
      <c r="AF17" s="301">
        <f t="shared" si="14"/>
        <v>4841745.2248994764</v>
      </c>
      <c r="AG17" s="301">
        <f t="shared" si="14"/>
        <v>4446453.7667366536</v>
      </c>
      <c r="AH17" s="301">
        <f t="shared" si="14"/>
        <v>3946134.0386045184</v>
      </c>
      <c r="AI17" s="301">
        <f t="shared" si="14"/>
        <v>3456063.8650809899</v>
      </c>
      <c r="AJ17" s="301">
        <f t="shared" si="14"/>
        <v>3035611.2508620103</v>
      </c>
      <c r="AK17" s="301">
        <f t="shared" si="14"/>
        <v>2559140.962785325</v>
      </c>
      <c r="AL17" s="306">
        <f>IF(AK16+AK17+AK22&gt;0,(AK16+AK17+AK22)-AL27+(AK16+AK17+AK22-AL27/2)*AL24/12,0)</f>
        <v>2325628.0144883767</v>
      </c>
      <c r="AM17" s="301">
        <f>IF(AL17&lt;&gt;0,AL17-AM27+(AL17+AL17-AM27)/2*AM$24/12,0)</f>
        <v>2024614.4533532611</v>
      </c>
      <c r="AN17" s="301">
        <f>IF(AM17&lt;&gt;0,AM17-AN27+(AM17+AM17-AN27)/2*AN24/12,0)</f>
        <v>1728310.6487473582</v>
      </c>
      <c r="AO17" s="301">
        <f>IF(AN17&lt;&gt;0,AN17-AO27+(AN17+AN17-AO27)/2*AO24/12,0)</f>
        <v>1487188.0720978123</v>
      </c>
      <c r="AP17" s="301">
        <f t="shared" ref="AP17:AW17" si="15">IF(AO17&lt;&gt;0,AO17-AP27+(AO17+AO17-AP27)/2*AP24/12,0)</f>
        <v>1252732.1550848943</v>
      </c>
      <c r="AQ17" s="301">
        <f t="shared" si="15"/>
        <v>1066008.4706491176</v>
      </c>
      <c r="AR17" s="301">
        <f t="shared" si="15"/>
        <v>897501.73727413069</v>
      </c>
      <c r="AS17" s="301">
        <f t="shared" si="15"/>
        <v>737829.59487686539</v>
      </c>
      <c r="AT17" s="301">
        <f t="shared" si="15"/>
        <v>538970.4949064122</v>
      </c>
      <c r="AU17" s="301">
        <f t="shared" si="15"/>
        <v>342841.1935351853</v>
      </c>
      <c r="AV17" s="301">
        <f t="shared" si="15"/>
        <v>175593.60749369979</v>
      </c>
      <c r="AW17" s="301">
        <f t="shared" si="15"/>
        <v>-13430.909289614858</v>
      </c>
    </row>
    <row r="18" spans="1:50" ht="15" thickBot="1">
      <c r="A18" s="151">
        <v>254328</v>
      </c>
      <c r="B18" s="151" t="s">
        <v>327</v>
      </c>
      <c r="C18" s="302">
        <v>0</v>
      </c>
      <c r="N18" s="306">
        <f>IF((M16+M17+M22)&lt;0,(M16+M17+M22)-N27+(M16+M17+M22-N27/2)*N24/12,0)</f>
        <v>-2406937.0381841939</v>
      </c>
      <c r="O18" s="301">
        <f>IF(N18&lt;&gt;0,N18-O27+(N18+N18-O27)/2*O$24/12,0)</f>
        <v>-2135579.8355097636</v>
      </c>
      <c r="P18" s="301">
        <f>IF(O18&lt;&gt;0,O18-P27+(O18+O18-P27)/2*P24/12,0)</f>
        <v>-1845092.8937323114</v>
      </c>
      <c r="Q18" s="301">
        <f>IF(P18&lt;&gt;0,P18-Q27+(P18+P18-Q27)/2*Q24/12,0)</f>
        <v>-1606936.7393994341</v>
      </c>
      <c r="R18" s="301">
        <f t="shared" ref="R18:Y18" si="16">IF(Q18&lt;&gt;0,Q18-R27+(Q18+Q18-R27)/2*R24/12,0)</f>
        <v>-1376959.0899636729</v>
      </c>
      <c r="S18" s="301">
        <f t="shared" si="16"/>
        <v>-1192721.2891861298</v>
      </c>
      <c r="T18" s="301">
        <f t="shared" si="16"/>
        <v>-1023731.8286353421</v>
      </c>
      <c r="U18" s="301">
        <f t="shared" si="16"/>
        <v>-862600.63193100144</v>
      </c>
      <c r="V18" s="301">
        <f t="shared" si="16"/>
        <v>-656566.25326110434</v>
      </c>
      <c r="W18" s="301">
        <f t="shared" si="16"/>
        <v>-458630.30278043268</v>
      </c>
      <c r="X18" s="301">
        <f t="shared" si="16"/>
        <v>-286079.70090614149</v>
      </c>
      <c r="Y18" s="301">
        <f t="shared" si="16"/>
        <v>-91182.960046705703</v>
      </c>
      <c r="Z18" s="306">
        <f>IF((Y16+Y17+Y22)&lt;0,(Y16+Y17+Y22)-Z27+(Y16+Y17+Y22-Z27/2)*Z24/12,0)</f>
        <v>0</v>
      </c>
      <c r="AA18" s="301">
        <f>IF(Z18&lt;&gt;0,Z18-AA27+(Z18+Z18-AA27)/2*AA$24/12,0)</f>
        <v>0</v>
      </c>
      <c r="AB18" s="301">
        <f>IF(AA18&lt;&gt;0,AA18-AB27+(AA18+AA18-AB27)/2*AB24/12,0)</f>
        <v>0</v>
      </c>
      <c r="AC18" s="301">
        <f>IF(AB18&lt;&gt;0,AB18-AC27+(AB18+AB18-AC27)/2*AC24/12,0)</f>
        <v>0</v>
      </c>
      <c r="AD18" s="301">
        <f t="shared" ref="AD18:AK18" si="17">IF(AC18&lt;&gt;0,AC18-AD27+(AC18+AC18-AD27)/2*AD24/12,0)</f>
        <v>0</v>
      </c>
      <c r="AE18" s="301">
        <f t="shared" si="17"/>
        <v>0</v>
      </c>
      <c r="AF18" s="301">
        <f t="shared" si="17"/>
        <v>0</v>
      </c>
      <c r="AG18" s="301">
        <f t="shared" si="17"/>
        <v>0</v>
      </c>
      <c r="AH18" s="301">
        <f t="shared" si="17"/>
        <v>0</v>
      </c>
      <c r="AI18" s="301">
        <f t="shared" si="17"/>
        <v>0</v>
      </c>
      <c r="AJ18" s="301">
        <f t="shared" si="17"/>
        <v>0</v>
      </c>
      <c r="AK18" s="301">
        <f t="shared" si="17"/>
        <v>0</v>
      </c>
      <c r="AL18" s="306">
        <f>IF((AK16+AK17+AK22)&lt;0,(AK16+AK17+AK22)-AL27+(AK16+AK17+AK22-AL27/2)*AL24/12,0)</f>
        <v>0</v>
      </c>
      <c r="AM18" s="301">
        <f>IF(AL18&lt;&gt;0,AL18-AM27+(AL18+AL18-AM27)/2*AM$24/12,0)</f>
        <v>0</v>
      </c>
      <c r="AN18" s="301">
        <f>IF(AM18&lt;&gt;0,AM18-AN27+(AM18+AM18-AN27)/2*AN24/12,0)</f>
        <v>0</v>
      </c>
      <c r="AO18" s="301">
        <f>IF(AN18&lt;&gt;0,AN18-AO27+(AN18+AN18-AO27)/2*AO24/12,0)</f>
        <v>0</v>
      </c>
      <c r="AP18" s="301">
        <f t="shared" ref="AP18:AW18" si="18">IF(AO18&lt;&gt;0,AO18-AP27+(AO18+AO18-AP27)/2*AP24/12,0)</f>
        <v>0</v>
      </c>
      <c r="AQ18" s="301">
        <f t="shared" si="18"/>
        <v>0</v>
      </c>
      <c r="AR18" s="301">
        <f t="shared" si="18"/>
        <v>0</v>
      </c>
      <c r="AS18" s="301">
        <f t="shared" si="18"/>
        <v>0</v>
      </c>
      <c r="AT18" s="301">
        <f t="shared" si="18"/>
        <v>0</v>
      </c>
      <c r="AU18" s="301">
        <f t="shared" si="18"/>
        <v>0</v>
      </c>
      <c r="AV18" s="301">
        <f t="shared" si="18"/>
        <v>0</v>
      </c>
      <c r="AW18" s="301">
        <f t="shared" si="18"/>
        <v>0</v>
      </c>
    </row>
    <row r="19" spans="1:50" ht="15" thickBot="1">
      <c r="A19" s="151">
        <v>253311</v>
      </c>
      <c r="B19" s="151" t="s">
        <v>328</v>
      </c>
      <c r="C19" s="302">
        <v>0</v>
      </c>
      <c r="N19" s="301"/>
      <c r="O19" s="332">
        <f>-O12</f>
        <v>-1396884.3755832305</v>
      </c>
      <c r="AA19" s="307"/>
      <c r="AM19" s="307"/>
    </row>
    <row r="20" spans="1:50">
      <c r="A20" s="151">
        <v>253312</v>
      </c>
      <c r="B20" s="151" t="s">
        <v>329</v>
      </c>
      <c r="C20" s="302">
        <v>0</v>
      </c>
      <c r="D20" s="331">
        <f>SUM(AB9:AK9)</f>
        <v>0</v>
      </c>
      <c r="E20" s="331">
        <f>SUM(AC9:AK9)</f>
        <v>0</v>
      </c>
      <c r="F20" s="331">
        <f>SUM(AD9:AK9)</f>
        <v>0</v>
      </c>
      <c r="G20" s="331">
        <f>SUM(AE9:AK9)</f>
        <v>0</v>
      </c>
      <c r="H20" s="331">
        <f>SUM(AF9:AK9)</f>
        <v>0</v>
      </c>
      <c r="I20" s="331">
        <f>SUM(AG9:AK9)</f>
        <v>0</v>
      </c>
      <c r="J20" s="331">
        <f>SUM(AH9:AK9)</f>
        <v>0</v>
      </c>
      <c r="K20" s="331">
        <f>SUM(AI9:AK9)</f>
        <v>0</v>
      </c>
      <c r="L20" s="331">
        <f>SUM(AJ9:AK9)</f>
        <v>0</v>
      </c>
      <c r="M20" s="331">
        <f>SUM(AK9:AK9)</f>
        <v>0</v>
      </c>
      <c r="N20" s="301"/>
      <c r="O20" s="303"/>
      <c r="P20" s="303">
        <f>-P12</f>
        <v>-1145970.5596833806</v>
      </c>
      <c r="Q20" s="303">
        <f t="shared" ref="Q20:Y20" si="19">-Q12</f>
        <v>-948253.81361956522</v>
      </c>
      <c r="R20" s="303">
        <f t="shared" si="19"/>
        <v>-757892.28207679838</v>
      </c>
      <c r="S20" s="303">
        <f t="shared" si="19"/>
        <v>-613482.83254222944</v>
      </c>
      <c r="T20" s="303">
        <f t="shared" si="19"/>
        <v>-487081.40160890482</v>
      </c>
      <c r="U20" s="303">
        <f t="shared" si="19"/>
        <v>-369793.67914832942</v>
      </c>
      <c r="V20" s="303">
        <f t="shared" si="19"/>
        <v>-216421.67299599387</v>
      </c>
      <c r="W20" s="303">
        <f t="shared" si="19"/>
        <v>-66541.050010878593</v>
      </c>
      <c r="X20" s="303">
        <f>-X12</f>
        <v>0</v>
      </c>
      <c r="Y20" s="303">
        <f t="shared" si="19"/>
        <v>0</v>
      </c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M20" s="303"/>
      <c r="AN20" s="303"/>
      <c r="AO20" s="303"/>
      <c r="AP20" s="303"/>
      <c r="AQ20" s="303"/>
      <c r="AR20" s="303"/>
      <c r="AS20" s="303"/>
      <c r="AT20" s="303"/>
      <c r="AU20" s="303"/>
      <c r="AV20" s="303"/>
      <c r="AW20" s="303"/>
    </row>
    <row r="21" spans="1:50">
      <c r="A21" s="151">
        <v>283328</v>
      </c>
      <c r="B21" s="151" t="s">
        <v>330</v>
      </c>
      <c r="C21" s="301">
        <f>SUM(C15:C20)*-0.21</f>
        <v>-1285147.4685</v>
      </c>
      <c r="D21" s="301">
        <f t="shared" ref="D21:I21" si="20">SUM(D15:D20)*-0.21</f>
        <v>-1116299.9707713907</v>
      </c>
      <c r="E21" s="301">
        <f t="shared" si="20"/>
        <v>-1291586.54707585</v>
      </c>
      <c r="F21" s="301">
        <f t="shared" si="20"/>
        <v>-1223765.9947127977</v>
      </c>
      <c r="G21" s="301">
        <f t="shared" si="20"/>
        <v>-1241828.1585283498</v>
      </c>
      <c r="H21" s="301">
        <f t="shared" si="20"/>
        <v>-1354025.2759061828</v>
      </c>
      <c r="I21" s="301">
        <f t="shared" si="20"/>
        <v>-1354254.3413528847</v>
      </c>
      <c r="J21" s="301">
        <f t="shared" ref="J21:AW21" si="21">SUM(J15:J20)*-0.21</f>
        <v>-1401358.2896395475</v>
      </c>
      <c r="K21" s="301">
        <f t="shared" si="21"/>
        <v>-896057.61501877964</v>
      </c>
      <c r="L21" s="301">
        <f t="shared" si="21"/>
        <v>-1155274.7305651754</v>
      </c>
      <c r="M21" s="301">
        <f t="shared" si="21"/>
        <v>-1190493.9796102222</v>
      </c>
      <c r="N21" s="301">
        <f>SUM(N15:N20)*-0.21</f>
        <v>-1246779.133625861</v>
      </c>
      <c r="O21" s="301">
        <f t="shared" si="21"/>
        <v>-1068436.9631795569</v>
      </c>
      <c r="P21" s="301">
        <f t="shared" si="21"/>
        <v>-1189613.5073414946</v>
      </c>
      <c r="Q21" s="301">
        <f t="shared" si="21"/>
        <v>-1288660.128666043</v>
      </c>
      <c r="R21" s="301">
        <f t="shared" si="21"/>
        <v>-1384475.7239367072</v>
      </c>
      <c r="S21" s="301">
        <f t="shared" si="21"/>
        <v>-1461067.1971521203</v>
      </c>
      <c r="T21" s="301">
        <f t="shared" si="21"/>
        <v>-1530706.1472896726</v>
      </c>
      <c r="U21" s="301">
        <f t="shared" si="21"/>
        <v>-1596812.4249402876</v>
      </c>
      <c r="V21" s="301">
        <f t="shared" si="21"/>
        <v>-1679957.6420380599</v>
      </c>
      <c r="W21" s="301">
        <f t="shared" si="21"/>
        <v>-1760700.7009062904</v>
      </c>
      <c r="X21" s="301">
        <f t="shared" si="21"/>
        <v>-1818643.3594334784</v>
      </c>
      <c r="Y21" s="301">
        <f t="shared" si="21"/>
        <v>-1867337.0514133382</v>
      </c>
      <c r="Z21" s="301">
        <f t="shared" si="21"/>
        <v>-1762081.1098948081</v>
      </c>
      <c r="AA21" s="301">
        <f t="shared" si="21"/>
        <v>-1603089.1227614591</v>
      </c>
      <c r="AB21" s="301">
        <f t="shared" si="21"/>
        <v>-1448393.101293067</v>
      </c>
      <c r="AC21" s="301">
        <f t="shared" si="21"/>
        <v>-1322638.1239848537</v>
      </c>
      <c r="AD21" s="301">
        <f t="shared" si="21"/>
        <v>-1200919.6534760913</v>
      </c>
      <c r="AE21" s="301">
        <f t="shared" si="21"/>
        <v>-1104150.3867808185</v>
      </c>
      <c r="AF21" s="301">
        <f t="shared" si="21"/>
        <v>-1016766.49722889</v>
      </c>
      <c r="AG21" s="301">
        <f t="shared" si="21"/>
        <v>-933755.29101469729</v>
      </c>
      <c r="AH21" s="301">
        <f t="shared" si="21"/>
        <v>-828688.14810694882</v>
      </c>
      <c r="AI21" s="301">
        <f t="shared" si="21"/>
        <v>-725773.41166700784</v>
      </c>
      <c r="AJ21" s="301">
        <f t="shared" si="21"/>
        <v>-637478.36268102215</v>
      </c>
      <c r="AK21" s="301">
        <f t="shared" si="21"/>
        <v>-537419.60218491824</v>
      </c>
      <c r="AL21" s="301">
        <f t="shared" si="21"/>
        <v>-488381.88304255909</v>
      </c>
      <c r="AM21" s="301">
        <f t="shared" si="21"/>
        <v>-425169.03520418482</v>
      </c>
      <c r="AN21" s="301">
        <f t="shared" si="21"/>
        <v>-362945.2362369452</v>
      </c>
      <c r="AO21" s="301">
        <f t="shared" si="21"/>
        <v>-312309.49514054059</v>
      </c>
      <c r="AP21" s="301">
        <f t="shared" si="21"/>
        <v>-263073.75256782776</v>
      </c>
      <c r="AQ21" s="301">
        <f t="shared" si="21"/>
        <v>-223861.77883631468</v>
      </c>
      <c r="AR21" s="301">
        <f t="shared" si="21"/>
        <v>-188475.36482756745</v>
      </c>
      <c r="AS21" s="301">
        <f t="shared" si="21"/>
        <v>-154944.21492414174</v>
      </c>
      <c r="AT21" s="301">
        <f t="shared" si="21"/>
        <v>-113183.80393034656</v>
      </c>
      <c r="AU21" s="301">
        <f t="shared" si="21"/>
        <v>-71996.650642388908</v>
      </c>
      <c r="AV21" s="301">
        <f t="shared" si="21"/>
        <v>-36874.657573676952</v>
      </c>
      <c r="AW21" s="301">
        <f t="shared" si="21"/>
        <v>2820.4909508191199</v>
      </c>
    </row>
    <row r="22" spans="1:50">
      <c r="A22" s="151">
        <v>229000</v>
      </c>
      <c r="B22" s="151" t="s">
        <v>331</v>
      </c>
      <c r="C22" s="302">
        <v>-728117</v>
      </c>
      <c r="D22" s="303">
        <f t="shared" ref="D22:I22" si="22">C22</f>
        <v>-728117</v>
      </c>
      <c r="E22" s="303">
        <f t="shared" si="22"/>
        <v>-728117</v>
      </c>
      <c r="F22" s="303">
        <f t="shared" si="22"/>
        <v>-728117</v>
      </c>
      <c r="G22" s="303">
        <f t="shared" si="22"/>
        <v>-728117</v>
      </c>
      <c r="H22" s="303">
        <f t="shared" si="22"/>
        <v>-728117</v>
      </c>
      <c r="I22" s="303">
        <f t="shared" si="22"/>
        <v>-728117</v>
      </c>
      <c r="J22" s="303">
        <f t="shared" ref="J22:AW22" si="23">I22</f>
        <v>-728117</v>
      </c>
      <c r="K22" s="303">
        <f t="shared" si="23"/>
        <v>-728117</v>
      </c>
      <c r="L22" s="303">
        <f t="shared" si="23"/>
        <v>-728117</v>
      </c>
      <c r="M22" s="303">
        <f t="shared" si="23"/>
        <v>-728117</v>
      </c>
      <c r="N22" s="306">
        <v>0</v>
      </c>
      <c r="O22" s="308">
        <f>-SUM(D32:O32)</f>
        <v>0</v>
      </c>
      <c r="P22" s="303">
        <f t="shared" si="23"/>
        <v>0</v>
      </c>
      <c r="Q22" s="303">
        <f t="shared" si="23"/>
        <v>0</v>
      </c>
      <c r="R22" s="303">
        <f t="shared" si="23"/>
        <v>0</v>
      </c>
      <c r="S22" s="303">
        <f t="shared" si="23"/>
        <v>0</v>
      </c>
      <c r="T22" s="303">
        <f t="shared" si="23"/>
        <v>0</v>
      </c>
      <c r="U22" s="303">
        <f t="shared" si="23"/>
        <v>0</v>
      </c>
      <c r="V22" s="303">
        <f t="shared" si="23"/>
        <v>0</v>
      </c>
      <c r="W22" s="303">
        <f t="shared" si="23"/>
        <v>0</v>
      </c>
      <c r="X22" s="303">
        <f t="shared" si="23"/>
        <v>0</v>
      </c>
      <c r="Y22" s="303">
        <f t="shared" si="23"/>
        <v>0</v>
      </c>
      <c r="Z22" s="306">
        <v>0</v>
      </c>
      <c r="AA22" s="308">
        <f>-SUM(P32:AA32)</f>
        <v>0</v>
      </c>
      <c r="AB22" s="303">
        <f t="shared" si="23"/>
        <v>0</v>
      </c>
      <c r="AC22" s="303">
        <f t="shared" si="23"/>
        <v>0</v>
      </c>
      <c r="AD22" s="303">
        <f t="shared" si="23"/>
        <v>0</v>
      </c>
      <c r="AE22" s="303">
        <f t="shared" si="23"/>
        <v>0</v>
      </c>
      <c r="AF22" s="303">
        <f t="shared" si="23"/>
        <v>0</v>
      </c>
      <c r="AG22" s="303">
        <f t="shared" si="23"/>
        <v>0</v>
      </c>
      <c r="AH22" s="303">
        <f t="shared" si="23"/>
        <v>0</v>
      </c>
      <c r="AI22" s="303">
        <f t="shared" si="23"/>
        <v>0</v>
      </c>
      <c r="AJ22" s="303">
        <f t="shared" si="23"/>
        <v>0</v>
      </c>
      <c r="AK22" s="303">
        <f t="shared" si="23"/>
        <v>0</v>
      </c>
      <c r="AL22" s="306">
        <v>0</v>
      </c>
      <c r="AM22" s="308">
        <f>-SUM(AB32:AM32)</f>
        <v>0</v>
      </c>
      <c r="AN22" s="303">
        <f t="shared" si="23"/>
        <v>0</v>
      </c>
      <c r="AO22" s="303">
        <f t="shared" si="23"/>
        <v>0</v>
      </c>
      <c r="AP22" s="303">
        <f t="shared" si="23"/>
        <v>0</v>
      </c>
      <c r="AQ22" s="303">
        <f t="shared" si="23"/>
        <v>0</v>
      </c>
      <c r="AR22" s="303">
        <f t="shared" si="23"/>
        <v>0</v>
      </c>
      <c r="AS22" s="303">
        <f t="shared" si="23"/>
        <v>0</v>
      </c>
      <c r="AT22" s="303">
        <f t="shared" si="23"/>
        <v>0</v>
      </c>
      <c r="AU22" s="303">
        <f t="shared" si="23"/>
        <v>0</v>
      </c>
      <c r="AV22" s="303">
        <f t="shared" si="23"/>
        <v>0</v>
      </c>
      <c r="AW22" s="303">
        <f t="shared" si="23"/>
        <v>0</v>
      </c>
    </row>
    <row r="23" spans="1:50">
      <c r="A23" s="151">
        <v>190449</v>
      </c>
      <c r="B23" s="151" t="s">
        <v>332</v>
      </c>
      <c r="C23" s="301">
        <f>C22*-0.21</f>
        <v>152904.57</v>
      </c>
      <c r="D23" s="301">
        <f t="shared" ref="D23:I23" si="24">D22*-0.21</f>
        <v>152904.57</v>
      </c>
      <c r="E23" s="301">
        <f t="shared" si="24"/>
        <v>152904.57</v>
      </c>
      <c r="F23" s="301">
        <f t="shared" si="24"/>
        <v>152904.57</v>
      </c>
      <c r="G23" s="301">
        <f t="shared" si="24"/>
        <v>152904.57</v>
      </c>
      <c r="H23" s="301">
        <f t="shared" si="24"/>
        <v>152904.57</v>
      </c>
      <c r="I23" s="301">
        <f t="shared" si="24"/>
        <v>152904.57</v>
      </c>
      <c r="J23" s="301">
        <f>J22*-0.21</f>
        <v>152904.57</v>
      </c>
      <c r="K23" s="301">
        <f>K22*-0.21</f>
        <v>152904.57</v>
      </c>
      <c r="L23" s="301">
        <f>L22*-0.21</f>
        <v>152904.57</v>
      </c>
      <c r="M23" s="301">
        <f>M22*-0.21</f>
        <v>152904.57</v>
      </c>
      <c r="N23" s="301"/>
    </row>
    <row r="24" spans="1:50">
      <c r="B24" s="151" t="s">
        <v>333</v>
      </c>
      <c r="C24" s="301"/>
      <c r="D24" s="281">
        <v>4.2500000000000003E-2</v>
      </c>
      <c r="E24" s="278">
        <f>D24</f>
        <v>4.2500000000000003E-2</v>
      </c>
      <c r="F24" s="278">
        <f>E24</f>
        <v>4.2500000000000003E-2</v>
      </c>
      <c r="G24" s="279">
        <v>4.4699999999999997E-2</v>
      </c>
      <c r="H24" s="278">
        <f>G24</f>
        <v>4.4699999999999997E-2</v>
      </c>
      <c r="I24" s="278">
        <f>H24</f>
        <v>4.4699999999999997E-2</v>
      </c>
      <c r="J24" s="281">
        <v>4.6899999999999997E-2</v>
      </c>
      <c r="K24" s="278">
        <f>J24</f>
        <v>4.6899999999999997E-2</v>
      </c>
      <c r="L24" s="278">
        <f t="shared" ref="L24:AW24" si="25">K24</f>
        <v>4.6899999999999997E-2</v>
      </c>
      <c r="M24" s="278">
        <v>4.9599999999999998E-2</v>
      </c>
      <c r="N24" s="278">
        <f t="shared" si="25"/>
        <v>4.9599999999999998E-2</v>
      </c>
      <c r="O24" s="278">
        <f t="shared" si="25"/>
        <v>4.9599999999999998E-2</v>
      </c>
      <c r="P24" s="278">
        <f t="shared" si="25"/>
        <v>4.9599999999999998E-2</v>
      </c>
      <c r="Q24" s="278">
        <f t="shared" si="25"/>
        <v>4.9599999999999998E-2</v>
      </c>
      <c r="R24" s="278">
        <f t="shared" si="25"/>
        <v>4.9599999999999998E-2</v>
      </c>
      <c r="S24" s="278">
        <f t="shared" si="25"/>
        <v>4.9599999999999998E-2</v>
      </c>
      <c r="T24" s="278">
        <f t="shared" si="25"/>
        <v>4.9599999999999998E-2</v>
      </c>
      <c r="U24" s="278">
        <f t="shared" si="25"/>
        <v>4.9599999999999998E-2</v>
      </c>
      <c r="V24" s="278">
        <f t="shared" si="25"/>
        <v>4.9599999999999998E-2</v>
      </c>
      <c r="W24" s="278">
        <f t="shared" si="25"/>
        <v>4.9599999999999998E-2</v>
      </c>
      <c r="X24" s="278">
        <f t="shared" si="25"/>
        <v>4.9599999999999998E-2</v>
      </c>
      <c r="Y24" s="278">
        <f t="shared" si="25"/>
        <v>4.9599999999999998E-2</v>
      </c>
      <c r="Z24" s="278">
        <f t="shared" si="25"/>
        <v>4.9599999999999998E-2</v>
      </c>
      <c r="AA24" s="278">
        <f t="shared" si="25"/>
        <v>4.9599999999999998E-2</v>
      </c>
      <c r="AB24" s="278">
        <f t="shared" si="25"/>
        <v>4.9599999999999998E-2</v>
      </c>
      <c r="AC24" s="278">
        <f t="shared" si="25"/>
        <v>4.9599999999999998E-2</v>
      </c>
      <c r="AD24" s="278">
        <f t="shared" si="25"/>
        <v>4.9599999999999998E-2</v>
      </c>
      <c r="AE24" s="278">
        <f t="shared" si="25"/>
        <v>4.9599999999999998E-2</v>
      </c>
      <c r="AF24" s="278">
        <f t="shared" si="25"/>
        <v>4.9599999999999998E-2</v>
      </c>
      <c r="AG24" s="278">
        <f t="shared" si="25"/>
        <v>4.9599999999999998E-2</v>
      </c>
      <c r="AH24" s="278">
        <f t="shared" si="25"/>
        <v>4.9599999999999998E-2</v>
      </c>
      <c r="AI24" s="278">
        <f t="shared" si="25"/>
        <v>4.9599999999999998E-2</v>
      </c>
      <c r="AJ24" s="278">
        <f t="shared" si="25"/>
        <v>4.9599999999999998E-2</v>
      </c>
      <c r="AK24" s="278">
        <f t="shared" si="25"/>
        <v>4.9599999999999998E-2</v>
      </c>
      <c r="AL24" s="278">
        <f t="shared" si="25"/>
        <v>4.9599999999999998E-2</v>
      </c>
      <c r="AM24" s="278">
        <f t="shared" si="25"/>
        <v>4.9599999999999998E-2</v>
      </c>
      <c r="AN24" s="278">
        <f t="shared" si="25"/>
        <v>4.9599999999999998E-2</v>
      </c>
      <c r="AO24" s="278">
        <f t="shared" si="25"/>
        <v>4.9599999999999998E-2</v>
      </c>
      <c r="AP24" s="278">
        <f t="shared" si="25"/>
        <v>4.9599999999999998E-2</v>
      </c>
      <c r="AQ24" s="278">
        <f t="shared" si="25"/>
        <v>4.9599999999999998E-2</v>
      </c>
      <c r="AR24" s="278">
        <f t="shared" si="25"/>
        <v>4.9599999999999998E-2</v>
      </c>
      <c r="AS24" s="278">
        <f t="shared" si="25"/>
        <v>4.9599999999999998E-2</v>
      </c>
      <c r="AT24" s="278">
        <f t="shared" si="25"/>
        <v>4.9599999999999998E-2</v>
      </c>
      <c r="AU24" s="278">
        <f t="shared" si="25"/>
        <v>4.9599999999999998E-2</v>
      </c>
      <c r="AV24" s="278">
        <f t="shared" si="25"/>
        <v>4.9599999999999998E-2</v>
      </c>
      <c r="AW24" s="278">
        <f t="shared" si="25"/>
        <v>4.9599999999999998E-2</v>
      </c>
    </row>
    <row r="25" spans="1:50">
      <c r="A25" s="151" t="s">
        <v>334</v>
      </c>
      <c r="C25" s="301"/>
      <c r="E25" s="301"/>
      <c r="F25" s="301"/>
      <c r="G25" s="301"/>
      <c r="H25" s="301"/>
    </row>
    <row r="26" spans="1:50">
      <c r="A26" s="151">
        <v>456328</v>
      </c>
      <c r="B26" s="151" t="s">
        <v>335</v>
      </c>
      <c r="C26" s="309" t="s">
        <v>345</v>
      </c>
      <c r="D26" s="302">
        <f>'Deferral Calc'!D57</f>
        <v>-340574.751469496</v>
      </c>
      <c r="E26" s="302">
        <f>'Deferral Calc'!E57</f>
        <v>-1733954.6555379997</v>
      </c>
      <c r="F26" s="302">
        <f>'Deferral Calc'!F57</f>
        <v>-636727.1022846055</v>
      </c>
      <c r="G26" s="302">
        <f>'Deferral Calc'!G57</f>
        <v>-807146.05</v>
      </c>
      <c r="H26" s="302">
        <f>'Deferral Calc'!H57</f>
        <v>-1141047.094913587</v>
      </c>
      <c r="I26" s="302">
        <f>'Deferral Calc'!I57</f>
        <v>-586951.22483295866</v>
      </c>
      <c r="J26" s="302">
        <f>'Deferral Calc'!J57</f>
        <v>-987416.59147285006</v>
      </c>
      <c r="K26" s="302">
        <f>'Deferral Calc'!K57</f>
        <v>1566768.7632116319</v>
      </c>
      <c r="L26" s="302">
        <f>'Deferral Calc'!L57</f>
        <v>-1809294.6</v>
      </c>
      <c r="M26" s="302">
        <f>'Deferral Calc'!M57</f>
        <v>-827250.55</v>
      </c>
      <c r="N26" s="302">
        <f>'Deferral Calc'!N57</f>
        <v>-853383.29</v>
      </c>
      <c r="O26" s="302">
        <f>'Deferral Calc'!O57</f>
        <v>-241291.62</v>
      </c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  <c r="AW26" s="302"/>
    </row>
    <row r="27" spans="1:50">
      <c r="A27" s="151">
        <v>456329</v>
      </c>
      <c r="B27" s="151" t="s">
        <v>336</v>
      </c>
      <c r="C27" s="309" t="s">
        <v>345</v>
      </c>
      <c r="D27" s="313">
        <f>'Deferral Calc'!D61</f>
        <v>1162250.77</v>
      </c>
      <c r="E27" s="313">
        <f>'Deferral Calc'!E61</f>
        <v>916951.19</v>
      </c>
      <c r="F27" s="313">
        <f>'Deferral Calc'!F61</f>
        <v>978281.24</v>
      </c>
      <c r="G27" s="313">
        <f>'Deferral Calc'!G61</f>
        <v>740255.3719426567</v>
      </c>
      <c r="H27" s="313">
        <f>'Deferral Calc'!H61</f>
        <v>627047.86129303998</v>
      </c>
      <c r="I27" s="313">
        <f>'Deferral Calc'!I61</f>
        <v>607128.45038274571</v>
      </c>
      <c r="J27" s="313">
        <f>'Deferral Calc'!J61</f>
        <v>785864.3964810787</v>
      </c>
      <c r="K27" s="313">
        <f>'Deferral Calc'!K61</f>
        <v>857921.78690196818</v>
      </c>
      <c r="L27" s="313">
        <f>'Deferral Calc'!L61</f>
        <v>591138.76653037919</v>
      </c>
      <c r="M27" s="313">
        <f>'Deferral Calc'!M61</f>
        <v>679574.22845479345</v>
      </c>
      <c r="N27" s="313">
        <f>'Deferral Calc'!N61</f>
        <v>-120323.53077317961</v>
      </c>
      <c r="O27" s="313">
        <f>'Deferral Calc'!O61</f>
        <v>-280725.70929970534</v>
      </c>
      <c r="P27" s="301">
        <f t="shared" ref="P27:AO27" si="26">P3*P4</f>
        <v>-298696.69858714577</v>
      </c>
      <c r="Q27" s="301">
        <f t="shared" si="26"/>
        <v>-245275.63531398869</v>
      </c>
      <c r="R27" s="301">
        <f t="shared" si="26"/>
        <v>-236131.64921689726</v>
      </c>
      <c r="S27" s="301">
        <f t="shared" si="26"/>
        <v>-189537.52080639315</v>
      </c>
      <c r="T27" s="301">
        <f t="shared" si="26"/>
        <v>-173560.68313427953</v>
      </c>
      <c r="U27" s="301">
        <f t="shared" si="26"/>
        <v>-165021.5770035593</v>
      </c>
      <c r="V27" s="301">
        <f t="shared" si="26"/>
        <v>-209167.51508403828</v>
      </c>
      <c r="W27" s="301">
        <f t="shared" si="26"/>
        <v>-200235.93672491933</v>
      </c>
      <c r="X27" s="301">
        <f t="shared" si="26"/>
        <v>-174086.4950360425</v>
      </c>
      <c r="Y27" s="301">
        <f t="shared" si="26"/>
        <v>-195674.80901787756</v>
      </c>
      <c r="Z27" s="301">
        <f t="shared" si="26"/>
        <v>628234.20367827232</v>
      </c>
      <c r="AA27" s="301">
        <f t="shared" si="26"/>
        <v>790153.94718018104</v>
      </c>
      <c r="AB27" s="301">
        <f t="shared" si="26"/>
        <v>766616.24630908552</v>
      </c>
      <c r="AC27" s="301">
        <f t="shared" si="26"/>
        <v>626047.44857560168</v>
      </c>
      <c r="AD27" s="301">
        <f t="shared" si="26"/>
        <v>604395.55753616977</v>
      </c>
      <c r="AE27" s="301">
        <f t="shared" si="26"/>
        <v>483444.06288736942</v>
      </c>
      <c r="AF27" s="301">
        <f t="shared" si="26"/>
        <v>436943.22757074679</v>
      </c>
      <c r="AG27" s="301">
        <f t="shared" si="26"/>
        <v>414447.48029978719</v>
      </c>
      <c r="AH27" s="301">
        <f t="shared" si="26"/>
        <v>517628.63784975727</v>
      </c>
      <c r="AI27" s="301">
        <f t="shared" si="26"/>
        <v>505336.49878560362</v>
      </c>
      <c r="AJ27" s="301">
        <f t="shared" si="26"/>
        <v>433841.07330980763</v>
      </c>
      <c r="AK27" s="301">
        <f t="shared" si="26"/>
        <v>488008.92945936532</v>
      </c>
      <c r="AL27" s="301">
        <f t="shared" si="26"/>
        <v>243587.3171543419</v>
      </c>
      <c r="AM27" s="301">
        <f t="shared" si="26"/>
        <v>309985.52018661506</v>
      </c>
      <c r="AN27" s="301">
        <f t="shared" si="26"/>
        <v>304043.85371541796</v>
      </c>
      <c r="AO27" s="301">
        <f t="shared" si="26"/>
        <v>247754.23524486227</v>
      </c>
      <c r="AP27" s="301">
        <f t="shared" ref="AP27:AW27" si="27">AP3*AP4</f>
        <v>240106.7404473311</v>
      </c>
      <c r="AQ27" s="301">
        <f t="shared" si="27"/>
        <v>191505.86522200223</v>
      </c>
      <c r="AR27" s="301">
        <f t="shared" si="27"/>
        <v>172556.28539718242</v>
      </c>
      <c r="AS27" s="301">
        <f t="shared" si="27"/>
        <v>163044.85687379248</v>
      </c>
      <c r="AT27" s="301">
        <f t="shared" si="27"/>
        <v>201492.37804797836</v>
      </c>
      <c r="AU27" s="301">
        <f t="shared" si="27"/>
        <v>197947.95364597175</v>
      </c>
      <c r="AV27" s="301">
        <f t="shared" si="27"/>
        <v>168316.80823773961</v>
      </c>
      <c r="AW27" s="301">
        <f t="shared" si="27"/>
        <v>189358.96183981965</v>
      </c>
    </row>
    <row r="28" spans="1:50">
      <c r="A28" s="222" t="s">
        <v>337</v>
      </c>
      <c r="B28" s="151" t="s">
        <v>338</v>
      </c>
      <c r="C28" s="301"/>
      <c r="D28" s="303">
        <f>SUM(C15:C20,C22)-SUM(D15:D20,D22)-SUM(D26:D27,D31:D32)</f>
        <v>-17640.315060937079</v>
      </c>
      <c r="E28" s="303">
        <f t="shared" ref="E28:H28" si="28">SUM(D15:D20,D22)-SUM(E15:E20,E22)-SUM(E26:E27,E31:E32)</f>
        <v>-17694.516864186153</v>
      </c>
      <c r="F28" s="303">
        <f t="shared" si="28"/>
        <v>-18599.126462764922</v>
      </c>
      <c r="G28" s="303">
        <f t="shared" si="28"/>
        <v>-19119.625826239004</v>
      </c>
      <c r="H28" s="303">
        <f t="shared" si="28"/>
        <v>-20272.75389294303</v>
      </c>
      <c r="I28" s="303">
        <f>SUM(H15:H20,H22)-SUM(I15:I20,I22)-SUM(I26:I27,I31:I32)</f>
        <v>-21268.013391224435</v>
      </c>
      <c r="J28" s="303">
        <f t="shared" ref="J28:AW28" si="29">SUM(I15:I20,I22)-SUM(J15:J20,J22)-SUM(J26:J27,J31:J32)</f>
        <v>-22752.320659003919</v>
      </c>
      <c r="K28" s="303">
        <f t="shared" si="29"/>
        <v>-18496.861443276983</v>
      </c>
      <c r="L28" s="303">
        <f t="shared" si="29"/>
        <v>-16211.383417977951</v>
      </c>
      <c r="M28" s="303">
        <f t="shared" si="29"/>
        <v>-20034.388193111285</v>
      </c>
      <c r="N28" s="303">
        <f t="shared" si="29"/>
        <v>-22434.722158433869</v>
      </c>
      <c r="O28" s="303">
        <f t="shared" si="29"/>
        <v>-25618.615586839383</v>
      </c>
      <c r="P28" s="303">
        <f t="shared" si="29"/>
        <v>-27420.648188898223</v>
      </c>
      <c r="Q28" s="303">
        <f t="shared" si="29"/>
        <v>-28658.196358140558</v>
      </c>
      <c r="R28" s="303">
        <f t="shared" si="29"/>
        <v>-29771.558624451573</v>
      </c>
      <c r="S28" s="303">
        <f t="shared" si="29"/>
        <v>-30774.330684814136</v>
      </c>
      <c r="T28" s="303">
        <f t="shared" si="29"/>
        <v>-31651.934206454665</v>
      </c>
      <c r="U28" s="303">
        <f t="shared" si="29"/>
        <v>-32482.498872127151</v>
      </c>
      <c r="V28" s="303">
        <f t="shared" si="29"/>
        <v>-33390.083991113352</v>
      </c>
      <c r="W28" s="303">
        <f t="shared" si="29"/>
        <v>-34374.196805349085</v>
      </c>
      <c r="X28" s="303">
        <f t="shared" si="29"/>
        <v>-35289.876511116308</v>
      </c>
      <c r="Y28" s="303">
        <f t="shared" si="29"/>
        <v>-36199.914695740212</v>
      </c>
      <c r="Z28" s="303">
        <f t="shared" si="29"/>
        <v>-127015.43454241531</v>
      </c>
      <c r="AA28" s="303">
        <f t="shared" si="29"/>
        <v>-33049.246545185568</v>
      </c>
      <c r="AB28" s="303">
        <f t="shared" si="29"/>
        <v>-29968.525031028083</v>
      </c>
      <c r="AC28" s="303">
        <f t="shared" si="29"/>
        <v>-27214.22329839482</v>
      </c>
      <c r="AD28" s="303">
        <f t="shared" si="29"/>
        <v>-24783.793208730291</v>
      </c>
      <c r="AE28" s="303">
        <f t="shared" si="29"/>
        <v>-22638.031005117809</v>
      </c>
      <c r="AF28" s="303">
        <f t="shared" si="29"/>
        <v>-20829.467799658654</v>
      </c>
      <c r="AG28" s="303">
        <f t="shared" si="29"/>
        <v>-19156.022136964428</v>
      </c>
      <c r="AH28" s="303">
        <f t="shared" si="29"/>
        <v>-17308.909717622038</v>
      </c>
      <c r="AI28" s="303">
        <f t="shared" si="29"/>
        <v>-15266.325262075115</v>
      </c>
      <c r="AJ28" s="303">
        <f t="shared" si="29"/>
        <v>-13388.459090828022</v>
      </c>
      <c r="AK28" s="303">
        <f t="shared" si="29"/>
        <v>-11538.641382680042</v>
      </c>
      <c r="AL28" s="303">
        <f t="shared" si="29"/>
        <v>-10074.368857393565</v>
      </c>
      <c r="AM28" s="303">
        <f t="shared" si="29"/>
        <v>-8971.9590514994925</v>
      </c>
      <c r="AN28" s="303">
        <f t="shared" si="29"/>
        <v>-7740.0491095150937</v>
      </c>
      <c r="AO28" s="303">
        <f t="shared" si="29"/>
        <v>-6631.6585953163449</v>
      </c>
      <c r="AP28" s="303">
        <f t="shared" si="29"/>
        <v>-5650.8234344130615</v>
      </c>
      <c r="AQ28" s="303">
        <f t="shared" si="29"/>
        <v>-4782.1807862255664</v>
      </c>
      <c r="AR28" s="303">
        <f t="shared" si="29"/>
        <v>-4049.5520221955085</v>
      </c>
      <c r="AS28" s="303">
        <f t="shared" si="29"/>
        <v>-3372.7144765271805</v>
      </c>
      <c r="AT28" s="303">
        <f t="shared" si="29"/>
        <v>-2633.278077525174</v>
      </c>
      <c r="AU28" s="303">
        <f t="shared" si="29"/>
        <v>-1818.6522747448471</v>
      </c>
      <c r="AV28" s="303">
        <f t="shared" si="29"/>
        <v>-1069.2221962540934</v>
      </c>
      <c r="AW28" s="303">
        <f t="shared" si="29"/>
        <v>-334.44505650500651</v>
      </c>
    </row>
    <row r="29" spans="1:50">
      <c r="A29" s="222" t="s">
        <v>339</v>
      </c>
      <c r="B29" s="151" t="s">
        <v>340</v>
      </c>
      <c r="C29" s="301"/>
      <c r="D29" s="303">
        <f>SUM(D26:D27,D31:D32)*-0.21</f>
        <v>-172551.96389140585</v>
      </c>
      <c r="E29" s="303">
        <f t="shared" ref="E29:H29" si="30">SUM(E26:E27,E31:E32)*-0.21</f>
        <v>171570.72776297995</v>
      </c>
      <c r="F29" s="303">
        <f t="shared" si="30"/>
        <v>-71726.368920232839</v>
      </c>
      <c r="G29" s="303">
        <f t="shared" si="30"/>
        <v>14047.042392042104</v>
      </c>
      <c r="H29" s="303">
        <f t="shared" si="30"/>
        <v>107939.83906031486</v>
      </c>
      <c r="I29" s="303">
        <f>SUM(I26:I27,I31:I32)*-0.21</f>
        <v>-4237.2173654552807</v>
      </c>
      <c r="J29" s="303">
        <f t="shared" ref="J29:AW29" si="31">SUM(J26:J27,J31:J32)*-0.21</f>
        <v>42325.960948271982</v>
      </c>
      <c r="K29" s="303">
        <f t="shared" si="31"/>
        <v>-509185.01552385604</v>
      </c>
      <c r="L29" s="303">
        <f t="shared" si="31"/>
        <v>255812.72502862039</v>
      </c>
      <c r="M29" s="303">
        <f t="shared" si="31"/>
        <v>31012.027524493384</v>
      </c>
      <c r="N29" s="303">
        <f t="shared" si="31"/>
        <v>204478.43236236772</v>
      </c>
      <c r="O29" s="303">
        <f t="shared" si="31"/>
        <v>-183722.07971954028</v>
      </c>
      <c r="P29" s="303">
        <f t="shared" si="31"/>
        <v>115418.20804226908</v>
      </c>
      <c r="Q29" s="303">
        <f t="shared" si="31"/>
        <v>93028.400089338858</v>
      </c>
      <c r="R29" s="303">
        <f t="shared" si="31"/>
        <v>89563.567959529464</v>
      </c>
      <c r="S29" s="303">
        <f t="shared" si="31"/>
        <v>70128.863771602031</v>
      </c>
      <c r="T29" s="303">
        <f t="shared" si="31"/>
        <v>62992.043954196874</v>
      </c>
      <c r="U29" s="303">
        <f t="shared" si="31"/>
        <v>59284.952887468295</v>
      </c>
      <c r="V29" s="303">
        <f t="shared" si="31"/>
        <v>76133.299459638496</v>
      </c>
      <c r="W29" s="303">
        <f t="shared" si="31"/>
        <v>73524.477539107276</v>
      </c>
      <c r="X29" s="303">
        <f t="shared" si="31"/>
        <v>50531.784459853428</v>
      </c>
      <c r="Y29" s="303">
        <f t="shared" si="31"/>
        <v>41091.709893754283</v>
      </c>
      <c r="Z29" s="303">
        <f t="shared" si="31"/>
        <v>-131929.18277243717</v>
      </c>
      <c r="AA29" s="303">
        <f t="shared" si="31"/>
        <v>-165932.328907838</v>
      </c>
      <c r="AB29" s="303">
        <f t="shared" si="31"/>
        <v>-160989.41172490796</v>
      </c>
      <c r="AC29" s="303">
        <f t="shared" si="31"/>
        <v>-131469.96420087636</v>
      </c>
      <c r="AD29" s="303">
        <f t="shared" si="31"/>
        <v>-126923.06708259565</v>
      </c>
      <c r="AE29" s="303">
        <f t="shared" si="31"/>
        <v>-101523.25320634758</v>
      </c>
      <c r="AF29" s="303">
        <f t="shared" si="31"/>
        <v>-91758.077789856819</v>
      </c>
      <c r="AG29" s="303">
        <f t="shared" si="31"/>
        <v>-87033.970862955306</v>
      </c>
      <c r="AH29" s="303">
        <f t="shared" si="31"/>
        <v>-108702.01394844902</v>
      </c>
      <c r="AI29" s="303">
        <f t="shared" si="31"/>
        <v>-106120.66474497676</v>
      </c>
      <c r="AJ29" s="303">
        <f t="shared" si="31"/>
        <v>-91106.6253950596</v>
      </c>
      <c r="AK29" s="303">
        <f t="shared" si="31"/>
        <v>-102481.87518646671</v>
      </c>
      <c r="AL29" s="303">
        <f t="shared" si="31"/>
        <v>-51153.3366024118</v>
      </c>
      <c r="AM29" s="303">
        <f t="shared" si="31"/>
        <v>-65096.959239189164</v>
      </c>
      <c r="AN29" s="303">
        <f t="shared" si="31"/>
        <v>-63849.209280237774</v>
      </c>
      <c r="AO29" s="303">
        <f t="shared" si="31"/>
        <v>-52028.389401421075</v>
      </c>
      <c r="AP29" s="303">
        <f t="shared" si="31"/>
        <v>-50422.41549393953</v>
      </c>
      <c r="AQ29" s="303">
        <f t="shared" si="31"/>
        <v>-40216.231696620467</v>
      </c>
      <c r="AR29" s="303">
        <f t="shared" si="31"/>
        <v>-36236.819933408304</v>
      </c>
      <c r="AS29" s="303">
        <f t="shared" si="31"/>
        <v>-34239.419943496418</v>
      </c>
      <c r="AT29" s="303">
        <f t="shared" si="31"/>
        <v>-42313.399390075458</v>
      </c>
      <c r="AU29" s="303">
        <f t="shared" si="31"/>
        <v>-41569.070265654067</v>
      </c>
      <c r="AV29" s="303">
        <f t="shared" si="31"/>
        <v>-35346.529729925314</v>
      </c>
      <c r="AW29" s="303">
        <f t="shared" si="31"/>
        <v>-39765.381986362125</v>
      </c>
    </row>
    <row r="30" spans="1:50">
      <c r="A30" s="222" t="s">
        <v>341</v>
      </c>
      <c r="B30" s="151" t="s">
        <v>342</v>
      </c>
      <c r="C30" s="301"/>
      <c r="D30" s="303">
        <f>D28*-0.21</f>
        <v>3704.4661627967862</v>
      </c>
      <c r="E30" s="303">
        <f t="shared" ref="E30:H30" si="32">E28*-0.21</f>
        <v>3715.8485414790921</v>
      </c>
      <c r="F30" s="303">
        <f t="shared" si="32"/>
        <v>3905.8165571806335</v>
      </c>
      <c r="G30" s="303">
        <f t="shared" si="32"/>
        <v>4015.1214235101907</v>
      </c>
      <c r="H30" s="303">
        <f t="shared" si="32"/>
        <v>4257.2783175180366</v>
      </c>
      <c r="I30" s="303">
        <f>I28*-0.21</f>
        <v>4466.282812157131</v>
      </c>
      <c r="J30" s="303">
        <f t="shared" ref="J30:AW30" si="33">J28*-0.21</f>
        <v>4777.9873383908225</v>
      </c>
      <c r="K30" s="303">
        <f t="shared" si="33"/>
        <v>3884.3409030881662</v>
      </c>
      <c r="L30" s="303">
        <f t="shared" si="33"/>
        <v>3404.3905177753695</v>
      </c>
      <c r="M30" s="303">
        <f t="shared" si="33"/>
        <v>4207.2215205533694</v>
      </c>
      <c r="N30" s="303">
        <f t="shared" si="33"/>
        <v>4711.2916532711124</v>
      </c>
      <c r="O30" s="303">
        <f t="shared" si="33"/>
        <v>5379.9092732362706</v>
      </c>
      <c r="P30" s="303">
        <f t="shared" si="33"/>
        <v>5758.3361196686265</v>
      </c>
      <c r="Q30" s="303">
        <f t="shared" si="33"/>
        <v>6018.2212352095166</v>
      </c>
      <c r="R30" s="303">
        <f t="shared" si="33"/>
        <v>6252.0273111348297</v>
      </c>
      <c r="S30" s="303">
        <f t="shared" si="33"/>
        <v>6462.6094438109685</v>
      </c>
      <c r="T30" s="303">
        <f t="shared" si="33"/>
        <v>6646.9061833554797</v>
      </c>
      <c r="U30" s="303">
        <f t="shared" si="33"/>
        <v>6821.3247631467011</v>
      </c>
      <c r="V30" s="303">
        <f t="shared" si="33"/>
        <v>7011.9176381338038</v>
      </c>
      <c r="W30" s="303">
        <f t="shared" si="33"/>
        <v>7218.581329123308</v>
      </c>
      <c r="X30" s="303">
        <f t="shared" si="33"/>
        <v>7410.8740673344246</v>
      </c>
      <c r="Y30" s="303">
        <f t="shared" si="33"/>
        <v>7601.9820861054441</v>
      </c>
      <c r="Z30" s="303">
        <f t="shared" si="33"/>
        <v>26673.241253907214</v>
      </c>
      <c r="AA30" s="303">
        <f t="shared" si="33"/>
        <v>6940.3417744889693</v>
      </c>
      <c r="AB30" s="303">
        <f t="shared" si="33"/>
        <v>6293.3902565158969</v>
      </c>
      <c r="AC30" s="303">
        <f t="shared" si="33"/>
        <v>5714.9868926629115</v>
      </c>
      <c r="AD30" s="303">
        <f t="shared" si="33"/>
        <v>5204.5965738333607</v>
      </c>
      <c r="AE30" s="303">
        <f t="shared" si="33"/>
        <v>4753.9865110747396</v>
      </c>
      <c r="AF30" s="303">
        <f t="shared" si="33"/>
        <v>4374.188237928317</v>
      </c>
      <c r="AG30" s="303">
        <f t="shared" si="33"/>
        <v>4022.7646487625298</v>
      </c>
      <c r="AH30" s="303">
        <f t="shared" si="33"/>
        <v>3634.8710407006279</v>
      </c>
      <c r="AI30" s="303">
        <f t="shared" si="33"/>
        <v>3205.928305035774</v>
      </c>
      <c r="AJ30" s="303">
        <f t="shared" si="33"/>
        <v>2811.5764090738844</v>
      </c>
      <c r="AK30" s="303">
        <f t="shared" si="33"/>
        <v>2423.1146903628087</v>
      </c>
      <c r="AL30" s="303">
        <f t="shared" si="33"/>
        <v>2115.6174600526488</v>
      </c>
      <c r="AM30" s="303">
        <f t="shared" si="33"/>
        <v>1884.1114008148934</v>
      </c>
      <c r="AN30" s="303">
        <f t="shared" si="33"/>
        <v>1625.4103129981697</v>
      </c>
      <c r="AO30" s="303">
        <f t="shared" si="33"/>
        <v>1392.6483050164325</v>
      </c>
      <c r="AP30" s="303">
        <f t="shared" si="33"/>
        <v>1186.6729212267428</v>
      </c>
      <c r="AQ30" s="303">
        <f t="shared" si="33"/>
        <v>1004.2579651073689</v>
      </c>
      <c r="AR30" s="303">
        <f t="shared" si="33"/>
        <v>850.4059246610567</v>
      </c>
      <c r="AS30" s="303">
        <f t="shared" si="33"/>
        <v>708.27004007070786</v>
      </c>
      <c r="AT30" s="303">
        <f t="shared" si="33"/>
        <v>552.98839628028657</v>
      </c>
      <c r="AU30" s="303">
        <f t="shared" si="33"/>
        <v>381.91697769641786</v>
      </c>
      <c r="AV30" s="303">
        <f t="shared" si="33"/>
        <v>224.53666121335962</v>
      </c>
      <c r="AW30" s="303">
        <f t="shared" si="33"/>
        <v>70.233461866051357</v>
      </c>
    </row>
    <row r="31" spans="1:50">
      <c r="A31" s="151">
        <v>456311</v>
      </c>
      <c r="B31" s="151" t="s">
        <v>343</v>
      </c>
      <c r="C31" s="301"/>
      <c r="D31" s="303">
        <f>-(SUM(D19:D20)-SUM(C19:C20))</f>
        <v>0</v>
      </c>
      <c r="E31" s="303">
        <f t="shared" ref="E31:H31" si="34">-(SUM(E19:E20)-SUM(D19:D20))</f>
        <v>0</v>
      </c>
      <c r="F31" s="303">
        <f t="shared" si="34"/>
        <v>0</v>
      </c>
      <c r="G31" s="303">
        <f t="shared" si="34"/>
        <v>0</v>
      </c>
      <c r="H31" s="303">
        <f t="shared" si="34"/>
        <v>0</v>
      </c>
      <c r="I31" s="303">
        <f>-(SUM(I19:I20)-SUM(H19:H20))</f>
        <v>0</v>
      </c>
      <c r="J31" s="303">
        <f t="shared" ref="J31:AW31" si="35">-(SUM(J19:J20)-SUM(I19:I20))</f>
        <v>0</v>
      </c>
      <c r="K31" s="303">
        <f t="shared" si="35"/>
        <v>0</v>
      </c>
      <c r="L31" s="303">
        <f t="shared" si="35"/>
        <v>0</v>
      </c>
      <c r="M31" s="303">
        <f t="shared" si="35"/>
        <v>0</v>
      </c>
      <c r="N31" s="303">
        <f t="shared" si="35"/>
        <v>0</v>
      </c>
      <c r="O31" s="303">
        <f>-(SUM(O19:O20)-SUM(N19:N20))</f>
        <v>1396884.3755832305</v>
      </c>
      <c r="P31" s="303">
        <f t="shared" si="35"/>
        <v>-250913.81589984987</v>
      </c>
      <c r="Q31" s="303">
        <f t="shared" si="35"/>
        <v>-197716.74606381543</v>
      </c>
      <c r="R31" s="303">
        <f t="shared" si="35"/>
        <v>-190361.53154276684</v>
      </c>
      <c r="S31" s="303">
        <f t="shared" si="35"/>
        <v>-144409.44953456894</v>
      </c>
      <c r="T31" s="303">
        <f t="shared" si="35"/>
        <v>-126401.43093332462</v>
      </c>
      <c r="U31" s="303">
        <f t="shared" si="35"/>
        <v>-117287.7224605754</v>
      </c>
      <c r="V31" s="303">
        <f t="shared" si="35"/>
        <v>-153372.00615233555</v>
      </c>
      <c r="W31" s="303">
        <f t="shared" si="35"/>
        <v>-149880.62298511527</v>
      </c>
      <c r="X31" s="303">
        <f t="shared" si="35"/>
        <v>-66541.050010878593</v>
      </c>
      <c r="Y31" s="303">
        <f t="shared" si="35"/>
        <v>0</v>
      </c>
      <c r="Z31" s="303">
        <f t="shared" si="35"/>
        <v>0</v>
      </c>
      <c r="AA31" s="303">
        <f t="shared" si="35"/>
        <v>0</v>
      </c>
      <c r="AB31" s="303">
        <f t="shared" si="35"/>
        <v>0</v>
      </c>
      <c r="AC31" s="303">
        <f t="shared" si="35"/>
        <v>0</v>
      </c>
      <c r="AD31" s="303">
        <f t="shared" si="35"/>
        <v>0</v>
      </c>
      <c r="AE31" s="303">
        <f t="shared" si="35"/>
        <v>0</v>
      </c>
      <c r="AF31" s="303">
        <f t="shared" si="35"/>
        <v>0</v>
      </c>
      <c r="AG31" s="303">
        <f t="shared" si="35"/>
        <v>0</v>
      </c>
      <c r="AH31" s="303">
        <f t="shared" si="35"/>
        <v>0</v>
      </c>
      <c r="AI31" s="303">
        <f t="shared" si="35"/>
        <v>0</v>
      </c>
      <c r="AJ31" s="303">
        <f t="shared" si="35"/>
        <v>0</v>
      </c>
      <c r="AK31" s="303">
        <f t="shared" si="35"/>
        <v>0</v>
      </c>
      <c r="AL31" s="303">
        <f t="shared" si="35"/>
        <v>0</v>
      </c>
      <c r="AM31" s="303">
        <f t="shared" si="35"/>
        <v>0</v>
      </c>
      <c r="AN31" s="303">
        <f t="shared" si="35"/>
        <v>0</v>
      </c>
      <c r="AO31" s="303">
        <f t="shared" si="35"/>
        <v>0</v>
      </c>
      <c r="AP31" s="303">
        <f t="shared" si="35"/>
        <v>0</v>
      </c>
      <c r="AQ31" s="303">
        <f t="shared" si="35"/>
        <v>0</v>
      </c>
      <c r="AR31" s="303">
        <f t="shared" si="35"/>
        <v>0</v>
      </c>
      <c r="AS31" s="303">
        <f t="shared" si="35"/>
        <v>0</v>
      </c>
      <c r="AT31" s="303">
        <f t="shared" si="35"/>
        <v>0</v>
      </c>
      <c r="AU31" s="303">
        <f t="shared" si="35"/>
        <v>0</v>
      </c>
      <c r="AV31" s="303">
        <f t="shared" si="35"/>
        <v>0</v>
      </c>
      <c r="AW31" s="303">
        <f t="shared" si="35"/>
        <v>0</v>
      </c>
    </row>
    <row r="32" spans="1:50">
      <c r="A32" s="151">
        <v>449100</v>
      </c>
      <c r="B32" s="151" t="s">
        <v>331</v>
      </c>
      <c r="C32" s="310">
        <v>0</v>
      </c>
      <c r="D32" s="310"/>
      <c r="E32" s="310"/>
      <c r="F32" s="310"/>
      <c r="G32" s="310"/>
      <c r="H32" s="310"/>
      <c r="I32" s="310"/>
      <c r="K32" s="311"/>
      <c r="L32" s="310"/>
      <c r="N32" s="301"/>
      <c r="O32" s="310"/>
      <c r="P32" s="170"/>
      <c r="R32" s="310"/>
      <c r="U32" s="310"/>
      <c r="W32" s="311"/>
      <c r="X32" s="310"/>
      <c r="Z32" s="301"/>
      <c r="AA32" s="310"/>
      <c r="AB32" s="170"/>
      <c r="AD32" s="310"/>
      <c r="AG32" s="310"/>
      <c r="AI32" s="311"/>
      <c r="AJ32" s="310"/>
      <c r="AL32" s="301"/>
      <c r="AM32" s="310"/>
      <c r="AN32" s="170"/>
      <c r="AP32" s="310"/>
      <c r="AS32" s="310"/>
      <c r="AU32" s="311"/>
      <c r="AV32" s="310"/>
      <c r="AX32" s="170"/>
    </row>
    <row r="33" spans="1:49">
      <c r="C33" s="301"/>
      <c r="D33" s="301"/>
      <c r="E33" s="301"/>
      <c r="F33" s="301"/>
      <c r="G33" s="301"/>
      <c r="H33" s="301"/>
    </row>
    <row r="34" spans="1:49">
      <c r="A34" s="397" t="s">
        <v>184</v>
      </c>
      <c r="B34" s="397"/>
      <c r="C34" s="301"/>
      <c r="D34" s="301"/>
      <c r="E34" s="301"/>
      <c r="F34" s="301"/>
      <c r="G34" s="301"/>
      <c r="H34" s="301"/>
    </row>
    <row r="35" spans="1:49">
      <c r="A35" s="293" t="s">
        <v>314</v>
      </c>
      <c r="B35" s="312" t="s">
        <v>344</v>
      </c>
      <c r="C35" s="301"/>
      <c r="D35" s="314" t="s">
        <v>346</v>
      </c>
      <c r="E35" s="314" t="s">
        <v>346</v>
      </c>
      <c r="F35" s="314" t="s">
        <v>346</v>
      </c>
      <c r="G35" s="314" t="s">
        <v>346</v>
      </c>
      <c r="H35" s="314" t="s">
        <v>346</v>
      </c>
      <c r="I35" s="314" t="s">
        <v>346</v>
      </c>
      <c r="J35" s="330" t="s">
        <v>346</v>
      </c>
      <c r="K35" s="334" t="s">
        <v>346</v>
      </c>
      <c r="L35" s="340" t="s">
        <v>346</v>
      </c>
      <c r="M35" s="367" t="s">
        <v>346</v>
      </c>
      <c r="N35" s="377" t="s">
        <v>346</v>
      </c>
      <c r="O35" s="294">
        <v>189814201.73591179</v>
      </c>
      <c r="P35" s="294">
        <v>186313253.76808581</v>
      </c>
      <c r="Q35" s="294">
        <v>164520840.98907495</v>
      </c>
      <c r="R35" s="294">
        <v>174180410.69505116</v>
      </c>
      <c r="S35" s="294">
        <v>162405194.71054432</v>
      </c>
      <c r="T35" s="294">
        <v>172942336.91653362</v>
      </c>
      <c r="U35" s="294">
        <v>176564147.13102299</v>
      </c>
      <c r="V35" s="294">
        <v>213507316.94989979</v>
      </c>
      <c r="W35" s="294">
        <v>200797741.49273083</v>
      </c>
      <c r="X35" s="294">
        <v>176607554.57601932</v>
      </c>
      <c r="Y35" s="294">
        <v>178093995.55826968</v>
      </c>
      <c r="Z35" s="294">
        <v>178102914.76759753</v>
      </c>
      <c r="AA35" s="294">
        <v>191076795.07881239</v>
      </c>
      <c r="AB35" s="294">
        <v>186640714.03679577</v>
      </c>
      <c r="AC35" s="294">
        <v>164542312.59761468</v>
      </c>
      <c r="AD35" s="294">
        <v>175036459.21899581</v>
      </c>
      <c r="AE35" s="294">
        <v>163258807.06129554</v>
      </c>
      <c r="AF35" s="294">
        <v>172768508.1582174</v>
      </c>
      <c r="AG35" s="294">
        <v>178370460.59688199</v>
      </c>
      <c r="AH35" s="294">
        <v>212605129.83371052</v>
      </c>
      <c r="AI35" s="294">
        <v>202971041.63094145</v>
      </c>
      <c r="AJ35" s="294">
        <v>176824826.77638102</v>
      </c>
      <c r="AK35" s="294">
        <v>180622932.2859315</v>
      </c>
      <c r="AL35" s="294">
        <v>179486955.44977126</v>
      </c>
      <c r="AM35" s="294">
        <v>192077685.63945252</v>
      </c>
      <c r="AN35" s="294">
        <v>187126487.69295251</v>
      </c>
      <c r="AO35" s="294">
        <v>164711259.79667628</v>
      </c>
      <c r="AP35" s="294">
        <v>175340247.40451962</v>
      </c>
      <c r="AQ35" s="294">
        <v>163020264.58256891</v>
      </c>
      <c r="AR35" s="294">
        <v>172617708.05657271</v>
      </c>
      <c r="AS35" s="294">
        <v>179607415.91563067</v>
      </c>
      <c r="AT35" s="294">
        <v>213340344.94658688</v>
      </c>
      <c r="AU35" s="294">
        <v>204491248.33575168</v>
      </c>
      <c r="AV35" s="294">
        <v>177270125.99340478</v>
      </c>
      <c r="AW35" s="294">
        <v>182995083.40999806</v>
      </c>
    </row>
    <row r="36" spans="1:49" s="297" customFormat="1">
      <c r="A36" s="295" t="s">
        <v>254</v>
      </c>
      <c r="B36" s="296"/>
      <c r="D36" s="297">
        <v>3.8000000000000002E-4</v>
      </c>
      <c r="E36" s="297">
        <f>D36</f>
        <v>3.8000000000000002E-4</v>
      </c>
      <c r="F36" s="297">
        <f t="shared" ref="F36" si="36">E36</f>
        <v>3.8000000000000002E-4</v>
      </c>
      <c r="G36" s="297">
        <f t="shared" ref="G36" si="37">F36</f>
        <v>3.8000000000000002E-4</v>
      </c>
      <c r="H36" s="297">
        <f t="shared" ref="H36:I36" si="38">G36</f>
        <v>3.8000000000000002E-4</v>
      </c>
      <c r="I36" s="297">
        <f t="shared" si="38"/>
        <v>3.8000000000000002E-4</v>
      </c>
      <c r="J36" s="297">
        <f>I36</f>
        <v>3.8000000000000002E-4</v>
      </c>
      <c r="K36" s="297">
        <f t="shared" ref="K36:AW36" si="39">J36</f>
        <v>3.8000000000000002E-4</v>
      </c>
      <c r="L36" s="297">
        <f t="shared" si="39"/>
        <v>3.8000000000000002E-4</v>
      </c>
      <c r="M36" s="297">
        <f t="shared" si="39"/>
        <v>3.8000000000000002E-4</v>
      </c>
      <c r="N36" s="338">
        <v>5.1999999999999995E-4</v>
      </c>
      <c r="O36" s="297">
        <f t="shared" ref="O36:Y36" si="40">N36</f>
        <v>5.1999999999999995E-4</v>
      </c>
      <c r="P36" s="297">
        <f t="shared" si="40"/>
        <v>5.1999999999999995E-4</v>
      </c>
      <c r="Q36" s="297">
        <f t="shared" si="40"/>
        <v>5.1999999999999995E-4</v>
      </c>
      <c r="R36" s="297">
        <f t="shared" si="40"/>
        <v>5.1999999999999995E-4</v>
      </c>
      <c r="S36" s="297">
        <f t="shared" si="40"/>
        <v>5.1999999999999995E-4</v>
      </c>
      <c r="T36" s="297">
        <f t="shared" si="40"/>
        <v>5.1999999999999995E-4</v>
      </c>
      <c r="U36" s="297">
        <f t="shared" si="40"/>
        <v>5.1999999999999995E-4</v>
      </c>
      <c r="V36" s="297">
        <f t="shared" si="40"/>
        <v>5.1999999999999995E-4</v>
      </c>
      <c r="W36" s="297">
        <f t="shared" si="40"/>
        <v>5.1999999999999995E-4</v>
      </c>
      <c r="X36" s="297">
        <f t="shared" si="40"/>
        <v>5.1999999999999995E-4</v>
      </c>
      <c r="Y36" s="297">
        <f t="shared" si="40"/>
        <v>5.1999999999999995E-4</v>
      </c>
      <c r="Z36" s="297">
        <f>ROUND(Z37-Z40,5)</f>
        <v>3.46E-3</v>
      </c>
      <c r="AA36" s="297">
        <f t="shared" si="39"/>
        <v>3.46E-3</v>
      </c>
      <c r="AB36" s="297">
        <f t="shared" si="39"/>
        <v>3.46E-3</v>
      </c>
      <c r="AC36" s="297">
        <f t="shared" si="39"/>
        <v>3.46E-3</v>
      </c>
      <c r="AD36" s="297">
        <f t="shared" si="39"/>
        <v>3.46E-3</v>
      </c>
      <c r="AE36" s="297">
        <f t="shared" si="39"/>
        <v>3.46E-3</v>
      </c>
      <c r="AF36" s="297">
        <f t="shared" si="39"/>
        <v>3.46E-3</v>
      </c>
      <c r="AG36" s="297">
        <f t="shared" si="39"/>
        <v>3.46E-3</v>
      </c>
      <c r="AH36" s="297">
        <f t="shared" si="39"/>
        <v>3.46E-3</v>
      </c>
      <c r="AI36" s="297">
        <f t="shared" si="39"/>
        <v>3.46E-3</v>
      </c>
      <c r="AJ36" s="297">
        <f t="shared" si="39"/>
        <v>3.46E-3</v>
      </c>
      <c r="AK36" s="297">
        <f t="shared" si="39"/>
        <v>3.46E-3</v>
      </c>
      <c r="AL36" s="297">
        <f>ROUND(AL37-AL40,5)</f>
        <v>0</v>
      </c>
      <c r="AM36" s="297">
        <f t="shared" si="39"/>
        <v>0</v>
      </c>
      <c r="AN36" s="297">
        <f t="shared" si="39"/>
        <v>0</v>
      </c>
      <c r="AO36" s="297">
        <f t="shared" si="39"/>
        <v>0</v>
      </c>
      <c r="AP36" s="297">
        <f t="shared" si="39"/>
        <v>0</v>
      </c>
      <c r="AQ36" s="297">
        <f t="shared" si="39"/>
        <v>0</v>
      </c>
      <c r="AR36" s="297">
        <f t="shared" si="39"/>
        <v>0</v>
      </c>
      <c r="AS36" s="297">
        <f t="shared" si="39"/>
        <v>0</v>
      </c>
      <c r="AT36" s="297">
        <f t="shared" si="39"/>
        <v>0</v>
      </c>
      <c r="AU36" s="297">
        <f t="shared" si="39"/>
        <v>0</v>
      </c>
      <c r="AV36" s="297">
        <f t="shared" si="39"/>
        <v>0</v>
      </c>
      <c r="AW36" s="297">
        <f t="shared" si="39"/>
        <v>0</v>
      </c>
    </row>
    <row r="37" spans="1:49">
      <c r="A37" s="293" t="s">
        <v>315</v>
      </c>
      <c r="B37" s="292"/>
      <c r="C37" s="301"/>
      <c r="D37" s="301"/>
      <c r="E37" s="301"/>
      <c r="F37" s="301"/>
      <c r="G37" s="301"/>
      <c r="H37" s="301"/>
      <c r="L37" s="222"/>
      <c r="N37" s="298">
        <f>ROUND((M48+M49+M54)*1.025/(SUM(N35:Y35)),5)</f>
        <v>5.6999999999999998E-4</v>
      </c>
      <c r="O37" s="300">
        <f>O5</f>
        <v>0.95444899999999999</v>
      </c>
      <c r="P37" s="201" t="s">
        <v>252</v>
      </c>
      <c r="Z37" s="298">
        <f>ROUND((Y48+Y49+Y54)*1.025/(SUM(Z35:AK35)),5)</f>
        <v>3.46E-3</v>
      </c>
      <c r="AA37" s="300">
        <f>AA5</f>
        <v>0.95444899999999999</v>
      </c>
      <c r="AB37" s="201" t="s">
        <v>252</v>
      </c>
      <c r="AL37" s="298">
        <f>ROUND((AK48+AK49+AK54)*1.025/(SUM(AL35:AW35)),5)</f>
        <v>0</v>
      </c>
      <c r="AM37" s="300">
        <f>AM5</f>
        <v>0.95444899999999999</v>
      </c>
      <c r="AN37" s="201" t="s">
        <v>252</v>
      </c>
      <c r="AV37" s="222"/>
    </row>
    <row r="38" spans="1:49">
      <c r="A38" s="293" t="s">
        <v>316</v>
      </c>
      <c r="B38" s="292"/>
      <c r="C38" s="301"/>
      <c r="D38" s="301"/>
      <c r="E38" s="301"/>
      <c r="F38" s="301"/>
      <c r="G38" s="301"/>
      <c r="H38" s="301"/>
      <c r="L38" s="222"/>
      <c r="N38" s="301">
        <f>IF(M36&gt;0,N37*SUM(N35:Y35)-M36*SUM(N35:Y35),N37*SUM(N35:Y35))</f>
        <v>379191.92895939725</v>
      </c>
      <c r="O38" s="338">
        <f>ROUND(N36/O37,5)</f>
        <v>5.4000000000000001E-4</v>
      </c>
      <c r="P38" s="339" t="s">
        <v>373</v>
      </c>
      <c r="Z38" s="301">
        <f>IF(Y36&gt;0,Z37*SUM(Z35:AK35)-Y36*SUM(Z35:AK35),Z37*SUM(Z35:AK35))</f>
        <v>6417493.4520069351</v>
      </c>
      <c r="AA38" s="297">
        <f>ROUND(Z36/AA37,5)</f>
        <v>3.63E-3</v>
      </c>
      <c r="AB38" s="201" t="s">
        <v>317</v>
      </c>
      <c r="AL38" s="301">
        <f>IF(AK36&gt;0,AL37*SUM(AL35:AW35)-AK36*SUM(AL35:AW35),AL37*SUM(AL35:AW35))</f>
        <v>-7584613.5021946458</v>
      </c>
      <c r="AM38" s="297">
        <f>ROUND(AL36/AM37,5)</f>
        <v>0</v>
      </c>
      <c r="AN38" s="201" t="s">
        <v>317</v>
      </c>
      <c r="AV38" s="222"/>
      <c r="AW38" s="297"/>
    </row>
    <row r="39" spans="1:49">
      <c r="A39" s="293" t="s">
        <v>318</v>
      </c>
      <c r="B39" s="292"/>
      <c r="C39" s="301"/>
      <c r="D39" s="301"/>
      <c r="E39" s="301"/>
      <c r="F39" s="301"/>
      <c r="G39" s="301"/>
      <c r="H39" s="301"/>
      <c r="L39" s="222" t="s">
        <v>319</v>
      </c>
      <c r="M39" s="313">
        <v>224250</v>
      </c>
      <c r="N39" s="301">
        <f>M39*1000*0.03</f>
        <v>6727500</v>
      </c>
      <c r="O39" s="303">
        <f>IF(M36&gt;0,M36*SUM(N35:Y35)+N39,N39)</f>
        <v>7485883.8579187952</v>
      </c>
      <c r="P39" s="151" t="s">
        <v>320</v>
      </c>
      <c r="X39" s="222" t="s">
        <v>319</v>
      </c>
      <c r="Y39" s="301">
        <f>M39</f>
        <v>224250</v>
      </c>
      <c r="Z39" s="301">
        <f>Y39*1000*0.03</f>
        <v>6727500</v>
      </c>
      <c r="AA39" s="303">
        <f>IF(Y36&gt;0,Y36*SUM(Z35:AK35)+Z39,Z39)</f>
        <v>7862566.8690624507</v>
      </c>
      <c r="AB39" s="151" t="s">
        <v>320</v>
      </c>
      <c r="AJ39" s="222" t="s">
        <v>319</v>
      </c>
      <c r="AK39" s="301">
        <f>Y39</f>
        <v>224250</v>
      </c>
      <c r="AL39" s="301">
        <f>AK39*1000*0.03</f>
        <v>6727500</v>
      </c>
      <c r="AM39" s="303">
        <f>IF(AK36&gt;0,AK36*SUM(AL35:AW35)+AL39,AL39)</f>
        <v>14312113.502194647</v>
      </c>
      <c r="AN39" s="151" t="s">
        <v>320</v>
      </c>
      <c r="AV39" s="222"/>
      <c r="AW39" s="301"/>
    </row>
    <row r="40" spans="1:49">
      <c r="A40" s="293" t="s">
        <v>321</v>
      </c>
      <c r="B40" s="292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277">
        <f>IF(N38&gt;N39,N37-N42,0)</f>
        <v>0</v>
      </c>
      <c r="Z40" s="277">
        <f>IF(Z38&gt;Z39,Z37-Z42,0)</f>
        <v>0</v>
      </c>
      <c r="AL40" s="277">
        <f>IF(AL38&gt;AL39,AL37-AL42,0)</f>
        <v>0</v>
      </c>
    </row>
    <row r="41" spans="1:49">
      <c r="A41" s="293" t="s">
        <v>322</v>
      </c>
      <c r="B41" s="292"/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277"/>
      <c r="Z41" s="301">
        <f>N40*Z35</f>
        <v>0</v>
      </c>
      <c r="AA41" s="301">
        <f>N40*AA35</f>
        <v>0</v>
      </c>
      <c r="AB41" s="301">
        <f>N40*AB35</f>
        <v>0</v>
      </c>
      <c r="AC41" s="301">
        <f>N40*AC35</f>
        <v>0</v>
      </c>
      <c r="AD41" s="301">
        <f>N40*AD35</f>
        <v>0</v>
      </c>
      <c r="AE41" s="301">
        <f>N40*AE35</f>
        <v>0</v>
      </c>
      <c r="AF41" s="301">
        <f>N40*AF35</f>
        <v>0</v>
      </c>
      <c r="AG41" s="301">
        <f>N40*AG35</f>
        <v>0</v>
      </c>
      <c r="AH41" s="301">
        <f>N40*AH35</f>
        <v>0</v>
      </c>
      <c r="AI41" s="301">
        <f>N40*AI35</f>
        <v>0</v>
      </c>
      <c r="AJ41" s="301">
        <f>N40*AJ35</f>
        <v>0</v>
      </c>
      <c r="AK41" s="301">
        <f>N40*AK35</f>
        <v>0</v>
      </c>
      <c r="AL41" s="301">
        <f>Z40*AL35</f>
        <v>0</v>
      </c>
      <c r="AM41" s="301">
        <f>Z40*AM35</f>
        <v>0</v>
      </c>
      <c r="AN41" s="301">
        <f>Z40*AN35</f>
        <v>0</v>
      </c>
      <c r="AO41" s="301">
        <f>Z40*AO35</f>
        <v>0</v>
      </c>
      <c r="AP41" s="301">
        <f>Z40*AP35</f>
        <v>0</v>
      </c>
      <c r="AQ41" s="301">
        <f>Z40*AQ35</f>
        <v>0</v>
      </c>
      <c r="AR41" s="301">
        <f>Z40*AR35</f>
        <v>0</v>
      </c>
      <c r="AS41" s="301">
        <f>Z40*AS35</f>
        <v>0</v>
      </c>
      <c r="AT41" s="301">
        <f>Z40*AT35</f>
        <v>0</v>
      </c>
      <c r="AU41" s="301">
        <f>Z40*AU35</f>
        <v>0</v>
      </c>
      <c r="AV41" s="301">
        <f>Z40*AV35</f>
        <v>0</v>
      </c>
      <c r="AW41" s="301">
        <f>Z40*AW35</f>
        <v>0</v>
      </c>
    </row>
    <row r="42" spans="1:49">
      <c r="A42" s="293" t="s">
        <v>358</v>
      </c>
      <c r="B42" s="317"/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277">
        <f>O39/SUM(N35:Y35)*O37</f>
        <v>3.5800601889489046E-3</v>
      </c>
      <c r="O42" s="303"/>
      <c r="X42" s="222"/>
      <c r="Y42" s="301"/>
      <c r="Z42" s="277">
        <f>AA39/SUM(Z35:AK35)*AA37</f>
        <v>3.4379454029350104E-3</v>
      </c>
      <c r="AA42" s="277">
        <f>Z42</f>
        <v>3.4379454029350104E-3</v>
      </c>
      <c r="AB42" s="277">
        <f t="shared" ref="AB42" si="41">AA42</f>
        <v>3.4379454029350104E-3</v>
      </c>
      <c r="AC42" s="277">
        <f t="shared" ref="AC42" si="42">AB42</f>
        <v>3.4379454029350104E-3</v>
      </c>
      <c r="AD42" s="277">
        <f t="shared" ref="AD42" si="43">AC42</f>
        <v>3.4379454029350104E-3</v>
      </c>
      <c r="AE42" s="277">
        <f t="shared" ref="AE42" si="44">AD42</f>
        <v>3.4379454029350104E-3</v>
      </c>
      <c r="AF42" s="277">
        <f t="shared" ref="AF42" si="45">AE42</f>
        <v>3.4379454029350104E-3</v>
      </c>
      <c r="AG42" s="277">
        <f t="shared" ref="AG42" si="46">AF42</f>
        <v>3.4379454029350104E-3</v>
      </c>
      <c r="AH42" s="277">
        <f t="shared" ref="AH42" si="47">AG42</f>
        <v>3.4379454029350104E-3</v>
      </c>
      <c r="AI42" s="277">
        <f t="shared" ref="AI42" si="48">AH42</f>
        <v>3.4379454029350104E-3</v>
      </c>
      <c r="AJ42" s="277">
        <f t="shared" ref="AJ42" si="49">AI42</f>
        <v>3.4379454029350104E-3</v>
      </c>
      <c r="AK42" s="277">
        <f t="shared" ref="AK42" si="50">AJ42</f>
        <v>3.4379454029350104E-3</v>
      </c>
      <c r="AL42" s="277">
        <f>AM39/SUM(AL35:AW35)*AM37</f>
        <v>6.2315938919917588E-3</v>
      </c>
      <c r="AM42" s="277">
        <f>AL42</f>
        <v>6.2315938919917588E-3</v>
      </c>
      <c r="AN42" s="277">
        <f t="shared" ref="AN42" si="51">AM42</f>
        <v>6.2315938919917588E-3</v>
      </c>
      <c r="AO42" s="277">
        <f t="shared" ref="AO42" si="52">AN42</f>
        <v>6.2315938919917588E-3</v>
      </c>
      <c r="AP42" s="277">
        <f t="shared" ref="AP42" si="53">AO42</f>
        <v>6.2315938919917588E-3</v>
      </c>
      <c r="AQ42" s="277">
        <f t="shared" ref="AQ42" si="54">AP42</f>
        <v>6.2315938919917588E-3</v>
      </c>
      <c r="AR42" s="277">
        <f t="shared" ref="AR42" si="55">AQ42</f>
        <v>6.2315938919917588E-3</v>
      </c>
      <c r="AS42" s="277">
        <f t="shared" ref="AS42" si="56">AR42</f>
        <v>6.2315938919917588E-3</v>
      </c>
      <c r="AT42" s="277">
        <f t="shared" ref="AT42" si="57">AS42</f>
        <v>6.2315938919917588E-3</v>
      </c>
      <c r="AU42" s="277">
        <f t="shared" ref="AU42" si="58">AT42</f>
        <v>6.2315938919917588E-3</v>
      </c>
      <c r="AV42" s="277">
        <f t="shared" ref="AV42" si="59">AU42</f>
        <v>6.2315938919917588E-3</v>
      </c>
      <c r="AW42" s="277">
        <f t="shared" ref="AW42" si="60">AV42</f>
        <v>6.2315938919917588E-3</v>
      </c>
    </row>
    <row r="43" spans="1:49">
      <c r="A43" s="293" t="s">
        <v>359</v>
      </c>
      <c r="B43" s="317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1"/>
      <c r="O43" s="301">
        <f>SUMPRODUCT($Z35:$AK35,-$Z42:$AK42)-SUM($AL41:AM41)</f>
        <v>-7504419.0856097881</v>
      </c>
      <c r="P43" s="301">
        <f>SUMPRODUCT($Z35:$AK35,-$Z42:$AK42)-SUM($AL41:AN41)</f>
        <v>-7504419.0856097881</v>
      </c>
      <c r="Q43" s="301">
        <f>SUMPRODUCT($Z35:$AK35,-$Z42:$AK42)-SUM($AL41:AO41)</f>
        <v>-7504419.0856097881</v>
      </c>
      <c r="R43" s="301">
        <f>SUMPRODUCT($Z35:$AK35,-$Z42:$AK42)-SUM($AL41:AP41)</f>
        <v>-7504419.0856097881</v>
      </c>
      <c r="S43" s="301">
        <f>SUMPRODUCT($Z35:$AK35,-$Z42:$AK42)-SUM($AL41:AQ41)</f>
        <v>-7504419.0856097881</v>
      </c>
      <c r="T43" s="301">
        <f>SUMPRODUCT($Z35:$AK35,-$Z42:$AK42)-SUM($AL41:AR41)</f>
        <v>-7504419.0856097881</v>
      </c>
      <c r="U43" s="301">
        <f>SUMPRODUCT($Z35:$AK35,-$Z42:$AK42)-SUM($AL41:AS41)</f>
        <v>-7504419.0856097881</v>
      </c>
      <c r="V43" s="301">
        <f>SUMPRODUCT($Z35:$AK35,-$Z42:$AK42)-SUM($AL41:AT41)</f>
        <v>-7504419.0856097881</v>
      </c>
      <c r="W43" s="301">
        <f>SUMPRODUCT($Z35:$AK35,-$Z42:$AK42)-SUM($AL41:AU41)</f>
        <v>-7504419.0856097881</v>
      </c>
      <c r="X43" s="301">
        <f>SUMPRODUCT($Z35:$AK35,-$Z42:$AK42)-SUM($AL41:AV41)</f>
        <v>-7504419.0856097881</v>
      </c>
      <c r="Y43" s="301">
        <f>SUMPRODUCT($Z35:$AK35,-$Z42:$AK42)-SUM($AL41:AW41)</f>
        <v>-7504419.0856097881</v>
      </c>
      <c r="Z43" s="301"/>
      <c r="AA43" s="303"/>
      <c r="AJ43" s="222"/>
      <c r="AK43" s="301"/>
      <c r="AL43" s="301"/>
      <c r="AM43" s="303"/>
      <c r="AV43" s="222"/>
      <c r="AW43" s="304"/>
    </row>
    <row r="44" spans="1:49">
      <c r="A44" s="293" t="s">
        <v>361</v>
      </c>
      <c r="B44" s="317"/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O44" s="326">
        <f>IF($Y48&gt;0,IF(O43+O47+O48+O54&lt;0,0,+O43+O47+O48+O54),0)</f>
        <v>0</v>
      </c>
      <c r="P44" s="280">
        <f>IF($Y48&gt;0,IF(P43+P48+P54&lt;0,0,+P43+P48+P54),0)</f>
        <v>0</v>
      </c>
      <c r="Q44" s="280">
        <f t="shared" ref="Q44:Y44" si="61">IF($Y48&gt;0,IF(Q43+Q48+Q54&lt;0,0,+Q43+Q48+Q54),0)</f>
        <v>0</v>
      </c>
      <c r="R44" s="280">
        <f t="shared" si="61"/>
        <v>0</v>
      </c>
      <c r="S44" s="280">
        <f t="shared" si="61"/>
        <v>0</v>
      </c>
      <c r="T44" s="280">
        <f t="shared" si="61"/>
        <v>0</v>
      </c>
      <c r="U44" s="280">
        <f t="shared" si="61"/>
        <v>0</v>
      </c>
      <c r="V44" s="280">
        <f t="shared" si="61"/>
        <v>0</v>
      </c>
      <c r="W44" s="280">
        <f t="shared" si="61"/>
        <v>0</v>
      </c>
      <c r="X44" s="280">
        <f t="shared" si="61"/>
        <v>0</v>
      </c>
      <c r="Y44" s="280">
        <f t="shared" si="61"/>
        <v>0</v>
      </c>
    </row>
    <row r="45" spans="1:49" ht="6.6" customHeight="1">
      <c r="A45" s="293"/>
      <c r="B45" s="292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</row>
    <row r="46" spans="1:49">
      <c r="A46" s="151" t="s">
        <v>323</v>
      </c>
      <c r="C46" s="301"/>
      <c r="D46" s="301"/>
      <c r="E46" s="301"/>
      <c r="F46" s="301"/>
      <c r="G46" s="301"/>
      <c r="H46" s="301"/>
      <c r="I46" s="301"/>
      <c r="J46" s="301"/>
      <c r="K46" s="301"/>
      <c r="L46" s="301"/>
      <c r="M46" s="301"/>
    </row>
    <row r="47" spans="1:49">
      <c r="A47" s="151">
        <v>186338</v>
      </c>
      <c r="B47" s="151" t="s">
        <v>324</v>
      </c>
      <c r="C47" s="302">
        <v>1735911.16</v>
      </c>
      <c r="D47" s="306">
        <f>0-D58+(0+0-D58)/2*D56/12</f>
        <v>578803.71987320343</v>
      </c>
      <c r="E47" s="301">
        <f t="shared" ref="E47" si="62">D47-E58+(D47+D47-E58)/2*E56/12</f>
        <v>999486.0607444722</v>
      </c>
      <c r="F47" s="301">
        <f t="shared" ref="F47" si="63">E47-F58+(E47+E47-F58)/2*F56/12</f>
        <v>1181133.281605199</v>
      </c>
      <c r="G47" s="301">
        <f t="shared" ref="G47" si="64">F47-G58+(F47+F47-G58)/2*G56/12</f>
        <v>1706313.3533016783</v>
      </c>
      <c r="H47" s="301">
        <f t="shared" ref="H47" si="65">G47-H58+(G47+G47-H58)/2*H56/12</f>
        <v>2539903.5253491504</v>
      </c>
      <c r="I47" s="301">
        <f t="shared" ref="I47" si="66">H47-I58+(H47+H47-I58)/2*I56/12</f>
        <v>3390111.4803912365</v>
      </c>
      <c r="J47" s="301">
        <f t="shared" ref="J47:O47" si="67">I47-J58+(I47+I47-J58)/2*J56/12</f>
        <v>4117983.4915397097</v>
      </c>
      <c r="K47" s="301">
        <f t="shared" si="67"/>
        <v>4496341.481090229</v>
      </c>
      <c r="L47" s="301">
        <f t="shared" si="67"/>
        <v>5278663.19372724</v>
      </c>
      <c r="M47" s="301">
        <f t="shared" si="67"/>
        <v>5856350.5346373124</v>
      </c>
      <c r="N47" s="301">
        <f t="shared" si="67"/>
        <v>5272399.0964458138</v>
      </c>
      <c r="O47" s="301">
        <f t="shared" si="67"/>
        <v>7051825.01002979</v>
      </c>
      <c r="P47" s="306">
        <f>0-P58+(0+0-P58)/2*P56/12</f>
        <v>0</v>
      </c>
      <c r="Q47" s="301">
        <f>P47-Q58+(P47+P47-Q58)/2*Q56/12</f>
        <v>0</v>
      </c>
      <c r="R47" s="301">
        <f t="shared" ref="R47:Y47" si="68">Q47-R58+(Q47+Q47-R58)/2*R56/12</f>
        <v>0</v>
      </c>
      <c r="S47" s="301">
        <f t="shared" si="68"/>
        <v>0</v>
      </c>
      <c r="T47" s="301">
        <f t="shared" si="68"/>
        <v>0</v>
      </c>
      <c r="U47" s="301">
        <f t="shared" si="68"/>
        <v>0</v>
      </c>
      <c r="V47" s="301">
        <f t="shared" si="68"/>
        <v>0</v>
      </c>
      <c r="W47" s="301">
        <f t="shared" si="68"/>
        <v>0</v>
      </c>
      <c r="X47" s="301">
        <f t="shared" si="68"/>
        <v>0</v>
      </c>
      <c r="Y47" s="301">
        <f t="shared" si="68"/>
        <v>0</v>
      </c>
      <c r="Z47" s="301">
        <f>Y47-Z58+(Y47+Y47-Z58)/2*Z56/12</f>
        <v>0</v>
      </c>
      <c r="AA47" s="301">
        <f>Z47-AA58+(Z47+Z47-AA58)/2*AA56/12</f>
        <v>0</v>
      </c>
      <c r="AB47" s="306">
        <f>0-AB58+(0+0-AB58)/2*AB56/12</f>
        <v>0</v>
      </c>
      <c r="AC47" s="301">
        <f>AB47-AC58+(AB47+AB47-AC58)/2*AC56/12</f>
        <v>0</v>
      </c>
      <c r="AD47" s="301">
        <f t="shared" ref="AD47:AK47" si="69">AC47-AD58+(AC47+AC47-AD58)/2*AD56/12</f>
        <v>0</v>
      </c>
      <c r="AE47" s="301">
        <f t="shared" si="69"/>
        <v>0</v>
      </c>
      <c r="AF47" s="301">
        <f t="shared" si="69"/>
        <v>0</v>
      </c>
      <c r="AG47" s="301">
        <f t="shared" si="69"/>
        <v>0</v>
      </c>
      <c r="AH47" s="301">
        <f t="shared" si="69"/>
        <v>0</v>
      </c>
      <c r="AI47" s="301">
        <f t="shared" si="69"/>
        <v>0</v>
      </c>
      <c r="AJ47" s="301">
        <f t="shared" si="69"/>
        <v>0</v>
      </c>
      <c r="AK47" s="301">
        <f t="shared" si="69"/>
        <v>0</v>
      </c>
      <c r="AL47" s="301">
        <f>AK47-AL58+(AK47+AK47-AL58)/2*AL56/12</f>
        <v>0</v>
      </c>
      <c r="AM47" s="301">
        <f>AL47-AM58+(AL47+AL47-AM58)/2*AM56/12</f>
        <v>0</v>
      </c>
      <c r="AN47" s="306">
        <f>0-AN58+(0+0-AN58)/2*AN56/12</f>
        <v>0</v>
      </c>
      <c r="AO47" s="301">
        <f>AN47-AO58+(AN47+AN47-AO58)/2*AO56/12</f>
        <v>0</v>
      </c>
      <c r="AP47" s="301">
        <f t="shared" ref="AP47:AW47" si="70">AO47-AP58+(AO47+AO47-AP58)/2*AP56/12</f>
        <v>0</v>
      </c>
      <c r="AQ47" s="301">
        <f t="shared" si="70"/>
        <v>0</v>
      </c>
      <c r="AR47" s="301">
        <f t="shared" si="70"/>
        <v>0</v>
      </c>
      <c r="AS47" s="301">
        <f t="shared" si="70"/>
        <v>0</v>
      </c>
      <c r="AT47" s="301">
        <f t="shared" si="70"/>
        <v>0</v>
      </c>
      <c r="AU47" s="301">
        <f t="shared" si="70"/>
        <v>0</v>
      </c>
      <c r="AV47" s="301">
        <f t="shared" si="70"/>
        <v>0</v>
      </c>
      <c r="AW47" s="301">
        <f t="shared" si="70"/>
        <v>0</v>
      </c>
    </row>
    <row r="48" spans="1:49">
      <c r="A48" s="151">
        <v>182339</v>
      </c>
      <c r="B48" s="151" t="s">
        <v>325</v>
      </c>
      <c r="C48" s="302">
        <v>0</v>
      </c>
      <c r="D48" s="306">
        <f>C47+(C47+C54)*D56/12</f>
        <v>1739590.1482749998</v>
      </c>
      <c r="E48" s="301">
        <f t="shared" ref="E48:I48" si="71">D48+(D48+D54)*E56/12</f>
        <v>1743282.1663001403</v>
      </c>
      <c r="F48" s="301">
        <f t="shared" si="71"/>
        <v>1746987.2602224534</v>
      </c>
      <c r="G48" s="301">
        <f t="shared" si="71"/>
        <v>1750897.948716782</v>
      </c>
      <c r="H48" s="301">
        <f t="shared" si="71"/>
        <v>1754823.204525752</v>
      </c>
      <c r="I48" s="301">
        <f t="shared" si="71"/>
        <v>1758763.0819126104</v>
      </c>
      <c r="J48" s="301">
        <f>I48+(I48+I54)*J56/12</f>
        <v>1762912.2666077523</v>
      </c>
      <c r="K48" s="301">
        <f>J48+(J48+J54)*K56/12</f>
        <v>1767077.6676997442</v>
      </c>
      <c r="L48" s="301">
        <f>K48+(K48+K54)*L56/12</f>
        <v>1771259.3485676707</v>
      </c>
      <c r="M48" s="301">
        <f>L48+(L48+L54)*M56/12</f>
        <v>1775699.0501417504</v>
      </c>
      <c r="N48" s="301">
        <v>0</v>
      </c>
      <c r="O48" s="301">
        <v>0</v>
      </c>
      <c r="P48" s="306">
        <f>O47+(O47+O54)*P56/12</f>
        <v>7080972.5534045799</v>
      </c>
      <c r="Q48" s="301">
        <f>P48+(P48+P54)*Q56/12</f>
        <v>7110240.5732919853</v>
      </c>
      <c r="R48" s="301">
        <f t="shared" ref="R48:Y48" si="72">Q48+(Q48+Q54)*R56/12</f>
        <v>7139629.5676615918</v>
      </c>
      <c r="S48" s="301">
        <f t="shared" si="72"/>
        <v>7169140.0365412598</v>
      </c>
      <c r="T48" s="301">
        <f t="shared" si="72"/>
        <v>7198772.4820256308</v>
      </c>
      <c r="U48" s="301">
        <f t="shared" si="72"/>
        <v>7228527.4082846697</v>
      </c>
      <c r="V48" s="301">
        <f t="shared" si="72"/>
        <v>7258405.321572246</v>
      </c>
      <c r="W48" s="301">
        <f t="shared" si="72"/>
        <v>7288406.730234745</v>
      </c>
      <c r="X48" s="301">
        <f t="shared" si="72"/>
        <v>7318532.1447197152</v>
      </c>
      <c r="Y48" s="301">
        <f t="shared" si="72"/>
        <v>7348782.0775845563</v>
      </c>
      <c r="Z48" s="301">
        <v>0</v>
      </c>
      <c r="AA48" s="301">
        <v>0</v>
      </c>
      <c r="AB48" s="306">
        <f>AA47+(AA47+AA54)*AB56/12</f>
        <v>0</v>
      </c>
      <c r="AC48" s="301">
        <f>AB48+(AB48+AB54)*AC56/12</f>
        <v>0</v>
      </c>
      <c r="AD48" s="301">
        <f t="shared" ref="AD48:AK48" si="73">AC48+(AC48+AC54)*AD56/12</f>
        <v>0</v>
      </c>
      <c r="AE48" s="301">
        <f t="shared" si="73"/>
        <v>0</v>
      </c>
      <c r="AF48" s="301">
        <f t="shared" si="73"/>
        <v>0</v>
      </c>
      <c r="AG48" s="301">
        <f t="shared" si="73"/>
        <v>0</v>
      </c>
      <c r="AH48" s="301">
        <f t="shared" si="73"/>
        <v>0</v>
      </c>
      <c r="AI48" s="301">
        <f t="shared" si="73"/>
        <v>0</v>
      </c>
      <c r="AJ48" s="301">
        <f t="shared" si="73"/>
        <v>0</v>
      </c>
      <c r="AK48" s="301">
        <f t="shared" si="73"/>
        <v>0</v>
      </c>
      <c r="AL48" s="301">
        <v>0</v>
      </c>
      <c r="AM48" s="301">
        <v>0</v>
      </c>
      <c r="AN48" s="306">
        <f>AM47+(AM47+AM54)*AN56/12</f>
        <v>0</v>
      </c>
      <c r="AO48" s="301">
        <f>AN48+(AN48+AN54)*AO56/12</f>
        <v>0</v>
      </c>
      <c r="AP48" s="301">
        <f t="shared" ref="AP48:AW48" si="74">AO48+(AO48+AO54)*AP56/12</f>
        <v>0</v>
      </c>
      <c r="AQ48" s="301">
        <f t="shared" si="74"/>
        <v>0</v>
      </c>
      <c r="AR48" s="301">
        <f t="shared" si="74"/>
        <v>0</v>
      </c>
      <c r="AS48" s="301">
        <f t="shared" si="74"/>
        <v>0</v>
      </c>
      <c r="AT48" s="301">
        <f t="shared" si="74"/>
        <v>0</v>
      </c>
      <c r="AU48" s="301">
        <f t="shared" si="74"/>
        <v>0</v>
      </c>
      <c r="AV48" s="301">
        <f t="shared" si="74"/>
        <v>0</v>
      </c>
      <c r="AW48" s="301">
        <f t="shared" si="74"/>
        <v>0</v>
      </c>
    </row>
    <row r="49" spans="1:49">
      <c r="A49" s="151">
        <v>182338</v>
      </c>
      <c r="B49" s="151" t="s">
        <v>326</v>
      </c>
      <c r="C49" s="302">
        <v>689441.81</v>
      </c>
      <c r="D49" s="301">
        <f t="shared" ref="D49:I49" si="75">C49-D59+(C49+C49-D59)/2*D56/12</f>
        <v>625559.05100104166</v>
      </c>
      <c r="E49" s="301">
        <f t="shared" si="75"/>
        <v>560279.62161083706</v>
      </c>
      <c r="F49" s="301">
        <f t="shared" si="75"/>
        <v>498344.8352665421</v>
      </c>
      <c r="G49" s="301">
        <f t="shared" si="75"/>
        <v>438278.90965779865</v>
      </c>
      <c r="H49" s="301">
        <f t="shared" si="75"/>
        <v>372911.40347467182</v>
      </c>
      <c r="I49" s="301">
        <f t="shared" si="75"/>
        <v>305605.42887734825</v>
      </c>
      <c r="J49" s="301">
        <f>I49-J59+(I49+I49-J59)/2*J56/12</f>
        <v>228449.73781360881</v>
      </c>
      <c r="K49" s="301">
        <f>J49-K59+(J49+J49-K59)/2*K56/12</f>
        <v>155294.28006774915</v>
      </c>
      <c r="L49" s="301">
        <f>K49-L59+(K49+K49-L59)/2*L56/12</f>
        <v>91564.995697089966</v>
      </c>
      <c r="M49" s="301">
        <f>L49-M59+(L49+L49-M59)/2*M56/12</f>
        <v>21974.917556782948</v>
      </c>
      <c r="N49" s="306">
        <f>IF(M48+M49+M54&gt;0,(M48+M49+M54)-N59+(M48+M49+M54-N59/2)*N56/12,0)</f>
        <v>1015188.1010409761</v>
      </c>
      <c r="O49" s="301">
        <f>IF(N49&lt;&gt;0,N49-O59+(N49+N49-O59)/2*O56/12,0)</f>
        <v>931706.80044957588</v>
      </c>
      <c r="P49" s="301">
        <f>IF(O49&lt;&gt;0,O49-P59+(O49+O49-P59)/2*P56/12,0)</f>
        <v>838474.73862198007</v>
      </c>
      <c r="Q49" s="301">
        <f>IF(P49&lt;&gt;0,P49-Q59+(P49+P49-Q59)/2*Q56/12,0)</f>
        <v>756212.79183018231</v>
      </c>
      <c r="R49" s="301">
        <f t="shared" ref="R49:Y49" si="76">IF(Q49&lt;&gt;0,Q49-R59+(Q49+Q49-R59)/2*R56/12,0)</f>
        <v>668577.47192696016</v>
      </c>
      <c r="S49" s="301">
        <f t="shared" si="76"/>
        <v>586715.69277885964</v>
      </c>
      <c r="T49" s="301">
        <f t="shared" si="76"/>
        <v>499024.91374767513</v>
      </c>
      <c r="U49" s="301">
        <f t="shared" si="76"/>
        <v>409084.44594625011</v>
      </c>
      <c r="V49" s="301">
        <f t="shared" si="76"/>
        <v>299522.07431226457</v>
      </c>
      <c r="W49" s="301">
        <f t="shared" si="76"/>
        <v>196129.48267034441</v>
      </c>
      <c r="X49" s="301">
        <f t="shared" si="76"/>
        <v>104914.42856720077</v>
      </c>
      <c r="Y49" s="301">
        <f t="shared" si="76"/>
        <v>12547.805501085015</v>
      </c>
      <c r="Z49" s="306">
        <f>IF(Y48+Y49+Y54&gt;0,(Y48+Y49+Y54)-Z59+(Y48+Y49+Y54-Z59/2)*Z56/12,0)</f>
        <v>6774247.0735973101</v>
      </c>
      <c r="AA49" s="301">
        <f>IF(Z49&lt;&gt;0,Z49-AA59+(Z49+Z49-AA59)/2*AA56/12,0)</f>
        <v>6139755.2573928116</v>
      </c>
      <c r="AB49" s="301">
        <f>IF(AA49&lt;&gt;0,AA49-AB59+(AA49+AA49-AB59)/2*AB56/12,0)</f>
        <v>5518021.4363568826</v>
      </c>
      <c r="AC49" s="301">
        <f>IF(AB49&lt;&gt;0,AB49-AC59+(AB49+AB49-AC59)/2*AC56/12,0)</f>
        <v>4970336.2694761297</v>
      </c>
      <c r="AD49" s="301">
        <f t="shared" ref="AD49:AK49" si="77">IF(AC49&lt;&gt;0,AC49-AD59+(AC49+AC49-AD59)/2*AD56/12,0)</f>
        <v>4384002.5497845169</v>
      </c>
      <c r="AE49" s="301">
        <f t="shared" si="77"/>
        <v>3836080.2119151843</v>
      </c>
      <c r="AF49" s="301">
        <f t="shared" si="77"/>
        <v>3252921.5618846649</v>
      </c>
      <c r="AG49" s="301">
        <f t="shared" si="77"/>
        <v>2647929.7096350016</v>
      </c>
      <c r="AH49" s="301">
        <f t="shared" si="77"/>
        <v>1921740.4681284567</v>
      </c>
      <c r="AI49" s="301">
        <f t="shared" si="77"/>
        <v>1225952.4797586412</v>
      </c>
      <c r="AJ49" s="301">
        <f t="shared" si="77"/>
        <v>617941.43396736297</v>
      </c>
      <c r="AK49" s="301">
        <f t="shared" si="77"/>
        <v>-5751.3281960274799</v>
      </c>
      <c r="AL49" s="306">
        <f>IF(AK48+AK49+AK54&gt;0,(AK48+AK49+AK54)-AL59+(AK48+AK49+AK54-AL59/2)*AL56/12,0)</f>
        <v>0</v>
      </c>
      <c r="AM49" s="301">
        <f>IF(AL49&lt;&gt;0,AL49-AM59+(AL49+AL49-AM59)/2*AM56/12,0)</f>
        <v>0</v>
      </c>
      <c r="AN49" s="301">
        <f>IF(AM49&lt;&gt;0,AM49-AN59+(AM49+AM49-AN59)/2*AN56/12,0)</f>
        <v>0</v>
      </c>
      <c r="AO49" s="301">
        <f>IF(AN49&lt;&gt;0,AN49-AO59+(AN49+AN49-AO59)/2*AO56/12,0)</f>
        <v>0</v>
      </c>
      <c r="AP49" s="301">
        <f t="shared" ref="AP49:AW49" si="78">IF(AO49&lt;&gt;0,AO49-AP59+(AO49+AO49-AP59)/2*AP56/12,0)</f>
        <v>0</v>
      </c>
      <c r="AQ49" s="301">
        <f t="shared" si="78"/>
        <v>0</v>
      </c>
      <c r="AR49" s="301">
        <f t="shared" si="78"/>
        <v>0</v>
      </c>
      <c r="AS49" s="301">
        <f t="shared" si="78"/>
        <v>0</v>
      </c>
      <c r="AT49" s="301">
        <f t="shared" si="78"/>
        <v>0</v>
      </c>
      <c r="AU49" s="301">
        <f t="shared" si="78"/>
        <v>0</v>
      </c>
      <c r="AV49" s="301">
        <f t="shared" si="78"/>
        <v>0</v>
      </c>
      <c r="AW49" s="301">
        <f t="shared" si="78"/>
        <v>0</v>
      </c>
    </row>
    <row r="50" spans="1:49" ht="15" thickBot="1">
      <c r="A50" s="151">
        <v>254338</v>
      </c>
      <c r="B50" s="151" t="s">
        <v>327</v>
      </c>
      <c r="C50" s="302">
        <v>0</v>
      </c>
      <c r="N50" s="306">
        <f>IF((M48+M49+M54)&lt;0,(M48+M49+M54)-N59+(M48+M49+M54-N59/2)*N56/12,0)</f>
        <v>0</v>
      </c>
      <c r="O50" s="301">
        <f>IF(N50&lt;&gt;0,N50-O59+(N50+N50-O59)/2*O56/12,0)</f>
        <v>0</v>
      </c>
      <c r="P50" s="301">
        <f>IF(O50&lt;&gt;0,O50-P59+(O50+O50-P59)/2*P56/12,0)</f>
        <v>0</v>
      </c>
      <c r="Q50" s="301">
        <f>IF(P50&lt;&gt;0,P50-Q59+(P50+P50-Q59)/2*Q56/12,0)</f>
        <v>0</v>
      </c>
      <c r="R50" s="301">
        <f t="shared" ref="R50:Y50" si="79">IF(Q50&lt;&gt;0,Q50-R59+(Q50+Q50-R59)/2*R56/12,0)</f>
        <v>0</v>
      </c>
      <c r="S50" s="301">
        <f t="shared" si="79"/>
        <v>0</v>
      </c>
      <c r="T50" s="301">
        <f t="shared" si="79"/>
        <v>0</v>
      </c>
      <c r="U50" s="301">
        <f t="shared" si="79"/>
        <v>0</v>
      </c>
      <c r="V50" s="301">
        <f t="shared" si="79"/>
        <v>0</v>
      </c>
      <c r="W50" s="301">
        <f t="shared" si="79"/>
        <v>0</v>
      </c>
      <c r="X50" s="301">
        <f t="shared" si="79"/>
        <v>0</v>
      </c>
      <c r="Y50" s="301">
        <f t="shared" si="79"/>
        <v>0</v>
      </c>
      <c r="Z50" s="306">
        <f>IF((Y48+Y49+Y54)&lt;0,(Y48+Y49+Y54)-Z59+(Y48+Y49+Y54-Z59/2)*Z56/12,0)</f>
        <v>0</v>
      </c>
      <c r="AA50" s="301">
        <f>IF(Z50&lt;&gt;0,Z50-AA59+(Z50+Z50-AA59)/2*AA56/12,0)</f>
        <v>0</v>
      </c>
      <c r="AB50" s="301">
        <f>IF(AA50&lt;&gt;0,AA50-AB59+(AA50+AA50-AB59)/2*AB56/12,0)</f>
        <v>0</v>
      </c>
      <c r="AC50" s="301">
        <f>IF(AB50&lt;&gt;0,AB50-AC59+(AB50+AB50-AC59)/2*AC56/12,0)</f>
        <v>0</v>
      </c>
      <c r="AD50" s="301">
        <f t="shared" ref="AD50:AK50" si="80">IF(AC50&lt;&gt;0,AC50-AD59+(AC50+AC50-AD59)/2*AD56/12,0)</f>
        <v>0</v>
      </c>
      <c r="AE50" s="301">
        <f t="shared" si="80"/>
        <v>0</v>
      </c>
      <c r="AF50" s="301">
        <f t="shared" si="80"/>
        <v>0</v>
      </c>
      <c r="AG50" s="301">
        <f t="shared" si="80"/>
        <v>0</v>
      </c>
      <c r="AH50" s="301">
        <f t="shared" si="80"/>
        <v>0</v>
      </c>
      <c r="AI50" s="301">
        <f t="shared" si="80"/>
        <v>0</v>
      </c>
      <c r="AJ50" s="301">
        <f t="shared" si="80"/>
        <v>0</v>
      </c>
      <c r="AK50" s="301">
        <f t="shared" si="80"/>
        <v>0</v>
      </c>
      <c r="AL50" s="306">
        <f>IF((AK48+AK49+AK54)&lt;0,(AK48+AK49+AK54)-AL59+(AK48+AK49+AK54-AL59/2)*AL56/12,0)</f>
        <v>-5775.1003525710603</v>
      </c>
      <c r="AM50" s="301">
        <f>IF(AL50&lt;&gt;0,AL50-AM59+(AL50+AL50-AM59)/2*AM56/12,0)</f>
        <v>-5798.9707673616876</v>
      </c>
      <c r="AN50" s="301">
        <f>IF(AM50&lt;&gt;0,AM50-AN59+(AM50+AM50-AN59)/2*AN56/12,0)</f>
        <v>-5822.9398465334489</v>
      </c>
      <c r="AO50" s="301">
        <f>IF(AN50&lt;&gt;0,AN50-AO59+(AN50+AN50-AO59)/2*AO56/12,0)</f>
        <v>-5847.0079978991207</v>
      </c>
      <c r="AP50" s="301">
        <f t="shared" ref="AP50:AW50" si="81">IF(AO50&lt;&gt;0,AO50-AP59+(AO50+AO50-AP59)/2*AP56/12,0)</f>
        <v>-5871.1756309571037</v>
      </c>
      <c r="AQ50" s="301">
        <f t="shared" si="81"/>
        <v>-5895.4431568983928</v>
      </c>
      <c r="AR50" s="301">
        <f t="shared" si="81"/>
        <v>-5919.8109886135726</v>
      </c>
      <c r="AS50" s="301">
        <f t="shared" si="81"/>
        <v>-5944.2795406998421</v>
      </c>
      <c r="AT50" s="301">
        <f t="shared" si="81"/>
        <v>-5968.8492294680682</v>
      </c>
      <c r="AU50" s="301">
        <f t="shared" si="81"/>
        <v>-5993.5204729498691</v>
      </c>
      <c r="AV50" s="301">
        <f t="shared" si="81"/>
        <v>-6018.2936909047285</v>
      </c>
      <c r="AW50" s="301">
        <f t="shared" si="81"/>
        <v>-6043.1693048271345</v>
      </c>
    </row>
    <row r="51" spans="1:49" ht="15" thickBot="1">
      <c r="A51" s="151">
        <v>253311</v>
      </c>
      <c r="B51" s="151" t="s">
        <v>328</v>
      </c>
      <c r="C51" s="307">
        <f>SUM(AB41:AK41)</f>
        <v>0</v>
      </c>
      <c r="N51" s="301"/>
      <c r="O51" s="332">
        <f>-O44</f>
        <v>0</v>
      </c>
      <c r="AA51" s="307"/>
      <c r="AM51" s="307"/>
    </row>
    <row r="52" spans="1:49">
      <c r="A52" s="151">
        <v>253312</v>
      </c>
      <c r="B52" s="151" t="s">
        <v>329</v>
      </c>
      <c r="C52" s="302">
        <v>0</v>
      </c>
      <c r="D52" s="331">
        <f>SUM(AB41:AK41)</f>
        <v>0</v>
      </c>
      <c r="E52" s="331">
        <f>SUM(AC41:AK41)</f>
        <v>0</v>
      </c>
      <c r="F52" s="331">
        <f>SUM(AD41:AK41)</f>
        <v>0</v>
      </c>
      <c r="G52" s="331">
        <f>SUM(AE41:AK41)</f>
        <v>0</v>
      </c>
      <c r="H52" s="331">
        <f>SUM(AF41:AK41)</f>
        <v>0</v>
      </c>
      <c r="I52" s="331">
        <f>SUM(AG41:AK41)</f>
        <v>0</v>
      </c>
      <c r="J52" s="331">
        <f>SUM(AH41:AK41)</f>
        <v>0</v>
      </c>
      <c r="K52" s="331">
        <f>SUM(AI41:AK41)</f>
        <v>0</v>
      </c>
      <c r="L52" s="331">
        <f>SUM(AJ41:AK41)</f>
        <v>0</v>
      </c>
      <c r="M52" s="331">
        <f>SUM(AK41:AK41)</f>
        <v>0</v>
      </c>
      <c r="N52" s="301"/>
      <c r="O52" s="303"/>
      <c r="P52" s="303">
        <f>-P44</f>
        <v>0</v>
      </c>
      <c r="Q52" s="303">
        <f t="shared" ref="Q52:Y52" si="82">-Q44</f>
        <v>0</v>
      </c>
      <c r="R52" s="303">
        <f t="shared" si="82"/>
        <v>0</v>
      </c>
      <c r="S52" s="303">
        <f t="shared" si="82"/>
        <v>0</v>
      </c>
      <c r="T52" s="303">
        <f t="shared" si="82"/>
        <v>0</v>
      </c>
      <c r="U52" s="303">
        <f t="shared" si="82"/>
        <v>0</v>
      </c>
      <c r="V52" s="303">
        <f t="shared" si="82"/>
        <v>0</v>
      </c>
      <c r="W52" s="303">
        <f t="shared" si="82"/>
        <v>0</v>
      </c>
      <c r="X52" s="303">
        <f t="shared" si="82"/>
        <v>0</v>
      </c>
      <c r="Y52" s="303">
        <f t="shared" si="82"/>
        <v>0</v>
      </c>
      <c r="AA52" s="303"/>
      <c r="AB52" s="303"/>
      <c r="AC52" s="303"/>
      <c r="AD52" s="303"/>
      <c r="AE52" s="303"/>
      <c r="AF52" s="303"/>
      <c r="AG52" s="303"/>
      <c r="AH52" s="303"/>
      <c r="AI52" s="303"/>
      <c r="AJ52" s="303"/>
      <c r="AK52" s="303"/>
      <c r="AM52" s="303"/>
      <c r="AN52" s="303"/>
      <c r="AO52" s="303"/>
      <c r="AP52" s="303"/>
      <c r="AQ52" s="303"/>
      <c r="AR52" s="303"/>
      <c r="AS52" s="303"/>
      <c r="AT52" s="303"/>
      <c r="AU52" s="303"/>
      <c r="AV52" s="303"/>
      <c r="AW52" s="303"/>
    </row>
    <row r="53" spans="1:49">
      <c r="A53" s="151">
        <v>283328</v>
      </c>
      <c r="B53" s="151" t="s">
        <v>330</v>
      </c>
      <c r="C53" s="301">
        <f>SUM(C47:C52)*-0.21</f>
        <v>-509324.12369999994</v>
      </c>
      <c r="D53" s="301">
        <f t="shared" ref="D53:I53" si="83">SUM(D47:D52)*-0.21</f>
        <v>-618230.11302134139</v>
      </c>
      <c r="E53" s="301">
        <f t="shared" si="83"/>
        <v>-693640.04821764445</v>
      </c>
      <c r="F53" s="301">
        <f t="shared" si="83"/>
        <v>-719557.72918978089</v>
      </c>
      <c r="G53" s="301">
        <f t="shared" si="83"/>
        <v>-818052.9444520144</v>
      </c>
      <c r="H53" s="301">
        <f t="shared" si="83"/>
        <v>-980204.00800341053</v>
      </c>
      <c r="I53" s="301">
        <f t="shared" si="83"/>
        <v>-1145440.7981480509</v>
      </c>
      <c r="J53" s="301">
        <f t="shared" ref="J53:AW53" si="84">SUM(J47:J52)*-0.21</f>
        <v>-1282962.5541518249</v>
      </c>
      <c r="K53" s="301">
        <f t="shared" si="84"/>
        <v>-1347929.8200601216</v>
      </c>
      <c r="L53" s="301">
        <f t="shared" si="84"/>
        <v>-1499712.3829783201</v>
      </c>
      <c r="M53" s="301">
        <f t="shared" si="84"/>
        <v>-1607345.1454905276</v>
      </c>
      <c r="N53" s="301">
        <f t="shared" si="84"/>
        <v>-1320393.3114722259</v>
      </c>
      <c r="O53" s="301">
        <f t="shared" si="84"/>
        <v>-1676541.6802006669</v>
      </c>
      <c r="P53" s="301">
        <f t="shared" si="84"/>
        <v>-1663083.9313255774</v>
      </c>
      <c r="Q53" s="301">
        <f t="shared" si="84"/>
        <v>-1651955.206675655</v>
      </c>
      <c r="R53" s="301">
        <f t="shared" si="84"/>
        <v>-1639723.4783135958</v>
      </c>
      <c r="S53" s="301">
        <f t="shared" si="84"/>
        <v>-1628729.7031572249</v>
      </c>
      <c r="T53" s="301">
        <f t="shared" si="84"/>
        <v>-1616537.4531123941</v>
      </c>
      <c r="U53" s="301">
        <f t="shared" si="84"/>
        <v>-1603898.4893884931</v>
      </c>
      <c r="V53" s="301">
        <f t="shared" si="84"/>
        <v>-1587164.753135747</v>
      </c>
      <c r="W53" s="301">
        <f t="shared" si="84"/>
        <v>-1571752.6047100688</v>
      </c>
      <c r="X53" s="301">
        <f t="shared" si="84"/>
        <v>-1558923.7803902524</v>
      </c>
      <c r="Y53" s="301">
        <f t="shared" si="84"/>
        <v>-1545879.2754479845</v>
      </c>
      <c r="Z53" s="301">
        <f t="shared" si="84"/>
        <v>-1422591.8854554351</v>
      </c>
      <c r="AA53" s="301">
        <f t="shared" si="84"/>
        <v>-1289348.6040524903</v>
      </c>
      <c r="AB53" s="301">
        <f t="shared" si="84"/>
        <v>-1158784.5016349454</v>
      </c>
      <c r="AC53" s="301">
        <f t="shared" si="84"/>
        <v>-1043770.6165899872</v>
      </c>
      <c r="AD53" s="301">
        <f t="shared" si="84"/>
        <v>-920640.53545474855</v>
      </c>
      <c r="AE53" s="301">
        <f t="shared" si="84"/>
        <v>-805576.84450218861</v>
      </c>
      <c r="AF53" s="301">
        <f t="shared" si="84"/>
        <v>-683113.52799577964</v>
      </c>
      <c r="AG53" s="301">
        <f t="shared" si="84"/>
        <v>-556065.2390233503</v>
      </c>
      <c r="AH53" s="301">
        <f t="shared" si="84"/>
        <v>-403565.49830697587</v>
      </c>
      <c r="AI53" s="301">
        <f t="shared" si="84"/>
        <v>-257450.02074931466</v>
      </c>
      <c r="AJ53" s="301">
        <f t="shared" si="84"/>
        <v>-129767.70113314621</v>
      </c>
      <c r="AK53" s="301">
        <f t="shared" si="84"/>
        <v>1207.7789211657707</v>
      </c>
      <c r="AL53" s="301">
        <f t="shared" si="84"/>
        <v>1212.7710740399227</v>
      </c>
      <c r="AM53" s="301">
        <f t="shared" si="84"/>
        <v>1217.7838611459545</v>
      </c>
      <c r="AN53" s="301">
        <f t="shared" si="84"/>
        <v>1222.8173677720242</v>
      </c>
      <c r="AO53" s="301">
        <f t="shared" si="84"/>
        <v>1227.8716795588152</v>
      </c>
      <c r="AP53" s="301">
        <f t="shared" si="84"/>
        <v>1232.9468825009917</v>
      </c>
      <c r="AQ53" s="301">
        <f t="shared" si="84"/>
        <v>1238.0430629486625</v>
      </c>
      <c r="AR53" s="301">
        <f t="shared" si="84"/>
        <v>1243.1603076088502</v>
      </c>
      <c r="AS53" s="301">
        <f t="shared" si="84"/>
        <v>1248.2987035469669</v>
      </c>
      <c r="AT53" s="301">
        <f t="shared" si="84"/>
        <v>1253.4583381882942</v>
      </c>
      <c r="AU53" s="301">
        <f t="shared" si="84"/>
        <v>1258.6392993194725</v>
      </c>
      <c r="AV53" s="301">
        <f t="shared" si="84"/>
        <v>1263.841675089993</v>
      </c>
      <c r="AW53" s="301">
        <f t="shared" si="84"/>
        <v>1269.0655540136981</v>
      </c>
    </row>
    <row r="54" spans="1:49">
      <c r="A54" s="151">
        <v>229000</v>
      </c>
      <c r="B54" s="151" t="s">
        <v>331</v>
      </c>
      <c r="C54" s="302">
        <f>-1425255-C22</f>
        <v>-697138</v>
      </c>
      <c r="D54" s="303">
        <f t="shared" ref="D54:I54" si="85">C54</f>
        <v>-697138</v>
      </c>
      <c r="E54" s="303">
        <f t="shared" si="85"/>
        <v>-697138</v>
      </c>
      <c r="F54" s="303">
        <f t="shared" si="85"/>
        <v>-697138</v>
      </c>
      <c r="G54" s="303">
        <f t="shared" si="85"/>
        <v>-697138</v>
      </c>
      <c r="H54" s="303">
        <f t="shared" si="85"/>
        <v>-697138</v>
      </c>
      <c r="I54" s="303">
        <f t="shared" si="85"/>
        <v>-697138</v>
      </c>
      <c r="J54" s="303">
        <f>I54</f>
        <v>-697138</v>
      </c>
      <c r="K54" s="303">
        <f>J54</f>
        <v>-697138</v>
      </c>
      <c r="L54" s="303">
        <f>K54</f>
        <v>-697138</v>
      </c>
      <c r="M54" s="303">
        <f>L54</f>
        <v>-697138</v>
      </c>
      <c r="N54" s="306">
        <v>0</v>
      </c>
      <c r="O54" s="308">
        <f>-SUM(D64:O64)</f>
        <v>0</v>
      </c>
      <c r="P54" s="303">
        <f t="shared" ref="P54:Y54" si="86">O54</f>
        <v>0</v>
      </c>
      <c r="Q54" s="303">
        <f t="shared" si="86"/>
        <v>0</v>
      </c>
      <c r="R54" s="303">
        <f t="shared" si="86"/>
        <v>0</v>
      </c>
      <c r="S54" s="303">
        <f t="shared" si="86"/>
        <v>0</v>
      </c>
      <c r="T54" s="303">
        <f t="shared" si="86"/>
        <v>0</v>
      </c>
      <c r="U54" s="303">
        <f t="shared" si="86"/>
        <v>0</v>
      </c>
      <c r="V54" s="303">
        <f t="shared" si="86"/>
        <v>0</v>
      </c>
      <c r="W54" s="303">
        <f t="shared" si="86"/>
        <v>0</v>
      </c>
      <c r="X54" s="303">
        <f t="shared" si="86"/>
        <v>0</v>
      </c>
      <c r="Y54" s="303">
        <f t="shared" si="86"/>
        <v>0</v>
      </c>
      <c r="Z54" s="306">
        <v>0</v>
      </c>
      <c r="AA54" s="308">
        <f>-SUM(P64:AA64)</f>
        <v>0</v>
      </c>
      <c r="AB54" s="303">
        <f t="shared" ref="AB54:AK54" si="87">AA54</f>
        <v>0</v>
      </c>
      <c r="AC54" s="303">
        <f t="shared" si="87"/>
        <v>0</v>
      </c>
      <c r="AD54" s="303">
        <f t="shared" si="87"/>
        <v>0</v>
      </c>
      <c r="AE54" s="303">
        <f t="shared" si="87"/>
        <v>0</v>
      </c>
      <c r="AF54" s="303">
        <f t="shared" si="87"/>
        <v>0</v>
      </c>
      <c r="AG54" s="303">
        <f t="shared" si="87"/>
        <v>0</v>
      </c>
      <c r="AH54" s="303">
        <f t="shared" si="87"/>
        <v>0</v>
      </c>
      <c r="AI54" s="303">
        <f t="shared" si="87"/>
        <v>0</v>
      </c>
      <c r="AJ54" s="303">
        <f t="shared" si="87"/>
        <v>0</v>
      </c>
      <c r="AK54" s="303">
        <f t="shared" si="87"/>
        <v>0</v>
      </c>
      <c r="AL54" s="306">
        <v>0</v>
      </c>
      <c r="AM54" s="308">
        <f>-SUM(AB64:AM64)</f>
        <v>0</v>
      </c>
      <c r="AN54" s="303">
        <f t="shared" ref="AN54:AW54" si="88">AM54</f>
        <v>0</v>
      </c>
      <c r="AO54" s="303">
        <f t="shared" si="88"/>
        <v>0</v>
      </c>
      <c r="AP54" s="303">
        <f t="shared" si="88"/>
        <v>0</v>
      </c>
      <c r="AQ54" s="303">
        <f t="shared" si="88"/>
        <v>0</v>
      </c>
      <c r="AR54" s="303">
        <f t="shared" si="88"/>
        <v>0</v>
      </c>
      <c r="AS54" s="303">
        <f t="shared" si="88"/>
        <v>0</v>
      </c>
      <c r="AT54" s="303">
        <f t="shared" si="88"/>
        <v>0</v>
      </c>
      <c r="AU54" s="303">
        <f t="shared" si="88"/>
        <v>0</v>
      </c>
      <c r="AV54" s="303">
        <f t="shared" si="88"/>
        <v>0</v>
      </c>
      <c r="AW54" s="303">
        <f t="shared" si="88"/>
        <v>0</v>
      </c>
    </row>
    <row r="55" spans="1:49">
      <c r="A55" s="151">
        <v>190449</v>
      </c>
      <c r="B55" s="151" t="s">
        <v>332</v>
      </c>
      <c r="C55" s="301">
        <f>C54*-0.21</f>
        <v>146398.97999999998</v>
      </c>
      <c r="D55" s="301">
        <f t="shared" ref="D55:I55" si="89">D54*-0.21</f>
        <v>146398.97999999998</v>
      </c>
      <c r="E55" s="301">
        <f t="shared" si="89"/>
        <v>146398.97999999998</v>
      </c>
      <c r="F55" s="301">
        <f t="shared" si="89"/>
        <v>146398.97999999998</v>
      </c>
      <c r="G55" s="301">
        <f t="shared" si="89"/>
        <v>146398.97999999998</v>
      </c>
      <c r="H55" s="301">
        <f t="shared" si="89"/>
        <v>146398.97999999998</v>
      </c>
      <c r="I55" s="301">
        <f t="shared" si="89"/>
        <v>146398.97999999998</v>
      </c>
      <c r="J55" s="301">
        <f t="shared" ref="J55:AW55" si="90">J54*-0.21</f>
        <v>146398.97999999998</v>
      </c>
      <c r="K55" s="301">
        <f t="shared" si="90"/>
        <v>146398.97999999998</v>
      </c>
      <c r="L55" s="301">
        <f t="shared" si="90"/>
        <v>146398.97999999998</v>
      </c>
      <c r="M55" s="301">
        <f t="shared" si="90"/>
        <v>146398.97999999998</v>
      </c>
      <c r="N55" s="301">
        <f t="shared" si="90"/>
        <v>0</v>
      </c>
      <c r="O55" s="301">
        <f t="shared" si="90"/>
        <v>0</v>
      </c>
      <c r="P55" s="301">
        <f t="shared" si="90"/>
        <v>0</v>
      </c>
      <c r="Q55" s="301">
        <f t="shared" si="90"/>
        <v>0</v>
      </c>
      <c r="R55" s="301">
        <f t="shared" si="90"/>
        <v>0</v>
      </c>
      <c r="S55" s="301">
        <f t="shared" si="90"/>
        <v>0</v>
      </c>
      <c r="T55" s="301">
        <f t="shared" si="90"/>
        <v>0</v>
      </c>
      <c r="U55" s="301">
        <f t="shared" si="90"/>
        <v>0</v>
      </c>
      <c r="V55" s="301">
        <f t="shared" si="90"/>
        <v>0</v>
      </c>
      <c r="W55" s="301">
        <f t="shared" si="90"/>
        <v>0</v>
      </c>
      <c r="X55" s="301">
        <f t="shared" si="90"/>
        <v>0</v>
      </c>
      <c r="Y55" s="301">
        <f t="shared" si="90"/>
        <v>0</v>
      </c>
      <c r="Z55" s="301">
        <f t="shared" si="90"/>
        <v>0</v>
      </c>
      <c r="AA55" s="301">
        <f t="shared" si="90"/>
        <v>0</v>
      </c>
      <c r="AB55" s="301">
        <f t="shared" si="90"/>
        <v>0</v>
      </c>
      <c r="AC55" s="301">
        <f t="shared" si="90"/>
        <v>0</v>
      </c>
      <c r="AD55" s="301">
        <f t="shared" si="90"/>
        <v>0</v>
      </c>
      <c r="AE55" s="301">
        <f t="shared" si="90"/>
        <v>0</v>
      </c>
      <c r="AF55" s="301">
        <f t="shared" si="90"/>
        <v>0</v>
      </c>
      <c r="AG55" s="301">
        <f t="shared" si="90"/>
        <v>0</v>
      </c>
      <c r="AH55" s="301">
        <f t="shared" si="90"/>
        <v>0</v>
      </c>
      <c r="AI55" s="301">
        <f t="shared" si="90"/>
        <v>0</v>
      </c>
      <c r="AJ55" s="301">
        <f t="shared" si="90"/>
        <v>0</v>
      </c>
      <c r="AK55" s="301">
        <f t="shared" si="90"/>
        <v>0</v>
      </c>
      <c r="AL55" s="301">
        <f t="shared" si="90"/>
        <v>0</v>
      </c>
      <c r="AM55" s="301">
        <f t="shared" si="90"/>
        <v>0</v>
      </c>
      <c r="AN55" s="301">
        <f t="shared" si="90"/>
        <v>0</v>
      </c>
      <c r="AO55" s="301">
        <f t="shared" si="90"/>
        <v>0</v>
      </c>
      <c r="AP55" s="301">
        <f t="shared" si="90"/>
        <v>0</v>
      </c>
      <c r="AQ55" s="301">
        <f t="shared" si="90"/>
        <v>0</v>
      </c>
      <c r="AR55" s="301">
        <f t="shared" si="90"/>
        <v>0</v>
      </c>
      <c r="AS55" s="301">
        <f t="shared" si="90"/>
        <v>0</v>
      </c>
      <c r="AT55" s="301">
        <f t="shared" si="90"/>
        <v>0</v>
      </c>
      <c r="AU55" s="301">
        <f t="shared" si="90"/>
        <v>0</v>
      </c>
      <c r="AV55" s="301">
        <f t="shared" si="90"/>
        <v>0</v>
      </c>
      <c r="AW55" s="301">
        <f t="shared" si="90"/>
        <v>0</v>
      </c>
    </row>
    <row r="56" spans="1:49">
      <c r="B56" s="151" t="s">
        <v>333</v>
      </c>
      <c r="C56" s="301"/>
      <c r="D56" s="278">
        <f t="shared" ref="D56:I56" si="91">D24</f>
        <v>4.2500000000000003E-2</v>
      </c>
      <c r="E56" s="278">
        <f t="shared" si="91"/>
        <v>4.2500000000000003E-2</v>
      </c>
      <c r="F56" s="278">
        <f t="shared" si="91"/>
        <v>4.2500000000000003E-2</v>
      </c>
      <c r="G56" s="278">
        <f t="shared" si="91"/>
        <v>4.4699999999999997E-2</v>
      </c>
      <c r="H56" s="278">
        <f t="shared" si="91"/>
        <v>4.4699999999999997E-2</v>
      </c>
      <c r="I56" s="278">
        <f t="shared" si="91"/>
        <v>4.4699999999999997E-2</v>
      </c>
      <c r="J56" s="278">
        <f t="shared" ref="J56:AW56" si="92">J24</f>
        <v>4.6899999999999997E-2</v>
      </c>
      <c r="K56" s="278">
        <f t="shared" si="92"/>
        <v>4.6899999999999997E-2</v>
      </c>
      <c r="L56" s="278">
        <f t="shared" si="92"/>
        <v>4.6899999999999997E-2</v>
      </c>
      <c r="M56" s="278">
        <f t="shared" si="92"/>
        <v>4.9599999999999998E-2</v>
      </c>
      <c r="N56" s="278">
        <f t="shared" si="92"/>
        <v>4.9599999999999998E-2</v>
      </c>
      <c r="O56" s="278">
        <f t="shared" si="92"/>
        <v>4.9599999999999998E-2</v>
      </c>
      <c r="P56" s="278">
        <f t="shared" si="92"/>
        <v>4.9599999999999998E-2</v>
      </c>
      <c r="Q56" s="278">
        <f t="shared" si="92"/>
        <v>4.9599999999999998E-2</v>
      </c>
      <c r="R56" s="278">
        <f t="shared" si="92"/>
        <v>4.9599999999999998E-2</v>
      </c>
      <c r="S56" s="278">
        <f t="shared" si="92"/>
        <v>4.9599999999999998E-2</v>
      </c>
      <c r="T56" s="278">
        <f t="shared" si="92"/>
        <v>4.9599999999999998E-2</v>
      </c>
      <c r="U56" s="278">
        <f t="shared" si="92"/>
        <v>4.9599999999999998E-2</v>
      </c>
      <c r="V56" s="278">
        <f t="shared" si="92"/>
        <v>4.9599999999999998E-2</v>
      </c>
      <c r="W56" s="278">
        <f t="shared" si="92"/>
        <v>4.9599999999999998E-2</v>
      </c>
      <c r="X56" s="278">
        <f t="shared" si="92"/>
        <v>4.9599999999999998E-2</v>
      </c>
      <c r="Y56" s="278">
        <f t="shared" si="92"/>
        <v>4.9599999999999998E-2</v>
      </c>
      <c r="Z56" s="278">
        <f t="shared" si="92"/>
        <v>4.9599999999999998E-2</v>
      </c>
      <c r="AA56" s="278">
        <f t="shared" si="92"/>
        <v>4.9599999999999998E-2</v>
      </c>
      <c r="AB56" s="278">
        <f t="shared" si="92"/>
        <v>4.9599999999999998E-2</v>
      </c>
      <c r="AC56" s="278">
        <f t="shared" si="92"/>
        <v>4.9599999999999998E-2</v>
      </c>
      <c r="AD56" s="278">
        <f t="shared" si="92"/>
        <v>4.9599999999999998E-2</v>
      </c>
      <c r="AE56" s="278">
        <f t="shared" si="92"/>
        <v>4.9599999999999998E-2</v>
      </c>
      <c r="AF56" s="278">
        <f t="shared" si="92"/>
        <v>4.9599999999999998E-2</v>
      </c>
      <c r="AG56" s="278">
        <f t="shared" si="92"/>
        <v>4.9599999999999998E-2</v>
      </c>
      <c r="AH56" s="278">
        <f t="shared" si="92"/>
        <v>4.9599999999999998E-2</v>
      </c>
      <c r="AI56" s="278">
        <f t="shared" si="92"/>
        <v>4.9599999999999998E-2</v>
      </c>
      <c r="AJ56" s="278">
        <f t="shared" si="92"/>
        <v>4.9599999999999998E-2</v>
      </c>
      <c r="AK56" s="278">
        <f t="shared" si="92"/>
        <v>4.9599999999999998E-2</v>
      </c>
      <c r="AL56" s="278">
        <f t="shared" si="92"/>
        <v>4.9599999999999998E-2</v>
      </c>
      <c r="AM56" s="278">
        <f t="shared" si="92"/>
        <v>4.9599999999999998E-2</v>
      </c>
      <c r="AN56" s="278">
        <f t="shared" si="92"/>
        <v>4.9599999999999998E-2</v>
      </c>
      <c r="AO56" s="278">
        <f t="shared" si="92"/>
        <v>4.9599999999999998E-2</v>
      </c>
      <c r="AP56" s="278">
        <f t="shared" si="92"/>
        <v>4.9599999999999998E-2</v>
      </c>
      <c r="AQ56" s="278">
        <f t="shared" si="92"/>
        <v>4.9599999999999998E-2</v>
      </c>
      <c r="AR56" s="278">
        <f t="shared" si="92"/>
        <v>4.9599999999999998E-2</v>
      </c>
      <c r="AS56" s="278">
        <f t="shared" si="92"/>
        <v>4.9599999999999998E-2</v>
      </c>
      <c r="AT56" s="278">
        <f t="shared" si="92"/>
        <v>4.9599999999999998E-2</v>
      </c>
      <c r="AU56" s="278">
        <f t="shared" si="92"/>
        <v>4.9599999999999998E-2</v>
      </c>
      <c r="AV56" s="278">
        <f t="shared" si="92"/>
        <v>4.9599999999999998E-2</v>
      </c>
      <c r="AW56" s="278">
        <f t="shared" si="92"/>
        <v>4.9599999999999998E-2</v>
      </c>
    </row>
    <row r="57" spans="1:49">
      <c r="A57" s="151" t="s">
        <v>334</v>
      </c>
      <c r="C57" s="301"/>
    </row>
    <row r="58" spans="1:49">
      <c r="A58" s="151">
        <v>456338</v>
      </c>
      <c r="B58" s="151" t="s">
        <v>371</v>
      </c>
      <c r="C58" s="309"/>
      <c r="D58" s="302">
        <f>'Deferral Calc'!D65</f>
        <v>-577780.56678618619</v>
      </c>
      <c r="E58" s="302">
        <f>'Deferral Calc'!E65</f>
        <v>-417892.39325033699</v>
      </c>
      <c r="F58" s="302">
        <f>'Deferral Calc'!F65</f>
        <v>-177792.53345093745</v>
      </c>
      <c r="G58" s="302">
        <f>'Deferral Calc'!G65</f>
        <v>-519812.2</v>
      </c>
      <c r="H58" s="302">
        <f>'Deferral Calc'!H65</f>
        <v>-825696.29545613599</v>
      </c>
      <c r="I58" s="302">
        <f>'Deferral Calc'!I65</f>
        <v>-839183.83451837022</v>
      </c>
      <c r="J58" s="302">
        <f>'Deferral Calc'!J65</f>
        <v>-713228.55797224038</v>
      </c>
      <c r="K58" s="302">
        <f>'Deferral Calc'!K65</f>
        <v>-361556.99477712484</v>
      </c>
      <c r="L58" s="302">
        <f>'Deferral Calc'!L65</f>
        <v>-763256.98</v>
      </c>
      <c r="M58" s="302">
        <f>'Deferral Calc'!M65</f>
        <v>-554722.43999999994</v>
      </c>
      <c r="N58" s="302">
        <f>'Deferral Calc'!N65</f>
        <v>606903.42000000004</v>
      </c>
      <c r="O58" s="302">
        <f>'Deferral Calc'!O65</f>
        <v>-1754008.38</v>
      </c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</row>
    <row r="59" spans="1:49">
      <c r="A59" s="151">
        <v>456339</v>
      </c>
      <c r="B59" s="151" t="s">
        <v>372</v>
      </c>
      <c r="C59" s="301"/>
      <c r="D59" s="313">
        <f>'Deferral Calc'!D69</f>
        <v>66207.289999999994</v>
      </c>
      <c r="E59" s="313">
        <f>'Deferral Calc'!E69</f>
        <v>67375.64</v>
      </c>
      <c r="F59" s="313">
        <f>'Deferral Calc'!F69</f>
        <v>63806.12</v>
      </c>
      <c r="G59" s="313">
        <f>'Deferral Calc'!G69</f>
        <v>61807.1443138268</v>
      </c>
      <c r="H59" s="313">
        <f>'Deferral Calc'!H69</f>
        <v>66875.539429414814</v>
      </c>
      <c r="I59" s="313">
        <f>'Deferral Calc'!I69</f>
        <v>68567.362861936403</v>
      </c>
      <c r="J59" s="313">
        <f>'Deferral Calc'!J69</f>
        <v>78197.288413826405</v>
      </c>
      <c r="K59" s="313">
        <f>'Deferral Calc'!K69</f>
        <v>73903.894943113177</v>
      </c>
      <c r="L59" s="313">
        <f>'Deferral Calc'!L69</f>
        <v>64210.747679167587</v>
      </c>
      <c r="M59" s="313">
        <f>'Deferral Calc'!M69</f>
        <v>69824.243352925609</v>
      </c>
      <c r="N59" s="313">
        <f>'Deferral Calc'!N69</f>
        <v>89711.34521060923</v>
      </c>
      <c r="O59" s="313">
        <f>'Deferral Calc'!O69</f>
        <v>87496.585133094544</v>
      </c>
      <c r="P59" s="301">
        <f t="shared" ref="P59:AW59" si="93">P35*P36</f>
        <v>96882.891959404617</v>
      </c>
      <c r="Q59" s="301">
        <f t="shared" si="93"/>
        <v>85550.837314318967</v>
      </c>
      <c r="R59" s="301">
        <f t="shared" si="93"/>
        <v>90573.813561426592</v>
      </c>
      <c r="S59" s="301">
        <f t="shared" si="93"/>
        <v>84450.701249483041</v>
      </c>
      <c r="T59" s="301">
        <f t="shared" si="93"/>
        <v>89930.01519659748</v>
      </c>
      <c r="U59" s="301">
        <f t="shared" si="93"/>
        <v>91813.356508131954</v>
      </c>
      <c r="V59" s="301">
        <f t="shared" si="93"/>
        <v>111023.80481394788</v>
      </c>
      <c r="W59" s="301">
        <f t="shared" si="93"/>
        <v>104414.82557622001</v>
      </c>
      <c r="X59" s="301">
        <f t="shared" si="93"/>
        <v>91835.928379530043</v>
      </c>
      <c r="Y59" s="301">
        <f t="shared" si="93"/>
        <v>92608.877690300229</v>
      </c>
      <c r="Z59" s="301">
        <f t="shared" si="93"/>
        <v>616236.08509588742</v>
      </c>
      <c r="AA59" s="301">
        <f t="shared" si="93"/>
        <v>661125.71097269084</v>
      </c>
      <c r="AB59" s="301">
        <f t="shared" si="93"/>
        <v>645776.8705673134</v>
      </c>
      <c r="AC59" s="301">
        <f t="shared" si="93"/>
        <v>569316.4015877468</v>
      </c>
      <c r="AD59" s="301">
        <f t="shared" si="93"/>
        <v>605626.14889772551</v>
      </c>
      <c r="AE59" s="301">
        <f t="shared" si="93"/>
        <v>564875.47243208252</v>
      </c>
      <c r="AF59" s="301">
        <f t="shared" si="93"/>
        <v>597779.03822743217</v>
      </c>
      <c r="AG59" s="301">
        <f t="shared" si="93"/>
        <v>617161.79366521165</v>
      </c>
      <c r="AH59" s="301">
        <f t="shared" si="93"/>
        <v>735613.74922463845</v>
      </c>
      <c r="AI59" s="301">
        <f t="shared" si="93"/>
        <v>702279.80404305737</v>
      </c>
      <c r="AJ59" s="301">
        <f t="shared" si="93"/>
        <v>611813.90064627829</v>
      </c>
      <c r="AK59" s="301">
        <f t="shared" si="93"/>
        <v>624955.34570932295</v>
      </c>
      <c r="AL59" s="301">
        <f t="shared" si="93"/>
        <v>0</v>
      </c>
      <c r="AM59" s="301">
        <f t="shared" si="93"/>
        <v>0</v>
      </c>
      <c r="AN59" s="301">
        <f t="shared" si="93"/>
        <v>0</v>
      </c>
      <c r="AO59" s="301">
        <f t="shared" si="93"/>
        <v>0</v>
      </c>
      <c r="AP59" s="301">
        <f t="shared" si="93"/>
        <v>0</v>
      </c>
      <c r="AQ59" s="301">
        <f t="shared" si="93"/>
        <v>0</v>
      </c>
      <c r="AR59" s="301">
        <f t="shared" si="93"/>
        <v>0</v>
      </c>
      <c r="AS59" s="301">
        <f t="shared" si="93"/>
        <v>0</v>
      </c>
      <c r="AT59" s="301">
        <f t="shared" si="93"/>
        <v>0</v>
      </c>
      <c r="AU59" s="301">
        <f t="shared" si="93"/>
        <v>0</v>
      </c>
      <c r="AV59" s="301">
        <f t="shared" si="93"/>
        <v>0</v>
      </c>
      <c r="AW59" s="301">
        <f t="shared" si="93"/>
        <v>0</v>
      </c>
    </row>
    <row r="60" spans="1:49">
      <c r="A60" s="222" t="s">
        <v>337</v>
      </c>
      <c r="B60" s="151" t="s">
        <v>338</v>
      </c>
      <c r="C60" s="301"/>
      <c r="D60" s="303">
        <f t="shared" ref="D60" si="94">SUM(C47:C52,C54)-SUM(D47:D52,D54)-SUM(D58:D59,D63:D64)</f>
        <v>-7026.6723630587221</v>
      </c>
      <c r="E60" s="303">
        <f t="shared" ref="E60" si="95">SUM(D47:D52,D54)-SUM(E47:E52,E54)-SUM(E58:E59,E63:E64)</f>
        <v>-8578.1762558680493</v>
      </c>
      <c r="F60" s="303">
        <f t="shared" ref="F60" si="96">SUM(E47:E52,E54)-SUM(F47:F52,F54)-SUM(F58:F59,F63:F64)</f>
        <v>-9431.1149878076103</v>
      </c>
      <c r="G60" s="303">
        <f t="shared" ref="G60" si="97">SUM(F47:F52,F54)-SUM(G47:G52,G54)-SUM(G58:G59,G63:G64)</f>
        <v>-11019.778895891097</v>
      </c>
      <c r="H60" s="303">
        <f t="shared" ref="H60" si="98">SUM(G47:G52,G54)-SUM(H47:H52,H54)-SUM(H58:H59,H63:H64)</f>
        <v>-13327.165646593901</v>
      </c>
      <c r="I60" s="303">
        <f t="shared" ref="I60" si="99">SUM(H47:H52,H54)-SUM(I47:I52,I54)-SUM(I58:I59,I63:I64)</f>
        <v>-16225.386175186839</v>
      </c>
      <c r="J60" s="303">
        <f t="shared" ref="J60:AW60" si="100">SUM(I47:I52,I54)-SUM(J47:J52,J54)-SUM(J58:J59,J63:J64)</f>
        <v>-19834.235221462208</v>
      </c>
      <c r="K60" s="303">
        <f t="shared" si="100"/>
        <v>-21714.833062639693</v>
      </c>
      <c r="L60" s="303">
        <f t="shared" si="100"/>
        <v>-23727.876813445822</v>
      </c>
      <c r="M60" s="303">
        <f t="shared" si="100"/>
        <v>-27638.767696771538</v>
      </c>
      <c r="N60" s="303">
        <f>SUM(M47:M52,M54)-SUM(N47:N52,N54)-SUM(N58:N59,N63:N64)</f>
        <v>-27315.460361552774</v>
      </c>
      <c r="O60" s="303">
        <f t="shared" si="100"/>
        <v>-29432.818125671009</v>
      </c>
      <c r="P60" s="303">
        <f t="shared" si="100"/>
        <v>-32798.373506598218</v>
      </c>
      <c r="Q60" s="303">
        <f t="shared" si="100"/>
        <v>-32556.910409926539</v>
      </c>
      <c r="R60" s="303">
        <f t="shared" si="100"/>
        <v>-32327.488027811167</v>
      </c>
      <c r="S60" s="303">
        <f t="shared" si="100"/>
        <v>-32099.390981050208</v>
      </c>
      <c r="T60" s="303">
        <f t="shared" si="100"/>
        <v>-31871.681649783903</v>
      </c>
      <c r="U60" s="303">
        <f t="shared" si="100"/>
        <v>-31627.814965746249</v>
      </c>
      <c r="V60" s="303">
        <f t="shared" si="100"/>
        <v>-31339.346467538155</v>
      </c>
      <c r="W60" s="303">
        <f t="shared" si="100"/>
        <v>-31023.642596799255</v>
      </c>
      <c r="X60" s="303">
        <f t="shared" si="100"/>
        <v>-30746.288761356802</v>
      </c>
      <c r="Y60" s="303">
        <f t="shared" si="100"/>
        <v>-30492.187489025178</v>
      </c>
      <c r="Z60" s="303">
        <f t="shared" si="100"/>
        <v>-29153.275607556454</v>
      </c>
      <c r="AA60" s="303">
        <f t="shared" si="100"/>
        <v>-26633.894768192316</v>
      </c>
      <c r="AB60" s="303">
        <f t="shared" si="100"/>
        <v>-24043.049531384371</v>
      </c>
      <c r="AC60" s="303">
        <f t="shared" si="100"/>
        <v>-21631.234706993913</v>
      </c>
      <c r="AD60" s="303">
        <f t="shared" si="100"/>
        <v>-19292.429206112749</v>
      </c>
      <c r="AE60" s="303">
        <f t="shared" si="100"/>
        <v>-16953.134562749881</v>
      </c>
      <c r="AF60" s="303">
        <f t="shared" si="100"/>
        <v>-14620.388196912827</v>
      </c>
      <c r="AG60" s="303">
        <f t="shared" si="100"/>
        <v>-12169.941415548325</v>
      </c>
      <c r="AH60" s="303">
        <f t="shared" si="100"/>
        <v>-9424.5077180935768</v>
      </c>
      <c r="AI60" s="303">
        <f t="shared" si="100"/>
        <v>-6491.8156732418574</v>
      </c>
      <c r="AJ60" s="303">
        <f t="shared" si="100"/>
        <v>-3802.8548550000414</v>
      </c>
      <c r="AK60" s="303">
        <f t="shared" si="100"/>
        <v>-1262.5835459325463</v>
      </c>
      <c r="AL60" s="303">
        <f t="shared" si="100"/>
        <v>23.772156543580422</v>
      </c>
      <c r="AM60" s="303">
        <f t="shared" si="100"/>
        <v>23.870414790627365</v>
      </c>
      <c r="AN60" s="303">
        <f t="shared" si="100"/>
        <v>23.969079171761223</v>
      </c>
      <c r="AO60" s="303">
        <f t="shared" si="100"/>
        <v>24.068151365671838</v>
      </c>
      <c r="AP60" s="303">
        <f t="shared" si="100"/>
        <v>24.167633057983039</v>
      </c>
      <c r="AQ60" s="303">
        <f t="shared" si="100"/>
        <v>24.267525941289023</v>
      </c>
      <c r="AR60" s="303">
        <f t="shared" si="100"/>
        <v>24.367831715179818</v>
      </c>
      <c r="AS60" s="303">
        <f t="shared" si="100"/>
        <v>24.468552086269483</v>
      </c>
      <c r="AT60" s="303">
        <f t="shared" si="100"/>
        <v>24.569688768226115</v>
      </c>
      <c r="AU60" s="303">
        <f t="shared" si="100"/>
        <v>24.671243481800957</v>
      </c>
      <c r="AV60" s="303">
        <f t="shared" si="100"/>
        <v>24.773217954859319</v>
      </c>
      <c r="AW60" s="303">
        <f t="shared" si="100"/>
        <v>24.875613922406046</v>
      </c>
    </row>
    <row r="61" spans="1:49">
      <c r="A61" s="222" t="s">
        <v>339</v>
      </c>
      <c r="B61" s="151" t="s">
        <v>340</v>
      </c>
      <c r="C61" s="301"/>
      <c r="D61" s="303">
        <f t="shared" ref="D61:I61" si="101">SUM(D58:D59,D63:D64)*-0.21</f>
        <v>107430.3881250991</v>
      </c>
      <c r="E61" s="303">
        <f t="shared" si="101"/>
        <v>73608.518182570755</v>
      </c>
      <c r="F61" s="303">
        <f t="shared" si="101"/>
        <v>23937.146824696865</v>
      </c>
      <c r="G61" s="303">
        <f t="shared" si="101"/>
        <v>96181.061694096366</v>
      </c>
      <c r="H61" s="303">
        <f t="shared" si="101"/>
        <v>159352.35876561145</v>
      </c>
      <c r="I61" s="303">
        <f t="shared" si="101"/>
        <v>161829.45904785109</v>
      </c>
      <c r="J61" s="303">
        <f t="shared" ref="J61:AW61" si="102">SUM(J58:J59,J63:J64)*-0.21</f>
        <v>133356.56660726693</v>
      </c>
      <c r="K61" s="303">
        <f t="shared" si="102"/>
        <v>60407.150965142442</v>
      </c>
      <c r="L61" s="303">
        <f t="shared" si="102"/>
        <v>146799.70878737481</v>
      </c>
      <c r="M61" s="303">
        <f t="shared" si="102"/>
        <v>101828.6212958856</v>
      </c>
      <c r="N61" s="303">
        <f>SUM(N58:N59,N63:N64)*-0.21</f>
        <v>-146289.10069422793</v>
      </c>
      <c r="O61" s="303">
        <f t="shared" si="102"/>
        <v>349967.47692205012</v>
      </c>
      <c r="P61" s="303">
        <f t="shared" si="102"/>
        <v>-20345.40731147497</v>
      </c>
      <c r="Q61" s="303">
        <f t="shared" si="102"/>
        <v>-17965.675836006983</v>
      </c>
      <c r="R61" s="303">
        <f t="shared" si="102"/>
        <v>-19020.500847899584</v>
      </c>
      <c r="S61" s="303">
        <f t="shared" si="102"/>
        <v>-17734.647262391438</v>
      </c>
      <c r="T61" s="303">
        <f t="shared" si="102"/>
        <v>-18885.303191285471</v>
      </c>
      <c r="U61" s="303">
        <f t="shared" si="102"/>
        <v>-19280.804866707709</v>
      </c>
      <c r="V61" s="303">
        <f t="shared" si="102"/>
        <v>-23314.999010929052</v>
      </c>
      <c r="W61" s="303">
        <f t="shared" si="102"/>
        <v>-21927.113371006202</v>
      </c>
      <c r="X61" s="303">
        <f t="shared" si="102"/>
        <v>-19285.544959701307</v>
      </c>
      <c r="Y61" s="303">
        <f t="shared" si="102"/>
        <v>-19447.864314963048</v>
      </c>
      <c r="Z61" s="303">
        <f t="shared" si="102"/>
        <v>-129409.57787013636</v>
      </c>
      <c r="AA61" s="303">
        <f t="shared" si="102"/>
        <v>-138836.39930426507</v>
      </c>
      <c r="AB61" s="303">
        <f t="shared" si="102"/>
        <v>-135613.1428191358</v>
      </c>
      <c r="AC61" s="303">
        <f t="shared" si="102"/>
        <v>-119556.44433342683</v>
      </c>
      <c r="AD61" s="303">
        <f t="shared" si="102"/>
        <v>-127181.49126852235</v>
      </c>
      <c r="AE61" s="303">
        <f t="shared" si="102"/>
        <v>-118623.84921073733</v>
      </c>
      <c r="AF61" s="303">
        <f t="shared" si="102"/>
        <v>-125533.59802776075</v>
      </c>
      <c r="AG61" s="303">
        <f t="shared" si="102"/>
        <v>-129603.97666969444</v>
      </c>
      <c r="AH61" s="303">
        <f t="shared" si="102"/>
        <v>-154478.88733717406</v>
      </c>
      <c r="AI61" s="303">
        <f t="shared" si="102"/>
        <v>-147478.75884904203</v>
      </c>
      <c r="AJ61" s="303">
        <f t="shared" si="102"/>
        <v>-128480.91913571843</v>
      </c>
      <c r="AK61" s="303">
        <f t="shared" si="102"/>
        <v>-131240.62259895782</v>
      </c>
      <c r="AL61" s="303">
        <f t="shared" si="102"/>
        <v>0</v>
      </c>
      <c r="AM61" s="303">
        <f t="shared" si="102"/>
        <v>0</v>
      </c>
      <c r="AN61" s="303">
        <f t="shared" si="102"/>
        <v>0</v>
      </c>
      <c r="AO61" s="303">
        <f t="shared" si="102"/>
        <v>0</v>
      </c>
      <c r="AP61" s="303">
        <f t="shared" si="102"/>
        <v>0</v>
      </c>
      <c r="AQ61" s="303">
        <f t="shared" si="102"/>
        <v>0</v>
      </c>
      <c r="AR61" s="303">
        <f t="shared" si="102"/>
        <v>0</v>
      </c>
      <c r="AS61" s="303">
        <f t="shared" si="102"/>
        <v>0</v>
      </c>
      <c r="AT61" s="303">
        <f t="shared" si="102"/>
        <v>0</v>
      </c>
      <c r="AU61" s="303">
        <f t="shared" si="102"/>
        <v>0</v>
      </c>
      <c r="AV61" s="303">
        <f t="shared" si="102"/>
        <v>0</v>
      </c>
      <c r="AW61" s="303">
        <f t="shared" si="102"/>
        <v>0</v>
      </c>
    </row>
    <row r="62" spans="1:49">
      <c r="A62" s="222" t="s">
        <v>341</v>
      </c>
      <c r="B62" s="151" t="s">
        <v>342</v>
      </c>
      <c r="C62" s="301"/>
      <c r="D62" s="303">
        <f t="shared" ref="D62:I62" si="103">D60*-0.21</f>
        <v>1475.6011962423315</v>
      </c>
      <c r="E62" s="303">
        <f t="shared" si="103"/>
        <v>1801.4170137322903</v>
      </c>
      <c r="F62" s="303">
        <f t="shared" si="103"/>
        <v>1980.5341474395982</v>
      </c>
      <c r="G62" s="303">
        <f t="shared" si="103"/>
        <v>2314.1535681371302</v>
      </c>
      <c r="H62" s="303">
        <f t="shared" si="103"/>
        <v>2798.7047857847192</v>
      </c>
      <c r="I62" s="303">
        <f t="shared" si="103"/>
        <v>3407.3310967892362</v>
      </c>
      <c r="J62" s="303">
        <f t="shared" ref="J62:AW62" si="104">J60*-0.21</f>
        <v>4165.1893965070631</v>
      </c>
      <c r="K62" s="303">
        <f t="shared" si="104"/>
        <v>4560.1149431543354</v>
      </c>
      <c r="L62" s="303">
        <f t="shared" si="104"/>
        <v>4982.8541308236227</v>
      </c>
      <c r="M62" s="303">
        <f t="shared" si="104"/>
        <v>5804.141216322023</v>
      </c>
      <c r="N62" s="303">
        <f t="shared" si="104"/>
        <v>5736.2466759260824</v>
      </c>
      <c r="O62" s="303">
        <f t="shared" si="104"/>
        <v>6180.8918063909114</v>
      </c>
      <c r="P62" s="303">
        <f t="shared" si="104"/>
        <v>6887.6584363856255</v>
      </c>
      <c r="Q62" s="303">
        <f t="shared" si="104"/>
        <v>6836.9511860845732</v>
      </c>
      <c r="R62" s="303">
        <f t="shared" si="104"/>
        <v>6788.7724858403444</v>
      </c>
      <c r="S62" s="303">
        <f t="shared" si="104"/>
        <v>6740.8721060205435</v>
      </c>
      <c r="T62" s="303">
        <f t="shared" si="104"/>
        <v>6693.0531464546193</v>
      </c>
      <c r="U62" s="303">
        <f t="shared" si="104"/>
        <v>6641.841142806712</v>
      </c>
      <c r="V62" s="303">
        <f t="shared" si="104"/>
        <v>6581.262758183012</v>
      </c>
      <c r="W62" s="303">
        <f t="shared" si="104"/>
        <v>6514.9649453278435</v>
      </c>
      <c r="X62" s="303">
        <f t="shared" si="104"/>
        <v>6456.7206398849285</v>
      </c>
      <c r="Y62" s="303">
        <f t="shared" si="104"/>
        <v>6403.3593726952868</v>
      </c>
      <c r="Z62" s="303">
        <f t="shared" si="104"/>
        <v>6122.1878775868554</v>
      </c>
      <c r="AA62" s="303">
        <f t="shared" si="104"/>
        <v>5593.1179013203864</v>
      </c>
      <c r="AB62" s="303">
        <f t="shared" si="104"/>
        <v>5049.0404015907179</v>
      </c>
      <c r="AC62" s="303">
        <f t="shared" si="104"/>
        <v>4542.5592884687212</v>
      </c>
      <c r="AD62" s="303">
        <f t="shared" si="104"/>
        <v>4051.4101332836772</v>
      </c>
      <c r="AE62" s="303">
        <f t="shared" si="104"/>
        <v>3560.1582581774751</v>
      </c>
      <c r="AF62" s="303">
        <f t="shared" si="104"/>
        <v>3070.2815213516938</v>
      </c>
      <c r="AG62" s="303">
        <f t="shared" si="104"/>
        <v>2555.687697265148</v>
      </c>
      <c r="AH62" s="303">
        <f t="shared" si="104"/>
        <v>1979.1466207996511</v>
      </c>
      <c r="AI62" s="303">
        <f t="shared" si="104"/>
        <v>1363.28129138079</v>
      </c>
      <c r="AJ62" s="303">
        <f t="shared" si="104"/>
        <v>798.59951955000872</v>
      </c>
      <c r="AK62" s="303">
        <f t="shared" si="104"/>
        <v>265.14254464583473</v>
      </c>
      <c r="AL62" s="303">
        <f t="shared" si="104"/>
        <v>-4.9921528741518886</v>
      </c>
      <c r="AM62" s="303">
        <f t="shared" si="104"/>
        <v>-5.0127871060317464</v>
      </c>
      <c r="AN62" s="303">
        <f t="shared" si="104"/>
        <v>-5.0335066260698564</v>
      </c>
      <c r="AO62" s="303">
        <f t="shared" si="104"/>
        <v>-5.0543117867910858</v>
      </c>
      <c r="AP62" s="303">
        <f t="shared" si="104"/>
        <v>-5.0752029421764382</v>
      </c>
      <c r="AQ62" s="303">
        <f t="shared" si="104"/>
        <v>-5.0961804476706947</v>
      </c>
      <c r="AR62" s="303">
        <f t="shared" si="104"/>
        <v>-5.1172446601877617</v>
      </c>
      <c r="AS62" s="303">
        <f t="shared" si="104"/>
        <v>-5.1383959381165916</v>
      </c>
      <c r="AT62" s="303">
        <f t="shared" si="104"/>
        <v>-5.1596346413274841</v>
      </c>
      <c r="AU62" s="303">
        <f t="shared" si="104"/>
        <v>-5.1809611311782007</v>
      </c>
      <c r="AV62" s="303">
        <f t="shared" si="104"/>
        <v>-5.2023757705204572</v>
      </c>
      <c r="AW62" s="303">
        <f t="shared" si="104"/>
        <v>-5.2238789237052696</v>
      </c>
    </row>
    <row r="63" spans="1:49">
      <c r="A63" s="151">
        <v>456311</v>
      </c>
      <c r="B63" s="151" t="s">
        <v>343</v>
      </c>
      <c r="C63" s="301"/>
      <c r="D63" s="303">
        <f t="shared" ref="D63" si="105">-(SUM(D51:D52)-SUM(C51:C52))</f>
        <v>0</v>
      </c>
      <c r="E63" s="303">
        <f t="shared" ref="E63" si="106">-(SUM(E51:E52)-SUM(D51:D52))</f>
        <v>0</v>
      </c>
      <c r="F63" s="303">
        <f t="shared" ref="F63" si="107">-(SUM(F51:F52)-SUM(E51:E52))</f>
        <v>0</v>
      </c>
      <c r="G63" s="303">
        <f t="shared" ref="G63" si="108">-(SUM(G51:G52)-SUM(F51:F52))</f>
        <v>0</v>
      </c>
      <c r="H63" s="303">
        <f t="shared" ref="H63" si="109">-(SUM(H51:H52)-SUM(G51:G52))</f>
        <v>0</v>
      </c>
      <c r="I63" s="303">
        <f t="shared" ref="I63" si="110">-(SUM(I51:I52)-SUM(H51:H52))</f>
        <v>0</v>
      </c>
      <c r="J63" s="303">
        <f t="shared" ref="J63:AW63" si="111">-(SUM(J51:J52)-SUM(I51:I52))</f>
        <v>0</v>
      </c>
      <c r="K63" s="303">
        <f t="shared" si="111"/>
        <v>0</v>
      </c>
      <c r="L63" s="303">
        <f t="shared" si="111"/>
        <v>0</v>
      </c>
      <c r="M63" s="303">
        <f t="shared" si="111"/>
        <v>0</v>
      </c>
      <c r="N63" s="303">
        <f t="shared" si="111"/>
        <v>0</v>
      </c>
      <c r="O63" s="303">
        <f t="shared" si="111"/>
        <v>0</v>
      </c>
      <c r="P63" s="303">
        <f t="shared" si="111"/>
        <v>0</v>
      </c>
      <c r="Q63" s="303">
        <f t="shared" si="111"/>
        <v>0</v>
      </c>
      <c r="R63" s="303">
        <f t="shared" si="111"/>
        <v>0</v>
      </c>
      <c r="S63" s="303">
        <f t="shared" si="111"/>
        <v>0</v>
      </c>
      <c r="T63" s="303">
        <f t="shared" si="111"/>
        <v>0</v>
      </c>
      <c r="U63" s="303">
        <f t="shared" si="111"/>
        <v>0</v>
      </c>
      <c r="V63" s="303">
        <f t="shared" si="111"/>
        <v>0</v>
      </c>
      <c r="W63" s="303">
        <f t="shared" si="111"/>
        <v>0</v>
      </c>
      <c r="X63" s="303">
        <f t="shared" si="111"/>
        <v>0</v>
      </c>
      <c r="Y63" s="303">
        <f t="shared" si="111"/>
        <v>0</v>
      </c>
      <c r="Z63" s="303">
        <f t="shared" si="111"/>
        <v>0</v>
      </c>
      <c r="AA63" s="303">
        <f t="shared" si="111"/>
        <v>0</v>
      </c>
      <c r="AB63" s="303">
        <f t="shared" si="111"/>
        <v>0</v>
      </c>
      <c r="AC63" s="303">
        <f t="shared" si="111"/>
        <v>0</v>
      </c>
      <c r="AD63" s="303">
        <f t="shared" si="111"/>
        <v>0</v>
      </c>
      <c r="AE63" s="303">
        <f t="shared" si="111"/>
        <v>0</v>
      </c>
      <c r="AF63" s="303">
        <f t="shared" si="111"/>
        <v>0</v>
      </c>
      <c r="AG63" s="303">
        <f t="shared" si="111"/>
        <v>0</v>
      </c>
      <c r="AH63" s="303">
        <f t="shared" si="111"/>
        <v>0</v>
      </c>
      <c r="AI63" s="303">
        <f t="shared" si="111"/>
        <v>0</v>
      </c>
      <c r="AJ63" s="303">
        <f t="shared" si="111"/>
        <v>0</v>
      </c>
      <c r="AK63" s="303">
        <f t="shared" si="111"/>
        <v>0</v>
      </c>
      <c r="AL63" s="303">
        <f t="shared" si="111"/>
        <v>0</v>
      </c>
      <c r="AM63" s="303">
        <f t="shared" si="111"/>
        <v>0</v>
      </c>
      <c r="AN63" s="303">
        <f t="shared" si="111"/>
        <v>0</v>
      </c>
      <c r="AO63" s="303">
        <f t="shared" si="111"/>
        <v>0</v>
      </c>
      <c r="AP63" s="303">
        <f t="shared" si="111"/>
        <v>0</v>
      </c>
      <c r="AQ63" s="303">
        <f t="shared" si="111"/>
        <v>0</v>
      </c>
      <c r="AR63" s="303">
        <f t="shared" si="111"/>
        <v>0</v>
      </c>
      <c r="AS63" s="303">
        <f t="shared" si="111"/>
        <v>0</v>
      </c>
      <c r="AT63" s="303">
        <f t="shared" si="111"/>
        <v>0</v>
      </c>
      <c r="AU63" s="303">
        <f t="shared" si="111"/>
        <v>0</v>
      </c>
      <c r="AV63" s="303">
        <f t="shared" si="111"/>
        <v>0</v>
      </c>
      <c r="AW63" s="303">
        <f t="shared" si="111"/>
        <v>0</v>
      </c>
    </row>
    <row r="64" spans="1:49">
      <c r="A64" s="151">
        <v>449100</v>
      </c>
      <c r="B64" s="151" t="s">
        <v>331</v>
      </c>
      <c r="C64" s="310">
        <v>0</v>
      </c>
      <c r="D64" s="310"/>
      <c r="E64" s="310"/>
      <c r="F64" s="310"/>
      <c r="G64" s="310"/>
      <c r="H64" s="310"/>
      <c r="I64" s="310"/>
      <c r="K64" s="311"/>
      <c r="L64" s="310"/>
      <c r="N64" s="301"/>
      <c r="O64" s="310"/>
      <c r="P64" s="170"/>
      <c r="R64" s="310"/>
      <c r="U64" s="310"/>
      <c r="W64" s="311"/>
      <c r="X64" s="310"/>
      <c r="Z64" s="301"/>
      <c r="AA64" s="310"/>
      <c r="AB64" s="170"/>
      <c r="AD64" s="310"/>
      <c r="AG64" s="310"/>
      <c r="AI64" s="311"/>
      <c r="AJ64" s="310"/>
      <c r="AL64" s="301"/>
      <c r="AM64" s="310"/>
      <c r="AN64" s="170"/>
      <c r="AP64" s="310"/>
      <c r="AS64" s="310"/>
      <c r="AU64" s="311"/>
      <c r="AV64" s="310"/>
    </row>
    <row r="65" spans="3:8">
      <c r="C65" s="301"/>
      <c r="D65" s="301"/>
      <c r="E65" s="301"/>
      <c r="F65" s="301"/>
      <c r="G65" s="301"/>
      <c r="H65" s="301"/>
    </row>
    <row r="66" spans="3:8">
      <c r="C66" s="301"/>
      <c r="D66" s="301"/>
      <c r="E66" s="301"/>
      <c r="F66" s="301"/>
      <c r="G66" s="301"/>
      <c r="H66" s="301"/>
    </row>
    <row r="67" spans="3:8">
      <c r="C67" s="301"/>
      <c r="D67" s="301"/>
      <c r="E67" s="301"/>
      <c r="F67" s="301"/>
      <c r="G67" s="301"/>
      <c r="H67" s="301"/>
    </row>
  </sheetData>
  <mergeCells count="2">
    <mergeCell ref="A2:B2"/>
    <mergeCell ref="A34:B34"/>
  </mergeCells>
  <pageMargins left="0.32" right="0.32" top="0.41" bottom="0.62" header="0.3" footer="0.3"/>
  <pageSetup scale="59" fitToWidth="3" pageOrder="overThenDown" orientation="landscape" r:id="rId1"/>
  <headerFooter scaleWithDoc="0">
    <oddFooter>&amp;C&amp;F / &amp;A&amp;RPage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S85"/>
  <sheetViews>
    <sheetView tabSelected="1" zoomScaleNormal="100" workbookViewId="0">
      <selection sqref="A1:P1"/>
    </sheetView>
  </sheetViews>
  <sheetFormatPr defaultRowHeight="14.4"/>
  <cols>
    <col min="2" max="2" width="30.6640625" customWidth="1"/>
    <col min="3" max="3" width="14.6640625" customWidth="1"/>
    <col min="4" max="4" width="15" customWidth="1"/>
    <col min="5" max="5" width="17" customWidth="1"/>
    <col min="6" max="6" width="16" customWidth="1"/>
    <col min="7" max="14" width="15" customWidth="1"/>
    <col min="15" max="15" width="14.5546875" customWidth="1"/>
    <col min="16" max="16" width="15" customWidth="1"/>
    <col min="18" max="18" width="12" bestFit="1" customWidth="1"/>
  </cols>
  <sheetData>
    <row r="1" spans="1:19" ht="15.6">
      <c r="A1" s="394" t="s">
        <v>20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</row>
    <row r="2" spans="1:19" ht="15.6">
      <c r="A2" s="394" t="s">
        <v>309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</row>
    <row r="3" spans="1:19" ht="15.6">
      <c r="A3" s="398" t="s">
        <v>225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</row>
    <row r="4" spans="1:19" ht="15.6" hidden="1">
      <c r="A4" s="59"/>
      <c r="B4" s="60"/>
      <c r="C4" s="60"/>
      <c r="D4" s="61" t="str">
        <f>TEXT(D7,"YYYYMM")</f>
        <v>201801</v>
      </c>
      <c r="E4" s="61">
        <f>D4+1</f>
        <v>201802</v>
      </c>
      <c r="F4" s="61">
        <f t="shared" ref="F4:O4" si="0">E4+1</f>
        <v>201803</v>
      </c>
      <c r="G4" s="61">
        <f t="shared" si="0"/>
        <v>201804</v>
      </c>
      <c r="H4" s="61">
        <f t="shared" si="0"/>
        <v>201805</v>
      </c>
      <c r="I4" s="61">
        <f t="shared" si="0"/>
        <v>201806</v>
      </c>
      <c r="J4" s="61">
        <f t="shared" si="0"/>
        <v>201807</v>
      </c>
      <c r="K4" s="61">
        <f t="shared" si="0"/>
        <v>201808</v>
      </c>
      <c r="L4" s="61">
        <f t="shared" si="0"/>
        <v>201809</v>
      </c>
      <c r="M4" s="61">
        <f t="shared" si="0"/>
        <v>201810</v>
      </c>
      <c r="N4" s="61">
        <f t="shared" si="0"/>
        <v>201811</v>
      </c>
      <c r="O4" s="61">
        <f t="shared" si="0"/>
        <v>201812</v>
      </c>
      <c r="P4" s="20"/>
    </row>
    <row r="5" spans="1:19">
      <c r="A5" s="21"/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20"/>
    </row>
    <row r="6" spans="1:19">
      <c r="A6" s="20"/>
      <c r="B6" s="20"/>
      <c r="C6" s="20"/>
      <c r="D6" s="100"/>
      <c r="E6" s="20"/>
      <c r="F6" s="20"/>
      <c r="G6" s="20"/>
      <c r="H6" s="259"/>
      <c r="I6" s="20"/>
      <c r="J6" s="20"/>
      <c r="K6" s="20"/>
      <c r="L6" s="20"/>
      <c r="M6" s="20"/>
      <c r="N6" s="20"/>
      <c r="O6" s="20"/>
      <c r="P6" s="20"/>
    </row>
    <row r="7" spans="1:19">
      <c r="A7" s="64" t="s">
        <v>17</v>
      </c>
      <c r="B7" s="65"/>
      <c r="C7" s="66" t="s">
        <v>16</v>
      </c>
      <c r="D7" s="101">
        <v>43101</v>
      </c>
      <c r="E7" s="67">
        <f>EDATE(D7,1)</f>
        <v>43132</v>
      </c>
      <c r="F7" s="67">
        <f t="shared" ref="F7:O7" si="1">EDATE(E7,1)</f>
        <v>43160</v>
      </c>
      <c r="G7" s="67">
        <f t="shared" si="1"/>
        <v>43191</v>
      </c>
      <c r="H7" s="260">
        <f t="shared" si="1"/>
        <v>43221</v>
      </c>
      <c r="I7" s="67">
        <f t="shared" si="1"/>
        <v>43252</v>
      </c>
      <c r="J7" s="67">
        <f t="shared" si="1"/>
        <v>43282</v>
      </c>
      <c r="K7" s="67">
        <f t="shared" si="1"/>
        <v>43313</v>
      </c>
      <c r="L7" s="67">
        <f t="shared" si="1"/>
        <v>43344</v>
      </c>
      <c r="M7" s="67">
        <f t="shared" si="1"/>
        <v>43374</v>
      </c>
      <c r="N7" s="67">
        <f t="shared" si="1"/>
        <v>43405</v>
      </c>
      <c r="O7" s="67">
        <f t="shared" si="1"/>
        <v>43435</v>
      </c>
      <c r="P7" s="67" t="s">
        <v>15</v>
      </c>
    </row>
    <row r="8" spans="1:19">
      <c r="A8" s="21"/>
      <c r="B8" s="21" t="s">
        <v>14</v>
      </c>
      <c r="C8" s="21" t="s">
        <v>13</v>
      </c>
      <c r="D8" s="21" t="s">
        <v>12</v>
      </c>
      <c r="E8" s="21" t="s">
        <v>11</v>
      </c>
      <c r="F8" s="21" t="s">
        <v>10</v>
      </c>
      <c r="G8" s="21" t="s">
        <v>9</v>
      </c>
      <c r="H8" s="261" t="s">
        <v>8</v>
      </c>
      <c r="I8" s="21" t="s">
        <v>7</v>
      </c>
      <c r="J8" s="21" t="s">
        <v>6</v>
      </c>
      <c r="K8" s="21" t="s">
        <v>5</v>
      </c>
      <c r="L8" s="21" t="s">
        <v>4</v>
      </c>
      <c r="M8" s="21" t="s">
        <v>3</v>
      </c>
      <c r="N8" s="21" t="s">
        <v>2</v>
      </c>
      <c r="O8" s="21" t="s">
        <v>1</v>
      </c>
      <c r="P8" s="21" t="s">
        <v>0</v>
      </c>
    </row>
    <row r="9" spans="1:19" hidden="1">
      <c r="A9" s="68" t="s">
        <v>104</v>
      </c>
      <c r="B9" s="21"/>
      <c r="C9" s="21"/>
      <c r="D9" s="21"/>
      <c r="E9" s="21"/>
      <c r="F9" s="21"/>
      <c r="G9" s="21"/>
      <c r="H9" s="261"/>
      <c r="I9" s="21"/>
      <c r="J9" s="21"/>
      <c r="K9" s="21"/>
      <c r="L9" s="21"/>
      <c r="M9" s="21"/>
      <c r="N9" s="21"/>
      <c r="O9" s="21"/>
      <c r="P9" s="21"/>
    </row>
    <row r="10" spans="1:19" hidden="1">
      <c r="A10" s="58"/>
      <c r="B10" s="69" t="s">
        <v>105</v>
      </c>
      <c r="C10" s="58" t="s">
        <v>106</v>
      </c>
      <c r="D10" s="70"/>
      <c r="E10" s="70"/>
      <c r="F10" s="70"/>
      <c r="G10" s="70"/>
      <c r="H10" s="262"/>
      <c r="I10" s="70"/>
      <c r="J10" s="70"/>
      <c r="K10" s="70"/>
      <c r="L10" s="70"/>
      <c r="M10" s="70"/>
      <c r="N10" s="70"/>
      <c r="O10" s="70"/>
      <c r="P10" s="71"/>
    </row>
    <row r="11" spans="1:19" hidden="1">
      <c r="A11" s="21"/>
      <c r="B11" s="21"/>
      <c r="C11" s="21"/>
      <c r="D11" s="21"/>
      <c r="E11" s="21"/>
      <c r="F11" s="21"/>
      <c r="G11" s="21"/>
      <c r="H11" s="261"/>
      <c r="I11" s="21"/>
      <c r="J11" s="21"/>
      <c r="K11" s="21"/>
      <c r="L11" s="21"/>
      <c r="M11" s="21"/>
      <c r="N11" s="21"/>
      <c r="O11" s="21"/>
      <c r="P11" s="21"/>
    </row>
    <row r="12" spans="1:19">
      <c r="A12" s="21"/>
      <c r="B12" s="72" t="s">
        <v>107</v>
      </c>
      <c r="C12" s="21"/>
      <c r="D12" s="21"/>
      <c r="E12" s="21"/>
      <c r="F12" s="21"/>
      <c r="G12" s="21"/>
      <c r="H12" s="261"/>
      <c r="I12" s="21"/>
      <c r="J12" s="21"/>
      <c r="K12" s="21"/>
      <c r="L12" s="21"/>
      <c r="M12" s="21"/>
      <c r="N12" s="21"/>
      <c r="O12" s="21"/>
      <c r="P12" s="20"/>
    </row>
    <row r="13" spans="1:19" ht="15" customHeight="1">
      <c r="A13" s="21">
        <v>1</v>
      </c>
      <c r="B13" s="20" t="s">
        <v>108</v>
      </c>
      <c r="C13" s="21" t="s">
        <v>109</v>
      </c>
      <c r="D13" s="147">
        <f>'Jan Base Rate Revenue'!$C$19</f>
        <v>215198</v>
      </c>
      <c r="E13" s="147">
        <f>'Feb Base Rate Revenue'!$C$19</f>
        <v>214197</v>
      </c>
      <c r="F13" s="147">
        <f>'Mar Base Rate Revenue'!C19</f>
        <v>216045</v>
      </c>
      <c r="G13" s="147">
        <f>'Apr Base Rate Revenue'!C19</f>
        <v>214971</v>
      </c>
      <c r="H13" s="263">
        <f>'May Base Rate Revenue'!C19</f>
        <v>215099</v>
      </c>
      <c r="I13" s="147">
        <f>'June Base Rate Revenue'!C19</f>
        <v>214829</v>
      </c>
      <c r="J13" s="147">
        <f>'July Base Rate Revenue'!C19</f>
        <v>215408</v>
      </c>
      <c r="K13" s="147">
        <f>'August Base Rate Revenue'!$C19</f>
        <v>215648</v>
      </c>
      <c r="L13" s="147">
        <f>'September Base Rate Revenue'!$C19</f>
        <v>214122</v>
      </c>
      <c r="M13" s="147">
        <f>'October Base Rate Revenue'!$C19</f>
        <v>218388</v>
      </c>
      <c r="N13" s="147">
        <f>'November Base Rate Revenue'!$C19</f>
        <v>216943</v>
      </c>
      <c r="O13" s="147">
        <f>'December Base Rate Revenue'!$C19</f>
        <v>217126</v>
      </c>
      <c r="P13" s="96">
        <f>SUM(D13:O13)</f>
        <v>2587974</v>
      </c>
    </row>
    <row r="14" spans="1:19" ht="26.4">
      <c r="A14" s="73">
        <f>A13+1</f>
        <v>2</v>
      </c>
      <c r="B14" s="143" t="s">
        <v>110</v>
      </c>
      <c r="C14" s="143" t="s">
        <v>171</v>
      </c>
      <c r="D14" s="144">
        <f>'UE-150204 Decoupling Base'!V23</f>
        <v>88.322763278236906</v>
      </c>
      <c r="E14" s="144">
        <f>'UE-150204 Decoupling Base'!W23</f>
        <v>72.16516565702095</v>
      </c>
      <c r="F14" s="144">
        <f>'UE-150204 Decoupling Base'!X23</f>
        <v>70.972141606104245</v>
      </c>
      <c r="G14" s="144">
        <f>'UE-150204 Decoupling Base'!Y23</f>
        <v>53.464415602104843</v>
      </c>
      <c r="H14" s="264">
        <f>'Attachment 4, Page 3'!H24</f>
        <v>45.892124419392054</v>
      </c>
      <c r="I14" s="144">
        <f>'Attachment 4, Page 3'!I24</f>
        <v>42.548958852653399</v>
      </c>
      <c r="J14" s="144">
        <f>'Attachment 4, Page 3'!J24</f>
        <v>56.439626965764539</v>
      </c>
      <c r="K14" s="144">
        <f>'Attachment 4, Page 3'!K24</f>
        <v>50.945678742657662</v>
      </c>
      <c r="L14" s="144">
        <f>'Attachment 4, Page 3'!L24</f>
        <v>48.236457551145826</v>
      </c>
      <c r="M14" s="144">
        <f>'Attachment 4, Page 3'!M24</f>
        <v>47.127141167587858</v>
      </c>
      <c r="N14" s="144">
        <f>'Attachment 4, Page 3'!N24</f>
        <v>63.977202165489828</v>
      </c>
      <c r="O14" s="144">
        <f>'Attachment 4, Page 3'!O24</f>
        <v>78.404457665319498</v>
      </c>
      <c r="P14" s="74">
        <f>SUM(D14:O14)</f>
        <v>718.49613367347763</v>
      </c>
    </row>
    <row r="15" spans="1:19">
      <c r="A15" s="21">
        <f>A14+1</f>
        <v>3</v>
      </c>
      <c r="B15" s="20" t="s">
        <v>60</v>
      </c>
      <c r="C15" s="21" t="str">
        <f>"("&amp;A13&amp;") x ("&amp;A14&amp;")"</f>
        <v>(1) x (2)</v>
      </c>
      <c r="D15" s="75">
        <f>D13*D14</f>
        <v>19006882.011950027</v>
      </c>
      <c r="E15" s="75">
        <f>E13*E14</f>
        <v>15457561.988236917</v>
      </c>
      <c r="F15" s="75">
        <f>F13*F14</f>
        <v>15333176.333290791</v>
      </c>
      <c r="G15" s="75">
        <f t="shared" ref="G15:O15" si="2">G13*G14</f>
        <v>11493298.886400079</v>
      </c>
      <c r="H15" s="265">
        <f t="shared" si="2"/>
        <v>9871350.0704868119</v>
      </c>
      <c r="I15" s="75">
        <f t="shared" si="2"/>
        <v>9140750.2813566774</v>
      </c>
      <c r="J15" s="75">
        <f t="shared" si="2"/>
        <v>12157547.165441409</v>
      </c>
      <c r="K15" s="75">
        <f t="shared" si="2"/>
        <v>10986333.729496639</v>
      </c>
      <c r="L15" s="75">
        <f t="shared" si="2"/>
        <v>10328486.763766447</v>
      </c>
      <c r="M15" s="75">
        <f t="shared" si="2"/>
        <v>10292002.105307177</v>
      </c>
      <c r="N15" s="75">
        <f t="shared" si="2"/>
        <v>13879406.16938786</v>
      </c>
      <c r="O15" s="75">
        <f t="shared" si="2"/>
        <v>17023646.275040161</v>
      </c>
      <c r="P15" s="76">
        <f>SUM(D15:O15)</f>
        <v>154970441.78016099</v>
      </c>
      <c r="S15" s="303"/>
    </row>
    <row r="16" spans="1:19">
      <c r="A16" s="21"/>
      <c r="B16" s="20"/>
      <c r="C16" s="21"/>
      <c r="D16" s="39"/>
      <c r="E16" s="39"/>
      <c r="F16" s="39"/>
      <c r="G16" s="39"/>
      <c r="H16" s="266"/>
      <c r="I16" s="39"/>
      <c r="J16" s="39"/>
      <c r="K16" s="39"/>
      <c r="L16" s="39"/>
      <c r="M16" s="39"/>
      <c r="N16" s="39"/>
      <c r="O16" s="39"/>
      <c r="P16" s="20"/>
    </row>
    <row r="17" spans="1:16">
      <c r="A17" s="21">
        <v>4</v>
      </c>
      <c r="B17" s="20" t="s">
        <v>111</v>
      </c>
      <c r="C17" s="21" t="s">
        <v>109</v>
      </c>
      <c r="D17" s="148">
        <f>'Jan Base Rate Revenue'!$I$39</f>
        <v>25009939.587409999</v>
      </c>
      <c r="E17" s="148">
        <f>'Feb Base Rate Revenue'!$I$39</f>
        <v>19040388.028110001</v>
      </c>
      <c r="F17" s="148">
        <f>'Mar Base Rate Revenue'!I39</f>
        <v>20324942.72913</v>
      </c>
      <c r="G17" s="148">
        <f>'Apr Base Rate Revenue'!I39</f>
        <v>15377362.623589998</v>
      </c>
      <c r="H17" s="267">
        <f>'May Base Rate Revenue'!I39</f>
        <v>13472661.706909999</v>
      </c>
      <c r="I17" s="148">
        <f>'June Base Rate Revenue'!I39</f>
        <v>13244401.199929999</v>
      </c>
      <c r="J17" s="148">
        <f>'July Base Rate Revenue'!I39</f>
        <v>16644684.485580001</v>
      </c>
      <c r="K17" s="148">
        <f>'August Base Rate Revenue'!$I39</f>
        <v>18480178.1239</v>
      </c>
      <c r="L17" s="148">
        <f>'September Base Rate Revenue'!$I39</f>
        <v>13055161.18022</v>
      </c>
      <c r="M17" s="148">
        <f>'October Base Rate Revenue'!$I39</f>
        <v>14485470.039310001</v>
      </c>
      <c r="N17" s="148">
        <f>'November Base Rate Revenue'!$I39</f>
        <v>19035133.403039999</v>
      </c>
      <c r="O17" s="148">
        <f>'December Base Rate Revenue'!$I39</f>
        <v>23674422.079640001</v>
      </c>
      <c r="P17" s="97">
        <f>SUM(D17:O17)</f>
        <v>211844745.18676999</v>
      </c>
    </row>
    <row r="18" spans="1:16">
      <c r="A18" s="21">
        <v>5</v>
      </c>
      <c r="B18" s="20" t="s">
        <v>112</v>
      </c>
      <c r="C18" s="21" t="s">
        <v>109</v>
      </c>
      <c r="D18" s="148">
        <f>'Jan Base Rate Revenue'!$C$39</f>
        <v>1864092.5</v>
      </c>
      <c r="E18" s="148">
        <f>'Feb Base Rate Revenue'!$C$39</f>
        <v>1853017</v>
      </c>
      <c r="F18" s="148">
        <f>'Mar Base Rate Revenue'!C39</f>
        <v>1875006.5</v>
      </c>
      <c r="G18" s="148">
        <f>'Apr Base Rate Revenue'!C39</f>
        <v>1866672</v>
      </c>
      <c r="H18" s="267">
        <f>'May Base Rate Revenue'!C39</f>
        <v>1989944</v>
      </c>
      <c r="I18" s="148">
        <f>'June Base Rate Revenue'!C39</f>
        <v>1999769.5</v>
      </c>
      <c r="J18" s="148">
        <f>'July Base Rate Revenue'!C39</f>
        <v>2002580</v>
      </c>
      <c r="K18" s="148">
        <f>'August Base Rate Revenue'!$C39</f>
        <v>2009449</v>
      </c>
      <c r="L18" s="148">
        <f>'September Base Rate Revenue'!$C39</f>
        <v>1975533.5</v>
      </c>
      <c r="M18" s="148">
        <f>'October Base Rate Revenue'!$C39</f>
        <v>2016999</v>
      </c>
      <c r="N18" s="148">
        <f>'November Base Rate Revenue'!$C39</f>
        <v>1992500.5</v>
      </c>
      <c r="O18" s="148">
        <f>'December Base Rate Revenue'!$C39</f>
        <v>1993214.5</v>
      </c>
      <c r="P18" s="97">
        <f>SUM(D18:O18)</f>
        <v>23438778</v>
      </c>
    </row>
    <row r="19" spans="1:16">
      <c r="A19" s="21">
        <v>6</v>
      </c>
      <c r="B19" s="77" t="s">
        <v>212</v>
      </c>
      <c r="C19" s="21" t="s">
        <v>109</v>
      </c>
      <c r="D19" s="149">
        <f>'Jan Base Rate Revenue'!$I$19</f>
        <v>273974209.06200004</v>
      </c>
      <c r="E19" s="149">
        <f>'Feb Base Rate Revenue'!$I$19</f>
        <v>216157402.58499998</v>
      </c>
      <c r="F19" s="149">
        <f>'Mar Base Rate Revenue'!I19</f>
        <v>230597488.20699999</v>
      </c>
      <c r="G19" s="149">
        <f>'Apr Base Rate Revenue'!I19</f>
        <v>174488139.29800999</v>
      </c>
      <c r="H19" s="268">
        <f>'May Base Rate Revenue'!I19</f>
        <v>147804376.68922001</v>
      </c>
      <c r="I19" s="149">
        <f>'June Base Rate Revenue'!I19</f>
        <v>143108257.59101999</v>
      </c>
      <c r="J19" s="149">
        <f>'July Base Rate Revenue'!I19</f>
        <v>185234474.63099</v>
      </c>
      <c r="K19" s="149">
        <f>'August Base Rate Revenue'!$I19</f>
        <v>202225614.92300999</v>
      </c>
      <c r="L19" s="149">
        <f>'September Base Rate Revenue'!$I19</f>
        <v>139338821.60800001</v>
      </c>
      <c r="M19" s="149">
        <f>'October Base Rate Revenue'!$I19</f>
        <v>160184148.058</v>
      </c>
      <c r="N19" s="149">
        <f>'November Base Rate Revenue'!$I19</f>
        <v>213560314.46800002</v>
      </c>
      <c r="O19" s="149">
        <f>'December Base Rate Revenue'!$I19</f>
        <v>258445038.04300001</v>
      </c>
      <c r="P19" s="98">
        <f>SUM(D19:O19)</f>
        <v>2345118285.16325</v>
      </c>
    </row>
    <row r="20" spans="1:16" ht="27">
      <c r="A20" s="21">
        <v>7</v>
      </c>
      <c r="B20" s="84" t="s">
        <v>113</v>
      </c>
      <c r="C20" s="145" t="s">
        <v>151</v>
      </c>
      <c r="D20" s="146">
        <f>'UE-150204 Decoupling Base'!$E$14</f>
        <v>1.6410000000000001E-2</v>
      </c>
      <c r="E20" s="146">
        <f>'UE-150204 Decoupling Base'!$E$14</f>
        <v>1.6410000000000001E-2</v>
      </c>
      <c r="F20" s="146">
        <f>'UE-150204 Decoupling Base'!$E$14</f>
        <v>1.6410000000000001E-2</v>
      </c>
      <c r="G20" s="146">
        <f>'UE-150204 Decoupling Base'!$E$14</f>
        <v>1.6410000000000001E-2</v>
      </c>
      <c r="H20" s="269">
        <f>'Attachment 4, Page 1'!$E$27</f>
        <v>1.9E-2</v>
      </c>
      <c r="I20" s="146">
        <f>'Attachment 4, Page 1'!$E$27</f>
        <v>1.9E-2</v>
      </c>
      <c r="J20" s="146">
        <f>'Attachment 4, Page 1'!$E$27</f>
        <v>1.9E-2</v>
      </c>
      <c r="K20" s="146">
        <f>'Attachment 4, Page 1'!$E$27</f>
        <v>1.9E-2</v>
      </c>
      <c r="L20" s="146">
        <f>'Attachment 4, Page 1'!$E$27</f>
        <v>1.9E-2</v>
      </c>
      <c r="M20" s="146">
        <f>'Attachment 4, Page 1'!$E$27</f>
        <v>1.9E-2</v>
      </c>
      <c r="N20" s="146">
        <f>'Attachment 4, Page 1'!$E$27</f>
        <v>1.9E-2</v>
      </c>
      <c r="O20" s="146">
        <f>'Attachment 4, Page 1'!$E$27</f>
        <v>1.9E-2</v>
      </c>
      <c r="P20" s="78"/>
    </row>
    <row r="21" spans="1:16">
      <c r="A21" s="21">
        <v>8</v>
      </c>
      <c r="B21" s="20" t="s">
        <v>114</v>
      </c>
      <c r="C21" s="21" t="str">
        <f>"("&amp;A19&amp;") x ("&amp;A20&amp;")"</f>
        <v>(6) x (7)</v>
      </c>
      <c r="D21" s="75">
        <f>D19*D20</f>
        <v>4495916.770707421</v>
      </c>
      <c r="E21" s="75">
        <f>E19*E20</f>
        <v>3547142.9764198498</v>
      </c>
      <c r="F21" s="75">
        <f t="shared" ref="F21:O21" si="3">F19*F20</f>
        <v>3784104.7814768702</v>
      </c>
      <c r="G21" s="75">
        <f t="shared" si="3"/>
        <v>2863350.3658803441</v>
      </c>
      <c r="H21" s="265">
        <f t="shared" si="3"/>
        <v>2808283.1570951804</v>
      </c>
      <c r="I21" s="75">
        <f t="shared" si="3"/>
        <v>2719056.8942293795</v>
      </c>
      <c r="J21" s="75">
        <f t="shared" si="3"/>
        <v>3519455.0179888099</v>
      </c>
      <c r="K21" s="75">
        <f t="shared" si="3"/>
        <v>3842286.6835371898</v>
      </c>
      <c r="L21" s="75">
        <f t="shared" si="3"/>
        <v>2647437.6105520003</v>
      </c>
      <c r="M21" s="75">
        <f>M19*M20</f>
        <v>3043498.8131019999</v>
      </c>
      <c r="N21" s="75">
        <f t="shared" si="3"/>
        <v>4057645.9748920002</v>
      </c>
      <c r="O21" s="75">
        <f t="shared" si="3"/>
        <v>4910455.722817</v>
      </c>
      <c r="P21" s="76">
        <f>SUM(D21:O21)</f>
        <v>42238634.768698037</v>
      </c>
    </row>
    <row r="22" spans="1:16">
      <c r="A22" s="21">
        <v>9</v>
      </c>
      <c r="B22" s="20" t="s">
        <v>115</v>
      </c>
      <c r="C22" s="21" t="str">
        <f>"("&amp;A17&amp;") - ("&amp;A18&amp;") -("&amp;A21&amp;")"</f>
        <v>(4) - (5) -(8)</v>
      </c>
      <c r="D22" s="75">
        <f>D17-D18-D21</f>
        <v>18649930.316702578</v>
      </c>
      <c r="E22" s="75">
        <f>E17-E18-E21</f>
        <v>13640228.051690152</v>
      </c>
      <c r="F22" s="75">
        <f t="shared" ref="F22:O22" si="4">F17-F18-F21</f>
        <v>14665831.44765313</v>
      </c>
      <c r="G22" s="75">
        <f t="shared" si="4"/>
        <v>10647340.257709654</v>
      </c>
      <c r="H22" s="265">
        <f t="shared" si="4"/>
        <v>8674434.5498148184</v>
      </c>
      <c r="I22" s="75">
        <f t="shared" si="4"/>
        <v>8525574.8057006188</v>
      </c>
      <c r="J22" s="75">
        <f t="shared" si="4"/>
        <v>11122649.467591191</v>
      </c>
      <c r="K22" s="75">
        <f t="shared" si="4"/>
        <v>12628442.440362811</v>
      </c>
      <c r="L22" s="75">
        <f t="shared" si="4"/>
        <v>8432190.0696680006</v>
      </c>
      <c r="M22" s="75">
        <f t="shared" si="4"/>
        <v>9424972.2262080014</v>
      </c>
      <c r="N22" s="75">
        <f t="shared" si="4"/>
        <v>12984986.928148</v>
      </c>
      <c r="O22" s="75">
        <f t="shared" si="4"/>
        <v>16770751.856823001</v>
      </c>
      <c r="P22" s="76">
        <f>SUM(D22:O22)</f>
        <v>146167332.41807196</v>
      </c>
    </row>
    <row r="23" spans="1:16">
      <c r="A23" s="21"/>
      <c r="B23" s="79" t="s">
        <v>116</v>
      </c>
      <c r="C23" s="21"/>
      <c r="D23" s="74">
        <f>D22/D13</f>
        <v>86.664050394067687</v>
      </c>
      <c r="E23" s="74">
        <f>E22/E13</f>
        <v>63.680761409777688</v>
      </c>
      <c r="F23" s="74">
        <f t="shared" ref="F23:O23" si="5">F22/F13</f>
        <v>67.883225474568405</v>
      </c>
      <c r="G23" s="74">
        <f t="shared" si="5"/>
        <v>49.529193508471629</v>
      </c>
      <c r="H23" s="270">
        <f t="shared" si="5"/>
        <v>40.327637738040707</v>
      </c>
      <c r="I23" s="74">
        <f t="shared" si="5"/>
        <v>39.685400042362154</v>
      </c>
      <c r="J23" s="74">
        <f t="shared" si="5"/>
        <v>51.63526641346278</v>
      </c>
      <c r="K23" s="74">
        <f t="shared" si="5"/>
        <v>58.560443131226869</v>
      </c>
      <c r="L23" s="74">
        <f t="shared" si="5"/>
        <v>39.380306879573332</v>
      </c>
      <c r="M23" s="74">
        <f t="shared" si="5"/>
        <v>43.157005999450526</v>
      </c>
      <c r="N23" s="74">
        <f t="shared" si="5"/>
        <v>59.854371554500489</v>
      </c>
      <c r="O23" s="74">
        <f t="shared" si="5"/>
        <v>77.239721897990108</v>
      </c>
      <c r="P23" s="74">
        <f>P22/P13*12</f>
        <v>677.75332712649492</v>
      </c>
    </row>
    <row r="24" spans="1:16">
      <c r="A24" s="21">
        <v>10</v>
      </c>
      <c r="B24" s="20" t="s">
        <v>117</v>
      </c>
      <c r="C24" s="21" t="str">
        <f>"("&amp;A$15&amp;") - ("&amp;A22&amp;")"</f>
        <v>(3) - (9)</v>
      </c>
      <c r="D24" s="80">
        <f>IF(D10="",D15-D22,-D10)</f>
        <v>356951.69524744898</v>
      </c>
      <c r="E24" s="80">
        <f>IF(E10="",E15-E22,-E10)</f>
        <v>1817333.9365467653</v>
      </c>
      <c r="F24" s="80">
        <f t="shared" ref="F24:O24" si="6">IF(F10="",F15-F22,-F10)</f>
        <v>667344.88563766144</v>
      </c>
      <c r="G24" s="80">
        <f t="shared" si="6"/>
        <v>845958.62869042531</v>
      </c>
      <c r="H24" s="271">
        <f t="shared" si="6"/>
        <v>1196915.5206719935</v>
      </c>
      <c r="I24" s="80">
        <f t="shared" si="6"/>
        <v>615175.47565605864</v>
      </c>
      <c r="J24" s="80">
        <f t="shared" si="6"/>
        <v>1034897.697850218</v>
      </c>
      <c r="K24" s="80">
        <f t="shared" si="6"/>
        <v>-1642108.7108661719</v>
      </c>
      <c r="L24" s="80">
        <f t="shared" si="6"/>
        <v>1896296.6940984465</v>
      </c>
      <c r="M24" s="80">
        <f t="shared" si="6"/>
        <v>867029.87909917533</v>
      </c>
      <c r="N24" s="80">
        <f t="shared" si="6"/>
        <v>894419.24123986065</v>
      </c>
      <c r="O24" s="80">
        <f t="shared" si="6"/>
        <v>252894.41821715981</v>
      </c>
      <c r="P24" s="76">
        <f>SUM(D24:O24)</f>
        <v>8803109.3620890416</v>
      </c>
    </row>
    <row r="25" spans="1:16">
      <c r="A25" s="21">
        <v>11</v>
      </c>
      <c r="B25" s="20" t="s">
        <v>118</v>
      </c>
      <c r="C25" s="81" t="s">
        <v>119</v>
      </c>
      <c r="D25" s="80">
        <f>IF(D10="",D24*-'UE-150204 Decoupling Base'!$BE$18,0)</f>
        <v>-16376.943777952958</v>
      </c>
      <c r="E25" s="80">
        <f>IF(E10="",E24*-'UE-150204 Decoupling Base'!$BE$18,0)</f>
        <v>-83379.281008765582</v>
      </c>
      <c r="F25" s="80">
        <f>IF(F10="",F24*-'UE-150204 Decoupling Base'!$BE$18,0)</f>
        <v>-30617.783353055904</v>
      </c>
      <c r="G25" s="80">
        <f>IF(G10="",G24*-'UE-150204 Decoupling Base'!$BE$18,0)</f>
        <v>-38812.581884316707</v>
      </c>
      <c r="H25" s="271">
        <f>IF(H10="",H24*-'Attachment 4, Page 4'!$E$20,0)</f>
        <v>-55868.425758406636</v>
      </c>
      <c r="I25" s="80">
        <f t="shared" ref="I25:O25" si="7">IF(I10="",I24*-0.04588,0)</f>
        <v>-28224.25082309997</v>
      </c>
      <c r="J25" s="80">
        <f t="shared" si="7"/>
        <v>-47481.106377368</v>
      </c>
      <c r="K25" s="80">
        <f t="shared" si="7"/>
        <v>75339.947654539967</v>
      </c>
      <c r="L25" s="80">
        <f t="shared" si="7"/>
        <v>-87002.092325236721</v>
      </c>
      <c r="M25" s="80">
        <f t="shared" si="7"/>
        <v>-39779.330853070162</v>
      </c>
      <c r="N25" s="80">
        <f t="shared" si="7"/>
        <v>-41035.954788084804</v>
      </c>
      <c r="O25" s="80">
        <f t="shared" si="7"/>
        <v>-11602.795907803291</v>
      </c>
      <c r="P25" s="76">
        <f>SUM(D25:O25)</f>
        <v>-404840.59920262068</v>
      </c>
    </row>
    <row r="26" spans="1:16">
      <c r="A26" s="21"/>
      <c r="B26" s="20"/>
      <c r="C26" s="21" t="s">
        <v>120</v>
      </c>
      <c r="D26" s="82">
        <v>4.2500000000000003E-2</v>
      </c>
      <c r="E26" s="82">
        <f>D26</f>
        <v>4.2500000000000003E-2</v>
      </c>
      <c r="F26" s="82">
        <f>E26</f>
        <v>4.2500000000000003E-2</v>
      </c>
      <c r="G26" s="82">
        <v>4.4699999999999997E-2</v>
      </c>
      <c r="H26" s="272">
        <v>4.4699999999999997E-2</v>
      </c>
      <c r="I26" s="290">
        <v>4.4699999999999997E-2</v>
      </c>
      <c r="J26" s="290">
        <v>4.6899999999999997E-2</v>
      </c>
      <c r="K26" s="290">
        <v>4.6899999999999997E-2</v>
      </c>
      <c r="L26" s="290">
        <v>4.6899999999999997E-2</v>
      </c>
      <c r="M26" s="290">
        <v>4.9599999999999998E-2</v>
      </c>
      <c r="N26" s="290">
        <v>4.9599999999999998E-2</v>
      </c>
      <c r="O26" s="290">
        <v>4.9599999999999998E-2</v>
      </c>
      <c r="P26" s="76"/>
    </row>
    <row r="27" spans="1:16">
      <c r="A27" s="21">
        <v>12</v>
      </c>
      <c r="B27" s="20" t="s">
        <v>121</v>
      </c>
      <c r="C27" s="21" t="s">
        <v>122</v>
      </c>
      <c r="D27" s="83">
        <f>(D24+D25)/2*D26/12</f>
        <v>603.10112239389923</v>
      </c>
      <c r="E27" s="83">
        <f>(D29+(E24+E25)/2)*E26/12</f>
        <v>4278.8829304448182</v>
      </c>
      <c r="F27" s="83">
        <f t="shared" ref="F27:O27" si="8">(E29+(F24+F25)/2)*F26/12</f>
        <v>8492.1195869676721</v>
      </c>
      <c r="G27" s="83">
        <f t="shared" si="8"/>
        <v>11652.558545347732</v>
      </c>
      <c r="H27" s="273">
        <f t="shared" si="8"/>
        <v>15324.474052382087</v>
      </c>
      <c r="I27" s="83">
        <f t="shared" si="8"/>
        <v>18599.954588755154</v>
      </c>
      <c r="J27" s="83">
        <f t="shared" si="8"/>
        <v>22664.660525575866</v>
      </c>
      <c r="K27" s="83">
        <f t="shared" si="8"/>
        <v>21621.090871523793</v>
      </c>
      <c r="L27" s="83">
        <f t="shared" si="8"/>
        <v>22179.529211202414</v>
      </c>
      <c r="M27" s="83">
        <f t="shared" si="8"/>
        <v>28996.924465938897</v>
      </c>
      <c r="N27" s="83">
        <f t="shared" si="8"/>
        <v>32590.088345440396</v>
      </c>
      <c r="O27" s="83">
        <f t="shared" si="8"/>
        <v>34987.122188707886</v>
      </c>
      <c r="P27" s="76">
        <f>SUM(D27:O27)</f>
        <v>221990.5064346806</v>
      </c>
    </row>
    <row r="28" spans="1:16" ht="15" thickBot="1">
      <c r="A28" s="21"/>
      <c r="B28" s="85" t="s">
        <v>123</v>
      </c>
      <c r="C28" s="21"/>
      <c r="D28" s="86">
        <f>D24+D25+D27</f>
        <v>341177.85259188991</v>
      </c>
      <c r="E28" s="86">
        <f>E24+E25+E27</f>
        <v>1738233.5384684445</v>
      </c>
      <c r="F28" s="86">
        <f t="shared" ref="F28:O28" si="9">F24+F25+F27</f>
        <v>645219.22187157313</v>
      </c>
      <c r="G28" s="86">
        <f t="shared" si="9"/>
        <v>818798.60535145632</v>
      </c>
      <c r="H28" s="274">
        <f t="shared" si="9"/>
        <v>1156371.5689659691</v>
      </c>
      <c r="I28" s="86">
        <f t="shared" si="9"/>
        <v>605551.17942171381</v>
      </c>
      <c r="J28" s="86">
        <f t="shared" si="9"/>
        <v>1010081.2519984259</v>
      </c>
      <c r="K28" s="86">
        <f t="shared" si="9"/>
        <v>-1545147.6723401081</v>
      </c>
      <c r="L28" s="86">
        <f t="shared" si="9"/>
        <v>1831474.1309844123</v>
      </c>
      <c r="M28" s="86">
        <f t="shared" si="9"/>
        <v>856247.47271204414</v>
      </c>
      <c r="N28" s="86">
        <f t="shared" si="9"/>
        <v>885973.37479721615</v>
      </c>
      <c r="O28" s="86">
        <f t="shared" si="9"/>
        <v>276278.74449806439</v>
      </c>
      <c r="P28" s="87">
        <f>SUM(D28:O28)</f>
        <v>8620259.2693211008</v>
      </c>
    </row>
    <row r="29" spans="1:16" ht="27.6" thickBot="1">
      <c r="A29" s="21">
        <v>13</v>
      </c>
      <c r="B29" s="92" t="s">
        <v>129</v>
      </c>
      <c r="C29" s="21" t="str">
        <f>"Σ(("&amp;A$24&amp;") ~ ("&amp;A27&amp;"))"</f>
        <v>Σ((10) ~ (12))</v>
      </c>
      <c r="D29" s="75">
        <f>D24+D25+D27</f>
        <v>341177.85259188991</v>
      </c>
      <c r="E29" s="75">
        <f>D29+E24+E25+E27</f>
        <v>2079411.3910603344</v>
      </c>
      <c r="F29" s="75">
        <f t="shared" ref="F29:N29" si="10">E29+F24+F25+F27</f>
        <v>2724630.6129319081</v>
      </c>
      <c r="G29" s="75">
        <f t="shared" si="10"/>
        <v>3543429.2182833645</v>
      </c>
      <c r="H29" s="265">
        <f t="shared" si="10"/>
        <v>4699800.7872493332</v>
      </c>
      <c r="I29" s="75">
        <f t="shared" si="10"/>
        <v>5305351.9666710468</v>
      </c>
      <c r="J29" s="75">
        <f t="shared" si="10"/>
        <v>6315433.2186694732</v>
      </c>
      <c r="K29" s="75">
        <f t="shared" si="10"/>
        <v>4770285.5463293651</v>
      </c>
      <c r="L29" s="75">
        <f t="shared" si="10"/>
        <v>6601759.6773137776</v>
      </c>
      <c r="M29" s="75">
        <f t="shared" si="10"/>
        <v>7458007.1500258213</v>
      </c>
      <c r="N29" s="75">
        <f t="shared" si="10"/>
        <v>8343980.524823037</v>
      </c>
      <c r="O29" s="88">
        <f>N29+O24+O25+O27</f>
        <v>8620259.2693211008</v>
      </c>
      <c r="P29" s="76"/>
    </row>
    <row r="30" spans="1:16">
      <c r="A30" s="21"/>
      <c r="B30" s="85"/>
      <c r="C30" s="21"/>
      <c r="D30" s="39"/>
      <c r="E30" s="39"/>
      <c r="F30" s="39"/>
      <c r="G30" s="39"/>
      <c r="H30" s="266"/>
      <c r="I30" s="39"/>
      <c r="J30" s="39"/>
      <c r="K30" s="39"/>
      <c r="L30" s="39"/>
      <c r="M30" s="39"/>
      <c r="N30" s="39"/>
      <c r="O30" s="39"/>
    </row>
    <row r="31" spans="1:16" hidden="1">
      <c r="A31" s="68" t="s">
        <v>124</v>
      </c>
      <c r="B31" s="20"/>
      <c r="C31" s="21"/>
      <c r="D31" s="39"/>
      <c r="E31" s="39"/>
      <c r="F31" s="39"/>
      <c r="G31" s="39"/>
      <c r="H31" s="266"/>
      <c r="I31" s="39"/>
      <c r="J31" s="39"/>
      <c r="K31" s="39"/>
      <c r="L31" s="39"/>
      <c r="M31" s="39"/>
      <c r="N31" s="39"/>
      <c r="O31" s="39"/>
      <c r="P31" s="89"/>
    </row>
    <row r="32" spans="1:16" ht="9" hidden="1" customHeight="1">
      <c r="A32" s="58"/>
      <c r="B32" s="69" t="s">
        <v>125</v>
      </c>
      <c r="C32" s="58" t="s">
        <v>126</v>
      </c>
      <c r="D32" s="70"/>
      <c r="E32" s="70"/>
      <c r="F32" s="70"/>
      <c r="G32" s="70"/>
      <c r="H32" s="262"/>
      <c r="I32" s="70"/>
      <c r="J32" s="70"/>
      <c r="K32" s="70"/>
      <c r="L32" s="70"/>
      <c r="M32" s="70"/>
      <c r="N32" s="70"/>
      <c r="O32" s="70"/>
      <c r="P32" s="58"/>
    </row>
    <row r="33" spans="1:16" hidden="1">
      <c r="A33" s="21"/>
      <c r="B33" s="20"/>
      <c r="C33" s="21"/>
      <c r="D33" s="75"/>
      <c r="E33" s="75"/>
      <c r="F33" s="75"/>
      <c r="G33" s="75"/>
      <c r="H33" s="275"/>
      <c r="I33" s="75"/>
      <c r="J33" s="75"/>
      <c r="K33" s="75"/>
      <c r="L33" s="75"/>
      <c r="M33" s="75"/>
      <c r="N33" s="75"/>
      <c r="O33" s="75"/>
      <c r="P33" s="76"/>
    </row>
    <row r="34" spans="1:16">
      <c r="A34" s="21"/>
      <c r="B34" s="72" t="s">
        <v>57</v>
      </c>
      <c r="C34" s="21"/>
      <c r="D34" s="75"/>
      <c r="E34" s="75"/>
      <c r="F34" s="75"/>
      <c r="G34" s="75"/>
      <c r="H34" s="265"/>
      <c r="I34" s="75"/>
      <c r="J34" s="75"/>
      <c r="K34" s="75"/>
      <c r="L34" s="75"/>
      <c r="M34" s="75"/>
      <c r="N34" s="75"/>
      <c r="O34" s="75"/>
      <c r="P34" s="76"/>
    </row>
    <row r="35" spans="1:16" ht="15" customHeight="1">
      <c r="A35" s="21">
        <v>14</v>
      </c>
      <c r="B35" s="20" t="s">
        <v>108</v>
      </c>
      <c r="C35" s="21" t="s">
        <v>109</v>
      </c>
      <c r="D35" s="147">
        <f>'Jan Base Rate Revenue'!$C$21+'Jan Base Rate Revenue'!$B$87</f>
        <v>36869</v>
      </c>
      <c r="E35" s="147">
        <f>'Feb Base Rate Revenue'!$C$21+'Feb Base Rate Revenue'!$B$87</f>
        <v>36446</v>
      </c>
      <c r="F35" s="147">
        <f>'Mar Base Rate Revenue'!$C$21+'Mar Base Rate Revenue'!$B$87</f>
        <v>36553</v>
      </c>
      <c r="G35" s="147">
        <f>'Apr Base Rate Revenue'!$C$21+'Apr Base Rate Revenue'!$B$87</f>
        <v>36256</v>
      </c>
      <c r="H35" s="263">
        <f>'May Base Rate Revenue'!$C$21+'May Base Rate Revenue'!$B$84</f>
        <v>36545</v>
      </c>
      <c r="I35" s="147">
        <f>'June Base Rate Revenue'!$C$21+'June Base Rate Revenue'!$B$84</f>
        <v>36487</v>
      </c>
      <c r="J35" s="147">
        <f>'July Base Rate Revenue'!$C$21+'July Base Rate Revenue'!$B$84</f>
        <v>36645</v>
      </c>
      <c r="K35" s="147">
        <f>'August Base Rate Revenue'!$C$21+'August Base Rate Revenue'!$B$84</f>
        <v>36730</v>
      </c>
      <c r="L35" s="147">
        <f>'September Base Rate Revenue'!$C$21+'September Base Rate Revenue'!$B$84</f>
        <v>35719</v>
      </c>
      <c r="M35" s="147">
        <f>'October Base Rate Revenue'!$C$21+'October Base Rate Revenue'!$B$84</f>
        <v>37529</v>
      </c>
      <c r="N35" s="147">
        <f>'November Base Rate Revenue'!$C$21+'November Base Rate Revenue'!$B$85</f>
        <v>36614</v>
      </c>
      <c r="O35" s="147">
        <f>'December Base Rate Revenue'!$C$21+'December Base Rate Revenue'!$B$85</f>
        <v>36652</v>
      </c>
      <c r="P35" s="96">
        <f>SUM(D35:O35)</f>
        <v>439045</v>
      </c>
    </row>
    <row r="36" spans="1:16" ht="26.4">
      <c r="A36" s="73">
        <f>A35+1</f>
        <v>15</v>
      </c>
      <c r="B36" s="143" t="s">
        <v>110</v>
      </c>
      <c r="C36" s="143" t="s">
        <v>170</v>
      </c>
      <c r="D36" s="144">
        <f>'UE-150204 Decoupling Base'!V27</f>
        <v>362.51153702538215</v>
      </c>
      <c r="E36" s="144">
        <f>'UE-150204 Decoupling Base'!W27</f>
        <v>368.64634553355734</v>
      </c>
      <c r="F36" s="144">
        <f>'UE-150204 Decoupling Base'!X27</f>
        <v>345.3608332677303</v>
      </c>
      <c r="G36" s="144">
        <f>'UE-150204 Decoupling Base'!Y27</f>
        <v>343.55068665310012</v>
      </c>
      <c r="H36" s="264">
        <f>'Attachment 4, Page 3'!H28</f>
        <v>363.90367865128621</v>
      </c>
      <c r="I36" s="144">
        <f>'Attachment 4, Page 3'!I28</f>
        <v>372.7602018515484</v>
      </c>
      <c r="J36" s="144">
        <f>'Attachment 4, Page 3'!J28</f>
        <v>410.55493937029155</v>
      </c>
      <c r="K36" s="144">
        <f>'Attachment 4, Page 3'!K28</f>
        <v>386.60243468113521</v>
      </c>
      <c r="L36" s="144">
        <f>'Attachment 4, Page 3'!L28</f>
        <v>363.2493677121696</v>
      </c>
      <c r="M36" s="144">
        <f>'Attachment 4, Page 3'!M28</f>
        <v>367.48144990181908</v>
      </c>
      <c r="N36" s="144">
        <f>'Attachment 4, Page 3'!N28</f>
        <v>326.95588874638707</v>
      </c>
      <c r="O36" s="144">
        <f>'Attachment 4, Page 3'!O28</f>
        <v>388.87614359251808</v>
      </c>
      <c r="P36" s="74">
        <f>SUM(D36:O36)</f>
        <v>4400.4535069869253</v>
      </c>
    </row>
    <row r="37" spans="1:16">
      <c r="A37" s="21">
        <f>A36+1</f>
        <v>16</v>
      </c>
      <c r="B37" s="20" t="s">
        <v>60</v>
      </c>
      <c r="C37" s="21" t="str">
        <f>"("&amp;A35&amp;") x ("&amp;A36&amp;")"</f>
        <v>(14) x (15)</v>
      </c>
      <c r="D37" s="75">
        <f>D35*D36</f>
        <v>13365437.858588815</v>
      </c>
      <c r="E37" s="75">
        <f t="shared" ref="E37:O37" si="11">E35*E36</f>
        <v>13435684.70931603</v>
      </c>
      <c r="F37" s="75">
        <f t="shared" si="11"/>
        <v>12623974.538435346</v>
      </c>
      <c r="G37" s="75">
        <f t="shared" si="11"/>
        <v>12455773.695294797</v>
      </c>
      <c r="H37" s="265">
        <f t="shared" si="11"/>
        <v>13298859.936311254</v>
      </c>
      <c r="I37" s="75">
        <f t="shared" si="11"/>
        <v>13600901.484957447</v>
      </c>
      <c r="J37" s="75">
        <f t="shared" si="11"/>
        <v>15044785.753224334</v>
      </c>
      <c r="K37" s="75">
        <f t="shared" si="11"/>
        <v>14199907.425838096</v>
      </c>
      <c r="L37" s="75">
        <f t="shared" si="11"/>
        <v>12974904.165310986</v>
      </c>
      <c r="M37" s="75">
        <f t="shared" si="11"/>
        <v>13791211.333365368</v>
      </c>
      <c r="N37" s="75">
        <f t="shared" si="11"/>
        <v>11971162.910560217</v>
      </c>
      <c r="O37" s="75">
        <f t="shared" si="11"/>
        <v>14253088.414952973</v>
      </c>
      <c r="P37" s="76">
        <f>SUM(D37:O37)</f>
        <v>161015692.22615567</v>
      </c>
    </row>
    <row r="38" spans="1:16">
      <c r="A38" s="21"/>
      <c r="B38" s="20"/>
      <c r="C38" s="21"/>
      <c r="D38" s="39"/>
      <c r="E38" s="39"/>
      <c r="F38" s="39"/>
      <c r="G38" s="39"/>
      <c r="H38" s="266"/>
      <c r="I38" s="75"/>
      <c r="J38" s="39"/>
      <c r="K38" s="39"/>
      <c r="L38" s="39"/>
      <c r="M38" s="39"/>
      <c r="N38" s="39"/>
      <c r="O38" s="39"/>
      <c r="P38" s="20"/>
    </row>
    <row r="39" spans="1:16">
      <c r="A39" s="21">
        <v>17</v>
      </c>
      <c r="B39" s="20" t="s">
        <v>111</v>
      </c>
      <c r="C39" s="21" t="s">
        <v>109</v>
      </c>
      <c r="D39" s="148">
        <f>'Jan Base Rate Revenue'!$I$41+'Jan Base Rate Revenue'!$D$87</f>
        <v>17231332.135527994</v>
      </c>
      <c r="E39" s="148">
        <f>'Feb Base Rate Revenue'!$I$41+'Feb Base Rate Revenue'!$D$87</f>
        <v>17495590.564329997</v>
      </c>
      <c r="F39" s="148">
        <f>'Mar Base Rate Revenue'!$I$41+'Mar Base Rate Revenue'!$D$87</f>
        <v>16790327.355908003</v>
      </c>
      <c r="G39" s="148">
        <f>'Apr Base Rate Revenue'!$I$41+'Apr Base Rate Revenue'!$D$87</f>
        <v>16164293.03472</v>
      </c>
      <c r="H39" s="267">
        <f>'May Base Rate Revenue'!$I$41+'May Base Rate Revenue'!$D$84</f>
        <v>17424968.895579997</v>
      </c>
      <c r="I39" s="148">
        <f>'June Base Rate Revenue'!$I$41+'June Base Rate Revenue'!$D$84</f>
        <v>17807498.183899999</v>
      </c>
      <c r="J39" s="148">
        <f>'July Base Rate Revenue'!$I$41+'July Base Rate Revenue'!$D$84</f>
        <v>19859671.218349997</v>
      </c>
      <c r="K39" s="148">
        <f>'August Base Rate Revenue'!$I$41+'August Base Rate Revenue'!$D$84</f>
        <v>19182145.731759999</v>
      </c>
      <c r="L39" s="148">
        <f>'September Base Rate Revenue'!$I$41+'September Base Rate Revenue'!$D$84</f>
        <v>17009242.60385</v>
      </c>
      <c r="M39" s="148">
        <f>'October Base Rate Revenue'!$I$41+'October Base Rate Revenue'!$D$84</f>
        <v>18403642.661449999</v>
      </c>
      <c r="N39" s="148">
        <f>'November Base Rate Revenue'!$I$41+'November Base Rate Revenue'!$D$85</f>
        <v>17593112.825040001</v>
      </c>
      <c r="O39" s="148">
        <f>'December Base Rate Revenue'!$I$41+'December Base Rate Revenue'!$D$85</f>
        <v>17332612.114179999</v>
      </c>
      <c r="P39" s="97">
        <f>SUM(D39:O39)</f>
        <v>212294437.32459602</v>
      </c>
    </row>
    <row r="40" spans="1:16">
      <c r="A40" s="21">
        <f>A39+1</f>
        <v>18</v>
      </c>
      <c r="B40" s="20" t="s">
        <v>112</v>
      </c>
      <c r="C40" s="21" t="s">
        <v>109</v>
      </c>
      <c r="D40" s="148">
        <f>'Jan Base Rate Revenue'!$C$41+'Jan Base Rate Revenue'!$E$87</f>
        <v>1599353.29</v>
      </c>
      <c r="E40" s="148">
        <f>'Feb Base Rate Revenue'!$C$41+'Feb Base Rate Revenue'!$E$87</f>
        <v>1583614.6400000001</v>
      </c>
      <c r="F40" s="148">
        <f>'Mar Base Rate Revenue'!$C$41+'Mar Base Rate Revenue'!$E$87</f>
        <v>1592066.47</v>
      </c>
      <c r="G40" s="148">
        <f>'Apr Base Rate Revenue'!$C$41+'Apr Base Rate Revenue'!$E$87</f>
        <v>1579037.1199999999</v>
      </c>
      <c r="H40" s="267">
        <f>'May Base Rate Revenue'!$C$41+'May Base Rate Revenue'!$E$84</f>
        <v>1651131.66</v>
      </c>
      <c r="I40" s="148">
        <f>'June Base Rate Revenue'!$C$41+'June Base Rate Revenue'!$E$84</f>
        <v>1653528.8900000001</v>
      </c>
      <c r="J40" s="148">
        <f>'July Base Rate Revenue'!$C$41+'July Base Rate Revenue'!$E$84</f>
        <v>1651212.74</v>
      </c>
      <c r="K40" s="148">
        <f>'August Base Rate Revenue'!$C$41+'August Base Rate Revenue'!$E$84</f>
        <v>1662967.92</v>
      </c>
      <c r="L40" s="148">
        <f>'September Base Rate Revenue'!$C$41+'September Base Rate Revenue'!$E$84</f>
        <v>1619989.31</v>
      </c>
      <c r="M40" s="148">
        <f>'October Base Rate Revenue'!$C$41+'October Base Rate Revenue'!$E$84</f>
        <v>1698059.09</v>
      </c>
      <c r="N40" s="148">
        <f>'November Base Rate Revenue'!$C$41+'November Base Rate Revenue'!$E$85</f>
        <v>1643976.4699999997</v>
      </c>
      <c r="O40" s="148">
        <f>'December Base Rate Revenue'!$C$41+'December Base Rate Revenue'!$E$85</f>
        <v>1657604.51</v>
      </c>
      <c r="P40" s="97">
        <f>SUM(D40:O40)</f>
        <v>19592542.110000003</v>
      </c>
    </row>
    <row r="41" spans="1:16">
      <c r="A41" s="21">
        <f>A40+1</f>
        <v>19</v>
      </c>
      <c r="B41" s="77" t="s">
        <v>212</v>
      </c>
      <c r="C41" s="21" t="s">
        <v>109</v>
      </c>
      <c r="D41" s="149">
        <f>'Jan Base Rate Revenue'!$I$21+'Jan Base Rate Revenue'!$C$87</f>
        <v>175021622.33399999</v>
      </c>
      <c r="E41" s="149">
        <f>'Feb Base Rate Revenue'!$I$21+'Feb Base Rate Revenue'!$C$87</f>
        <v>177591618.72100002</v>
      </c>
      <c r="F41" s="149">
        <f>'Mar Base Rate Revenue'!$I$21+'Mar Base Rate Revenue'!$C$87</f>
        <v>168228412.38800001</v>
      </c>
      <c r="G41" s="149">
        <f>'Apr Base Rate Revenue'!$I$21+'Apr Base Rate Revenue'!$C$87</f>
        <v>162967105.72499999</v>
      </c>
      <c r="H41" s="268">
        <f>'May Base Rate Revenue'!$I$21+'May Base Rate Revenue'!$C$84</f>
        <v>175847456.97705001</v>
      </c>
      <c r="I41" s="149">
        <f>'June Base Rate Revenue'!$I$21+'June Base Rate Revenue'!$C$84</f>
        <v>180663410.56000003</v>
      </c>
      <c r="J41" s="149">
        <f>'July Base Rate Revenue'!$I$21+'July Base Rate Revenue'!$C$84</f>
        <v>205852512.12300003</v>
      </c>
      <c r="K41" s="149">
        <f>'August Base Rate Revenue'!$I$21+'August Base Rate Revenue'!$C$84</f>
        <v>194642804.248</v>
      </c>
      <c r="L41" s="149">
        <f>'September Base Rate Revenue'!$I$21+'September Base Rate Revenue'!$C$84</f>
        <v>169174117.23899999</v>
      </c>
      <c r="M41" s="149">
        <f>'October Base Rate Revenue'!$I$21+'October Base Rate Revenue'!$C$84</f>
        <v>183987851.15400001</v>
      </c>
      <c r="N41" s="149">
        <f>'November Base Rate Revenue'!$I$21+'November Base Rate Revenue'!$C$85</f>
        <v>175888754.928</v>
      </c>
      <c r="O41" s="149">
        <f>'December Base Rate Revenue'!$I$21+'December Base Rate Revenue'!$C$85</f>
        <v>171593218.984</v>
      </c>
      <c r="P41" s="98">
        <f>SUM(D41:O41)</f>
        <v>2141458885.3810501</v>
      </c>
    </row>
    <row r="42" spans="1:16" ht="27">
      <c r="A42" s="21">
        <f>A41+1</f>
        <v>20</v>
      </c>
      <c r="B42" s="84" t="s">
        <v>113</v>
      </c>
      <c r="C42" s="145" t="s">
        <v>151</v>
      </c>
      <c r="D42" s="146">
        <f>'UE-150204 Decoupling Base'!$E$14</f>
        <v>1.6410000000000001E-2</v>
      </c>
      <c r="E42" s="146">
        <f>'UE-150204 Decoupling Base'!$E$14</f>
        <v>1.6410000000000001E-2</v>
      </c>
      <c r="F42" s="146">
        <f>'UE-150204 Decoupling Base'!$E$14</f>
        <v>1.6410000000000001E-2</v>
      </c>
      <c r="G42" s="146">
        <f>'UE-150204 Decoupling Base'!$E$14</f>
        <v>1.6410000000000001E-2</v>
      </c>
      <c r="H42" s="269">
        <f>'Attachment 4, Page 1'!$E$27</f>
        <v>1.9E-2</v>
      </c>
      <c r="I42" s="146">
        <f>'Attachment 4, Page 1'!$E$27</f>
        <v>1.9E-2</v>
      </c>
      <c r="J42" s="146">
        <f>'Attachment 4, Page 1'!$E$27</f>
        <v>1.9E-2</v>
      </c>
      <c r="K42" s="146">
        <f>'Attachment 4, Page 1'!$E$27</f>
        <v>1.9E-2</v>
      </c>
      <c r="L42" s="146">
        <f>'Attachment 4, Page 1'!$E$27</f>
        <v>1.9E-2</v>
      </c>
      <c r="M42" s="146">
        <f>'Attachment 4, Page 1'!$E$27</f>
        <v>1.9E-2</v>
      </c>
      <c r="N42" s="146">
        <f>'Attachment 4, Page 1'!$E$27</f>
        <v>1.9E-2</v>
      </c>
      <c r="O42" s="146">
        <f>'Attachment 4, Page 1'!$E$27</f>
        <v>1.9E-2</v>
      </c>
      <c r="P42" s="78"/>
    </row>
    <row r="43" spans="1:16">
      <c r="A43" s="21">
        <f>A42+1</f>
        <v>21</v>
      </c>
      <c r="B43" s="20" t="s">
        <v>114</v>
      </c>
      <c r="C43" s="21" t="str">
        <f>"("&amp;A41&amp;") x ("&amp;A42&amp;")"</f>
        <v>(19) x (20)</v>
      </c>
      <c r="D43" s="75">
        <f>D41*D42</f>
        <v>2872104.8225009399</v>
      </c>
      <c r="E43" s="75">
        <f t="shared" ref="E43:O43" si="12">E41*E42</f>
        <v>2914278.4632116104</v>
      </c>
      <c r="F43" s="75">
        <f t="shared" si="12"/>
        <v>2760628.2472870802</v>
      </c>
      <c r="G43" s="75">
        <f t="shared" si="12"/>
        <v>2674290.20494725</v>
      </c>
      <c r="H43" s="265">
        <f t="shared" si="12"/>
        <v>3341101.6825639498</v>
      </c>
      <c r="I43" s="75">
        <f t="shared" si="12"/>
        <v>3432604.8006400005</v>
      </c>
      <c r="J43" s="75">
        <f t="shared" si="12"/>
        <v>3911197.7303370005</v>
      </c>
      <c r="K43" s="75">
        <f t="shared" si="12"/>
        <v>3698213.2807119996</v>
      </c>
      <c r="L43" s="75">
        <f t="shared" si="12"/>
        <v>3214308.2275409997</v>
      </c>
      <c r="M43" s="75">
        <f t="shared" si="12"/>
        <v>3495769.1719260002</v>
      </c>
      <c r="N43" s="75">
        <f t="shared" si="12"/>
        <v>3341886.343632</v>
      </c>
      <c r="O43" s="75">
        <f t="shared" si="12"/>
        <v>3260271.1606959999</v>
      </c>
      <c r="P43" s="76">
        <f>SUM(D43:O43)</f>
        <v>38916654.135994829</v>
      </c>
    </row>
    <row r="44" spans="1:16">
      <c r="A44" s="21">
        <f>A43+1</f>
        <v>22</v>
      </c>
      <c r="B44" s="20" t="s">
        <v>115</v>
      </c>
      <c r="C44" s="21" t="str">
        <f>"("&amp;A39&amp;") - ("&amp;A40&amp;") -("&amp;A43&amp;")"</f>
        <v>(17) - (18) -(21)</v>
      </c>
      <c r="D44" s="75">
        <f>D39-D40-D43</f>
        <v>12759874.023027055</v>
      </c>
      <c r="E44" s="75">
        <f t="shared" ref="E44:O44" si="13">E39-E40-E43</f>
        <v>12997697.461118385</v>
      </c>
      <c r="F44" s="75">
        <f t="shared" si="13"/>
        <v>12437632.638620922</v>
      </c>
      <c r="G44" s="75">
        <f t="shared" si="13"/>
        <v>11910965.709772751</v>
      </c>
      <c r="H44" s="265">
        <f t="shared" si="13"/>
        <v>12432735.553016048</v>
      </c>
      <c r="I44" s="75">
        <f t="shared" si="13"/>
        <v>12721364.493259998</v>
      </c>
      <c r="J44" s="75">
        <f t="shared" si="13"/>
        <v>14297260.748012997</v>
      </c>
      <c r="K44" s="75">
        <f t="shared" si="13"/>
        <v>13820964.531048002</v>
      </c>
      <c r="L44" s="75">
        <f t="shared" si="13"/>
        <v>12174945.066308999</v>
      </c>
      <c r="M44" s="75">
        <f t="shared" si="13"/>
        <v>13209814.399524</v>
      </c>
      <c r="N44" s="75">
        <f t="shared" si="13"/>
        <v>12607250.011408003</v>
      </c>
      <c r="O44" s="75">
        <f t="shared" si="13"/>
        <v>12414736.443483999</v>
      </c>
      <c r="P44" s="76">
        <f>SUM(D44:O44)</f>
        <v>153785241.07860118</v>
      </c>
    </row>
    <row r="45" spans="1:16">
      <c r="A45" s="21"/>
      <c r="B45" s="21" t="s">
        <v>127</v>
      </c>
      <c r="C45" s="21"/>
      <c r="D45" s="74">
        <f>D44/D35</f>
        <v>346.08679440795942</v>
      </c>
      <c r="E45" s="74">
        <f t="shared" ref="E45:O45" si="14">E44/E35</f>
        <v>356.62891568672518</v>
      </c>
      <c r="F45" s="74">
        <f t="shared" si="14"/>
        <v>340.26297810360086</v>
      </c>
      <c r="G45" s="74">
        <f t="shared" si="14"/>
        <v>328.52398802329964</v>
      </c>
      <c r="H45" s="270">
        <f t="shared" si="14"/>
        <v>340.20346293654529</v>
      </c>
      <c r="I45" s="74">
        <f t="shared" si="14"/>
        <v>348.65471245265434</v>
      </c>
      <c r="J45" s="74">
        <f t="shared" si="14"/>
        <v>390.15583976021276</v>
      </c>
      <c r="K45" s="74">
        <f t="shared" si="14"/>
        <v>376.28544870808611</v>
      </c>
      <c r="L45" s="74">
        <f t="shared" si="14"/>
        <v>340.85346919871773</v>
      </c>
      <c r="M45" s="74">
        <f t="shared" si="14"/>
        <v>351.98951209795092</v>
      </c>
      <c r="N45" s="74">
        <f t="shared" si="14"/>
        <v>344.32867240421706</v>
      </c>
      <c r="O45" s="74">
        <f t="shared" si="14"/>
        <v>338.71920886947504</v>
      </c>
      <c r="P45" s="74">
        <f>P44/P35*12</f>
        <v>4203.2659361642072</v>
      </c>
    </row>
    <row r="46" spans="1:16">
      <c r="A46" s="21">
        <v>23</v>
      </c>
      <c r="B46" s="20" t="s">
        <v>117</v>
      </c>
      <c r="C46" s="21" t="str">
        <f>"("&amp;A$37&amp;") - ("&amp;A44&amp;")"</f>
        <v>(16) - (22)</v>
      </c>
      <c r="D46" s="80">
        <f>IF(D32="",D37-D44,-D32)</f>
        <v>605563.83556175977</v>
      </c>
      <c r="E46" s="80">
        <f>IF(E32="",E37-E44,-E32)</f>
        <v>437987.24819764495</v>
      </c>
      <c r="F46" s="80">
        <f t="shared" ref="F46:O46" si="15">IF(F32="",F37-F44,-F32)</f>
        <v>186341.89981442317</v>
      </c>
      <c r="G46" s="80">
        <f t="shared" si="15"/>
        <v>544807.98552204669</v>
      </c>
      <c r="H46" s="271">
        <f t="shared" si="15"/>
        <v>866124.38329520635</v>
      </c>
      <c r="I46" s="80">
        <f t="shared" si="15"/>
        <v>879536.99169744924</v>
      </c>
      <c r="J46" s="80">
        <f t="shared" si="15"/>
        <v>747525.00521133654</v>
      </c>
      <c r="K46" s="80">
        <f t="shared" si="15"/>
        <v>378942.89479009435</v>
      </c>
      <c r="L46" s="80">
        <f t="shared" si="15"/>
        <v>799959.09900198691</v>
      </c>
      <c r="M46" s="80">
        <f t="shared" si="15"/>
        <v>581396.93384136818</v>
      </c>
      <c r="N46" s="80">
        <f t="shared" si="15"/>
        <v>-636087.10084778629</v>
      </c>
      <c r="O46" s="80">
        <f t="shared" si="15"/>
        <v>1838351.9714689739</v>
      </c>
      <c r="P46" s="76">
        <f>SUM(D46:O46)</f>
        <v>7230451.1475545038</v>
      </c>
    </row>
    <row r="47" spans="1:16">
      <c r="A47" s="21">
        <v>24</v>
      </c>
      <c r="B47" s="20" t="s">
        <v>118</v>
      </c>
      <c r="C47" s="81" t="s">
        <v>119</v>
      </c>
      <c r="D47" s="80">
        <f>IF(D32="",D46*-'UE-150204 Decoupling Base'!$BE$18,0)</f>
        <v>-27783.268775573535</v>
      </c>
      <c r="E47" s="80">
        <f>IF(E32="",E46*-'UE-150204 Decoupling Base'!$BE$18,0)</f>
        <v>-20094.854947307947</v>
      </c>
      <c r="F47" s="80">
        <f>IF(F32="",F46*-'UE-150204 Decoupling Base'!$BE$18,0)</f>
        <v>-8549.3663634857348</v>
      </c>
      <c r="G47" s="80">
        <f>IF(G32="",G46*-'UE-150204 Decoupling Base'!$BE$18,0)</f>
        <v>-24995.790375751501</v>
      </c>
      <c r="H47" s="271">
        <f>IF(H32="",H46*-'Attachment 4, Page 4'!$E$20,0)</f>
        <v>-40428.087839070344</v>
      </c>
      <c r="I47" s="80">
        <f t="shared" ref="I47:O47" si="16">IF(I32="",I46*-0.04588,0)</f>
        <v>-40353.157179078968</v>
      </c>
      <c r="J47" s="80">
        <f t="shared" si="16"/>
        <v>-34296.447239096116</v>
      </c>
      <c r="K47" s="80">
        <f t="shared" si="16"/>
        <v>-17385.900012969527</v>
      </c>
      <c r="L47" s="80">
        <f t="shared" si="16"/>
        <v>-36702.123462211159</v>
      </c>
      <c r="M47" s="80">
        <f t="shared" si="16"/>
        <v>-26674.491324641971</v>
      </c>
      <c r="N47" s="80">
        <f t="shared" si="16"/>
        <v>29183.676186896435</v>
      </c>
      <c r="O47" s="80">
        <f t="shared" si="16"/>
        <v>-84343.588450996511</v>
      </c>
      <c r="P47" s="76">
        <f>SUM(D47:O47)</f>
        <v>-332423.39978328691</v>
      </c>
    </row>
    <row r="48" spans="1:16">
      <c r="A48" s="21"/>
      <c r="B48" s="20"/>
      <c r="C48" s="21" t="s">
        <v>120</v>
      </c>
      <c r="D48" s="82">
        <f>D26</f>
        <v>4.2500000000000003E-2</v>
      </c>
      <c r="E48" s="82">
        <f t="shared" ref="E48:O48" si="17">E26</f>
        <v>4.2500000000000003E-2</v>
      </c>
      <c r="F48" s="82">
        <f t="shared" si="17"/>
        <v>4.2500000000000003E-2</v>
      </c>
      <c r="G48" s="82">
        <f t="shared" si="17"/>
        <v>4.4699999999999997E-2</v>
      </c>
      <c r="H48" s="272">
        <f>H26</f>
        <v>4.4699999999999997E-2</v>
      </c>
      <c r="I48" s="82">
        <f t="shared" si="17"/>
        <v>4.4699999999999997E-2</v>
      </c>
      <c r="J48" s="82">
        <f t="shared" si="17"/>
        <v>4.6899999999999997E-2</v>
      </c>
      <c r="K48" s="82">
        <f t="shared" si="17"/>
        <v>4.6899999999999997E-2</v>
      </c>
      <c r="L48" s="82">
        <f t="shared" si="17"/>
        <v>4.6899999999999997E-2</v>
      </c>
      <c r="M48" s="82">
        <f t="shared" si="17"/>
        <v>4.9599999999999998E-2</v>
      </c>
      <c r="N48" s="82">
        <f t="shared" si="17"/>
        <v>4.9599999999999998E-2</v>
      </c>
      <c r="O48" s="82">
        <f t="shared" si="17"/>
        <v>4.9599999999999998E-2</v>
      </c>
      <c r="P48" s="76"/>
    </row>
    <row r="49" spans="1:16">
      <c r="A49" s="21">
        <v>25</v>
      </c>
      <c r="B49" s="20" t="s">
        <v>121</v>
      </c>
      <c r="C49" s="21" t="s">
        <v>122</v>
      </c>
      <c r="D49" s="83">
        <f>(D46+D47)/2*D48/12</f>
        <v>1023.1530870172047</v>
      </c>
      <c r="E49" s="83">
        <f>(D51+(E46+E47)/2)*E48/12</f>
        <v>2789.947620931734</v>
      </c>
      <c r="F49" s="83">
        <f t="shared" ref="F49:O49" si="18">(E51+(F46+F47)/2)*F48/12</f>
        <v>3854.6874097893747</v>
      </c>
      <c r="G49" s="83">
        <f t="shared" si="18"/>
        <v>5367.8716874393403</v>
      </c>
      <c r="H49" s="273">
        <f t="shared" si="18"/>
        <v>7893.8765732220791</v>
      </c>
      <c r="I49" s="83">
        <f t="shared" si="18"/>
        <v>11024.120505534849</v>
      </c>
      <c r="J49" s="83">
        <f t="shared" si="18"/>
        <v>14643.453157086087</v>
      </c>
      <c r="K49" s="83">
        <f t="shared" si="18"/>
        <v>16800.994754172749</v>
      </c>
      <c r="L49" s="83">
        <f t="shared" si="18"/>
        <v>19064.732608997918</v>
      </c>
      <c r="M49" s="83">
        <f t="shared" si="18"/>
        <v>22964.900876314485</v>
      </c>
      <c r="N49" s="83">
        <f t="shared" si="18"/>
        <v>22951.981770171988</v>
      </c>
      <c r="O49" s="83">
        <f t="shared" si="18"/>
        <v>25417.533542093344</v>
      </c>
      <c r="P49" s="76">
        <f>SUM(D49:O49)</f>
        <v>153797.25359277116</v>
      </c>
    </row>
    <row r="50" spans="1:16" ht="15" thickBot="1">
      <c r="A50" s="21"/>
      <c r="B50" s="85" t="s">
        <v>128</v>
      </c>
      <c r="C50" s="21"/>
      <c r="D50" s="86">
        <f>D46+D47+D49</f>
        <v>578803.71987320343</v>
      </c>
      <c r="E50" s="86">
        <f>E46+E47+E49</f>
        <v>420682.34087126871</v>
      </c>
      <c r="F50" s="86">
        <f t="shared" ref="F50:P50" si="19">F46+F47+F49</f>
        <v>181647.22086072684</v>
      </c>
      <c r="G50" s="86">
        <f t="shared" si="19"/>
        <v>525180.06683373451</v>
      </c>
      <c r="H50" s="274">
        <f t="shared" si="19"/>
        <v>833590.1720293581</v>
      </c>
      <c r="I50" s="86">
        <f t="shared" si="19"/>
        <v>850207.95502390503</v>
      </c>
      <c r="J50" s="86">
        <f t="shared" si="19"/>
        <v>727872.01112932642</v>
      </c>
      <c r="K50" s="86">
        <f t="shared" si="19"/>
        <v>378357.98953129759</v>
      </c>
      <c r="L50" s="86">
        <f t="shared" si="19"/>
        <v>782321.70814877376</v>
      </c>
      <c r="M50" s="86">
        <f t="shared" si="19"/>
        <v>577687.3433930407</v>
      </c>
      <c r="N50" s="86">
        <f t="shared" si="19"/>
        <v>-583951.44289071788</v>
      </c>
      <c r="O50" s="86">
        <f t="shared" si="19"/>
        <v>1779425.9165600708</v>
      </c>
      <c r="P50" s="86">
        <f t="shared" si="19"/>
        <v>7051825.001363988</v>
      </c>
    </row>
    <row r="51" spans="1:16" ht="27.6" thickBot="1">
      <c r="A51" s="21">
        <v>26</v>
      </c>
      <c r="B51" s="92" t="s">
        <v>129</v>
      </c>
      <c r="C51" s="21" t="str">
        <f>"Σ(("&amp;A$46&amp;") ~ ("&amp;A49&amp;"))"</f>
        <v>Σ((23) ~ (25))</v>
      </c>
      <c r="D51" s="75">
        <f>D46+D47+D49</f>
        <v>578803.71987320343</v>
      </c>
      <c r="E51" s="75">
        <f>D51+E46+E47+E49</f>
        <v>999486.0607444722</v>
      </c>
      <c r="F51" s="75">
        <f t="shared" ref="F51:N51" si="20">E51+F46+F47+F49</f>
        <v>1181133.281605199</v>
      </c>
      <c r="G51" s="75">
        <f t="shared" si="20"/>
        <v>1706313.3484389335</v>
      </c>
      <c r="H51" s="265">
        <f t="shared" si="20"/>
        <v>2539903.5204682918</v>
      </c>
      <c r="I51" s="75">
        <f t="shared" si="20"/>
        <v>3390111.4754921971</v>
      </c>
      <c r="J51" s="75">
        <f t="shared" si="20"/>
        <v>4117983.4866215233</v>
      </c>
      <c r="K51" s="75">
        <f t="shared" si="20"/>
        <v>4496341.4761528205</v>
      </c>
      <c r="L51" s="75">
        <f t="shared" si="20"/>
        <v>5278663.1843015943</v>
      </c>
      <c r="M51" s="75">
        <f t="shared" si="20"/>
        <v>5856350.5276946351</v>
      </c>
      <c r="N51" s="75">
        <f t="shared" si="20"/>
        <v>5272399.0848039174</v>
      </c>
      <c r="O51" s="88">
        <f>N51+O46+O47+O49</f>
        <v>7051825.001363988</v>
      </c>
      <c r="P51" s="76"/>
    </row>
    <row r="52" spans="1:16" ht="15" thickBot="1">
      <c r="A52" s="21"/>
      <c r="B52" s="20"/>
      <c r="C52" s="21"/>
      <c r="D52" s="75"/>
      <c r="E52" s="75"/>
      <c r="F52" s="75"/>
      <c r="G52" s="75"/>
      <c r="H52" s="265"/>
      <c r="I52" s="75"/>
      <c r="J52" s="75"/>
      <c r="K52" s="75"/>
      <c r="L52" s="75"/>
      <c r="M52" s="75"/>
      <c r="N52" s="75"/>
      <c r="O52" s="90"/>
    </row>
    <row r="53" spans="1:16" ht="28.95" customHeight="1" thickBot="1">
      <c r="A53" s="72">
        <v>27</v>
      </c>
      <c r="B53" s="93" t="s">
        <v>130</v>
      </c>
      <c r="C53" s="72" t="str">
        <f>"("&amp;A$29&amp;") + ("&amp;A51&amp;")"</f>
        <v>(13) + (26)</v>
      </c>
      <c r="D53" s="76">
        <f t="shared" ref="D53:O53" si="21">D29+D51</f>
        <v>919981.57246509334</v>
      </c>
      <c r="E53" s="76">
        <f t="shared" si="21"/>
        <v>3078897.4518048065</v>
      </c>
      <c r="F53" s="76">
        <f t="shared" si="21"/>
        <v>3905763.8945371071</v>
      </c>
      <c r="G53" s="76">
        <f t="shared" si="21"/>
        <v>5249742.566722298</v>
      </c>
      <c r="H53" s="276">
        <f t="shared" si="21"/>
        <v>7239704.3077176251</v>
      </c>
      <c r="I53" s="76">
        <f t="shared" si="21"/>
        <v>8695463.4421632439</v>
      </c>
      <c r="J53" s="76">
        <f t="shared" si="21"/>
        <v>10433416.705290996</v>
      </c>
      <c r="K53" s="76">
        <f t="shared" si="21"/>
        <v>9266627.0224821866</v>
      </c>
      <c r="L53" s="76">
        <f t="shared" si="21"/>
        <v>11880422.861615371</v>
      </c>
      <c r="M53" s="76">
        <f t="shared" si="21"/>
        <v>13314357.677720457</v>
      </c>
      <c r="N53" s="76">
        <f t="shared" si="21"/>
        <v>13616379.609626954</v>
      </c>
      <c r="O53" s="91">
        <f t="shared" si="21"/>
        <v>15672084.270685088</v>
      </c>
      <c r="P53" s="85"/>
    </row>
    <row r="54" spans="1:16">
      <c r="A54" s="20"/>
      <c r="B54" s="20"/>
      <c r="C54" s="20"/>
      <c r="D54" s="20"/>
      <c r="E54" s="20"/>
      <c r="F54" s="20"/>
      <c r="G54" s="20"/>
      <c r="H54" s="259"/>
      <c r="I54" s="20"/>
      <c r="J54" s="20"/>
      <c r="K54" s="20"/>
      <c r="L54" s="20"/>
      <c r="M54" s="20"/>
      <c r="N54" s="20"/>
      <c r="O54" s="20"/>
      <c r="P54" s="20"/>
    </row>
    <row r="55" spans="1:16" ht="70.95" customHeight="1">
      <c r="B55" s="99" t="s">
        <v>139</v>
      </c>
      <c r="C55" s="94" t="s">
        <v>362</v>
      </c>
      <c r="D55" s="234">
        <f t="shared" ref="D55:E55" si="22">D7</f>
        <v>43101</v>
      </c>
      <c r="E55" s="234">
        <f t="shared" si="22"/>
        <v>43132</v>
      </c>
      <c r="F55" s="234">
        <f>F7</f>
        <v>43160</v>
      </c>
      <c r="G55" s="234">
        <f>G7</f>
        <v>43191</v>
      </c>
      <c r="H55" s="284">
        <f>H7</f>
        <v>43221</v>
      </c>
      <c r="I55" s="234">
        <f t="shared" ref="I55:N55" si="23">I7</f>
        <v>43252</v>
      </c>
      <c r="J55" s="284">
        <f t="shared" si="23"/>
        <v>43282</v>
      </c>
      <c r="K55" s="234">
        <f t="shared" si="23"/>
        <v>43313</v>
      </c>
      <c r="L55" s="284">
        <f t="shared" si="23"/>
        <v>43344</v>
      </c>
      <c r="M55" s="234">
        <f t="shared" si="23"/>
        <v>43374</v>
      </c>
      <c r="N55" s="284">
        <f t="shared" si="23"/>
        <v>43405</v>
      </c>
      <c r="O55" s="234">
        <f>O7</f>
        <v>43435</v>
      </c>
    </row>
    <row r="56" spans="1:16">
      <c r="B56" s="84"/>
      <c r="H56" s="285"/>
    </row>
    <row r="57" spans="1:16">
      <c r="A57" s="84" t="s">
        <v>142</v>
      </c>
      <c r="B57" s="84" t="s">
        <v>210</v>
      </c>
      <c r="D57" s="150">
        <f t="shared" ref="D57:K57" si="24">-D24-D25</f>
        <v>-340574.751469496</v>
      </c>
      <c r="E57" s="150">
        <f t="shared" si="24"/>
        <v>-1733954.6555379997</v>
      </c>
      <c r="F57" s="150">
        <f t="shared" si="24"/>
        <v>-636727.1022846055</v>
      </c>
      <c r="G57" s="150">
        <f>ROUND(-G24-G25,2)</f>
        <v>-807146.05</v>
      </c>
      <c r="H57" s="286">
        <f t="shared" si="24"/>
        <v>-1141047.094913587</v>
      </c>
      <c r="I57" s="150">
        <f t="shared" si="24"/>
        <v>-586951.22483295866</v>
      </c>
      <c r="J57" s="150">
        <f t="shared" si="24"/>
        <v>-987416.59147285006</v>
      </c>
      <c r="K57" s="150">
        <f t="shared" si="24"/>
        <v>1566768.7632116319</v>
      </c>
      <c r="L57" s="150">
        <f>ROUND(-L24-L25,2)</f>
        <v>-1809294.6</v>
      </c>
      <c r="M57" s="150">
        <f t="shared" ref="M57:O57" si="25">ROUND(-M24-M25,2)</f>
        <v>-827250.55</v>
      </c>
      <c r="N57" s="150">
        <f t="shared" si="25"/>
        <v>-853383.29</v>
      </c>
      <c r="O57" s="150">
        <f t="shared" si="25"/>
        <v>-241291.62</v>
      </c>
      <c r="P57" s="150"/>
    </row>
    <row r="58" spans="1:16">
      <c r="A58" s="84" t="s">
        <v>142</v>
      </c>
      <c r="B58" s="84" t="s">
        <v>365</v>
      </c>
      <c r="D58" s="150">
        <f t="shared" ref="D58:K58" si="26">IF(D27&lt;0,-D27,0)</f>
        <v>0</v>
      </c>
      <c r="E58" s="150">
        <f t="shared" si="26"/>
        <v>0</v>
      </c>
      <c r="F58" s="150">
        <f t="shared" si="26"/>
        <v>0</v>
      </c>
      <c r="G58" s="150">
        <f>ROUND(IF(G27&lt;0,-G27,0),2)</f>
        <v>0</v>
      </c>
      <c r="H58" s="286">
        <f t="shared" si="26"/>
        <v>0</v>
      </c>
      <c r="I58" s="150">
        <f t="shared" si="26"/>
        <v>0</v>
      </c>
      <c r="J58" s="150">
        <f t="shared" si="26"/>
        <v>0</v>
      </c>
      <c r="K58" s="150">
        <f t="shared" si="26"/>
        <v>0</v>
      </c>
      <c r="L58" s="150">
        <f>ROUND(IF(L27&lt;0,-L27,0),2)</f>
        <v>0</v>
      </c>
      <c r="M58" s="150">
        <f t="shared" ref="M58:O58" si="27">ROUND(IF(M27&lt;0,-M27,0),2)</f>
        <v>0</v>
      </c>
      <c r="N58" s="150">
        <f t="shared" si="27"/>
        <v>0</v>
      </c>
      <c r="O58" s="150">
        <f t="shared" si="27"/>
        <v>0</v>
      </c>
      <c r="P58" s="150"/>
    </row>
    <row r="59" spans="1:16">
      <c r="A59" s="84" t="s">
        <v>142</v>
      </c>
      <c r="B59" s="84" t="s">
        <v>366</v>
      </c>
      <c r="D59" s="150">
        <f t="shared" ref="D59:K59" si="28">IF(D27&gt;0,-D27,0)</f>
        <v>-603.10112239389923</v>
      </c>
      <c r="E59" s="150">
        <f t="shared" si="28"/>
        <v>-4278.8829304448182</v>
      </c>
      <c r="F59" s="150">
        <f t="shared" si="28"/>
        <v>-8492.1195869676721</v>
      </c>
      <c r="G59" s="150">
        <f>ROUND(IF(G27&gt;0,-G27,0),2)</f>
        <v>-11652.56</v>
      </c>
      <c r="H59" s="286">
        <f t="shared" si="28"/>
        <v>-15324.474052382087</v>
      </c>
      <c r="I59" s="150">
        <f t="shared" si="28"/>
        <v>-18599.954588755154</v>
      </c>
      <c r="J59" s="150">
        <f t="shared" si="28"/>
        <v>-22664.660525575866</v>
      </c>
      <c r="K59" s="150">
        <f t="shared" si="28"/>
        <v>-21621.090871523793</v>
      </c>
      <c r="L59" s="150">
        <f>ROUND(IF(L27&gt;0,-L27,0),2)</f>
        <v>-22179.53</v>
      </c>
      <c r="M59" s="150">
        <f t="shared" ref="M59:O59" si="29">ROUND(IF(M27&gt;0,-M27,0),2)</f>
        <v>-28996.92</v>
      </c>
      <c r="N59" s="150">
        <f t="shared" si="29"/>
        <v>-32590.09</v>
      </c>
      <c r="O59" s="150">
        <f t="shared" si="29"/>
        <v>-34987.120000000003</v>
      </c>
      <c r="P59" s="150"/>
    </row>
    <row r="60" spans="1:16" ht="15" thickBot="1">
      <c r="A60" s="84" t="s">
        <v>142</v>
      </c>
      <c r="B60" s="84" t="s">
        <v>140</v>
      </c>
      <c r="D60" s="150">
        <f t="shared" ref="D60:F60" si="30">-SUM(D57:D59)</f>
        <v>341177.85259188991</v>
      </c>
      <c r="E60" s="150">
        <f t="shared" si="30"/>
        <v>1738233.5384684445</v>
      </c>
      <c r="F60" s="150">
        <f t="shared" si="30"/>
        <v>645219.22187157313</v>
      </c>
      <c r="G60" s="150">
        <f>-SUM(G57:G59)</f>
        <v>818798.6100000001</v>
      </c>
      <c r="H60" s="150">
        <f t="shared" ref="H60:O60" si="31">-SUM(H57:H59)</f>
        <v>1156371.5689659691</v>
      </c>
      <c r="I60" s="150">
        <f t="shared" si="31"/>
        <v>605551.17942171381</v>
      </c>
      <c r="J60" s="150">
        <f t="shared" si="31"/>
        <v>1010081.2519984259</v>
      </c>
      <c r="K60" s="150">
        <f t="shared" si="31"/>
        <v>-1545147.6723401081</v>
      </c>
      <c r="L60" s="150">
        <f t="shared" si="31"/>
        <v>1831474.1300000001</v>
      </c>
      <c r="M60" s="150">
        <f t="shared" si="31"/>
        <v>856247.47000000009</v>
      </c>
      <c r="N60" s="150">
        <f t="shared" si="31"/>
        <v>885973.38</v>
      </c>
      <c r="O60" s="150">
        <f t="shared" si="31"/>
        <v>276278.74</v>
      </c>
      <c r="P60" s="150"/>
    </row>
    <row r="61" spans="1:16" s="151" customFormat="1">
      <c r="A61" s="84" t="s">
        <v>142</v>
      </c>
      <c r="B61" s="226" t="s">
        <v>259</v>
      </c>
      <c r="C61" s="229"/>
      <c r="D61" s="150">
        <f t="shared" ref="D61:F61" si="32">-D62-D63</f>
        <v>1162250.77</v>
      </c>
      <c r="E61" s="150">
        <f t="shared" si="32"/>
        <v>916951.19</v>
      </c>
      <c r="F61" s="150">
        <f t="shared" si="32"/>
        <v>978281.24</v>
      </c>
      <c r="G61" s="150">
        <f>-G62-G63</f>
        <v>740255.3719426567</v>
      </c>
      <c r="H61" s="286">
        <f>-H62-H63</f>
        <v>627047.86129303998</v>
      </c>
      <c r="I61" s="286">
        <f t="shared" ref="I61:O61" si="33">-I62-I63</f>
        <v>607128.45038274571</v>
      </c>
      <c r="J61" s="286">
        <f t="shared" si="33"/>
        <v>785864.3964810787</v>
      </c>
      <c r="K61" s="286">
        <f t="shared" si="33"/>
        <v>857921.78690196818</v>
      </c>
      <c r="L61" s="286">
        <f t="shared" si="33"/>
        <v>591138.76653037919</v>
      </c>
      <c r="M61" s="286">
        <f t="shared" si="33"/>
        <v>679574.22845479345</v>
      </c>
      <c r="N61" s="286">
        <f t="shared" si="33"/>
        <v>-120323.53077317961</v>
      </c>
      <c r="O61" s="286">
        <f t="shared" si="33"/>
        <v>-280725.70929970534</v>
      </c>
      <c r="P61" s="150"/>
    </row>
    <row r="62" spans="1:16" s="151" customFormat="1">
      <c r="A62" s="84" t="s">
        <v>142</v>
      </c>
      <c r="B62" s="227" t="s">
        <v>260</v>
      </c>
      <c r="C62" s="230"/>
      <c r="D62" s="316">
        <v>-1162250.77</v>
      </c>
      <c r="E62" s="316">
        <v>-916951.19</v>
      </c>
      <c r="F62" s="316">
        <v>-978281.24</v>
      </c>
      <c r="G62" s="150">
        <f>-'Apr Base Rate Revenue'!$X$15</f>
        <v>-740255.3719426567</v>
      </c>
      <c r="H62" s="286">
        <f>-'May Base Rate Revenue'!$X$15</f>
        <v>-627047.86129303998</v>
      </c>
      <c r="I62" s="286">
        <f>-'June Base Rate Revenue'!$X$15</f>
        <v>-607128.45038274571</v>
      </c>
      <c r="J62" s="286">
        <f>-'July Base Rate Revenue'!$X$15</f>
        <v>-785864.3964810787</v>
      </c>
      <c r="K62" s="286">
        <f>-'August Base Rate Revenue'!$X$15</f>
        <v>-857921.78690196818</v>
      </c>
      <c r="L62" s="286">
        <f>-'September Base Rate Revenue'!$X$15</f>
        <v>-591138.76653037919</v>
      </c>
      <c r="M62" s="286">
        <f>-'October Base Rate Revenue'!$X$36</f>
        <v>-679574.22845479345</v>
      </c>
      <c r="N62" s="286">
        <v>0</v>
      </c>
      <c r="O62" s="286">
        <f>-'December Base Rate Revenue'!$X$15</f>
        <v>0</v>
      </c>
      <c r="P62" s="150"/>
    </row>
    <row r="63" spans="1:16" s="151" customFormat="1" ht="15" thickBot="1">
      <c r="A63" s="84" t="s">
        <v>142</v>
      </c>
      <c r="B63" s="228" t="s">
        <v>261</v>
      </c>
      <c r="C63" s="231"/>
      <c r="D63" s="150">
        <v>0</v>
      </c>
      <c r="E63" s="150">
        <v>0</v>
      </c>
      <c r="F63" s="150">
        <v>0</v>
      </c>
      <c r="G63" s="150">
        <v>0</v>
      </c>
      <c r="H63" s="286">
        <v>0</v>
      </c>
      <c r="I63" s="286">
        <v>0</v>
      </c>
      <c r="J63" s="286">
        <v>0</v>
      </c>
      <c r="K63" s="286">
        <v>0</v>
      </c>
      <c r="L63" s="286">
        <v>0</v>
      </c>
      <c r="M63" s="150">
        <v>0</v>
      </c>
      <c r="N63" s="150">
        <f>-'November Base Rate Revenue'!$X$36</f>
        <v>120323.53077317961</v>
      </c>
      <c r="O63" s="150">
        <f>-'December Base Rate Revenue'!$X$36</f>
        <v>280725.70929970534</v>
      </c>
      <c r="P63" s="150"/>
    </row>
    <row r="64" spans="1:16">
      <c r="A64" s="84"/>
      <c r="B64" s="84"/>
      <c r="D64" s="150"/>
      <c r="E64" s="150"/>
      <c r="F64" s="150"/>
      <c r="G64" s="150"/>
      <c r="H64" s="286"/>
      <c r="I64" s="150"/>
      <c r="J64" s="150"/>
      <c r="K64" s="150"/>
      <c r="L64" s="150"/>
      <c r="M64" s="150"/>
      <c r="N64" s="150"/>
      <c r="O64" s="150"/>
      <c r="P64" s="150"/>
    </row>
    <row r="65" spans="1:16">
      <c r="A65" s="84" t="s">
        <v>142</v>
      </c>
      <c r="B65" s="84" t="s">
        <v>211</v>
      </c>
      <c r="D65" s="150">
        <f t="shared" ref="D65:K65" si="34">-D46-D47</f>
        <v>-577780.56678618619</v>
      </c>
      <c r="E65" s="150">
        <f t="shared" si="34"/>
        <v>-417892.39325033699</v>
      </c>
      <c r="F65" s="150">
        <f t="shared" si="34"/>
        <v>-177792.53345093745</v>
      </c>
      <c r="G65" s="150">
        <f>ROUND(-G46-G47,2)</f>
        <v>-519812.2</v>
      </c>
      <c r="H65" s="286">
        <f t="shared" si="34"/>
        <v>-825696.29545613599</v>
      </c>
      <c r="I65" s="150">
        <f t="shared" si="34"/>
        <v>-839183.83451837022</v>
      </c>
      <c r="J65" s="150">
        <f t="shared" si="34"/>
        <v>-713228.55797224038</v>
      </c>
      <c r="K65" s="150">
        <f t="shared" si="34"/>
        <v>-361556.99477712484</v>
      </c>
      <c r="L65" s="150">
        <f>ROUND(-L46-L47,2)</f>
        <v>-763256.98</v>
      </c>
      <c r="M65" s="150">
        <f t="shared" ref="M65:O65" si="35">ROUND(-M46-M47,2)</f>
        <v>-554722.43999999994</v>
      </c>
      <c r="N65" s="150">
        <f t="shared" si="35"/>
        <v>606903.42000000004</v>
      </c>
      <c r="O65" s="150">
        <f t="shared" si="35"/>
        <v>-1754008.38</v>
      </c>
      <c r="P65" s="150"/>
    </row>
    <row r="66" spans="1:16">
      <c r="A66" s="84" t="s">
        <v>142</v>
      </c>
      <c r="B66" s="84" t="s">
        <v>365</v>
      </c>
      <c r="D66" s="150">
        <f t="shared" ref="D66:K66" si="36">IF(D49&lt;0,-D49,0)</f>
        <v>0</v>
      </c>
      <c r="E66" s="150">
        <f t="shared" si="36"/>
        <v>0</v>
      </c>
      <c r="F66" s="150">
        <f t="shared" si="36"/>
        <v>0</v>
      </c>
      <c r="G66" s="150">
        <f>ROUND(IF(G49&lt;0,-G49,0),2)</f>
        <v>0</v>
      </c>
      <c r="H66" s="286">
        <f t="shared" si="36"/>
        <v>0</v>
      </c>
      <c r="I66" s="150">
        <f t="shared" si="36"/>
        <v>0</v>
      </c>
      <c r="J66" s="150">
        <f t="shared" si="36"/>
        <v>0</v>
      </c>
      <c r="K66" s="150">
        <f t="shared" si="36"/>
        <v>0</v>
      </c>
      <c r="L66" s="150">
        <f>ROUND(IF(L49&lt;0,-L49,0),2)</f>
        <v>0</v>
      </c>
      <c r="M66" s="150">
        <f t="shared" ref="M66:O66" si="37">ROUND(IF(M49&lt;0,-M49,0),2)</f>
        <v>0</v>
      </c>
      <c r="N66" s="150">
        <f t="shared" si="37"/>
        <v>0</v>
      </c>
      <c r="O66" s="150">
        <f t="shared" si="37"/>
        <v>0</v>
      </c>
      <c r="P66" s="150"/>
    </row>
    <row r="67" spans="1:16">
      <c r="A67" s="84" t="s">
        <v>142</v>
      </c>
      <c r="B67" s="84" t="s">
        <v>366</v>
      </c>
      <c r="D67" s="150">
        <f t="shared" ref="D67:K67" si="38">IF(D49&gt;0,-D49,0)</f>
        <v>-1023.1530870172047</v>
      </c>
      <c r="E67" s="150">
        <f t="shared" si="38"/>
        <v>-2789.947620931734</v>
      </c>
      <c r="F67" s="150">
        <f t="shared" si="38"/>
        <v>-3854.6874097893747</v>
      </c>
      <c r="G67" s="150">
        <f>ROUND(IF(G49&gt;0,-G49,0),2)</f>
        <v>-5367.87</v>
      </c>
      <c r="H67" s="286">
        <f t="shared" si="38"/>
        <v>-7893.8765732220791</v>
      </c>
      <c r="I67" s="150">
        <f t="shared" si="38"/>
        <v>-11024.120505534849</v>
      </c>
      <c r="J67" s="150">
        <f t="shared" si="38"/>
        <v>-14643.453157086087</v>
      </c>
      <c r="K67" s="150">
        <f t="shared" si="38"/>
        <v>-16800.994754172749</v>
      </c>
      <c r="L67" s="150">
        <f>ROUND(IF(L49&gt;0,-L49,0),2)</f>
        <v>-19064.73</v>
      </c>
      <c r="M67" s="150">
        <f t="shared" ref="M67:O67" si="39">ROUND(IF(M49&gt;0,-M49,0),2)</f>
        <v>-22964.9</v>
      </c>
      <c r="N67" s="150">
        <f t="shared" si="39"/>
        <v>-22951.98</v>
      </c>
      <c r="O67" s="150">
        <f t="shared" si="39"/>
        <v>-25417.53</v>
      </c>
      <c r="P67" s="150"/>
    </row>
    <row r="68" spans="1:16" ht="15" thickBot="1">
      <c r="A68" s="84" t="s">
        <v>142</v>
      </c>
      <c r="B68" s="84" t="s">
        <v>141</v>
      </c>
      <c r="D68" s="150">
        <f t="shared" ref="D68:F68" si="40">-SUM(D65:D67)</f>
        <v>578803.71987320343</v>
      </c>
      <c r="E68" s="150">
        <f t="shared" si="40"/>
        <v>420682.34087126871</v>
      </c>
      <c r="F68" s="150">
        <f t="shared" si="40"/>
        <v>181647.22086072684</v>
      </c>
      <c r="G68" s="150">
        <f>-SUM(G65:G67)</f>
        <v>525180.07000000007</v>
      </c>
      <c r="H68" s="150">
        <f t="shared" ref="H68:I68" si="41">-SUM(H65:H67)</f>
        <v>833590.1720293581</v>
      </c>
      <c r="I68" s="150">
        <f t="shared" si="41"/>
        <v>850207.95502390503</v>
      </c>
      <c r="J68" s="150">
        <f t="shared" ref="J68" si="42">-SUM(J65:J67)</f>
        <v>727872.01112932642</v>
      </c>
      <c r="K68" s="150">
        <f t="shared" ref="K68" si="43">-SUM(K65:K67)</f>
        <v>378357.98953129759</v>
      </c>
      <c r="L68" s="150">
        <f t="shared" ref="L68" si="44">-SUM(L65:L67)</f>
        <v>782321.71</v>
      </c>
      <c r="M68" s="150">
        <f t="shared" ref="M68" si="45">-SUM(M65:M67)</f>
        <v>577687.34</v>
      </c>
      <c r="N68" s="150">
        <f t="shared" ref="N68" si="46">-SUM(N65:N67)</f>
        <v>-583951.44000000006</v>
      </c>
      <c r="O68" s="150">
        <f t="shared" ref="O68" si="47">-SUM(O65:O67)</f>
        <v>1779425.91</v>
      </c>
      <c r="P68" s="150"/>
    </row>
    <row r="69" spans="1:16">
      <c r="A69" s="84" t="s">
        <v>142</v>
      </c>
      <c r="B69" s="226" t="s">
        <v>262</v>
      </c>
      <c r="C69" s="229"/>
      <c r="D69" s="150">
        <f>-D70-D71</f>
        <v>66207.289999999994</v>
      </c>
      <c r="E69" s="150">
        <f t="shared" ref="E69:F69" si="48">-E70-E71</f>
        <v>67375.64</v>
      </c>
      <c r="F69" s="150">
        <f t="shared" si="48"/>
        <v>63806.12</v>
      </c>
      <c r="G69" s="150">
        <f>-G70-G71</f>
        <v>61807.1443138268</v>
      </c>
      <c r="H69" s="286">
        <f>-H70-H71</f>
        <v>66875.539429414814</v>
      </c>
      <c r="I69" s="286">
        <f t="shared" ref="I69:O69" si="49">-I70-I71</f>
        <v>68567.362861936403</v>
      </c>
      <c r="J69" s="286">
        <f t="shared" si="49"/>
        <v>78197.288413826405</v>
      </c>
      <c r="K69" s="286">
        <f t="shared" si="49"/>
        <v>73903.894943113177</v>
      </c>
      <c r="L69" s="286">
        <f t="shared" si="49"/>
        <v>64210.747679167587</v>
      </c>
      <c r="M69" s="286">
        <f t="shared" si="49"/>
        <v>69824.243352925609</v>
      </c>
      <c r="N69" s="286">
        <f t="shared" si="49"/>
        <v>89711.34521060923</v>
      </c>
      <c r="O69" s="286">
        <f t="shared" si="49"/>
        <v>87496.585133094544</v>
      </c>
    </row>
    <row r="70" spans="1:16">
      <c r="A70" s="84" t="s">
        <v>142</v>
      </c>
      <c r="B70" s="227" t="s">
        <v>263</v>
      </c>
      <c r="C70" s="232"/>
      <c r="D70" s="316">
        <v>-66207.289999999994</v>
      </c>
      <c r="E70" s="316">
        <v>-67375.64</v>
      </c>
      <c r="F70" s="316">
        <v>-63806.12</v>
      </c>
      <c r="G70" s="150">
        <f>-'Apr Base Rate Revenue'!$X$16</f>
        <v>-61807.1443138268</v>
      </c>
      <c r="H70" s="286">
        <f>-'May Base Rate Revenue'!$X$16</f>
        <v>-66875.539429414814</v>
      </c>
      <c r="I70" s="286">
        <f>-'June Base Rate Revenue'!$X$16</f>
        <v>-68567.362861936403</v>
      </c>
      <c r="J70" s="286">
        <f>-'July Base Rate Revenue'!$X$16</f>
        <v>-78197.288413826405</v>
      </c>
      <c r="K70" s="286">
        <f>-'August Base Rate Revenue'!$X$16</f>
        <v>-73903.894943113177</v>
      </c>
      <c r="L70" s="286">
        <f>-'September Base Rate Revenue'!$X$16</f>
        <v>-64210.747679167587</v>
      </c>
      <c r="M70" s="286">
        <f>-'October Base Rate Revenue'!$X$37</f>
        <v>-69824.243352925609</v>
      </c>
      <c r="N70" s="286">
        <f>-'November Base Rate Revenue'!$X$37</f>
        <v>-89711.34521060923</v>
      </c>
      <c r="O70" s="286">
        <f>-'December Base Rate Revenue'!$X$37</f>
        <v>-87496.585133094544</v>
      </c>
    </row>
    <row r="71" spans="1:16" ht="15" thickBot="1">
      <c r="A71" s="84" t="s">
        <v>142</v>
      </c>
      <c r="B71" s="228" t="s">
        <v>264</v>
      </c>
      <c r="C71" s="233"/>
      <c r="D71" s="150">
        <v>0</v>
      </c>
      <c r="E71" s="150">
        <v>0</v>
      </c>
      <c r="F71" s="150">
        <v>0</v>
      </c>
      <c r="G71" s="150">
        <v>0</v>
      </c>
      <c r="H71" s="286">
        <v>0</v>
      </c>
      <c r="I71" s="286">
        <v>0</v>
      </c>
      <c r="J71" s="286">
        <v>0</v>
      </c>
      <c r="K71" s="286">
        <v>0</v>
      </c>
      <c r="L71" s="286">
        <v>0</v>
      </c>
    </row>
    <row r="72" spans="1:16">
      <c r="A72" s="170"/>
      <c r="B72" s="84"/>
      <c r="C72" s="170"/>
      <c r="D72" s="184"/>
      <c r="E72" s="170"/>
      <c r="H72" s="285"/>
    </row>
    <row r="73" spans="1:16">
      <c r="A73" s="84" t="s">
        <v>142</v>
      </c>
      <c r="B73" s="84" t="s">
        <v>348</v>
      </c>
      <c r="C73" s="150"/>
      <c r="D73" s="150">
        <f>-D74-D75</f>
        <v>0</v>
      </c>
      <c r="E73" s="150">
        <f t="shared" ref="E73:O73" si="50">-E74-E75</f>
        <v>0</v>
      </c>
      <c r="F73" s="150">
        <f t="shared" si="50"/>
        <v>0</v>
      </c>
      <c r="G73" s="150">
        <f t="shared" si="50"/>
        <v>0</v>
      </c>
      <c r="H73" s="150">
        <f t="shared" si="50"/>
        <v>0</v>
      </c>
      <c r="I73" s="150">
        <f t="shared" si="50"/>
        <v>0</v>
      </c>
      <c r="J73" s="150">
        <f t="shared" si="50"/>
        <v>0</v>
      </c>
      <c r="K73" s="150">
        <f t="shared" si="50"/>
        <v>0</v>
      </c>
      <c r="L73" s="150">
        <f t="shared" si="50"/>
        <v>0</v>
      </c>
      <c r="M73" s="150">
        <f t="shared" si="50"/>
        <v>545266.37</v>
      </c>
      <c r="N73" s="150">
        <f t="shared" si="50"/>
        <v>665692.86</v>
      </c>
      <c r="O73" s="150">
        <f t="shared" si="50"/>
        <v>185925.14558323054</v>
      </c>
    </row>
    <row r="74" spans="1:16">
      <c r="A74" s="84" t="s">
        <v>142</v>
      </c>
      <c r="B74" s="84" t="s">
        <v>349</v>
      </c>
      <c r="C74" s="150"/>
      <c r="D74" s="150">
        <f>D85</f>
        <v>0</v>
      </c>
      <c r="E74" s="150">
        <f t="shared" ref="E74:O74" si="51">E85</f>
        <v>0</v>
      </c>
      <c r="F74" s="150">
        <f t="shared" si="51"/>
        <v>0</v>
      </c>
      <c r="G74" s="150">
        <f t="shared" si="51"/>
        <v>0</v>
      </c>
      <c r="H74" s="150">
        <f t="shared" si="51"/>
        <v>0</v>
      </c>
      <c r="I74" s="150">
        <f t="shared" si="51"/>
        <v>0</v>
      </c>
      <c r="J74" s="150">
        <f t="shared" si="51"/>
        <v>0</v>
      </c>
      <c r="K74" s="150">
        <f t="shared" si="51"/>
        <v>0</v>
      </c>
      <c r="L74" s="150">
        <f t="shared" si="51"/>
        <v>0</v>
      </c>
      <c r="M74" s="150">
        <f t="shared" si="51"/>
        <v>-545266.37</v>
      </c>
      <c r="N74" s="150">
        <f t="shared" si="51"/>
        <v>-665692.86</v>
      </c>
      <c r="O74" s="150">
        <f t="shared" si="51"/>
        <v>-185925.14558323054</v>
      </c>
    </row>
    <row r="75" spans="1:16">
      <c r="A75" s="84" t="s">
        <v>142</v>
      </c>
      <c r="B75" s="84" t="s">
        <v>350</v>
      </c>
      <c r="C75" s="318"/>
      <c r="D75" s="318">
        <f>D81</f>
        <v>0</v>
      </c>
      <c r="E75" s="318">
        <f t="shared" ref="E75:O75" si="52">E81</f>
        <v>0</v>
      </c>
      <c r="F75" s="318">
        <f t="shared" si="52"/>
        <v>0</v>
      </c>
      <c r="G75" s="318">
        <f t="shared" si="52"/>
        <v>0</v>
      </c>
      <c r="H75" s="318">
        <f t="shared" si="52"/>
        <v>0</v>
      </c>
      <c r="I75" s="318">
        <f t="shared" si="52"/>
        <v>0</v>
      </c>
      <c r="J75" s="318">
        <f t="shared" si="52"/>
        <v>0</v>
      </c>
      <c r="K75" s="318">
        <f t="shared" si="52"/>
        <v>0</v>
      </c>
      <c r="L75" s="318">
        <f t="shared" si="52"/>
        <v>0</v>
      </c>
      <c r="M75" s="318">
        <f t="shared" si="52"/>
        <v>0</v>
      </c>
      <c r="N75" s="318">
        <f t="shared" si="52"/>
        <v>0</v>
      </c>
      <c r="O75" s="318">
        <f t="shared" si="52"/>
        <v>0</v>
      </c>
    </row>
    <row r="76" spans="1:16" ht="15" thickBot="1">
      <c r="B76" s="319"/>
      <c r="C76" s="320"/>
      <c r="D76" s="320" t="str">
        <f t="shared" ref="D76:O76" si="53">IF(SUM(D73:D75)=0,"",SUM(D73:D75))</f>
        <v/>
      </c>
      <c r="E76" s="320" t="str">
        <f t="shared" si="53"/>
        <v/>
      </c>
      <c r="F76" s="320" t="str">
        <f t="shared" si="53"/>
        <v/>
      </c>
      <c r="G76" s="320" t="str">
        <f t="shared" si="53"/>
        <v/>
      </c>
      <c r="H76" s="320" t="str">
        <f t="shared" si="53"/>
        <v/>
      </c>
      <c r="I76" s="320" t="str">
        <f t="shared" si="53"/>
        <v/>
      </c>
      <c r="J76" s="320" t="str">
        <f t="shared" si="53"/>
        <v/>
      </c>
      <c r="K76" s="320" t="str">
        <f t="shared" si="53"/>
        <v/>
      </c>
      <c r="L76" s="320" t="str">
        <f t="shared" si="53"/>
        <v/>
      </c>
      <c r="M76" s="320" t="str">
        <f t="shared" si="53"/>
        <v/>
      </c>
      <c r="N76" s="320" t="str">
        <f t="shared" si="53"/>
        <v/>
      </c>
      <c r="O76" s="320" t="str">
        <f t="shared" si="53"/>
        <v/>
      </c>
    </row>
    <row r="77" spans="1:16">
      <c r="B77" s="285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</row>
    <row r="78" spans="1:16">
      <c r="A78" s="84" t="s">
        <v>142</v>
      </c>
      <c r="B78" s="322" t="s">
        <v>351</v>
      </c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</row>
    <row r="79" spans="1:16">
      <c r="A79" s="84" t="s">
        <v>142</v>
      </c>
      <c r="B79" s="170" t="s">
        <v>355</v>
      </c>
      <c r="C79" s="323"/>
      <c r="D79" s="323">
        <f>'EDWA 3% test'!D20+'EDWA 3% test'!D52</f>
        <v>0</v>
      </c>
      <c r="E79" s="323">
        <f>'EDWA 3% test'!E20+'EDWA 3% test'!E52</f>
        <v>0</v>
      </c>
      <c r="F79" s="323">
        <f>'EDWA 3% test'!F20+'EDWA 3% test'!F52</f>
        <v>0</v>
      </c>
      <c r="G79" s="323">
        <f>'EDWA 3% test'!G20+'EDWA 3% test'!G52</f>
        <v>0</v>
      </c>
      <c r="H79" s="323">
        <f>'EDWA 3% test'!H20+'EDWA 3% test'!H52</f>
        <v>0</v>
      </c>
      <c r="I79" s="323">
        <f>'EDWA 3% test'!I20+'EDWA 3% test'!I52</f>
        <v>0</v>
      </c>
      <c r="J79" s="323">
        <f>'EDWA 3% test'!J20+'EDWA 3% test'!J52</f>
        <v>0</v>
      </c>
      <c r="K79" s="323">
        <f>'EDWA 3% test'!K20+'EDWA 3% test'!K52</f>
        <v>0</v>
      </c>
      <c r="L79" s="323">
        <f>'EDWA 3% test'!L20+'EDWA 3% test'!L52</f>
        <v>0</v>
      </c>
      <c r="M79" s="323">
        <f>'EDWA 3% test'!M20+'EDWA 3% test'!M52</f>
        <v>0</v>
      </c>
      <c r="N79" s="323">
        <f>'EDWA 3% test'!N20+'EDWA 3% test'!N52</f>
        <v>0</v>
      </c>
      <c r="O79" s="323">
        <f>'EDWA 3% test'!O20+'EDWA 3% test'!O52</f>
        <v>0</v>
      </c>
    </row>
    <row r="80" spans="1:16">
      <c r="A80" s="84" t="s">
        <v>142</v>
      </c>
      <c r="B80" s="170" t="s">
        <v>352</v>
      </c>
      <c r="C80" s="324"/>
      <c r="D80" s="324">
        <f>'EDWA 3% test'!C20+'EDWA 3% test'!C52</f>
        <v>0</v>
      </c>
      <c r="E80" s="324">
        <f>'EDWA 3% test'!D20+'EDWA 3% test'!D52</f>
        <v>0</v>
      </c>
      <c r="F80" s="324">
        <f>'EDWA 3% test'!E20+'EDWA 3% test'!E52</f>
        <v>0</v>
      </c>
      <c r="G80" s="324">
        <f>'EDWA 3% test'!F20+'EDWA 3% test'!F52</f>
        <v>0</v>
      </c>
      <c r="H80" s="324">
        <f>'EDWA 3% test'!G20+'EDWA 3% test'!G52</f>
        <v>0</v>
      </c>
      <c r="I80" s="324">
        <f>'EDWA 3% test'!H20+'EDWA 3% test'!H52</f>
        <v>0</v>
      </c>
      <c r="J80" s="324">
        <f>'EDWA 3% test'!I20+'EDWA 3% test'!I52</f>
        <v>0</v>
      </c>
      <c r="K80" s="324">
        <f>'EDWA 3% test'!J20+'EDWA 3% test'!J52</f>
        <v>0</v>
      </c>
      <c r="L80" s="324">
        <f>'EDWA 3% test'!K20+'EDWA 3% test'!K52</f>
        <v>0</v>
      </c>
      <c r="M80" s="324">
        <f>'EDWA 3% test'!L20+'EDWA 3% test'!L52</f>
        <v>0</v>
      </c>
      <c r="N80" s="324">
        <f>'EDWA 3% test'!M20+'EDWA 3% test'!M52</f>
        <v>0</v>
      </c>
      <c r="O80" s="324">
        <f>'EDWA 3% test'!N20+'EDWA 3% test'!N52</f>
        <v>0</v>
      </c>
    </row>
    <row r="81" spans="1:15">
      <c r="A81" s="84" t="s">
        <v>142</v>
      </c>
      <c r="B81" s="151" t="s">
        <v>356</v>
      </c>
      <c r="C81" s="150"/>
      <c r="D81" s="150">
        <f>D79-D80</f>
        <v>0</v>
      </c>
      <c r="E81" s="150">
        <f t="shared" ref="E81:O81" si="54">E79-E80</f>
        <v>0</v>
      </c>
      <c r="F81" s="150">
        <f t="shared" si="54"/>
        <v>0</v>
      </c>
      <c r="G81" s="150">
        <f t="shared" si="54"/>
        <v>0</v>
      </c>
      <c r="H81" s="150">
        <f t="shared" si="54"/>
        <v>0</v>
      </c>
      <c r="I81" s="150">
        <f t="shared" si="54"/>
        <v>0</v>
      </c>
      <c r="J81" s="150">
        <f t="shared" si="54"/>
        <v>0</v>
      </c>
      <c r="K81" s="150">
        <f t="shared" si="54"/>
        <v>0</v>
      </c>
      <c r="L81" s="150">
        <f t="shared" si="54"/>
        <v>0</v>
      </c>
      <c r="M81" s="150">
        <f t="shared" si="54"/>
        <v>0</v>
      </c>
      <c r="N81" s="150">
        <f t="shared" si="54"/>
        <v>0</v>
      </c>
      <c r="O81" s="150">
        <f t="shared" si="54"/>
        <v>0</v>
      </c>
    </row>
    <row r="82" spans="1:15">
      <c r="A82" s="84" t="s">
        <v>142</v>
      </c>
      <c r="B82" s="322" t="s">
        <v>353</v>
      </c>
      <c r="C82" s="325"/>
      <c r="D82" s="325"/>
      <c r="E82" s="325"/>
      <c r="F82" s="325"/>
      <c r="G82" s="325"/>
      <c r="H82" s="325"/>
      <c r="I82" s="325"/>
      <c r="J82" s="325"/>
      <c r="K82" s="325"/>
      <c r="L82" s="325"/>
      <c r="M82" s="325"/>
      <c r="N82" s="325"/>
      <c r="O82" s="325"/>
    </row>
    <row r="83" spans="1:15">
      <c r="A83" s="84" t="s">
        <v>142</v>
      </c>
      <c r="B83" s="170" t="s">
        <v>357</v>
      </c>
      <c r="C83" s="323"/>
      <c r="D83" s="323">
        <v>0</v>
      </c>
      <c r="E83" s="323">
        <v>0</v>
      </c>
      <c r="F83" s="323">
        <v>0</v>
      </c>
      <c r="G83" s="323">
        <v>0</v>
      </c>
      <c r="H83" s="323">
        <v>0</v>
      </c>
      <c r="I83" s="323">
        <v>0</v>
      </c>
      <c r="J83" s="323">
        <v>0</v>
      </c>
      <c r="K83" s="323">
        <v>0</v>
      </c>
      <c r="L83" s="323">
        <v>0</v>
      </c>
      <c r="M83" s="323">
        <v>-545266.37</v>
      </c>
      <c r="N83" s="323">
        <v>-1210959.23</v>
      </c>
      <c r="O83" s="323">
        <f>'EDWA 3% test'!$O$19+'EDWA 3% test'!$O$51</f>
        <v>-1396884.3755832305</v>
      </c>
    </row>
    <row r="84" spans="1:15">
      <c r="A84" s="84" t="s">
        <v>142</v>
      </c>
      <c r="B84" s="170" t="s">
        <v>354</v>
      </c>
      <c r="C84" s="185"/>
      <c r="D84" s="185">
        <v>0</v>
      </c>
      <c r="E84" s="185">
        <f>D83</f>
        <v>0</v>
      </c>
      <c r="F84" s="185">
        <f t="shared" ref="F84:O84" si="55">E83</f>
        <v>0</v>
      </c>
      <c r="G84" s="185">
        <f t="shared" si="55"/>
        <v>0</v>
      </c>
      <c r="H84" s="185">
        <f t="shared" si="55"/>
        <v>0</v>
      </c>
      <c r="I84" s="185">
        <f t="shared" si="55"/>
        <v>0</v>
      </c>
      <c r="J84" s="185">
        <f t="shared" si="55"/>
        <v>0</v>
      </c>
      <c r="K84" s="185">
        <f t="shared" si="55"/>
        <v>0</v>
      </c>
      <c r="L84" s="185">
        <f t="shared" si="55"/>
        <v>0</v>
      </c>
      <c r="M84" s="185">
        <f t="shared" si="55"/>
        <v>0</v>
      </c>
      <c r="N84" s="185">
        <f t="shared" si="55"/>
        <v>-545266.37</v>
      </c>
      <c r="O84" s="185">
        <f t="shared" si="55"/>
        <v>-1210959.23</v>
      </c>
    </row>
    <row r="85" spans="1:15">
      <c r="A85" s="84" t="s">
        <v>142</v>
      </c>
      <c r="B85" s="151" t="s">
        <v>356</v>
      </c>
      <c r="C85" s="150"/>
      <c r="D85" s="150">
        <f>D83-D84</f>
        <v>0</v>
      </c>
      <c r="E85" s="150">
        <f t="shared" ref="E85:O85" si="56">E83-E84</f>
        <v>0</v>
      </c>
      <c r="F85" s="150">
        <f t="shared" si="56"/>
        <v>0</v>
      </c>
      <c r="G85" s="150">
        <f t="shared" si="56"/>
        <v>0</v>
      </c>
      <c r="H85" s="150">
        <f t="shared" si="56"/>
        <v>0</v>
      </c>
      <c r="I85" s="150">
        <f t="shared" si="56"/>
        <v>0</v>
      </c>
      <c r="J85" s="150">
        <f t="shared" si="56"/>
        <v>0</v>
      </c>
      <c r="K85" s="150">
        <f t="shared" si="56"/>
        <v>0</v>
      </c>
      <c r="L85" s="150">
        <f t="shared" si="56"/>
        <v>0</v>
      </c>
      <c r="M85" s="150">
        <f t="shared" si="56"/>
        <v>-545266.37</v>
      </c>
      <c r="N85" s="150">
        <f t="shared" si="56"/>
        <v>-665692.86</v>
      </c>
      <c r="O85" s="150">
        <f t="shared" si="56"/>
        <v>-185925.14558323054</v>
      </c>
    </row>
  </sheetData>
  <mergeCells count="3">
    <mergeCell ref="A1:P1"/>
    <mergeCell ref="A2:P2"/>
    <mergeCell ref="A3:P3"/>
  </mergeCells>
  <printOptions horizontalCentered="1"/>
  <pageMargins left="0.17" right="0.16" top="0.42" bottom="0.46" header="0.3" footer="0.3"/>
  <pageSetup scale="90" orientation="portrait" r:id="rId1"/>
  <headerFooter>
    <oddFooter>&amp;L&amp;F / &amp;A</oddFooter>
  </headerFooter>
  <rowBreaks count="1" manualBreakCount="1">
    <brk id="54" max="15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824E2A38C28745B23B2EF2E144EE06" ma:contentTypeVersion="48" ma:contentTypeDescription="" ma:contentTypeScope="" ma:versionID="ce1faf00838758e337ca928f69691cf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2019-08-22T07:00:00+00:00</OpenedDate>
    <SignificantOrder xmlns="dc463f71-b30c-4ab2-9473-d307f9d35888">false</SignificantOrder>
    <Date1 xmlns="dc463f71-b30c-4ab2-9473-d307f9d35888">2019-08-22T07:00:00+00:00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190708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B3D9080-894F-4287-86BD-E68C5C7EF8FB}"/>
</file>

<file path=customXml/itemProps2.xml><?xml version="1.0" encoding="utf-8"?>
<ds:datastoreItem xmlns:ds="http://schemas.openxmlformats.org/officeDocument/2006/customXml" ds:itemID="{893B8560-A848-4985-B973-F72B0397849F}"/>
</file>

<file path=customXml/itemProps3.xml><?xml version="1.0" encoding="utf-8"?>
<ds:datastoreItem xmlns:ds="http://schemas.openxmlformats.org/officeDocument/2006/customXml" ds:itemID="{E7231E04-F425-49A2-9E04-6AB735EB206F}"/>
</file>

<file path=customXml/itemProps4.xml><?xml version="1.0" encoding="utf-8"?>
<ds:datastoreItem xmlns:ds="http://schemas.openxmlformats.org/officeDocument/2006/customXml" ds:itemID="{1C155AC4-DE3E-478D-93E0-15F570B111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UE-150204 Decoupling Base</vt:lpstr>
      <vt:lpstr>TY Normalized Usage by Month</vt:lpstr>
      <vt:lpstr>Attachment 4, Page 1</vt:lpstr>
      <vt:lpstr>Attachment 4, Page 2</vt:lpstr>
      <vt:lpstr>Attachment 4, Page 3</vt:lpstr>
      <vt:lpstr>Attachment 4, Page 4</vt:lpstr>
      <vt:lpstr>EDWA 3% test</vt:lpstr>
      <vt:lpstr>Deferral Calc</vt:lpstr>
      <vt:lpstr>December Base Rate Revenue</vt:lpstr>
      <vt:lpstr>November Base Rate Revenue</vt:lpstr>
      <vt:lpstr>October Base Rate Revenue</vt:lpstr>
      <vt:lpstr>September Base Rate Revenue</vt:lpstr>
      <vt:lpstr>August Base Rate Revenue</vt:lpstr>
      <vt:lpstr>July Base Rate Revenue</vt:lpstr>
      <vt:lpstr>June Base Rate Revenue</vt:lpstr>
      <vt:lpstr>May Base Rate Revenue</vt:lpstr>
      <vt:lpstr>Apr Base Rate Revenue</vt:lpstr>
      <vt:lpstr>Mar Base Rate Revenue</vt:lpstr>
      <vt:lpstr>Feb Base Rate Revenue</vt:lpstr>
      <vt:lpstr>Jan Base Rate Revenue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tlk</cp:lastModifiedBy>
  <cp:lastPrinted>2019-01-03T22:26:29Z</cp:lastPrinted>
  <dcterms:created xsi:type="dcterms:W3CDTF">2013-02-28T17:31:50Z</dcterms:created>
  <dcterms:modified xsi:type="dcterms:W3CDTF">2019-07-29T21:25:32Z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0x0101006E56B4D1795A2E4DB2F0B01679ED314A0044824E2A38C28745B23B2EF2E144EE06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