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\State USF Petition Filing - 2019\Whidbey Telecom\"/>
    </mc:Choice>
  </mc:AlternateContent>
  <bookViews>
    <workbookView xWindow="0" yWindow="0" windowWidth="25200" windowHeight="12570" tabRatio="932" firstSheet="2" activeTab="9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 iterate="1"/>
</workbook>
</file>

<file path=xl/calcChain.xml><?xml version="1.0" encoding="utf-8"?>
<calcChain xmlns="http://schemas.openxmlformats.org/spreadsheetml/2006/main">
  <c r="E12" i="3" l="1"/>
  <c r="E16" i="3"/>
  <c r="E15" i="3"/>
  <c r="C35" i="13" l="1"/>
  <c r="D30" i="13"/>
  <c r="D27" i="13"/>
  <c r="D21" i="13"/>
  <c r="D20" i="13"/>
  <c r="D18" i="13"/>
  <c r="D17" i="13"/>
  <c r="D16" i="13"/>
  <c r="D12" i="13"/>
  <c r="C22" i="2"/>
  <c r="C33" i="2"/>
  <c r="C34" i="2"/>
  <c r="C31" i="2"/>
  <c r="C30" i="2"/>
  <c r="C46" i="12"/>
  <c r="C42" i="12"/>
  <c r="C31" i="12" l="1"/>
  <c r="C34" i="12"/>
  <c r="D12" i="8" l="1"/>
  <c r="C41" i="13" l="1"/>
  <c r="C12" i="13"/>
  <c r="C33" i="12"/>
  <c r="C30" i="12"/>
  <c r="H13" i="12"/>
  <c r="C43" i="12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17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<sst xmlns="http://schemas.openxmlformats.org/spreadsheetml/2006/main" count="685" uniqueCount="310">
  <si>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</si>
  <si>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</si>
  <si>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</si>
  <si>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</si>
  <si>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</si>
  <si>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</si>
  <si>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</si>
  <si>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</si>
  <si>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</si>
  <si>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</si>
  <si>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</si>
  <si>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</si>
  <si>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</si>
  <si>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</si>
  <si>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</si>
  <si>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</si>
  <si>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</si>
  <si>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</si>
  <si>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</si>
  <si>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</si>
  <si>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</si>
  <si>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</si>
  <si>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</si>
  <si>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</si>
  <si>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</si>
  <si>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</si>
  <si>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</si>
  <si>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</si>
  <si>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</si>
  <si>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</si>
  <si>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</si>
  <si>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</si>
  <si>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</si>
  <si>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</si>
  <si>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</si>
  <si>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</si>
  <si>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</si>
  <si>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</si>
  <si>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</si>
  <si>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</si>
  <si>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</si>
  <si>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</si>
  <si>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</si>
  <si>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</si>
  <si>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</si>
  <si>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</si>
  <si>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</si>
  <si>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</si>
  <si>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</si>
  <si>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</si>
  <si>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</si>
  <si>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</si>
  <si>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</si>
  <si>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</si>
  <si>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</si>
  <si>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</si>
  <si>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</si>
  <si>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</si>
  <si>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</si>
  <si>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</si>
  <si>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</si>
  <si>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</si>
  <si>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</si>
  <si>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</si>
  <si>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</si>
  <si>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</si>
  <si>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</si>
  <si>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</si>
  <si>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</si>
  <si>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</si>
  <si>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</si>
  <si>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</si>
  <si>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</si>
  <si>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</si>
  <si>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</si>
  <si>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</si>
  <si>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</si>
  <si>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</si>
  <si>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</si>
  <si>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</si>
  <si>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</si>
  <si>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</si>
  <si>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</si>
  <si>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</si>
  <si>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</si>
  <si>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</si>
  <si>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</si>
  <si>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</si>
  <si>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</si>
  <si>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</si>
  <si>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</si>
  <si>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</si>
  <si>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</si>
  <si>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</si>
  <si>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</si>
  <si>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</si>
  <si>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</si>
  <si>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</si>
  <si>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</si>
  <si>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</si>
  <si>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</si>
  <si>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</si>
  <si>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</si>
  <si>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</si>
  <si>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</si>
  <si>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</si>
  <si>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</si>
  <si>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</si>
  <si>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</si>
  <si>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</si>
  <si>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</si>
  <si>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</si>
  <si>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</si>
  <si>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</si>
  <si>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</si>
  <si>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</si>
  <si>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</si>
  <si>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</si>
  <si>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</si>
  <si>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</si>
  <si>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</si>
  <si>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</si>
  <si>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</si>
  <si>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</si>
  <si>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</si>
  <si>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</si>
  <si>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</si>
  <si>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</si>
  <si>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</si>
  <si>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</si>
  <si>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</si>
  <si>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</si>
  <si>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</si>
  <si>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</si>
  <si>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</si>
  <si>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</si>
  <si>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</si>
  <si>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</si>
  <si>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</si>
  <si>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</si>
  <si>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</si>
  <si>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</si>
  <si>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</si>
  <si>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</si>
  <si>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</si>
  <si>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</si>
  <si>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</si>
  <si>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</si>
  <si>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</si>
  <si>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</si>
  <si>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</si>
  <si>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</si>
  <si>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</si>
  <si>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</si>
  <si>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</si>
  <si>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</si>
  <si>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</si>
  <si>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</si>
  <si>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</si>
  <si>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</si>
  <si>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</si>
  <si>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</si>
  <si>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</si>
  <si>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</si>
  <si>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</si>
  <si>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</si>
  <si>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</si>
  <si>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</si>
  <si>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</si>
  <si>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</si>
  <si>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</si>
  <si>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</si>
  <si>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</si>
  <si>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</si>
  <si>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</si>
  <si>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</si>
  <si>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</si>
  <si>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</si>
  <si>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</si>
  <si>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</si>
  <si>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</si>
  <si>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</si>
  <si>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</si>
  <si>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</si>
  <si>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</si>
  <si>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</si>
  <si>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</si>
  <si>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</si>
  <si>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</si>
  <si>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</si>
  <si>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</si>
  <si>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</si>
  <si>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</si>
  <si>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</si>
  <si>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</si>
  <si>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</si>
  <si>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</si>
  <si>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</si>
  <si>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</si>
  <si>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</si>
  <si>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</si>
  <si>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</si>
  <si>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</si>
  <si>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</si>
  <si>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</si>
  <si>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</si>
  <si>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</si>
  <si>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</si>
  <si>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</si>
  <si>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</si>
  <si>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</si>
  <si>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</si>
  <si>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</si>
  <si>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</si>
  <si>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</si>
  <si>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</si>
  <si>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</si>
  <si>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</si>
  <si>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</si>
  <si>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</si>
  <si>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</si>
  <si>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</si>
  <si>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</si>
  <si>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</si>
  <si>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</si>
  <si>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</si>
  <si>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</si>
  <si>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</si>
  <si>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</si>
  <si>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</si>
  <si>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</si>
  <si>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</si>
  <si>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</si>
  <si>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</si>
  <si>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</si>
  <si>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</si>
  <si>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</si>
  <si>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</si>
  <si>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</si>
  <si>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</si>
  <si>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</si>
  <si>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</si>
  <si>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</si>
  <si>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</si>
  <si>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</si>
  <si>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</si>
  <si>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</si>
  <si>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</si>
  <si>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</si>
  <si>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</si>
  <si>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</si>
  <si>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</si>
  <si>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</si>
  <si>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</si>
  <si>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</si>
  <si>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</si>
  <si>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</si>
  <si>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59. Total Equity (52 thru 58)</t>
  </si>
  <si>
    <t xml:space="preserve">49. Other Deferred Credits </t>
  </si>
  <si>
    <t>58. Retained Earnings or Margins</t>
  </si>
  <si>
    <t>59. Total Equity (51 thru 57)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</si>
  <si>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</si>
  <si>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</si>
  <si>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</si>
  <si>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</si>
  <si>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</si>
  <si>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</si>
  <si>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</si>
  <si>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</si>
  <si>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</si>
  <si>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</si>
  <si>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</si>
  <si>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</si>
  <si>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</si>
  <si>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</si>
  <si>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</si>
  <si>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</si>
  <si>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2017</t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</si>
  <si>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</si>
  <si>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</si>
  <si>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</si>
  <si>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</si>
  <si>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</si>
  <si>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</si>
  <si>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</si>
  <si>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</si>
  <si>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</si>
  <si>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</si>
  <si>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</si>
  <si>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</si>
  <si>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</si>
  <si>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</si>
  <si>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</si>
  <si>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</si>
  <si>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</si>
  <si>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</si>
  <si>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</si>
  <si>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</si>
  <si>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</si>
  <si>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</si>
  <si>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</si>
  <si>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</si>
  <si>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</si>
  <si>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</si>
  <si>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</si>
  <si>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</si>
  <si>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</si>
  <si>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- 2018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</si>
  <si>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2018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</si>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</sst>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zoomScaleNormal="100" workbookViewId="0">
      <selection activeCell="A24" sqref="A24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zoomScaleNormal="100" workbookViewId="0">
      <selection activeCell="E14" sqref="E14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Whidbey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2017</v>
      </c>
      <c r="E7" s="5">
        <v>2018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1336418</v>
      </c>
      <c r="E9" s="56">
        <v>818352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530185</v>
      </c>
      <c r="E11" s="53">
        <v>406087</v>
      </c>
    </row>
    <row r="12" spans="1:5" x14ac:dyDescent="0.25">
      <c r="A12" s="11" t="s">
        <v>171</v>
      </c>
      <c r="B12" s="18" t="s">
        <v>225</v>
      </c>
      <c r="C12" s="11"/>
      <c r="D12" s="53">
        <v>914444</v>
      </c>
      <c r="E12" s="53">
        <f>76789+281503+1107499</f>
        <v>1465791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>
        <v>62598</v>
      </c>
    </row>
    <row r="15" spans="1:5" x14ac:dyDescent="0.25">
      <c r="A15" s="11" t="s">
        <v>173</v>
      </c>
      <c r="B15" s="18" t="s">
        <v>142</v>
      </c>
      <c r="C15" s="11"/>
      <c r="D15" s="53">
        <v>4377796</v>
      </c>
      <c r="E15" s="53">
        <f>1307527+86+33286+73563+106676+1904620</f>
        <v>3425758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2683646</v>
      </c>
      <c r="E16" s="53">
        <f>1790606-767</f>
        <v>1789839</v>
      </c>
    </row>
    <row r="17" spans="1:5" x14ac:dyDescent="0.25">
      <c r="A17" s="11">
        <v>5</v>
      </c>
      <c r="B17" s="18" t="s">
        <v>299</v>
      </c>
      <c r="C17" s="11" t="s">
        <v>144</v>
      </c>
      <c r="D17" s="53"/>
      <c r="E17" s="53">
        <v>2296879</v>
      </c>
    </row>
    <row r="18" spans="1:5" x14ac:dyDescent="0.25">
      <c r="A18" s="11">
        <v>6</v>
      </c>
      <c r="B18" s="18" t="s">
        <v>186</v>
      </c>
      <c r="C18" s="11" t="s">
        <v>144</v>
      </c>
      <c r="D18" s="53">
        <v>891536</v>
      </c>
      <c r="E18" s="53">
        <v>981425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10734025</v>
      </c>
      <c r="E20" s="36">
        <f>E9+E11+E12+E14+E15+E16+E18+E19</f>
        <v>8949850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10734025</v>
      </c>
      <c r="E21" s="38">
        <f>IncomeStmtSummary!D10</f>
        <v>11246728.630000001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-2296878.6300000008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X7Mt7yjH8n/ETB3lRI4PubmZwkvchwY6JLms9uKwZqQT4k4VFQ0xsAVaMSdnpzLuY0vV0D1l080+uCvwqUlQUQ==" saltValue="gbpnjP5nM06yWYsmCS/a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A24" sqref="A24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Whidbey Telephone Company</v>
      </c>
      <c r="B3" s="13"/>
    </row>
    <row r="6" spans="1:5" x14ac:dyDescent="0.25">
      <c r="A6" s="10" t="s">
        <v>307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zoomScaleNormal="100" workbookViewId="0">
      <selection activeCell="A24" sqref="A24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Whidbey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2018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17024.740000000224</v>
      </c>
      <c r="E8" s="7"/>
    </row>
    <row r="9" spans="1:6" x14ac:dyDescent="0.25">
      <c r="A9" s="11">
        <v>2</v>
      </c>
      <c r="B9" s="18"/>
      <c r="C9" s="18" t="s">
        <v>295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285537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-268512.25999999978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0.27900000000000003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-74914.920539999948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278</v>
      </c>
      <c r="D14" s="93">
        <f>D8+D9-D13</f>
        <v>91939.660540000172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3327489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-575655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2751834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0.27900000000000003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767761.6860000001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1984072.3139999998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2076011.9745399999</v>
      </c>
      <c r="E24" s="77" t="s">
        <v>281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2483321.7400000002</v>
      </c>
      <c r="E27" s="7"/>
    </row>
    <row r="28" spans="1:6" x14ac:dyDescent="0.25">
      <c r="A28" s="11">
        <v>16</v>
      </c>
      <c r="B28" s="18"/>
      <c r="C28" s="18" t="s">
        <v>280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2483321.7400000002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0.72099999999999997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293</v>
      </c>
      <c r="D31" s="104">
        <f>D29*D30</f>
        <v>1790474.9745400001</v>
      </c>
      <c r="E31" s="12" t="s">
        <v>282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279</v>
      </c>
      <c r="D34" s="89">
        <f>'RateBase '!D15</f>
        <v>22578184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308</v>
      </c>
      <c r="D35" s="90">
        <f>'RateBase '!E15</f>
        <v>-4971189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17606995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8803497.5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91939.660540000172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1.044353798476119E-2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272</v>
      </c>
      <c r="B42" s="67" t="s">
        <v>294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296</v>
      </c>
      <c r="C43" s="73"/>
      <c r="D43" s="67"/>
      <c r="E43" s="67"/>
      <c r="F43" s="67"/>
      <c r="G43" s="68"/>
      <c r="H43" s="67"/>
    </row>
    <row r="44" spans="1:8" x14ac:dyDescent="0.25">
      <c r="A44" s="130" t="s">
        <v>283</v>
      </c>
      <c r="B44" s="67" t="s">
        <v>284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297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298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MWXsHGy4B5NmUzpLDgbwRziNweayEkeV1IDUTolcDnUq4UIX/cGNYgSgo7H9KRZxkhoros9c5Mr4SV6cYoKFXg==" saltValue="P1Y+6Mv7vy07Ad3BdeGd+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85" zoomScaleNormal="85" workbookViewId="0">
      <selection activeCell="A24" sqref="A2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267</v>
      </c>
      <c r="C8" s="12" t="s">
        <v>268</v>
      </c>
      <c r="D8" s="12" t="s">
        <v>269</v>
      </c>
      <c r="E8" s="12"/>
      <c r="F8" s="9"/>
      <c r="G8" s="12" t="s">
        <v>267</v>
      </c>
      <c r="H8" s="12" t="s">
        <v>268</v>
      </c>
      <c r="I8" s="6" t="s">
        <v>269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4724126</v>
      </c>
      <c r="C10" s="120"/>
      <c r="D10" s="60">
        <f>SUM(B10:C10)</f>
        <v>4724126</v>
      </c>
      <c r="E10" s="18"/>
      <c r="F10" s="18" t="s">
        <v>77</v>
      </c>
      <c r="G10" s="53">
        <v>722643</v>
      </c>
      <c r="H10" s="55"/>
      <c r="I10" s="60">
        <f>SUM(G10:H10)</f>
        <v>722643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>
        <v>4338</v>
      </c>
      <c r="H12" s="55">
        <v>-4338</v>
      </c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1000000</v>
      </c>
      <c r="H14" s="55"/>
      <c r="I14" s="60">
        <f t="shared" si="0"/>
        <v>1000000</v>
      </c>
    </row>
    <row r="15" spans="1:9" x14ac:dyDescent="0.25">
      <c r="A15" s="18" t="s">
        <v>44</v>
      </c>
      <c r="B15" s="53">
        <v>1908915</v>
      </c>
      <c r="C15" s="55"/>
      <c r="D15" s="60">
        <f t="shared" si="1"/>
        <v>1908915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578408</v>
      </c>
      <c r="C17" s="55"/>
      <c r="D17" s="60">
        <f>SUM(B17:C17)</f>
        <v>578408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640406</v>
      </c>
      <c r="C18" s="55"/>
      <c r="D18" s="60">
        <f t="shared" ref="D18:D24" si="2">SUM(B18:C18)</f>
        <v>640406</v>
      </c>
      <c r="E18" s="18"/>
      <c r="F18" s="18" t="s">
        <v>86</v>
      </c>
      <c r="G18" s="53">
        <v>250839</v>
      </c>
      <c r="H18" s="55"/>
      <c r="I18" s="60">
        <f t="shared" si="0"/>
        <v>250839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788593</v>
      </c>
      <c r="H19" s="121"/>
      <c r="I19" s="61">
        <f t="shared" si="0"/>
        <v>788593</v>
      </c>
    </row>
    <row r="20" spans="1:9" x14ac:dyDescent="0.25">
      <c r="A20" s="18" t="s">
        <v>47</v>
      </c>
      <c r="B20" s="53">
        <v>1719835</v>
      </c>
      <c r="C20" s="55"/>
      <c r="D20" s="60">
        <f t="shared" si="2"/>
        <v>1719835</v>
      </c>
      <c r="E20" s="18"/>
      <c r="F20" s="18" t="s">
        <v>107</v>
      </c>
      <c r="G20" s="60">
        <f>SUM(G10:G19)</f>
        <v>2766413</v>
      </c>
      <c r="H20" s="60">
        <f>SUM(H10:H19)</f>
        <v>-4338</v>
      </c>
      <c r="I20" s="60">
        <f t="shared" ref="I20" si="3">SUM(I10:I19)</f>
        <v>2762075</v>
      </c>
    </row>
    <row r="21" spans="1:9" x14ac:dyDescent="0.25">
      <c r="A21" s="18" t="s">
        <v>48</v>
      </c>
      <c r="B21" s="53">
        <v>844205</v>
      </c>
      <c r="C21" s="55"/>
      <c r="D21" s="60">
        <f t="shared" si="2"/>
        <v>844205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34530</v>
      </c>
      <c r="C22" s="55">
        <f>-B22</f>
        <v>-34530</v>
      </c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380495</v>
      </c>
      <c r="C23" s="55"/>
      <c r="D23" s="60">
        <f t="shared" si="2"/>
        <v>380495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121">
        <v>590006</v>
      </c>
      <c r="C24" s="121"/>
      <c r="D24" s="61">
        <f t="shared" si="2"/>
        <v>590006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11420926</v>
      </c>
      <c r="C25" s="60">
        <f>C10+C11+C13+C14+C15+C17+C18+C19+C20+C21+C22+C23+C24</f>
        <v>-34530</v>
      </c>
      <c r="D25" s="60">
        <f t="shared" ref="D25" si="5">D10+D11+D13+D14+D15+D17+D18+D19+D20+D21+D22+D23+D24</f>
        <v>11386396</v>
      </c>
      <c r="E25" s="18"/>
      <c r="F25" s="18" t="s">
        <v>93</v>
      </c>
      <c r="G25" s="53">
        <v>11500000</v>
      </c>
      <c r="H25" s="55"/>
      <c r="I25" s="60">
        <f t="shared" si="4"/>
        <v>11500000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8848341</v>
      </c>
      <c r="C30" s="55">
        <f>-B30</f>
        <v>-8848341</v>
      </c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>
        <f>-B31</f>
        <v>-4962486</v>
      </c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11500000</v>
      </c>
      <c r="H32" s="127">
        <f>SUM(H22:H31)</f>
        <v>0</v>
      </c>
      <c r="I32" s="127">
        <f>SUM(I22:I31)</f>
        <v>11500000</v>
      </c>
    </row>
    <row r="33" spans="1:9" x14ac:dyDescent="0.25">
      <c r="A33" s="18" t="s">
        <v>56</v>
      </c>
      <c r="B33" s="53">
        <v>1452711</v>
      </c>
      <c r="C33" s="55">
        <f>-B33</f>
        <v>-1452711</v>
      </c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>
        <v>5521674</v>
      </c>
      <c r="C34" s="55">
        <f>-B34</f>
        <v>-5521674</v>
      </c>
      <c r="D34" s="60">
        <f t="shared" ref="D34:D38" si="7">SUM(B34:C34)</f>
        <v>0</v>
      </c>
      <c r="E34" s="18"/>
      <c r="F34" s="18" t="s">
        <v>101</v>
      </c>
      <c r="G34" s="53"/>
      <c r="H34" s="55">
        <v>-5840018</v>
      </c>
      <c r="I34" s="60">
        <f>SUM(G34:H34)</f>
        <v>-5840018</v>
      </c>
    </row>
    <row r="35" spans="1:9" x14ac:dyDescent="0.25">
      <c r="A35" s="18" t="s">
        <v>151</v>
      </c>
      <c r="B35" s="53">
        <v>4971052</v>
      </c>
      <c r="C35" s="71">
        <f>-1*(C25+C30+C31+C33+C34+C36+C37+C38+C47)</f>
        <v>22166590</v>
      </c>
      <c r="D35" s="60">
        <f t="shared" si="7"/>
        <v>27137642</v>
      </c>
      <c r="E35" s="18"/>
      <c r="F35" s="19" t="s">
        <v>247</v>
      </c>
      <c r="G35" s="53">
        <v>468816</v>
      </c>
      <c r="H35" s="53">
        <v>-468816</v>
      </c>
      <c r="I35" s="60">
        <f>SUM(G35:H35)</f>
        <v>0</v>
      </c>
    </row>
    <row r="36" spans="1:9" x14ac:dyDescent="0.25">
      <c r="A36" s="18" t="s">
        <v>61</v>
      </c>
      <c r="B36" s="53"/>
      <c r="C36" s="55"/>
      <c r="D36" s="60">
        <f t="shared" si="7"/>
        <v>0</v>
      </c>
      <c r="E36" s="18"/>
      <c r="F36" s="18" t="s">
        <v>264</v>
      </c>
      <c r="G36" s="53"/>
      <c r="H36" s="120"/>
      <c r="I36" s="60">
        <f t="shared" ref="I36:I37" si="8">SUM(G36:H36)</f>
        <v>0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285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468816</v>
      </c>
      <c r="H38" s="60">
        <f>SUM(H34:H37)</f>
        <v>-6308834</v>
      </c>
      <c r="I38" s="60">
        <f>SUM(I34:I37)</f>
        <v>-5840018</v>
      </c>
    </row>
    <row r="39" spans="1:9" x14ac:dyDescent="0.25">
      <c r="A39" s="18" t="s">
        <v>64</v>
      </c>
      <c r="B39" s="60">
        <f>B30+B31+B33+B34+B35+B36+B37+B38</f>
        <v>25756264</v>
      </c>
      <c r="C39" s="60">
        <f>C30+C31+C33+C34+C35+C36+C37+C38</f>
        <v>1381378</v>
      </c>
      <c r="D39" s="60">
        <f t="shared" ref="D39" si="9">D30+D31+D33+D34+D35+D36+D37+D38</f>
        <v>27137642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103663516</v>
      </c>
      <c r="C42" s="53">
        <v>-2467001</v>
      </c>
      <c r="D42" s="60">
        <f>SUM(B42:C42)</f>
        <v>101196515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>
        <v>798914</v>
      </c>
      <c r="C43" s="53"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123144</v>
      </c>
      <c r="C44" s="53"/>
      <c r="D44" s="60">
        <f t="shared" si="11"/>
        <v>123144</v>
      </c>
      <c r="E44" s="18"/>
      <c r="F44" s="18" t="s">
        <v>252</v>
      </c>
      <c r="G44" s="53">
        <v>105648</v>
      </c>
      <c r="H44" s="23"/>
      <c r="I44" s="60">
        <f t="shared" si="10"/>
        <v>105648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-75606652</v>
      </c>
      <c r="C46" s="54">
        <v>1919067</v>
      </c>
      <c r="D46" s="61">
        <f t="shared" si="11"/>
        <v>-73687585</v>
      </c>
      <c r="E46" s="18"/>
      <c r="F46" s="18" t="s">
        <v>254</v>
      </c>
      <c r="G46" s="54">
        <v>51243235</v>
      </c>
      <c r="H46" s="80">
        <f>-1*(H20+H32+H38)</f>
        <v>6313172</v>
      </c>
      <c r="I46" s="61">
        <f t="shared" si="10"/>
        <v>57556407</v>
      </c>
    </row>
    <row r="47" spans="1:9" x14ac:dyDescent="0.25">
      <c r="A47" s="18" t="s">
        <v>70</v>
      </c>
      <c r="B47" s="60">
        <f>B42+B43+B44+B45+B46</f>
        <v>28978922</v>
      </c>
      <c r="C47" s="60">
        <f t="shared" ref="C47:D47" si="12">C42+C43+C44+C45+C46</f>
        <v>-1346848</v>
      </c>
      <c r="D47" s="60">
        <f t="shared" si="12"/>
        <v>27632074</v>
      </c>
      <c r="E47" s="18"/>
      <c r="F47" s="18" t="s">
        <v>257</v>
      </c>
      <c r="G47" s="60">
        <f>SUM(G40:G46)</f>
        <v>51420883</v>
      </c>
      <c r="H47" s="63">
        <f t="shared" ref="H47:I47" si="13">SUM(H40:H46)</f>
        <v>6313172</v>
      </c>
      <c r="I47" s="60">
        <f t="shared" si="13"/>
        <v>57734055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66156112</v>
      </c>
      <c r="C49" s="62">
        <f t="shared" ref="C49:D49" si="14">C25+C39+C47</f>
        <v>0</v>
      </c>
      <c r="D49" s="62">
        <f t="shared" si="14"/>
        <v>66156112</v>
      </c>
      <c r="E49" s="20"/>
      <c r="F49" s="75" t="s">
        <v>256</v>
      </c>
      <c r="G49" s="62">
        <f>G20+G32+G38+G47</f>
        <v>66156112</v>
      </c>
      <c r="H49" s="62">
        <f>H20+H32+H38+H47</f>
        <v>0</v>
      </c>
      <c r="I49" s="62">
        <f>I20+I32+I38+I47</f>
        <v>66156112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s0FqB+5MMcvbdvj9TqduA/toKvVPGIRks5oyINeOUeeNqnblnH1A6jz+3iWsuXA6LDd58WIVTYPT5CYh1EZCkA==" saltValue="/h5asIRVT7AyGITFJH6LJ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7" zoomScale="85" zoomScaleNormal="85" workbookViewId="0">
      <selection activeCell="A24" sqref="A2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Whidbey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300</v>
      </c>
      <c r="C8" s="12" t="s">
        <v>301</v>
      </c>
      <c r="D8" s="12" t="s">
        <v>302</v>
      </c>
      <c r="E8" s="12"/>
      <c r="F8" s="9"/>
      <c r="G8" s="12" t="s">
        <v>300</v>
      </c>
      <c r="H8" s="12" t="s">
        <v>301</v>
      </c>
      <c r="I8" s="6" t="s">
        <v>302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3966467</v>
      </c>
      <c r="C10" s="55"/>
      <c r="D10" s="60">
        <f>SUM(B10:C10)</f>
        <v>3966467</v>
      </c>
      <c r="E10" s="18"/>
      <c r="F10" s="18" t="s">
        <v>77</v>
      </c>
      <c r="G10" s="53">
        <v>498253</v>
      </c>
      <c r="H10" s="55"/>
      <c r="I10" s="60">
        <f>SUM(G10:H10)</f>
        <v>498253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1784</v>
      </c>
      <c r="H13" s="55">
        <f>-G13</f>
        <v>-1784</v>
      </c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2000000</v>
      </c>
      <c r="H14" s="55"/>
      <c r="I14" s="60">
        <f t="shared" si="0"/>
        <v>2000000</v>
      </c>
    </row>
    <row r="15" spans="1:9" x14ac:dyDescent="0.25">
      <c r="A15" s="18" t="s">
        <v>44</v>
      </c>
      <c r="B15" s="53">
        <v>1926002</v>
      </c>
      <c r="C15" s="55"/>
      <c r="D15" s="60">
        <f t="shared" si="1"/>
        <v>1926002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375229</v>
      </c>
      <c r="C17" s="55"/>
      <c r="D17" s="60">
        <f>SUM(B17:C17)</f>
        <v>375229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1017698</v>
      </c>
      <c r="C18" s="55"/>
      <c r="D18" s="60">
        <f t="shared" ref="D18:D24" si="2">SUM(B18:C18)</f>
        <v>1017698</v>
      </c>
      <c r="E18" s="18"/>
      <c r="F18" s="18" t="s">
        <v>86</v>
      </c>
      <c r="G18" s="53">
        <v>274205</v>
      </c>
      <c r="H18" s="55"/>
      <c r="I18" s="60">
        <f t="shared" si="0"/>
        <v>274205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604645</v>
      </c>
      <c r="H19" s="121"/>
      <c r="I19" s="61">
        <f t="shared" si="0"/>
        <v>604645</v>
      </c>
    </row>
    <row r="20" spans="1:9" x14ac:dyDescent="0.25">
      <c r="A20" s="18" t="s">
        <v>47</v>
      </c>
      <c r="B20" s="53">
        <v>216237</v>
      </c>
      <c r="C20" s="55"/>
      <c r="D20" s="60">
        <f t="shared" si="2"/>
        <v>216237</v>
      </c>
      <c r="E20" s="18"/>
      <c r="F20" s="18" t="s">
        <v>107</v>
      </c>
      <c r="G20" s="60">
        <f>SUM(G10:G19)</f>
        <v>3378887</v>
      </c>
      <c r="H20" s="60">
        <f>SUM(H10:H19)</f>
        <v>-1784</v>
      </c>
      <c r="I20" s="60">
        <f t="shared" ref="I20" si="3">SUM(I10:I19)</f>
        <v>3377103</v>
      </c>
    </row>
    <row r="21" spans="1:9" x14ac:dyDescent="0.25">
      <c r="A21" s="18" t="s">
        <v>48</v>
      </c>
      <c r="B21" s="53">
        <v>837016</v>
      </c>
      <c r="C21" s="55"/>
      <c r="D21" s="60">
        <f t="shared" si="2"/>
        <v>837016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380568</v>
      </c>
      <c r="C23" s="55"/>
      <c r="D23" s="60">
        <f t="shared" si="2"/>
        <v>380568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8719217</v>
      </c>
      <c r="C25" s="60">
        <f>C10+C11+C13+C14+C15+C17+C18+C19+C20+C21+C22+C23+C24</f>
        <v>0</v>
      </c>
      <c r="D25" s="60">
        <f t="shared" ref="D25" si="5">D10+D11+D13+D14+D15+D17+D18+D19+D20+D21+D22+D23+D24</f>
        <v>8719217</v>
      </c>
      <c r="E25" s="18"/>
      <c r="F25" s="18" t="s">
        <v>93</v>
      </c>
      <c r="G25" s="53">
        <v>9500000</v>
      </c>
      <c r="H25" s="55"/>
      <c r="I25" s="60">
        <f t="shared" si="4"/>
        <v>9500000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8855644</v>
      </c>
      <c r="C30" s="55">
        <f>-B30</f>
        <v>-8855644</v>
      </c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>
        <f>-B31</f>
        <v>-4962486</v>
      </c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9500000</v>
      </c>
      <c r="H32" s="127">
        <f>SUM(H22:H31)</f>
        <v>0</v>
      </c>
      <c r="I32" s="127">
        <f>SUM(I22:I31)</f>
        <v>9500000</v>
      </c>
    </row>
    <row r="33" spans="1:11" x14ac:dyDescent="0.25">
      <c r="A33" s="18" t="s">
        <v>56</v>
      </c>
      <c r="B33" s="53">
        <v>1337002</v>
      </c>
      <c r="C33" s="55">
        <f>-B33</f>
        <v>-1337002</v>
      </c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>
        <v>4196891</v>
      </c>
      <c r="C34" s="55">
        <f>-B34</f>
        <v>-4196891</v>
      </c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>
        <v>13111125</v>
      </c>
      <c r="C35" s="71">
        <f>-1*(C25+C30+C31+C33+C34+C36+C37+C38+C47)</f>
        <v>47253209</v>
      </c>
      <c r="D35" s="60">
        <f t="shared" si="7"/>
        <v>60364334</v>
      </c>
      <c r="E35" s="18"/>
      <c r="F35" s="129" t="s">
        <v>247</v>
      </c>
      <c r="G35" s="53"/>
      <c r="H35" s="53"/>
      <c r="I35" s="60">
        <f>SUM(G35:H35)</f>
        <v>0</v>
      </c>
    </row>
    <row r="36" spans="1:11" x14ac:dyDescent="0.25">
      <c r="A36" s="18" t="s">
        <v>61</v>
      </c>
      <c r="B36" s="53"/>
      <c r="C36" s="55"/>
      <c r="D36" s="60">
        <f t="shared" si="7"/>
        <v>0</v>
      </c>
      <c r="E36" s="18"/>
      <c r="F36" s="14" t="s">
        <v>264</v>
      </c>
      <c r="G36" s="53">
        <v>512608</v>
      </c>
      <c r="H36" s="120"/>
      <c r="I36" s="60">
        <f t="shared" ref="I36:I37" si="8">SUM(G36:H36)</f>
        <v>512608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285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512608</v>
      </c>
      <c r="H38" s="60">
        <f>SUM(H34:H37)</f>
        <v>0</v>
      </c>
      <c r="I38" s="60">
        <f>SUM(I34:I37)</f>
        <v>512608</v>
      </c>
    </row>
    <row r="39" spans="1:11" x14ac:dyDescent="0.25">
      <c r="A39" s="18" t="s">
        <v>64</v>
      </c>
      <c r="B39" s="60">
        <f>B30+B31+B33+B34+B35+B36+B37+B38</f>
        <v>32463148</v>
      </c>
      <c r="C39" s="60">
        <f>C30+C31+C33+C34+C35+C36+C37+C38</f>
        <v>27901186</v>
      </c>
      <c r="D39" s="60">
        <f t="shared" ref="D39" si="9">D30+D31+D33+D34+D35+D36+D37+D38</f>
        <v>60364334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100135885</v>
      </c>
      <c r="C42" s="53">
        <f>-5521674-3449972+1395875-9940727</f>
        <v>-17516498</v>
      </c>
      <c r="D42" s="60">
        <f>SUM(B42:C42)</f>
        <v>82619387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>
        <v>798914</v>
      </c>
      <c r="C43" s="53">
        <f>-B43</f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72351</v>
      </c>
      <c r="C44" s="53"/>
      <c r="D44" s="60">
        <f t="shared" si="11"/>
        <v>72351</v>
      </c>
      <c r="E44" s="18"/>
      <c r="F44" s="18" t="s">
        <v>252</v>
      </c>
      <c r="G44" s="53">
        <v>56682</v>
      </c>
      <c r="H44" s="23"/>
      <c r="I44" s="60">
        <f t="shared" si="10"/>
        <v>56682</v>
      </c>
      <c r="K44" s="67"/>
    </row>
    <row r="45" spans="1:11" x14ac:dyDescent="0.25">
      <c r="A45" s="18" t="s">
        <v>69</v>
      </c>
      <c r="B45" s="53">
        <v>0</v>
      </c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-74942781</v>
      </c>
      <c r="C46" s="54">
        <f>-1748410-8229762+392398</f>
        <v>-9585774</v>
      </c>
      <c r="D46" s="61">
        <f t="shared" si="11"/>
        <v>-84528555</v>
      </c>
      <c r="E46" s="18"/>
      <c r="F46" s="18" t="s">
        <v>254</v>
      </c>
      <c r="G46" s="54">
        <v>53726557</v>
      </c>
      <c r="H46" s="80">
        <f>-1*(H20+H32+H38)</f>
        <v>1784</v>
      </c>
      <c r="I46" s="61">
        <f t="shared" si="10"/>
        <v>53728341</v>
      </c>
    </row>
    <row r="47" spans="1:11" x14ac:dyDescent="0.25">
      <c r="A47" s="18" t="s">
        <v>70</v>
      </c>
      <c r="B47" s="60">
        <f>B42+B43+B44+B45+B46</f>
        <v>26064369</v>
      </c>
      <c r="C47" s="60">
        <f t="shared" ref="C47:D47" si="12">C42+C43+C44+C45+C46</f>
        <v>-27901186</v>
      </c>
      <c r="D47" s="60">
        <f t="shared" si="12"/>
        <v>-1836817</v>
      </c>
      <c r="E47" s="18"/>
      <c r="F47" s="18" t="s">
        <v>257</v>
      </c>
      <c r="G47" s="60">
        <f>SUM(G40:G46)</f>
        <v>53855239</v>
      </c>
      <c r="H47" s="63">
        <f t="shared" ref="H47:I47" si="13">SUM(H40:H46)</f>
        <v>1784</v>
      </c>
      <c r="I47" s="60">
        <f t="shared" si="13"/>
        <v>53857023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67246734</v>
      </c>
      <c r="C49" s="62">
        <f t="shared" ref="C49:D49" si="14">C25+C39+C47</f>
        <v>0</v>
      </c>
      <c r="D49" s="62">
        <f t="shared" si="14"/>
        <v>67246734</v>
      </c>
      <c r="E49" s="20"/>
      <c r="F49" s="75" t="s">
        <v>256</v>
      </c>
      <c r="G49" s="62">
        <f>G20+G32+G38+G47</f>
        <v>67246734</v>
      </c>
      <c r="H49" s="62">
        <f>H20+H32+H38+H47</f>
        <v>0</v>
      </c>
      <c r="I49" s="62">
        <f>I20+I32+I38+I47</f>
        <v>67246734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QpoLT2l/6L2H3hK3StAfj+0JhC45ZOJOnWT2jRR9NjSFPDIYrjV93JC+Bz9I3JaaOjSCLGCTGPKTCuDi2ZOsog==" saltValue="Z+/k/3TAmxPT7T/f2uVQp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24" sqref="A24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Whidbey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270</v>
      </c>
      <c r="C8" s="12" t="s">
        <v>303</v>
      </c>
      <c r="D8" s="12"/>
      <c r="E8" s="9"/>
      <c r="F8" s="12" t="s">
        <v>270</v>
      </c>
      <c r="G8" s="6" t="s">
        <v>303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4724126</v>
      </c>
      <c r="C10" s="33">
        <f>'CurrentYearBalanceSheet '!D10</f>
        <v>3966467</v>
      </c>
      <c r="D10" s="18"/>
      <c r="E10" s="18" t="s">
        <v>77</v>
      </c>
      <c r="F10" s="33">
        <f>PriorYearBalanceSheet!I10</f>
        <v>722643</v>
      </c>
      <c r="G10" s="33">
        <f>'CurrentYearBalanceSheet '!I10</f>
        <v>498253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46</v>
      </c>
      <c r="B14" s="33">
        <f>PriorYearBalanceSheet!D14</f>
        <v>0</v>
      </c>
      <c r="C14" s="33">
        <f>'CurrentYearBalanceSheet '!D14</f>
        <v>0</v>
      </c>
      <c r="D14" s="18"/>
      <c r="E14" s="18" t="s">
        <v>82</v>
      </c>
      <c r="F14" s="33">
        <f>PriorYearBalanceSheet!I14</f>
        <v>1000000</v>
      </c>
      <c r="G14" s="33">
        <f>'CurrentYearBalanceSheet '!I14</f>
        <v>2000000</v>
      </c>
    </row>
    <row r="15" spans="1:7" x14ac:dyDescent="0.25">
      <c r="A15" s="18" t="s">
        <v>44</v>
      </c>
      <c r="B15" s="33">
        <f>PriorYearBalanceSheet!D15</f>
        <v>1908915</v>
      </c>
      <c r="C15" s="33">
        <f>'CurrentYearBalanceSheet '!D15</f>
        <v>1926002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578408</v>
      </c>
      <c r="C17" s="33">
        <f>'CurrentYearBalanceSheet '!D17</f>
        <v>375229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640406</v>
      </c>
      <c r="C18" s="33">
        <f>'CurrentYearBalanceSheet '!D18</f>
        <v>1017698</v>
      </c>
      <c r="D18" s="18"/>
      <c r="E18" s="18" t="s">
        <v>86</v>
      </c>
      <c r="F18" s="33">
        <f>PriorYearBalanceSheet!I18</f>
        <v>250839</v>
      </c>
      <c r="G18" s="33">
        <f>'CurrentYearBalanceSheet '!I18</f>
        <v>274205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788593</v>
      </c>
      <c r="G19" s="33">
        <f>'CurrentYearBalanceSheet '!I19</f>
        <v>604645</v>
      </c>
    </row>
    <row r="20" spans="1:7" x14ac:dyDescent="0.25">
      <c r="A20" s="18" t="s">
        <v>47</v>
      </c>
      <c r="B20" s="33">
        <f>PriorYearBalanceSheet!D20</f>
        <v>1719835</v>
      </c>
      <c r="C20" s="33">
        <f>'CurrentYearBalanceSheet '!D20</f>
        <v>216237</v>
      </c>
      <c r="D20" s="18"/>
      <c r="E20" s="18" t="s">
        <v>88</v>
      </c>
      <c r="F20" s="37">
        <f>SUM(F10:F19)</f>
        <v>2762075</v>
      </c>
      <c r="G20" s="36">
        <f>SUM(G10:G19)</f>
        <v>3377103</v>
      </c>
    </row>
    <row r="21" spans="1:7" x14ac:dyDescent="0.25">
      <c r="A21" s="18" t="s">
        <v>48</v>
      </c>
      <c r="B21" s="33">
        <f>PriorYearBalanceSheet!D21</f>
        <v>844205</v>
      </c>
      <c r="C21" s="33">
        <f>'CurrentYearBalanceSheet '!D21</f>
        <v>837016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50</v>
      </c>
      <c r="B23" s="33">
        <f>PriorYearBalanceSheet!D23</f>
        <v>380495</v>
      </c>
      <c r="C23" s="33">
        <f>'CurrentYearBalanceSheet '!D23</f>
        <v>380568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590006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11386396</v>
      </c>
      <c r="C25" s="33">
        <f>C10+C11+C13+C14+C15+C17+C18+C19+C20+C21+C22+C23+C24</f>
        <v>8719217</v>
      </c>
      <c r="D25" s="18"/>
      <c r="E25" s="18" t="s">
        <v>93</v>
      </c>
      <c r="F25" s="33">
        <f>PriorYearBalanceSheet!I25</f>
        <v>11500000</v>
      </c>
      <c r="G25" s="33">
        <f>'CurrentYearBalanceSheet '!I25</f>
        <v>9500000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11500000</v>
      </c>
      <c r="G32" s="37">
        <f>SUM(G22:G31)</f>
        <v>9500000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-5840018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27137642</v>
      </c>
      <c r="C35" s="33">
        <f>'CurrentYearBalanceSheet '!D35</f>
        <v>60364334</v>
      </c>
      <c r="D35" s="18"/>
      <c r="E35" t="s">
        <v>247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61</v>
      </c>
      <c r="B36" s="33">
        <f>PriorYearBalanceSheet!D36</f>
        <v>0</v>
      </c>
      <c r="C36" s="33">
        <f>'CurrentYearBalanceSheet '!D36</f>
        <v>0</v>
      </c>
      <c r="D36" s="18"/>
      <c r="E36" s="14" t="s">
        <v>258</v>
      </c>
      <c r="F36" s="33">
        <f>PriorYearBalanceSheet!I36</f>
        <v>0</v>
      </c>
      <c r="G36" s="33">
        <f>'CurrentYearBalanceSheet '!I36</f>
        <v>512608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285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-5840018</v>
      </c>
      <c r="G38" s="33">
        <f>SUM(G34:G37)</f>
        <v>512608</v>
      </c>
    </row>
    <row r="39" spans="1:7" x14ac:dyDescent="0.25">
      <c r="A39" s="18" t="s">
        <v>64</v>
      </c>
      <c r="B39" s="33">
        <f>B30+B31+B33+B34+B35+B36+B37+B38</f>
        <v>27137642</v>
      </c>
      <c r="C39" s="33">
        <f>C30+C31+C33+C34+C35+C36+C37+C38</f>
        <v>60364334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72000</v>
      </c>
      <c r="G40" s="33">
        <f>'CurrentYearBalanceSheet '!I40</f>
        <v>72000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101196515</v>
      </c>
      <c r="C42" s="33">
        <f>'CurrentYearBalanceSheet '!D42</f>
        <v>82619387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123144</v>
      </c>
      <c r="C44" s="33">
        <f>'CurrentYearBalanceSheet '!D44</f>
        <v>72351</v>
      </c>
      <c r="D44" s="18"/>
      <c r="E44" s="18" t="s">
        <v>252</v>
      </c>
      <c r="F44" s="33">
        <f>PriorYearBalanceSheet!I44</f>
        <v>105648</v>
      </c>
      <c r="G44" s="33">
        <f>'CurrentYearBalanceSheet '!I44</f>
        <v>56682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-73687585</v>
      </c>
      <c r="C46" s="34">
        <f>'CurrentYearBalanceSheet '!D46</f>
        <v>-84528555</v>
      </c>
      <c r="D46" s="18"/>
      <c r="E46" s="18" t="s">
        <v>259</v>
      </c>
      <c r="F46" s="34">
        <f>PriorYearBalanceSheet!I46</f>
        <v>57556407</v>
      </c>
      <c r="G46" s="34">
        <f>'CurrentYearBalanceSheet '!I46</f>
        <v>53728341</v>
      </c>
    </row>
    <row r="47" spans="1:7" x14ac:dyDescent="0.25">
      <c r="A47" s="18" t="s">
        <v>70</v>
      </c>
      <c r="B47" s="33">
        <f>SUM(B42:B46)</f>
        <v>27632074</v>
      </c>
      <c r="C47" s="33">
        <f>SUM(C42:C46)</f>
        <v>-1836817</v>
      </c>
      <c r="D47" s="18"/>
      <c r="E47" s="18" t="s">
        <v>260</v>
      </c>
      <c r="F47" s="33">
        <f>SUM(F40:F46)</f>
        <v>57734055</v>
      </c>
      <c r="G47" s="33">
        <f>SUM(G40:G46)</f>
        <v>53857023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66156112</v>
      </c>
      <c r="C49" s="35">
        <f>C25+C39+C47</f>
        <v>67246734</v>
      </c>
      <c r="D49" s="18"/>
      <c r="E49" s="22" t="s">
        <v>256</v>
      </c>
      <c r="F49" s="35">
        <f>F20+F32+F38+F47</f>
        <v>66156112</v>
      </c>
      <c r="G49" s="35">
        <f>G20+G32+G38+G47</f>
        <v>67246734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PkwBZFa1cAFz/BwOyQ10lmdUM9JddervkjARkQ50nm+tVi3HJ5cHijW3Rs1UUJNCDTZK3s3Lt6dZLVhKNdXcsQ==" saltValue="CunP51r+Nb5cKV1mIHbWq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24" sqref="A2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2017</v>
      </c>
      <c r="E8" s="12">
        <v>2018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287</v>
      </c>
      <c r="C10" s="11">
        <v>18</v>
      </c>
      <c r="D10" s="60">
        <f>'BalanceSheet(Summary)'!B42</f>
        <v>101196515</v>
      </c>
      <c r="E10" s="60">
        <f>'BalanceSheet(Summary)'!C42</f>
        <v>82619387</v>
      </c>
      <c r="F10" s="60">
        <f>(D10+E10)/2</f>
        <v>91907951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-73687585</v>
      </c>
      <c r="E12" s="60">
        <f>'BalanceSheet(Summary)'!C46</f>
        <v>-84528555</v>
      </c>
      <c r="F12" s="60">
        <f t="shared" ref="F12:F15" si="0">(D12+E12)/2</f>
        <v>-79108070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844205</v>
      </c>
      <c r="E13" s="60">
        <f>'BalanceSheet(Summary)'!C21</f>
        <v>837016</v>
      </c>
      <c r="F13" s="60">
        <f t="shared" si="0"/>
        <v>840610.5</v>
      </c>
    </row>
    <row r="14" spans="1:6" x14ac:dyDescent="0.25">
      <c r="A14" s="11">
        <v>5</v>
      </c>
      <c r="B14" s="18" t="s">
        <v>273</v>
      </c>
      <c r="C14" s="12"/>
      <c r="D14" s="53">
        <v>-5774951</v>
      </c>
      <c r="E14" s="53">
        <v>-3899037</v>
      </c>
      <c r="F14" s="60">
        <f t="shared" si="0"/>
        <v>-4836994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22578184</v>
      </c>
      <c r="E15" s="64">
        <f>SUM(E10:E14)</f>
        <v>-4971189</v>
      </c>
      <c r="F15" s="65">
        <f t="shared" si="0"/>
        <v>8803497.5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271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272</v>
      </c>
      <c r="B19" t="s">
        <v>274</v>
      </c>
      <c r="C19" s="67"/>
      <c r="D19" s="67"/>
      <c r="E19" s="67"/>
      <c r="F19" s="67"/>
    </row>
    <row r="20" spans="1:6" x14ac:dyDescent="0.25">
      <c r="B20" t="s">
        <v>286</v>
      </c>
      <c r="C20" s="67"/>
      <c r="D20" s="67"/>
      <c r="E20" s="67"/>
      <c r="F20" s="67"/>
    </row>
    <row r="21" spans="1:6" x14ac:dyDescent="0.25">
      <c r="A21" s="67"/>
      <c r="B21" t="s">
        <v>275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cPU/ZdKW4rAMB+76QxDSNM08oT4gLfa8XYUp4LHyfawp5uBo3UPuJr2ZA2OGUb1l0IXLf8iQhkMpgByKg5YF5w==" saltValue="8sEvz3Xzp5PvGYl/nFJrQ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24" sqref="A24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276</v>
      </c>
      <c r="D9" s="12" t="s">
        <v>304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6128</v>
      </c>
      <c r="D11" s="53">
        <v>1182</v>
      </c>
      <c r="E11" s="33">
        <f>D11-C11</f>
        <v>-4946</v>
      </c>
      <c r="F11" s="39">
        <f>E11/C11</f>
        <v>-0.80711488250652741</v>
      </c>
    </row>
    <row r="12" spans="1:6" x14ac:dyDescent="0.25">
      <c r="A12" s="11">
        <v>2</v>
      </c>
      <c r="B12" s="18" t="s">
        <v>122</v>
      </c>
      <c r="C12" s="53">
        <v>1483</v>
      </c>
      <c r="D12" s="53">
        <f>105+394</f>
        <v>499</v>
      </c>
      <c r="E12" s="33">
        <f>D12-C12</f>
        <v>-984</v>
      </c>
      <c r="F12" s="39">
        <f t="shared" ref="F12:F13" si="0">E12/C12</f>
        <v>-0.6635198921105866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7611</v>
      </c>
      <c r="D13" s="35">
        <f t="shared" ref="D13:E13" si="1">SUM(D11:D12)</f>
        <v>1681</v>
      </c>
      <c r="E13" s="35">
        <f t="shared" si="1"/>
        <v>-5930</v>
      </c>
      <c r="F13" s="40">
        <f t="shared" si="0"/>
        <v>-0.77913546183155957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305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bJgRapJceWfc/p+LJaeca5oV0z00k4oh4b7YD6AiH4FMfaVh7tFzOP8dJIGAeLPdvVUmTe4vXvgy3YGctxMXNQ==" saltValue="1eK8lvvGk8xf4QjRJ+njd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Normal="100" workbookViewId="0">
      <selection activeCell="A24" sqref="A2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269</v>
      </c>
    </row>
    <row r="9" spans="1:6" x14ac:dyDescent="0.25">
      <c r="A9" s="10">
        <v>1</v>
      </c>
      <c r="B9" s="4" t="s">
        <v>1</v>
      </c>
      <c r="C9" s="53">
        <v>2162168</v>
      </c>
      <c r="D9" s="53"/>
      <c r="E9" s="60">
        <f>SUM(C9:D9)</f>
        <v>2162168</v>
      </c>
    </row>
    <row r="10" spans="1:6" x14ac:dyDescent="0.25">
      <c r="A10" s="11">
        <v>2</v>
      </c>
      <c r="B10" s="15" t="s">
        <v>2</v>
      </c>
      <c r="C10" s="53">
        <v>10734025</v>
      </c>
      <c r="D10" s="53"/>
      <c r="E10" s="60">
        <f t="shared" ref="E10:E14" si="0">SUM(C10:D10)</f>
        <v>10734025</v>
      </c>
    </row>
    <row r="11" spans="1:6" x14ac:dyDescent="0.25">
      <c r="A11" s="11">
        <v>3</v>
      </c>
      <c r="B11" s="15" t="s">
        <v>3</v>
      </c>
      <c r="C11" s="53"/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84404</v>
      </c>
      <c r="D12" s="53">
        <v>-80599</v>
      </c>
      <c r="E12" s="60">
        <f t="shared" si="0"/>
        <v>3805</v>
      </c>
    </row>
    <row r="13" spans="1:6" x14ac:dyDescent="0.25">
      <c r="A13" s="11">
        <v>5</v>
      </c>
      <c r="B13" s="15" t="s">
        <v>5</v>
      </c>
      <c r="C13" s="53">
        <v>356866</v>
      </c>
      <c r="D13" s="53">
        <v>-7506</v>
      </c>
      <c r="E13" s="60">
        <f t="shared" si="0"/>
        <v>349360</v>
      </c>
    </row>
    <row r="14" spans="1:6" x14ac:dyDescent="0.25">
      <c r="A14" s="11">
        <v>6</v>
      </c>
      <c r="B14" s="15" t="s">
        <v>133</v>
      </c>
      <c r="C14" s="53">
        <v>1996</v>
      </c>
      <c r="D14" s="53"/>
      <c r="E14" s="60">
        <f t="shared" si="0"/>
        <v>1996</v>
      </c>
    </row>
    <row r="15" spans="1:6" x14ac:dyDescent="0.25">
      <c r="A15" s="11">
        <v>7</v>
      </c>
      <c r="B15" s="79" t="s">
        <v>132</v>
      </c>
      <c r="C15" s="82">
        <f>SUM(C9:C14)</f>
        <v>13339459</v>
      </c>
      <c r="D15" s="82">
        <f t="shared" ref="D15:E15" si="1">SUM(D9:D14)</f>
        <v>-88105</v>
      </c>
      <c r="E15" s="82">
        <f t="shared" si="1"/>
        <v>13251354</v>
      </c>
      <c r="F15" s="1"/>
    </row>
    <row r="16" spans="1:6" x14ac:dyDescent="0.25">
      <c r="A16" s="11">
        <v>8</v>
      </c>
      <c r="B16" s="15" t="s">
        <v>6</v>
      </c>
      <c r="C16" s="53">
        <v>3591531</v>
      </c>
      <c r="D16" s="53">
        <v>-285498</v>
      </c>
      <c r="E16" s="42">
        <f>SUM(C16:D16)</f>
        <v>3306033</v>
      </c>
    </row>
    <row r="17" spans="1:6" x14ac:dyDescent="0.25">
      <c r="A17" s="11">
        <v>9</v>
      </c>
      <c r="B17" s="15" t="s">
        <v>39</v>
      </c>
      <c r="C17" s="53">
        <v>1979367</v>
      </c>
      <c r="D17" s="53">
        <v>-107652</v>
      </c>
      <c r="E17" s="42">
        <f t="shared" ref="E17:E21" si="2">SUM(C17:D17)</f>
        <v>1871715</v>
      </c>
    </row>
    <row r="18" spans="1:6" x14ac:dyDescent="0.25">
      <c r="A18" s="11">
        <v>10</v>
      </c>
      <c r="B18" s="15" t="s">
        <v>7</v>
      </c>
      <c r="C18" s="53">
        <v>3299778</v>
      </c>
      <c r="D18" s="53">
        <v>-26565</v>
      </c>
      <c r="E18" s="42">
        <f t="shared" si="2"/>
        <v>3273213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1265323</v>
      </c>
      <c r="D20" s="53">
        <v>-79063</v>
      </c>
      <c r="E20" s="42">
        <f t="shared" si="2"/>
        <v>1186260</v>
      </c>
    </row>
    <row r="21" spans="1:6" x14ac:dyDescent="0.25">
      <c r="A21" s="11">
        <v>13</v>
      </c>
      <c r="B21" s="15" t="s">
        <v>10</v>
      </c>
      <c r="C21" s="53">
        <v>2840281</v>
      </c>
      <c r="D21" s="53">
        <v>-67026</v>
      </c>
      <c r="E21" s="42">
        <f t="shared" si="2"/>
        <v>2773255</v>
      </c>
    </row>
    <row r="22" spans="1:6" x14ac:dyDescent="0.25">
      <c r="A22" s="11">
        <v>14</v>
      </c>
      <c r="B22" s="76" t="s">
        <v>261</v>
      </c>
      <c r="C22" s="82">
        <f>C16+C17+C18+C19+C20+C21</f>
        <v>12976280</v>
      </c>
      <c r="D22" s="82">
        <f>D16+D17+D18+D19+D20+D21</f>
        <v>-565804</v>
      </c>
      <c r="E22" s="83">
        <f>E16+E17+E18+E19+E20+E21</f>
        <v>12410476</v>
      </c>
      <c r="F22" s="1"/>
    </row>
    <row r="23" spans="1:6" x14ac:dyDescent="0.25">
      <c r="A23" s="11">
        <v>15</v>
      </c>
      <c r="B23" s="15" t="s">
        <v>14</v>
      </c>
      <c r="C23" s="60">
        <f>C15-C22</f>
        <v>363179</v>
      </c>
      <c r="D23" s="60">
        <f>D15-D22</f>
        <v>477699</v>
      </c>
      <c r="E23" s="60">
        <f>E15-E22</f>
        <v>840878</v>
      </c>
    </row>
    <row r="24" spans="1:6" x14ac:dyDescent="0.25">
      <c r="A24" s="11">
        <v>16</v>
      </c>
      <c r="B24" s="15" t="s">
        <v>134</v>
      </c>
      <c r="C24" s="53">
        <v>22</v>
      </c>
      <c r="D24" s="57">
        <v>-22</v>
      </c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355653</v>
      </c>
      <c r="D27" s="53">
        <v>-47476</v>
      </c>
      <c r="E27" s="60">
        <f t="shared" si="3"/>
        <v>308177</v>
      </c>
    </row>
    <row r="28" spans="1:6" x14ac:dyDescent="0.25">
      <c r="A28" s="11">
        <v>20</v>
      </c>
      <c r="B28" s="79" t="s">
        <v>12</v>
      </c>
      <c r="C28" s="74">
        <f>SUM(C25:C27)</f>
        <v>355653</v>
      </c>
      <c r="D28" s="74">
        <f t="shared" ref="D28:E28" si="4">SUM(D25:D27)</f>
        <v>-47476</v>
      </c>
      <c r="E28" s="84">
        <f t="shared" si="4"/>
        <v>308177</v>
      </c>
    </row>
    <row r="29" spans="1:6" x14ac:dyDescent="0.25">
      <c r="A29" s="11">
        <v>21</v>
      </c>
      <c r="B29" s="79" t="s">
        <v>22</v>
      </c>
      <c r="C29" s="74">
        <f>C23+C24-C28</f>
        <v>7548</v>
      </c>
      <c r="D29" s="74">
        <f>D23+D24-D28</f>
        <v>525153</v>
      </c>
      <c r="E29" s="84">
        <f>E23+E24-E28</f>
        <v>532701</v>
      </c>
    </row>
    <row r="30" spans="1:6" x14ac:dyDescent="0.25">
      <c r="A30" s="11">
        <v>22</v>
      </c>
      <c r="B30" s="15" t="s">
        <v>15</v>
      </c>
      <c r="C30" s="53">
        <v>539187</v>
      </c>
      <c r="D30" s="55">
        <v>-295774</v>
      </c>
      <c r="E30" s="60">
        <f>SUM(C30:D30)</f>
        <v>243413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290</v>
      </c>
      <c r="C33" s="53">
        <v>-223189</v>
      </c>
      <c r="D33" s="55"/>
      <c r="E33" s="61">
        <f t="shared" si="5"/>
        <v>-223189</v>
      </c>
    </row>
    <row r="34" spans="1:10" x14ac:dyDescent="0.25">
      <c r="A34" s="11">
        <v>26</v>
      </c>
      <c r="B34" s="79" t="s">
        <v>289</v>
      </c>
      <c r="C34" s="74">
        <f>SUM(C30:C33)</f>
        <v>315998</v>
      </c>
      <c r="D34" s="85">
        <f t="shared" ref="D34" si="6">SUM(D30:D33)</f>
        <v>-295774</v>
      </c>
      <c r="E34" s="74">
        <f>SUM(E30:E33)</f>
        <v>20224</v>
      </c>
    </row>
    <row r="35" spans="1:10" x14ac:dyDescent="0.25">
      <c r="A35" s="11">
        <v>27</v>
      </c>
      <c r="B35" s="15" t="s">
        <v>18</v>
      </c>
      <c r="C35" s="53">
        <v>2911991</v>
      </c>
      <c r="D35" s="55"/>
      <c r="E35" s="33">
        <f>SUM(C35:D35)</f>
        <v>2911991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-273227</v>
      </c>
      <c r="D38" s="71">
        <f>-1*(D29-D34)</f>
        <v>-820927</v>
      </c>
      <c r="E38" s="33">
        <f t="shared" si="7"/>
        <v>-1094154</v>
      </c>
    </row>
    <row r="39" spans="1:10" x14ac:dyDescent="0.25">
      <c r="A39" s="11">
        <v>31</v>
      </c>
      <c r="B39" s="79" t="s">
        <v>21</v>
      </c>
      <c r="C39" s="74">
        <f>C29-C34+C35+C36+C37+C38</f>
        <v>2330314</v>
      </c>
      <c r="D39" s="74">
        <f t="shared" ref="D39:E39" si="8">D29-D34+D35+D36+D37+D38</f>
        <v>0</v>
      </c>
      <c r="E39" s="74">
        <f t="shared" si="8"/>
        <v>2330314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51620121</v>
      </c>
      <c r="D41" s="55"/>
      <c r="E41" s="60">
        <f t="shared" ref="E41:E46" si="9">SUM(C41:D41)</f>
        <v>51620121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>
        <v>2707200</v>
      </c>
      <c r="D43" s="55"/>
      <c r="E43" s="60">
        <f t="shared" si="9"/>
        <v>2707200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51243235</v>
      </c>
      <c r="D47" s="85">
        <f t="shared" ref="D47:E47" si="10">(D39+D41+D42)-(D43+D44+D45+D46)</f>
        <v>0</v>
      </c>
      <c r="E47" s="84">
        <f t="shared" si="10"/>
        <v>51243235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/>
      <c r="D52" s="87"/>
      <c r="E52" s="33">
        <f>C52</f>
        <v>0</v>
      </c>
    </row>
    <row r="53" spans="1:7" x14ac:dyDescent="0.25">
      <c r="A53" s="11">
        <v>45</v>
      </c>
      <c r="B53" s="15" t="s">
        <v>35</v>
      </c>
      <c r="C53" s="88">
        <f>((C22+C28-C18-C19)/C15)</f>
        <v>0.7520661070287783</v>
      </c>
      <c r="D53" s="88">
        <f>((D22+D28-D18-D19)/D15)</f>
        <v>6.6592701889790593</v>
      </c>
      <c r="E53" s="88">
        <f>((E22+E28-E18-E19)/E15)</f>
        <v>0.71279055710080641</v>
      </c>
    </row>
    <row r="54" spans="1:7" x14ac:dyDescent="0.25">
      <c r="A54" s="11">
        <v>46</v>
      </c>
      <c r="B54" s="15" t="s">
        <v>36</v>
      </c>
      <c r="C54" s="88">
        <f>((C22+C28+C34)/C15)</f>
        <v>1.0231247758998323</v>
      </c>
      <c r="D54" s="88">
        <f>((D22+D28+D34)/D15)</f>
        <v>10.317848022246183</v>
      </c>
      <c r="E54" s="88">
        <f>((E22+E28+E34)/E15)</f>
        <v>0.96132644256579369</v>
      </c>
    </row>
    <row r="55" spans="1:7" x14ac:dyDescent="0.25">
      <c r="A55" s="11">
        <v>47</v>
      </c>
      <c r="B55" s="15" t="s">
        <v>37</v>
      </c>
      <c r="C55" s="88">
        <f>((C39+C34)/C34)</f>
        <v>8.374458066190293</v>
      </c>
      <c r="D55" s="88">
        <f t="shared" ref="D55:E55" si="13">((D39+D34)/D34)</f>
        <v>1</v>
      </c>
      <c r="E55" s="88">
        <f t="shared" si="13"/>
        <v>116.22517800632912</v>
      </c>
    </row>
    <row r="56" spans="1:7" x14ac:dyDescent="0.25">
      <c r="A56" s="11">
        <v>48</v>
      </c>
      <c r="B56" s="15" t="s">
        <v>38</v>
      </c>
      <c r="C56" s="88" t="e">
        <f>(C39+C34+C18+C19)/C52</f>
        <v>#DIV/0!</v>
      </c>
      <c r="D56" s="88" t="e">
        <f>(D39+D34+D18+D19)/D52</f>
        <v>#DIV/0!</v>
      </c>
      <c r="E56" s="88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288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262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rJXdPxRwLiFm+tMuKM/TukKAf6xgMdwFBVMFV5wZQ+F6TudtrK9j0AOsvtCP7+hfa2k40MSKigKcilNM6kp7aQ==" saltValue="hrY2WqQlKdLM+xTnfUCQo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Normal="100" workbookViewId="0">
      <selection activeCell="A24" sqref="A2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2018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302</v>
      </c>
    </row>
    <row r="9" spans="1:6" x14ac:dyDescent="0.25">
      <c r="A9" s="10">
        <v>1</v>
      </c>
      <c r="B9" s="7" t="s">
        <v>1</v>
      </c>
      <c r="C9" s="56">
        <v>575059.96</v>
      </c>
      <c r="D9" s="53"/>
      <c r="E9" s="33">
        <f>SUM(C9:D9)</f>
        <v>575059.96</v>
      </c>
    </row>
    <row r="10" spans="1:6" x14ac:dyDescent="0.25">
      <c r="A10" s="11">
        <v>2</v>
      </c>
      <c r="B10" s="18" t="s">
        <v>2</v>
      </c>
      <c r="C10" s="53">
        <v>11246728.630000001</v>
      </c>
      <c r="D10" s="53"/>
      <c r="E10" s="33">
        <f t="shared" ref="E10:E14" si="0">SUM(C10:D10)</f>
        <v>11246728.630000001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f>15919.07+32864.35</f>
        <v>48783.42</v>
      </c>
      <c r="D12" s="53">
        <f>-12718-32864</f>
        <v>-45582</v>
      </c>
      <c r="E12" s="33">
        <f t="shared" si="0"/>
        <v>3201.4199999999983</v>
      </c>
    </row>
    <row r="13" spans="1:6" x14ac:dyDescent="0.25">
      <c r="A13" s="11">
        <v>5</v>
      </c>
      <c r="B13" s="18" t="s">
        <v>5</v>
      </c>
      <c r="C13" s="53">
        <v>543616.93999999994</v>
      </c>
      <c r="D13" s="53">
        <v>-4967</v>
      </c>
      <c r="E13" s="33">
        <f t="shared" si="0"/>
        <v>538649.93999999994</v>
      </c>
    </row>
    <row r="14" spans="1:6" x14ac:dyDescent="0.25">
      <c r="A14" s="11">
        <v>6</v>
      </c>
      <c r="B14" s="18" t="s">
        <v>133</v>
      </c>
      <c r="C14" s="53">
        <v>-29758</v>
      </c>
      <c r="D14" s="53">
        <v>11781</v>
      </c>
      <c r="E14" s="33">
        <f t="shared" si="0"/>
        <v>-17977</v>
      </c>
    </row>
    <row r="15" spans="1:6" x14ac:dyDescent="0.25">
      <c r="A15" s="11">
        <v>7</v>
      </c>
      <c r="B15" s="76" t="s">
        <v>132</v>
      </c>
      <c r="C15" s="41">
        <f>SUM(C9:C14)</f>
        <v>12384430.949999999</v>
      </c>
      <c r="D15" s="41">
        <f t="shared" ref="D15:E15" si="1">SUM(D9:D14)</f>
        <v>-38768</v>
      </c>
      <c r="E15" s="41">
        <f t="shared" si="1"/>
        <v>12345662.949999999</v>
      </c>
      <c r="F15" s="1"/>
    </row>
    <row r="16" spans="1:6" x14ac:dyDescent="0.25">
      <c r="A16" s="11">
        <v>8</v>
      </c>
      <c r="B16" s="18" t="s">
        <v>6</v>
      </c>
      <c r="C16" s="53">
        <v>3777976.83</v>
      </c>
      <c r="D16" s="53">
        <f>-250779+109789-346885-8229</f>
        <v>-496104</v>
      </c>
      <c r="E16" s="42">
        <f>SUM(C16:D16)</f>
        <v>3281872.83</v>
      </c>
    </row>
    <row r="17" spans="1:6" x14ac:dyDescent="0.25">
      <c r="A17" s="11">
        <v>9</v>
      </c>
      <c r="B17" s="18" t="s">
        <v>39</v>
      </c>
      <c r="C17" s="53">
        <v>2207199.19</v>
      </c>
      <c r="D17" s="53">
        <f>27159-75644-341</f>
        <v>-48826</v>
      </c>
      <c r="E17" s="42">
        <f t="shared" ref="E17:E21" si="2">SUM(C17:D17)</f>
        <v>2158373.19</v>
      </c>
    </row>
    <row r="18" spans="1:6" x14ac:dyDescent="0.25">
      <c r="A18" s="11">
        <v>10</v>
      </c>
      <c r="B18" s="18" t="s">
        <v>7</v>
      </c>
      <c r="C18" s="53">
        <v>3728650.41</v>
      </c>
      <c r="D18" s="53">
        <f>-125558+45731-107477</f>
        <v>-187304</v>
      </c>
      <c r="E18" s="42">
        <f t="shared" si="2"/>
        <v>3541346.41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1273322.01</v>
      </c>
      <c r="D20" s="53">
        <f>-449134+22975-90475-18783</f>
        <v>-535417</v>
      </c>
      <c r="E20" s="42">
        <f t="shared" si="2"/>
        <v>737905.01</v>
      </c>
    </row>
    <row r="21" spans="1:6" x14ac:dyDescent="0.25">
      <c r="A21" s="11">
        <v>13</v>
      </c>
      <c r="B21" s="18" t="s">
        <v>10</v>
      </c>
      <c r="C21" s="53">
        <v>3113730.77</v>
      </c>
      <c r="D21" s="53">
        <f>-366539-188940-301922</f>
        <v>-857401</v>
      </c>
      <c r="E21" s="42">
        <f t="shared" si="2"/>
        <v>2256329.77</v>
      </c>
    </row>
    <row r="22" spans="1:6" x14ac:dyDescent="0.25">
      <c r="A22" s="11">
        <v>14</v>
      </c>
      <c r="B22" s="76" t="s">
        <v>261</v>
      </c>
      <c r="C22" s="41">
        <f>C16+C17+C18+C19+C20+C21</f>
        <v>14100879.209999999</v>
      </c>
      <c r="D22" s="41">
        <f>D16+D17+D18+D19+D20+D21</f>
        <v>-2125052</v>
      </c>
      <c r="E22" s="43">
        <f>E16+E17+E18+E19+E20+E21</f>
        <v>11975827.209999999</v>
      </c>
      <c r="F22" s="1"/>
    </row>
    <row r="23" spans="1:6" x14ac:dyDescent="0.25">
      <c r="A23" s="11">
        <v>15</v>
      </c>
      <c r="B23" s="18" t="s">
        <v>14</v>
      </c>
      <c r="C23" s="33">
        <f>C15-C22</f>
        <v>-1716448.2599999998</v>
      </c>
      <c r="D23" s="33">
        <f>D15-D22</f>
        <v>2086284</v>
      </c>
      <c r="E23" s="33">
        <f>E15-E22</f>
        <v>369835.74000000022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434854</v>
      </c>
      <c r="D27" s="120">
        <f>-76774+9236-14505</f>
        <v>-82043</v>
      </c>
      <c r="E27" s="33">
        <f t="shared" si="3"/>
        <v>352811</v>
      </c>
    </row>
    <row r="28" spans="1:6" x14ac:dyDescent="0.25">
      <c r="A28" s="11">
        <v>20</v>
      </c>
      <c r="B28" s="76" t="s">
        <v>12</v>
      </c>
      <c r="C28" s="38">
        <f>SUM(C25:C27)</f>
        <v>434854</v>
      </c>
      <c r="D28" s="38">
        <f t="shared" ref="D28:E28" si="4">SUM(D25:D27)</f>
        <v>-82043</v>
      </c>
      <c r="E28" s="44">
        <f t="shared" si="4"/>
        <v>352811</v>
      </c>
    </row>
    <row r="29" spans="1:6" x14ac:dyDescent="0.25">
      <c r="A29" s="11">
        <v>21</v>
      </c>
      <c r="B29" s="76" t="s">
        <v>22</v>
      </c>
      <c r="C29" s="38">
        <f>C23+C24-C28</f>
        <v>-2151302.2599999998</v>
      </c>
      <c r="D29" s="38">
        <f>D23+D24-D28</f>
        <v>2168327</v>
      </c>
      <c r="E29" s="44">
        <f>E23+E24-E28</f>
        <v>17024.740000000224</v>
      </c>
    </row>
    <row r="30" spans="1:6" x14ac:dyDescent="0.25">
      <c r="A30" s="11">
        <v>22</v>
      </c>
      <c r="B30" s="18" t="s">
        <v>15</v>
      </c>
      <c r="C30" s="53">
        <v>627589</v>
      </c>
      <c r="D30" s="55">
        <f>-117192-224860</f>
        <v>-342052</v>
      </c>
      <c r="E30" s="33">
        <f>SUM(C30:D30)</f>
        <v>285537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290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289</v>
      </c>
      <c r="C34" s="38">
        <f>SUM(C30:C33)</f>
        <v>627589</v>
      </c>
      <c r="D34" s="66">
        <f t="shared" ref="D34" si="6">SUM(D30:D33)</f>
        <v>-342052</v>
      </c>
      <c r="E34" s="38">
        <f>SUM(E30:E33)</f>
        <v>285537</v>
      </c>
    </row>
    <row r="35" spans="1:5" x14ac:dyDescent="0.25">
      <c r="A35" s="11">
        <v>27</v>
      </c>
      <c r="B35" s="18" t="s">
        <v>18</v>
      </c>
      <c r="C35" s="53">
        <f>844167+2483322</f>
        <v>3327489</v>
      </c>
      <c r="D35" s="55"/>
      <c r="E35" s="33">
        <f>SUM(C35:D35)</f>
        <v>3327489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1934724</v>
      </c>
      <c r="D38" s="71">
        <f>-1*(D29-D34)</f>
        <v>-2510379</v>
      </c>
      <c r="E38" s="33">
        <f t="shared" si="7"/>
        <v>-575655</v>
      </c>
    </row>
    <row r="39" spans="1:5" x14ac:dyDescent="0.25">
      <c r="A39" s="11">
        <v>31</v>
      </c>
      <c r="B39" s="76" t="s">
        <v>21</v>
      </c>
      <c r="C39" s="38">
        <f>C29-C34+C35+C36+C37+C38</f>
        <v>2483321.7400000002</v>
      </c>
      <c r="D39" s="38">
        <f t="shared" ref="D39:E39" si="8">D29-D34+D35+D36+D37+D38</f>
        <v>0</v>
      </c>
      <c r="E39" s="38">
        <f t="shared" si="8"/>
        <v>2483321.7400000002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f>+PriorYearBalanceSheet!G46</f>
        <v>51243235</v>
      </c>
      <c r="D41" s="55"/>
      <c r="E41" s="33">
        <f t="shared" ref="E41:E46" si="9">SUM(C41:D41)</f>
        <v>51243235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>
        <v>0</v>
      </c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53726556.740000002</v>
      </c>
      <c r="D47" s="66">
        <f t="shared" ref="D47:E47" si="10">(D39+D41+D42)-(D43+D44+D45+D46)</f>
        <v>0</v>
      </c>
      <c r="E47" s="44">
        <f t="shared" si="10"/>
        <v>53726556.740000002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>
        <v>2000000</v>
      </c>
      <c r="D52" s="81"/>
      <c r="E52" s="33">
        <f>C52</f>
        <v>2000000</v>
      </c>
    </row>
    <row r="53" spans="1:7" x14ac:dyDescent="0.25">
      <c r="A53" s="11">
        <v>45</v>
      </c>
      <c r="B53" s="18" t="s">
        <v>35</v>
      </c>
      <c r="C53" s="47">
        <f>((C22+C28-C18-C19)/C15)</f>
        <v>0.87263458802683214</v>
      </c>
      <c r="D53" s="47">
        <f>((D22+D28-D18-D19)/D15)</f>
        <v>52.099437680561287</v>
      </c>
      <c r="E53" s="47">
        <f>((E22+E28-E18-E19)/E15)</f>
        <v>0.71177156185039048</v>
      </c>
    </row>
    <row r="54" spans="1:7" x14ac:dyDescent="0.25">
      <c r="A54" s="11">
        <v>46</v>
      </c>
      <c r="B54" s="18" t="s">
        <v>36</v>
      </c>
      <c r="C54" s="47">
        <f>((C22+C28+C34)/C15)</f>
        <v>1.2243858657066515</v>
      </c>
      <c r="D54" s="47">
        <f>((D22+D28+D34)/D15)</f>
        <v>65.753894964919525</v>
      </c>
      <c r="E54" s="47">
        <f>((E22+E28+E34)/E15)</f>
        <v>1.0217495213572148</v>
      </c>
    </row>
    <row r="55" spans="1:7" x14ac:dyDescent="0.25">
      <c r="A55" s="11">
        <v>47</v>
      </c>
      <c r="B55" s="18" t="s">
        <v>37</v>
      </c>
      <c r="C55" s="47">
        <f>((C39+C34)/C34)</f>
        <v>4.9569236235816758</v>
      </c>
      <c r="D55" s="47">
        <f t="shared" ref="D55:E55" si="13">((D39+D34)/D34)</f>
        <v>1</v>
      </c>
      <c r="E55" s="47">
        <f t="shared" si="13"/>
        <v>9.6970225925186586</v>
      </c>
    </row>
    <row r="56" spans="1:7" x14ac:dyDescent="0.25">
      <c r="A56" s="11">
        <v>48</v>
      </c>
      <c r="B56" s="18" t="s">
        <v>38</v>
      </c>
      <c r="C56" s="47">
        <f>(C39+C34+C18+C19)/C52</f>
        <v>3.4197805750000003</v>
      </c>
      <c r="D56" s="47" t="e">
        <f>(D39+D34+D18+D19)/D52</f>
        <v>#DIV/0!</v>
      </c>
      <c r="E56" s="47">
        <f>(E39+E34+E18+E19)/E52</f>
        <v>3.1551025750000004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291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263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zjUHTT5cOh/R4cEpXPNYcnpG8qiG59ScU383O48SLg8ZIrtDNQC9pLSRjsxfoMefX8GcGkDvnwGK2AUfFZ1vUg==" saltValue="ELnD5WuPidVTtr/kC7mjd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zoomScaleNormal="100" workbookViewId="0">
      <selection activeCell="A24" sqref="A2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Whidbey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2017</v>
      </c>
      <c r="D8" s="6">
        <v>2018</v>
      </c>
    </row>
    <row r="9" spans="1:5" x14ac:dyDescent="0.25">
      <c r="A9" s="10">
        <v>1</v>
      </c>
      <c r="B9" s="7" t="s">
        <v>1</v>
      </c>
      <c r="C9" s="37">
        <f>PriorYearIncomeStmt!E9</f>
        <v>2162168</v>
      </c>
      <c r="D9" s="42">
        <f>'CurrentYearIncomeStmt '!E9</f>
        <v>575059.96</v>
      </c>
    </row>
    <row r="10" spans="1:5" x14ac:dyDescent="0.25">
      <c r="A10" s="11">
        <v>2</v>
      </c>
      <c r="B10" s="18" t="s">
        <v>2</v>
      </c>
      <c r="C10" s="33">
        <f>PriorYearIncomeStmt!E10</f>
        <v>10734025</v>
      </c>
      <c r="D10" s="42">
        <f>'CurrentYearIncomeStmt '!E10</f>
        <v>11246728.630000001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3805</v>
      </c>
      <c r="D12" s="42">
        <f>'CurrentYearIncomeStmt '!E12</f>
        <v>3201.4199999999983</v>
      </c>
    </row>
    <row r="13" spans="1:5" x14ac:dyDescent="0.25">
      <c r="A13" s="11">
        <v>5</v>
      </c>
      <c r="B13" s="18" t="s">
        <v>5</v>
      </c>
      <c r="C13" s="33">
        <f>PriorYearIncomeStmt!E13</f>
        <v>349360</v>
      </c>
      <c r="D13" s="42">
        <f>'CurrentYearIncomeStmt '!E13</f>
        <v>538649.93999999994</v>
      </c>
    </row>
    <row r="14" spans="1:5" x14ac:dyDescent="0.25">
      <c r="A14" s="11">
        <v>6</v>
      </c>
      <c r="B14" s="18" t="s">
        <v>133</v>
      </c>
      <c r="C14" s="33">
        <f>PriorYearIncomeStmt!E14</f>
        <v>1996</v>
      </c>
      <c r="D14" s="42">
        <f>'CurrentYearIncomeStmt '!E14</f>
        <v>-17977</v>
      </c>
    </row>
    <row r="15" spans="1:5" x14ac:dyDescent="0.25">
      <c r="A15" s="11">
        <v>7</v>
      </c>
      <c r="B15" s="76" t="s">
        <v>132</v>
      </c>
      <c r="C15" s="41">
        <f>SUM(C9:C14)</f>
        <v>13251354</v>
      </c>
      <c r="D15" s="43">
        <f t="shared" ref="D15" si="0">SUM(D9:D14)</f>
        <v>12345662.949999999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3306033</v>
      </c>
      <c r="D16" s="42">
        <f>'CurrentYearIncomeStmt '!E16</f>
        <v>3281872.83</v>
      </c>
    </row>
    <row r="17" spans="1:5" x14ac:dyDescent="0.25">
      <c r="A17" s="11">
        <v>9</v>
      </c>
      <c r="B17" s="18" t="s">
        <v>39</v>
      </c>
      <c r="C17" s="33">
        <f>PriorYearIncomeStmt!E17</f>
        <v>1871715</v>
      </c>
      <c r="D17" s="42">
        <f>'CurrentYearIncomeStmt '!E17</f>
        <v>2158373.19</v>
      </c>
    </row>
    <row r="18" spans="1:5" x14ac:dyDescent="0.25">
      <c r="A18" s="11">
        <v>10</v>
      </c>
      <c r="B18" s="18" t="s">
        <v>7</v>
      </c>
      <c r="C18" s="33">
        <f>PriorYearIncomeStmt!E18</f>
        <v>3273213</v>
      </c>
      <c r="D18" s="42">
        <f>'CurrentYearIncomeStmt '!E18</f>
        <v>3541346.41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1186260</v>
      </c>
      <c r="D20" s="42">
        <f>'CurrentYearIncomeStmt '!E20</f>
        <v>737905.01</v>
      </c>
    </row>
    <row r="21" spans="1:5" x14ac:dyDescent="0.25">
      <c r="A21" s="11">
        <v>13</v>
      </c>
      <c r="B21" s="18" t="s">
        <v>10</v>
      </c>
      <c r="C21" s="33">
        <f>PriorYearIncomeStmt!E21</f>
        <v>2773255</v>
      </c>
      <c r="D21" s="42">
        <f>'CurrentYearIncomeStmt '!E21</f>
        <v>2256329.77</v>
      </c>
    </row>
    <row r="22" spans="1:5" x14ac:dyDescent="0.25">
      <c r="A22" s="11">
        <v>14</v>
      </c>
      <c r="B22" s="76" t="s">
        <v>261</v>
      </c>
      <c r="C22" s="41">
        <f>C16+C17+C18+C19+C20+C21</f>
        <v>12410476</v>
      </c>
      <c r="D22" s="43">
        <f>D16+D17+D18+D19+D20+D21</f>
        <v>11975827.209999999</v>
      </c>
      <c r="E22" s="1"/>
    </row>
    <row r="23" spans="1:5" x14ac:dyDescent="0.25">
      <c r="A23" s="11">
        <v>15</v>
      </c>
      <c r="B23" s="18" t="s">
        <v>14</v>
      </c>
      <c r="C23" s="33">
        <f>C15-C22</f>
        <v>840878</v>
      </c>
      <c r="D23" s="42">
        <f>D15-D22</f>
        <v>369835.74000000022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308177</v>
      </c>
      <c r="D27" s="42">
        <f>'CurrentYearIncomeStmt '!E27</f>
        <v>352811</v>
      </c>
    </row>
    <row r="28" spans="1:5" x14ac:dyDescent="0.25">
      <c r="A28" s="11">
        <v>20</v>
      </c>
      <c r="B28" s="76" t="s">
        <v>12</v>
      </c>
      <c r="C28" s="38">
        <f>SUM(C25:C27)</f>
        <v>308177</v>
      </c>
      <c r="D28" s="44">
        <f t="shared" ref="D28" si="1">SUM(D25:D27)</f>
        <v>352811</v>
      </c>
    </row>
    <row r="29" spans="1:5" x14ac:dyDescent="0.25">
      <c r="A29" s="11">
        <v>21</v>
      </c>
      <c r="B29" s="76" t="s">
        <v>22</v>
      </c>
      <c r="C29" s="38">
        <f>C23+C24-C28</f>
        <v>532701</v>
      </c>
      <c r="D29" s="44">
        <f>D23+D24-D28</f>
        <v>17024.740000000224</v>
      </c>
    </row>
    <row r="30" spans="1:5" x14ac:dyDescent="0.25">
      <c r="A30" s="11">
        <v>22</v>
      </c>
      <c r="B30" s="18" t="s">
        <v>15</v>
      </c>
      <c r="C30" s="33">
        <f>PriorYearIncomeStmt!E30</f>
        <v>243413</v>
      </c>
      <c r="D30" s="42">
        <f>'CurrentYearIncomeStmt '!E30</f>
        <v>285537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292</v>
      </c>
      <c r="C33" s="33">
        <f>PriorYearIncomeStmt!E33</f>
        <v>-223189</v>
      </c>
      <c r="D33" s="42">
        <f>'CurrentYearIncomeStmt '!E33</f>
        <v>0</v>
      </c>
    </row>
    <row r="34" spans="1:4" x14ac:dyDescent="0.25">
      <c r="A34" s="11">
        <v>26</v>
      </c>
      <c r="B34" s="76" t="s">
        <v>289</v>
      </c>
      <c r="C34" s="38">
        <f>SUM(C30:C33)</f>
        <v>20224</v>
      </c>
      <c r="D34" s="44">
        <f t="shared" ref="D34" si="2">SUM(D30:D33)</f>
        <v>285537</v>
      </c>
    </row>
    <row r="35" spans="1:4" x14ac:dyDescent="0.25">
      <c r="A35" s="11">
        <v>27</v>
      </c>
      <c r="B35" s="18" t="s">
        <v>18</v>
      </c>
      <c r="C35" s="33">
        <f>PriorYearIncomeStmt!E35</f>
        <v>2911991</v>
      </c>
      <c r="D35" s="42">
        <f>'CurrentYearIncomeStmt '!E35</f>
        <v>3327489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-1094154</v>
      </c>
      <c r="D38" s="42">
        <f>'CurrentYearIncomeStmt '!E38</f>
        <v>-575655</v>
      </c>
    </row>
    <row r="39" spans="1:4" x14ac:dyDescent="0.25">
      <c r="A39" s="11">
        <v>31</v>
      </c>
      <c r="B39" s="76" t="s">
        <v>21</v>
      </c>
      <c r="C39" s="38">
        <f>C29-C34+C35+C36+C37+C38</f>
        <v>2330314</v>
      </c>
      <c r="D39" s="44">
        <f t="shared" ref="D39" si="3">D29-D34+D35+D36+D37+D38</f>
        <v>2483321.7400000002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51620121</v>
      </c>
      <c r="D41" s="42">
        <f>'CurrentYearIncomeStmt '!E41</f>
        <v>51243235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2707200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51243235</v>
      </c>
      <c r="D47" s="44">
        <f t="shared" ref="D47" si="4">(D39+D41+D42)-(D43+D44+D45+D46)</f>
        <v>53726556.740000002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0</v>
      </c>
      <c r="D52" s="42">
        <f>'CurrentYearIncomeStmt '!E52</f>
        <v>2000000</v>
      </c>
    </row>
    <row r="53" spans="1:4" x14ac:dyDescent="0.25">
      <c r="A53" s="11">
        <v>45</v>
      </c>
      <c r="B53" s="18" t="s">
        <v>35</v>
      </c>
      <c r="C53" s="50">
        <f>((C22+C28-C18-C19)/C15)</f>
        <v>0.71279055710080641</v>
      </c>
      <c r="D53" s="50">
        <f>((D22+D28-D18-D19)/D15)</f>
        <v>0.71177156185039048</v>
      </c>
    </row>
    <row r="54" spans="1:4" x14ac:dyDescent="0.25">
      <c r="A54" s="11">
        <v>46</v>
      </c>
      <c r="B54" s="18" t="s">
        <v>36</v>
      </c>
      <c r="C54" s="50">
        <f>((C22+C28+C34)/C15)</f>
        <v>0.96132644256579369</v>
      </c>
      <c r="D54" s="50">
        <f>((D22+D28+D34)/D15)</f>
        <v>1.0217495213572148</v>
      </c>
    </row>
    <row r="55" spans="1:4" x14ac:dyDescent="0.25">
      <c r="A55" s="11">
        <v>47</v>
      </c>
      <c r="B55" s="18" t="s">
        <v>37</v>
      </c>
      <c r="C55" s="50">
        <f>((C39+C34)/C34)</f>
        <v>116.22517800632912</v>
      </c>
      <c r="D55" s="50">
        <f t="shared" ref="D55" si="6">((D39+D34)/D34)</f>
        <v>9.6970225925186586</v>
      </c>
    </row>
    <row r="56" spans="1:4" x14ac:dyDescent="0.25">
      <c r="A56" s="11">
        <v>48</v>
      </c>
      <c r="B56" s="18" t="s">
        <v>38</v>
      </c>
      <c r="C56" s="46" t="e">
        <f>(C39+C34+C18+C19)/C52</f>
        <v>#DIV/0!</v>
      </c>
      <c r="D56" s="50">
        <f>(D39+D34+D18+D19)/D52</f>
        <v>3.1551025750000004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277</v>
      </c>
      <c r="D59" s="49" t="s">
        <v>306</v>
      </c>
    </row>
    <row r="60" spans="1:4" x14ac:dyDescent="0.25">
      <c r="A60" s="48" t="s">
        <v>157</v>
      </c>
      <c r="B60" t="s">
        <v>149</v>
      </c>
      <c r="C60" s="58">
        <v>0.37669999999999998</v>
      </c>
      <c r="D60" s="58">
        <v>0.27900000000000003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+xnwra2WOq8u9o9exbNnybJZadTcxuuW2rNhhnr6dTYoy1EZH8H4NCYKAG++0UzNmV7pYgEQKn1EdsV47iSQw==" saltValue="DvGiMKh2fAPpprBggvFzU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08CFD60E7B284892194A8C29F63330" ma:contentTypeVersion="56" ma:contentTypeDescription="" ma:contentTypeScope="" ma:versionID="e6eda6cd35f74d7eec623aa5a2c7f3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2019-08-01T07:00:00+00:00</OpenedDate>
    <SignificantOrder xmlns="dc463f71-b30c-4ab2-9473-d307f9d35888">false</SignificantOrder>
    <Date1 xmlns="dc463f71-b30c-4ab2-9473-d307f9d35888">2019-08-01T07:00:00+00:00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190645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357461-3969-4BFB-B8B8-1DA09BA589B3}"/>
</file>

<file path=customXml/itemProps2.xml><?xml version="1.0" encoding="utf-8"?>
<ds:datastoreItem xmlns:ds="http://schemas.openxmlformats.org/officeDocument/2006/customXml" ds:itemID="{1AFE064C-CA4F-4D86-82A6-BFF94A811ADE}"/>
</file>

<file path=customXml/itemProps3.xml><?xml version="1.0" encoding="utf-8"?>
<ds:datastoreItem xmlns:ds="http://schemas.openxmlformats.org/officeDocument/2006/customXml" ds:itemID="{7E71F7F1-EBD1-418F-A637-C2962EC578B6}"/>
</file>

<file path=customXml/itemProps4.xml><?xml version="1.0" encoding="utf-8"?>
<ds:datastoreItem xmlns:ds="http://schemas.openxmlformats.org/officeDocument/2006/customXml" ds:itemID="{58A7287B-36AF-4395-B095-E09789D7D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Gary Ricketts</cp:lastModifiedBy>
  <cp:lastPrinted>2019-08-01T15:38:00Z</cp:lastPrinted>
  <dcterms:created xsi:type="dcterms:W3CDTF">2014-05-21T17:51:51Z</dcterms:created>
  <dcterms:modified xsi:type="dcterms:W3CDTF">2019-08-01T17:14:52Z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August 1 Deadline</vt:lpwstr>
  </property>
  <property fmtid="{D5CDD505-2E9C-101B-9397-08002B2CF9AE}" pid="4" name="tabIndex">
    <vt:lpwstr/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0x0101006E56B4D1795A2E4DB2F0B01679ED314A004D08CFD60E7B284892194A8C29F63330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