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8 Regulatory Filings\Energy Independence Act\EEI Report\Annual Emissions Calcs\"/>
    </mc:Choice>
  </mc:AlternateContent>
  <bookViews>
    <workbookView xWindow="0" yWindow="0" windowWidth="19020" windowHeight="8895"/>
  </bookViews>
  <sheets>
    <sheet name="Summary" sheetId="1" r:id="rId1"/>
    <sheet name="Known Resources" sheetId="4" r:id="rId2"/>
    <sheet name="Unknown Resourc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5" i="3"/>
  <c r="F11" i="3" l="1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" i="3"/>
  <c r="F7" i="3"/>
  <c r="F8" i="3"/>
  <c r="F9" i="3"/>
  <c r="F10" i="3"/>
  <c r="F5" i="3"/>
  <c r="F64" i="3" l="1"/>
  <c r="D19" i="1" s="1"/>
  <c r="G64" i="3"/>
  <c r="C19" i="4"/>
  <c r="B19" i="4"/>
  <c r="D19" i="4"/>
  <c r="C8" i="4"/>
  <c r="B8" i="4"/>
  <c r="D8" i="4"/>
  <c r="C5" i="4"/>
  <c r="B5" i="4"/>
  <c r="D5" i="4"/>
  <c r="B4" i="4"/>
  <c r="C4" i="4"/>
  <c r="D4" i="4"/>
  <c r="B32" i="4" l="1"/>
  <c r="C6" i="4" l="1"/>
  <c r="C7" i="4"/>
  <c r="D6" i="4" l="1"/>
  <c r="D7" i="4"/>
  <c r="D9" i="4"/>
  <c r="D10" i="4"/>
  <c r="P32" i="4"/>
  <c r="V32" i="4" s="1"/>
  <c r="W32" i="4" s="1"/>
  <c r="P31" i="4"/>
  <c r="V31" i="4" s="1"/>
  <c r="W31" i="4" s="1"/>
  <c r="P30" i="4"/>
  <c r="V30" i="4" s="1"/>
  <c r="W30" i="4" s="1"/>
  <c r="P29" i="4"/>
  <c r="V29" i="4" s="1"/>
  <c r="W29" i="4" s="1"/>
  <c r="G29" i="4"/>
  <c r="G30" i="4" s="1"/>
  <c r="G31" i="4" s="1"/>
  <c r="G32" i="4" s="1"/>
  <c r="P28" i="4"/>
  <c r="V28" i="4" s="1"/>
  <c r="W28" i="4" s="1"/>
  <c r="G28" i="4"/>
  <c r="M27" i="4"/>
  <c r="P27" i="4" s="1"/>
  <c r="V27" i="4" s="1"/>
  <c r="W27" i="4" s="1"/>
  <c r="G27" i="4"/>
  <c r="P26" i="4"/>
  <c r="V26" i="4" s="1"/>
  <c r="W26" i="4" s="1"/>
  <c r="P24" i="4"/>
  <c r="V24" i="4" s="1"/>
  <c r="W24" i="4" s="1"/>
  <c r="B1" i="4" l="1"/>
  <c r="C2" i="4"/>
  <c r="B3" i="4"/>
  <c r="D20" i="1"/>
  <c r="G11" i="1"/>
  <c r="G10" i="1"/>
  <c r="D13" i="1"/>
  <c r="D5" i="1" s="1"/>
  <c r="E10" i="1" l="1"/>
  <c r="E12" i="1"/>
  <c r="E11" i="1"/>
  <c r="B41" i="4"/>
  <c r="D18" i="1" s="1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8" i="4"/>
  <c r="D17" i="4"/>
  <c r="D16" i="4"/>
  <c r="D15" i="4"/>
  <c r="D14" i="4"/>
  <c r="D13" i="4"/>
  <c r="D12" i="4"/>
  <c r="D11" i="4"/>
  <c r="E18" i="1" l="1"/>
  <c r="E19" i="1"/>
  <c r="D41" i="4"/>
  <c r="F18" i="1" l="1"/>
  <c r="C41" i="4"/>
  <c r="E3" i="3" l="1"/>
  <c r="F20" i="1" l="1"/>
  <c r="G20" i="1" s="1"/>
</calcChain>
</file>

<file path=xl/comments1.xml><?xml version="1.0" encoding="utf-8"?>
<comments xmlns="http://schemas.openxmlformats.org/spreadsheetml/2006/main">
  <authors>
    <author>jyl3501</author>
    <author>kkb4463</author>
  </authors>
  <commentList>
    <comment ref="B21" authorId="0" shapeId="0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Changed all BPA to unknown per request from the UTC.</t>
        </r>
      </text>
    </comment>
    <comment ref="K22" authorId="1" shapeId="0">
      <text>
        <r>
          <rPr>
            <sz val="8"/>
            <color indexed="81"/>
            <rFont val="Tahoma"/>
            <family val="2"/>
          </rPr>
          <t xml:space="preserve">Avista Corp. 2009 FERC Financial Report, Form No. 1
</t>
        </r>
      </text>
    </comment>
    <comment ref="M22" authorId="1" shapeId="0">
      <text>
        <r>
          <rPr>
            <b/>
            <sz val="8"/>
            <color indexed="81"/>
            <rFont val="Tahoma"/>
            <family val="2"/>
          </rPr>
          <t>Avista Corp. 2009 FERC Financial Report, Form No. 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2" authorId="1" shapeId="0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2" authorId="1" shapeId="0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<sst xmlns="http://schemas.openxmlformats.org/spreadsheetml/2006/main" count="356" uniqueCount="238">
  <si>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</si>
  <si>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</si>
  <si>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</si>
  <si>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</si>
  <si>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</si>
  <si>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</si>
  <si>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</si>
  <si>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</si>
  <si>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</si>
  <si>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</si>
  <si>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</si>
  <si>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</si>
  <si>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</si>
  <si>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</si>
  <si>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</si>
  <si>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</si>
  <si>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</si>
  <si>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</si>
  <si>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</si>
  <si>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</si>
  <si>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</si>
  <si>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</si>
  <si>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</si>
  <si>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</si>
  <si>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</si>
  <si>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</si>
  <si>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</si>
  <si>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</si>
  <si>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</si>
  <si>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</si>
  <si>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</si>
  <si>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</si>
  <si>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</si>
  <si>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</si>
  <si>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</si>
  <si>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</si>
  <si>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</si>
  <si>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</si>
  <si>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</si>
  <si>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</si>
  <si>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</si>
  <si>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</si>
  <si>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</si>
  <si>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</si>
  <si>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</si>
  <si>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</si>
  <si>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</si>
  <si>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</si>
  <si>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</si>
  <si>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</si>
  <si>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</si>
  <si>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</si>
  <si>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</si>
  <si>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</si>
  <si>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</si>
  <si>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</si>
  <si>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</si>
  <si>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</si>
  <si>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</si>
  <si>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</si>
  <si>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</si>
  <si>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</si>
  <si>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</si>
  <si>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</si>
  <si>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</si>
  <si>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Little Falls-Hydro</t>
  </si>
  <si>
    <t>Long Lake-Hydro</t>
  </si>
  <si>
    <t>Upper Falls-Hydro</t>
  </si>
  <si>
    <t>Cabinet Gorge-Hydro</t>
  </si>
  <si>
    <t>Noxon Rapids-Hydro</t>
  </si>
  <si>
    <t>Kettle Falls</t>
  </si>
  <si>
    <t>Calculation Based Methodology (Fossil Fuels)</t>
  </si>
  <si>
    <t>Step 1</t>
  </si>
  <si>
    <t>Step 2</t>
  </si>
  <si>
    <t>Step 3</t>
  </si>
  <si>
    <t>Step 4</t>
  </si>
  <si>
    <t>Step 5</t>
  </si>
  <si>
    <t>Step 6</t>
  </si>
  <si>
    <t>Year: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</si>
  <si>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</si>
  <si>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</si>
  <si>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</si>
  <si>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</si>
  <si>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</si>
  <si>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</si>
  <si>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</si>
  <si>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</si>
  <si>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</si>
  <si>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</si>
  <si>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</si>
  <si>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</si>
  <si>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</si>
  <si>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</si>
  <si>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</si>
  <si>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</si>
  <si>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</si>
  <si>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</si>
  <si>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</si>
  <si>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</si>
  <si>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</si>
  <si>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</si>
  <si>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</si>
  <si>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</si>
  <si>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kg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</si>
  <si>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metric tons </t>
    </r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</si>
  <si>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</si>
  <si>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</si>
  <si>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</si>
  <si>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</si>
  <si>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</si>
  <si>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</si>
  <si>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</si>
  <si>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</si>
  <si>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</si>
  <si>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</si>
  <si>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Record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</si>
  <si>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</si>
  <si>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</si>
  <si>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</si>
  <si>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</si>
  <si>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</si>
  <si>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</si>
  <si>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</si>
  <si>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</si>
  <si>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</si>
  <si>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</si>
  <si>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</si>
  <si>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</si>
  <si>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</si>
  <si>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</si>
  <si>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Lancaster</t>
  </si>
  <si>
    <t>Barclays Bank Plc</t>
  </si>
  <si>
    <t>BNP Paribas Energy Trading</t>
  </si>
  <si>
    <t>BP Energy Co.</t>
  </si>
  <si>
    <t>CAISO</t>
  </si>
  <si>
    <t>Calpine Energy Services L.P.</t>
  </si>
  <si>
    <t>Cargill Inc.</t>
  </si>
  <si>
    <t>Chelan County PUD No. 1</t>
  </si>
  <si>
    <t>Citigroup Energy Inc.</t>
  </si>
  <si>
    <t>Clatskanie Peoples Util Dist</t>
  </si>
  <si>
    <t>ConocoPhillips Co.</t>
  </si>
  <si>
    <t>DB Energy Trading</t>
  </si>
  <si>
    <t>EDF Trading North America LLC</t>
  </si>
  <si>
    <t>Engy Authrty</t>
  </si>
  <si>
    <t>Eugene City of</t>
  </si>
  <si>
    <t>Grant County Public Utility</t>
  </si>
  <si>
    <t>Iberdrola Renewables LLC</t>
  </si>
  <si>
    <t>Idaho Power Co.</t>
  </si>
  <si>
    <t>Inland Power &amp; Light Co.</t>
  </si>
  <si>
    <t>J P Morgan Ventures Energy LLC</t>
  </si>
  <si>
    <t>Macquarie Energy LLC</t>
  </si>
  <si>
    <t>Morgan Stanley Capital Group</t>
  </si>
  <si>
    <t>NaturEner Power Watch</t>
  </si>
  <si>
    <t>NorthPoint Energy Solutions</t>
  </si>
  <si>
    <t>NorthWestern Corp.</t>
  </si>
  <si>
    <t>Pacific Northwest Gen Coop</t>
  </si>
  <si>
    <t>PacifiCorp</t>
  </si>
  <si>
    <t>Portland General Electric Co.</t>
  </si>
  <si>
    <t>Powerex Corp.</t>
  </si>
  <si>
    <t>Public Service Co. of CO</t>
  </si>
  <si>
    <t>PUD No 1 of Douglas County</t>
  </si>
  <si>
    <t>PUD No 1 of Okanogan County</t>
  </si>
  <si>
    <t>PUD No 1 of Pend Oreille Cnty</t>
  </si>
  <si>
    <t>PUD No 1 of Snohomish County</t>
  </si>
  <si>
    <t>Puget Sound Energy Inc.</t>
  </si>
  <si>
    <t>Rainbow Energy Marketing Corp</t>
  </si>
  <si>
    <t>Seattle City Light</t>
  </si>
  <si>
    <t>Sempra Energy Trading</t>
  </si>
  <si>
    <t>Shell Energy North America US</t>
  </si>
  <si>
    <t>SMUD</t>
  </si>
  <si>
    <t>Southern California Edison Co.</t>
  </si>
  <si>
    <t>Sovereign Power</t>
  </si>
  <si>
    <t>Tacoma Public Utilities</t>
  </si>
  <si>
    <t>Talen Energy Marketing, LLC</t>
  </si>
  <si>
    <t>TransAlta Energy Marketing (US</t>
  </si>
  <si>
    <t>Black Creek Hydro Inc (PURPA Hydro)</t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</si>
  <si>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</si>
  <si>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</si>
  <si>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</si>
  <si>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</si>
  <si>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</si>
  <si>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</si>
  <si>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</si>
  <si>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</si>
  <si>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</si>
  <si>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</si>
  <si>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Power, LLC</t>
  </si>
  <si>
    <t>CTGEN1</t>
  </si>
  <si>
    <t>ARP</t>
  </si>
  <si>
    <t>Bonneville Power Admin (Known)</t>
  </si>
  <si>
    <t>Chelan County PUD No. 1 (Rocky Reach Hydro)</t>
  </si>
  <si>
    <t>Ford Electronics (PURPA Hydro)</t>
  </si>
  <si>
    <t>Grant County Public Utility (Wanapum Hydro)</t>
  </si>
  <si>
    <t>Grant County Public Utility (Priest Rapids Hydro)</t>
  </si>
  <si>
    <t>Grant County Public Utility (Displacement - Hydro)</t>
  </si>
  <si>
    <t>Hydro Technology Systems Inc. (PURPA Hydro)</t>
  </si>
  <si>
    <t>JP Morgan Ventures Energy LLC (PPM Energy Stateline Wind)</t>
  </si>
  <si>
    <t>Jim White (PURPA Hydro)</t>
  </si>
  <si>
    <t>John Day Hydro (PURPA Hydro)</t>
  </si>
  <si>
    <t>Phillips Ranch (PURPA Hydro)</t>
  </si>
  <si>
    <t>PUD No 1 of Douglas County (Wells Hydro)</t>
  </si>
  <si>
    <t>Sheep Creek Hydro (PURPA Hydro)</t>
  </si>
  <si>
    <t>Spokane City of (Upriver Hydro)</t>
  </si>
  <si>
    <t>Stimson Lumber (PURPA Biomass)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</si>
  <si>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</si>
  <si>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 xml:space="preserve"> Gross Load (MW-h)</t>
  </si>
  <si>
    <t>Rathdrum Combustion Turbine Project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</si>
  <si>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</si>
  <si>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</si>
  <si>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</si>
  <si>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</si>
  <si>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</si>
  <si>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</si>
  <si>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</si>
  <si>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</si>
  <si>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BC Transmission Corp.</t>
  </si>
  <si>
    <t>Black Hills Power Inc.</t>
  </si>
  <si>
    <t>Bonneville Power Admin</t>
  </si>
  <si>
    <t>Burbank (CA)</t>
  </si>
  <si>
    <t>Endure Energy LLC</t>
  </si>
  <si>
    <t>J. Aron &amp; Co.</t>
  </si>
  <si>
    <t>JP Morgan Ventures Energy Corp</t>
  </si>
  <si>
    <t>IntraCompany Generation Services</t>
  </si>
  <si>
    <t>Modesto Irrigation District</t>
  </si>
  <si>
    <t>NaturEner Power Watch LLC</t>
  </si>
  <si>
    <t>Redding City of</t>
  </si>
  <si>
    <t>Revenue Adjustment</t>
  </si>
  <si>
    <t>San Diego Gas &amp; Electric Co.</t>
  </si>
  <si>
    <t>Sierra Pacific Power Co.</t>
  </si>
  <si>
    <t>Tenaska Power Services Co.</t>
  </si>
  <si>
    <t>Turlock Irrigation District</t>
  </si>
  <si>
    <t>Unknown Resources for Washington Customers</t>
  </si>
  <si>
    <t>Washington Department of Commerce Fuel Mix Report =</t>
  </si>
  <si>
    <t>Avista =</t>
  </si>
  <si>
    <t>Net Purchase</t>
  </si>
  <si>
    <t>Tons CO2 Emissions from Purchases</t>
  </si>
  <si>
    <t>Net Unknown Purchases</t>
  </si>
  <si>
    <t>Net Lbs CO2 from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</si>
</sst>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0.0"/>
    <numFmt numFmtId="168" formatCode="0.000"/>
    <numFmt numFmtId="169" formatCode="#,##0.000"/>
    <numFmt numFmtId="170" formatCode="#,##0.0"/>
    <numFmt numFmtId="171" formatCode="#####0;\(#####0\)"/>
    <numFmt numFmtId="172" formatCode="###,##0.000;\(###,##0.000\)"/>
    <numFmt numFmtId="173" formatCode="###,##0;\(###,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b/>
      <sz val="12"/>
      <color indexed="16"/>
      <name val="Arial"/>
      <family val="2"/>
    </font>
    <font>
      <vertAlign val="subscript"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0" fillId="0" borderId="0"/>
  </cellStyleXfs>
  <cellXfs count="168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10" xfId="1" applyNumberFormat="1" applyFont="1" applyFill="1" applyBorder="1"/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9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30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1" xfId="0" applyBorder="1"/>
    <xf numFmtId="165" fontId="2" fillId="0" borderId="8" xfId="1" applyNumberFormat="1" applyFont="1" applyBorder="1"/>
    <xf numFmtId="165" fontId="2" fillId="0" borderId="31" xfId="0" applyNumberFormat="1" applyFont="1" applyBorder="1"/>
    <xf numFmtId="0" fontId="2" fillId="0" borderId="32" xfId="0" applyFont="1" applyBorder="1" applyAlignment="1">
      <alignment horizontal="center"/>
    </xf>
    <xf numFmtId="166" fontId="2" fillId="0" borderId="33" xfId="2" applyNumberFormat="1" applyFont="1" applyBorder="1" applyAlignment="1">
      <alignment horizontal="center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167" fontId="11" fillId="4" borderId="2" xfId="0" applyNumberFormat="1" applyFont="1" applyFill="1" applyBorder="1" applyAlignment="1" applyProtection="1">
      <alignment horizontal="center" vertical="center"/>
      <protection locked="0"/>
    </xf>
    <xf numFmtId="3" fontId="0" fillId="5" borderId="2" xfId="1" applyNumberFormat="1" applyFont="1" applyFill="1" applyBorder="1" applyAlignment="1" applyProtection="1">
      <alignment horizontal="center" vertical="center"/>
      <protection locked="0"/>
    </xf>
    <xf numFmtId="3" fontId="0" fillId="5" borderId="2" xfId="1" quotePrefix="1" applyNumberFormat="1" applyFont="1" applyFill="1" applyBorder="1" applyAlignment="1" applyProtection="1">
      <alignment horizontal="center" vertical="center"/>
      <protection locked="0"/>
    </xf>
    <xf numFmtId="167" fontId="11" fillId="4" borderId="2" xfId="0" quotePrefix="1" applyNumberFormat="1" applyFont="1" applyFill="1" applyBorder="1" applyAlignment="1" applyProtection="1">
      <alignment horizontal="center" vertical="center"/>
      <protection locked="0"/>
    </xf>
    <xf numFmtId="0" fontId="12" fillId="6" borderId="0" xfId="0" applyFont="1" applyFill="1" applyBorder="1" applyAlignment="1">
      <alignment horizontal="left"/>
    </xf>
    <xf numFmtId="0" fontId="0" fillId="6" borderId="0" xfId="0" applyFill="1" applyBorder="1"/>
    <xf numFmtId="2" fontId="0" fillId="6" borderId="0" xfId="0" applyNumberFormat="1" applyFont="1" applyFill="1" applyBorder="1"/>
    <xf numFmtId="4" fontId="13" fillId="0" borderId="8" xfId="0" applyNumberFormat="1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2" fontId="0" fillId="6" borderId="37" xfId="0" applyNumberFormat="1" applyFont="1" applyFill="1" applyBorder="1"/>
    <xf numFmtId="2" fontId="13" fillId="0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/>
    </xf>
    <xf numFmtId="4" fontId="13" fillId="0" borderId="38" xfId="0" applyNumberFormat="1" applyFont="1" applyFill="1" applyBorder="1" applyAlignment="1">
      <alignment horizontal="center" vertical="center"/>
    </xf>
    <xf numFmtId="4" fontId="13" fillId="0" borderId="38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wrapText="1"/>
    </xf>
    <xf numFmtId="0" fontId="0" fillId="6" borderId="0" xfId="0" applyFill="1" applyBorder="1" applyAlignment="1">
      <alignment wrapText="1"/>
    </xf>
    <xf numFmtId="2" fontId="0" fillId="6" borderId="0" xfId="0" applyNumberFormat="1" applyFont="1" applyFill="1" applyBorder="1" applyAlignment="1">
      <alignment wrapText="1"/>
    </xf>
    <xf numFmtId="2" fontId="0" fillId="6" borderId="37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/>
    </xf>
    <xf numFmtId="2" fontId="0" fillId="6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 applyProtection="1">
      <alignment horizontal="center"/>
      <protection locked="0"/>
    </xf>
    <xf numFmtId="0" fontId="0" fillId="6" borderId="2" xfId="0" applyFill="1" applyBorder="1" applyProtection="1">
      <protection locked="0"/>
    </xf>
    <xf numFmtId="2" fontId="0" fillId="6" borderId="2" xfId="0" applyNumberFormat="1" applyFill="1" applyBorder="1" applyProtection="1">
      <protection locked="0"/>
    </xf>
    <xf numFmtId="9" fontId="1" fillId="6" borderId="2" xfId="2" applyFill="1" applyBorder="1" applyAlignment="1" applyProtection="1">
      <alignment horizontal="center"/>
      <protection locked="0"/>
    </xf>
    <xf numFmtId="4" fontId="0" fillId="6" borderId="2" xfId="0" applyNumberFormat="1" applyFont="1" applyFill="1" applyBorder="1" applyAlignment="1" applyProtection="1">
      <alignment horizontal="center" vertical="center"/>
      <protection locked="0"/>
    </xf>
    <xf numFmtId="2" fontId="0" fillId="6" borderId="2" xfId="0" applyNumberFormat="1" applyFill="1" applyBorder="1" applyAlignment="1" applyProtection="1">
      <alignment horizontal="center" vertical="center" wrapText="1"/>
      <protection locked="0"/>
    </xf>
    <xf numFmtId="168" fontId="0" fillId="6" borderId="2" xfId="0" applyNumberFormat="1" applyFill="1" applyBorder="1" applyAlignment="1" applyProtection="1">
      <alignment horizontal="center" vertical="center" wrapText="1"/>
      <protection locked="0"/>
    </xf>
    <xf numFmtId="1" fontId="0" fillId="6" borderId="2" xfId="0" applyNumberFormat="1" applyFill="1" applyBorder="1" applyAlignment="1" applyProtection="1">
      <alignment horizontal="center" vertical="center" wrapText="1"/>
      <protection locked="0"/>
    </xf>
    <xf numFmtId="4" fontId="0" fillId="6" borderId="2" xfId="0" applyNumberFormat="1" applyFill="1" applyBorder="1" applyAlignment="1" applyProtection="1">
      <alignment horizontal="center" vertical="center"/>
      <protection locked="0"/>
    </xf>
    <xf numFmtId="1" fontId="0" fillId="6" borderId="2" xfId="0" applyNumberFormat="1" applyFont="1" applyFill="1" applyBorder="1" applyAlignment="1" applyProtection="1">
      <alignment horizontal="center" vertical="center" wrapText="1"/>
      <protection locked="0"/>
    </xf>
    <xf numFmtId="9" fontId="10" fillId="6" borderId="2" xfId="2" applyFont="1" applyFill="1" applyBorder="1" applyAlignment="1" applyProtection="1">
      <alignment horizontal="center" vertical="center" wrapText="1"/>
      <protection locked="0"/>
    </xf>
    <xf numFmtId="2" fontId="10" fillId="6" borderId="2" xfId="2" applyNumberFormat="1" applyFont="1" applyFill="1" applyBorder="1" applyAlignment="1" applyProtection="1">
      <alignment horizontal="center" vertical="center" wrapText="1"/>
      <protection locked="0"/>
    </xf>
    <xf numFmtId="3" fontId="0" fillId="6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6" borderId="2" xfId="0" applyNumberFormat="1" applyFill="1" applyBorder="1" applyAlignment="1" applyProtection="1">
      <alignment horizontal="center" vertical="center" wrapText="1"/>
      <protection locked="0"/>
    </xf>
    <xf numFmtId="0" fontId="16" fillId="7" borderId="2" xfId="0" applyFont="1" applyFill="1" applyBorder="1" applyAlignment="1" applyProtection="1">
      <alignment horizontal="center" vertical="center"/>
      <protection locked="0"/>
    </xf>
    <xf numFmtId="2" fontId="16" fillId="7" borderId="0" xfId="0" applyNumberFormat="1" applyFont="1" applyFill="1" applyBorder="1" applyAlignment="1" applyProtection="1">
      <alignment horizontal="center" vertical="center"/>
      <protection locked="0"/>
    </xf>
    <xf numFmtId="4" fontId="17" fillId="7" borderId="2" xfId="0" applyNumberFormat="1" applyFont="1" applyFill="1" applyBorder="1" applyAlignment="1" applyProtection="1">
      <alignment horizontal="center" vertical="center"/>
      <protection locked="0"/>
    </xf>
    <xf numFmtId="2" fontId="17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2" xfId="0" applyFont="1" applyFill="1" applyBorder="1" applyAlignment="1" applyProtection="1">
      <alignment horizontal="center" vertical="center" wrapText="1"/>
      <protection locked="0"/>
    </xf>
    <xf numFmtId="0" fontId="17" fillId="7" borderId="3" xfId="0" applyFont="1" applyFill="1" applyBorder="1" applyAlignment="1" applyProtection="1">
      <alignment horizontal="center" vertical="center" wrapText="1"/>
      <protection locked="0"/>
    </xf>
    <xf numFmtId="2" fontId="17" fillId="7" borderId="3" xfId="0" applyNumberFormat="1" applyFont="1" applyFill="1" applyBorder="1" applyAlignment="1" applyProtection="1">
      <alignment horizontal="center" vertical="center" wrapText="1"/>
      <protection locked="0"/>
    </xf>
    <xf numFmtId="9" fontId="10" fillId="8" borderId="2" xfId="2" applyFont="1" applyFill="1" applyBorder="1" applyAlignment="1" applyProtection="1">
      <alignment horizontal="center" vertical="center"/>
      <protection locked="0"/>
    </xf>
    <xf numFmtId="3" fontId="0" fillId="5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69" fontId="0" fillId="5" borderId="2" xfId="0" applyNumberFormat="1" applyFill="1" applyBorder="1" applyAlignment="1" applyProtection="1">
      <alignment horizontal="center" vertical="center"/>
      <protection locked="0"/>
    </xf>
    <xf numFmtId="4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66" fontId="1" fillId="5" borderId="2" xfId="2" applyNumberFormat="1" applyFill="1" applyBorder="1" applyAlignment="1" applyProtection="1">
      <alignment horizontal="center" vertical="center"/>
      <protection locked="0"/>
    </xf>
    <xf numFmtId="2" fontId="1" fillId="5" borderId="2" xfId="2" applyNumberFormat="1" applyFill="1" applyBorder="1" applyAlignment="1" applyProtection="1">
      <alignment horizontal="center" vertical="center"/>
      <protection locked="0"/>
    </xf>
    <xf numFmtId="3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0" fillId="9" borderId="2" xfId="0" applyNumberFormat="1" applyFon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/>
      <protection locked="0"/>
    </xf>
    <xf numFmtId="0" fontId="10" fillId="0" borderId="0" xfId="4" applyAlignment="1">
      <alignment horizontal="left"/>
    </xf>
    <xf numFmtId="171" fontId="10" fillId="0" borderId="0" xfId="4" applyNumberFormat="1" applyAlignment="1">
      <alignment horizontal="left"/>
    </xf>
    <xf numFmtId="172" fontId="10" fillId="0" borderId="0" xfId="4" applyNumberFormat="1" applyAlignment="1">
      <alignment horizontal="right"/>
    </xf>
    <xf numFmtId="173" fontId="10" fillId="0" borderId="0" xfId="4" applyNumberFormat="1" applyAlignment="1">
      <alignment horizontal="right"/>
    </xf>
    <xf numFmtId="43" fontId="0" fillId="2" borderId="2" xfId="1" applyNumberFormat="1" applyFont="1" applyFill="1" applyBorder="1"/>
    <xf numFmtId="43" fontId="0" fillId="10" borderId="0" xfId="0" applyNumberFormat="1" applyFill="1"/>
    <xf numFmtId="11" fontId="0" fillId="0" borderId="0" xfId="0" applyNumberFormat="1"/>
    <xf numFmtId="0" fontId="20" fillId="0" borderId="0" xfId="3"/>
    <xf numFmtId="0" fontId="10" fillId="0" borderId="0" xfId="4"/>
    <xf numFmtId="0" fontId="13" fillId="0" borderId="0" xfId="4" applyFont="1" applyAlignment="1">
      <alignment horizontal="left"/>
    </xf>
    <xf numFmtId="173" fontId="0" fillId="0" borderId="0" xfId="0" applyNumberFormat="1"/>
    <xf numFmtId="43" fontId="0" fillId="0" borderId="0" xfId="0" applyNumberForma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2" fillId="0" borderId="0" xfId="0" applyFont="1" applyAlignment="1">
      <alignment horizontal="right"/>
    </xf>
    <xf numFmtId="0" fontId="13" fillId="0" borderId="0" xfId="4" applyFont="1" applyAlignment="1">
      <alignment horizontal="right"/>
    </xf>
    <xf numFmtId="0" fontId="0" fillId="0" borderId="0" xfId="0" applyAlignment="1">
      <alignment wrapText="1"/>
    </xf>
    <xf numFmtId="165" fontId="0" fillId="0" borderId="0" xfId="1" applyNumberFormat="1" applyFont="1"/>
    <xf numFmtId="0" fontId="23" fillId="0" borderId="0" xfId="3" applyFont="1"/>
    <xf numFmtId="0" fontId="0" fillId="0" borderId="2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4" fontId="13" fillId="0" borderId="8" xfId="0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4" fontId="13" fillId="0" borderId="36" xfId="0" applyNumberFormat="1" applyFont="1" applyFill="1" applyBorder="1" applyAlignment="1">
      <alignment horizontal="center" vertical="center"/>
    </xf>
    <xf numFmtId="43" fontId="0" fillId="0" borderId="0" xfId="1" applyFont="1"/>
    <xf numFmtId="43" fontId="2" fillId="0" borderId="0" xfId="1" applyFont="1" applyAlignment="1">
      <alignment horizontal="center" wrapText="1"/>
    </xf>
    <xf numFmtId="43" fontId="0" fillId="0" borderId="0" xfId="1" applyFont="1" applyAlignment="1">
      <alignment wrapText="1"/>
    </xf>
  </cellXfs>
  <cellStyles count="5">
    <cellStyle name="Comma" xfId="1" builtinId="3"/>
    <cellStyle name="Normal" xfId="0" builtinId="0"/>
    <cellStyle name="Normal 2" xfId="4"/>
    <cellStyle name="Percent" xfId="2" builtinId="5"/>
    <cellStyle name="Style 2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22</xdr:row>
      <xdr:rowOff>0</xdr:rowOff>
    </xdr:from>
    <xdr:to>
      <xdr:col>6</xdr:col>
      <xdr:colOff>533400</xdr:colOff>
      <xdr:row>23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G10" sqref="G10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28515625" bestFit="1" customWidth="1"/>
  </cols>
  <sheetData>
    <row r="1" spans="1:7" ht="18.75" x14ac:dyDescent="0.3">
      <c r="A1" s="3" t="s">
        <v>8</v>
      </c>
    </row>
    <row r="2" spans="1:7" ht="15.75" thickBot="1" x14ac:dyDescent="0.3"/>
    <row r="3" spans="1:7" x14ac:dyDescent="0.25">
      <c r="A3" s="55"/>
      <c r="B3" s="56" t="s">
        <v>12</v>
      </c>
      <c r="C3" s="57" t="s">
        <v>20</v>
      </c>
      <c r="D3" s="62"/>
      <c r="E3" s="60"/>
    </row>
    <row r="4" spans="1:7" x14ac:dyDescent="0.25">
      <c r="A4" s="156" t="s">
        <v>13</v>
      </c>
      <c r="B4" s="158"/>
      <c r="C4" s="32">
        <v>2010</v>
      </c>
      <c r="D4" s="65" t="s">
        <v>35</v>
      </c>
      <c r="E4" s="61"/>
    </row>
    <row r="5" spans="1:7" ht="15.75" thickBot="1" x14ac:dyDescent="0.3">
      <c r="A5" s="159" t="s">
        <v>18</v>
      </c>
      <c r="B5" s="160"/>
      <c r="C5" s="58">
        <v>509398</v>
      </c>
      <c r="D5" s="59">
        <f>+D13/C5</f>
        <v>10.747050439931057</v>
      </c>
    </row>
    <row r="6" spans="1:7" x14ac:dyDescent="0.25">
      <c r="A6" s="5"/>
      <c r="B6" s="5"/>
      <c r="C6" s="16"/>
      <c r="E6" s="15"/>
    </row>
    <row r="7" spans="1:7" ht="19.5" thickBot="1" x14ac:dyDescent="0.35">
      <c r="A7" s="5"/>
      <c r="B7" s="53" t="s">
        <v>32</v>
      </c>
      <c r="C7" s="16"/>
      <c r="E7" s="15"/>
    </row>
    <row r="8" spans="1:7" x14ac:dyDescent="0.25">
      <c r="A8" s="35"/>
      <c r="B8" s="36"/>
      <c r="C8" s="36"/>
      <c r="D8" s="36"/>
      <c r="E8" s="36"/>
      <c r="F8" s="37" t="s">
        <v>17</v>
      </c>
      <c r="G8" s="48" t="s">
        <v>36</v>
      </c>
    </row>
    <row r="9" spans="1:7" x14ac:dyDescent="0.25">
      <c r="A9" s="38"/>
      <c r="B9" s="11"/>
      <c r="C9" s="11"/>
      <c r="D9" s="13" t="s">
        <v>11</v>
      </c>
      <c r="E9" s="25" t="s">
        <v>25</v>
      </c>
      <c r="F9" s="18" t="s">
        <v>31</v>
      </c>
      <c r="G9" s="49" t="s">
        <v>17</v>
      </c>
    </row>
    <row r="10" spans="1:7" x14ac:dyDescent="0.25">
      <c r="A10" s="156" t="s">
        <v>9</v>
      </c>
      <c r="B10" s="157"/>
      <c r="C10" s="158"/>
      <c r="D10" s="63">
        <v>2467044</v>
      </c>
      <c r="E10" s="12">
        <f>+D10/D13</f>
        <v>0.45064065820492955</v>
      </c>
      <c r="F10" s="34">
        <v>209988</v>
      </c>
      <c r="G10" s="50">
        <f>+D10/F10</f>
        <v>11.748499914280815</v>
      </c>
    </row>
    <row r="11" spans="1:7" x14ac:dyDescent="0.25">
      <c r="A11" s="156" t="s">
        <v>14</v>
      </c>
      <c r="B11" s="157"/>
      <c r="C11" s="158"/>
      <c r="D11" s="63">
        <v>2122874</v>
      </c>
      <c r="E11" s="12">
        <f>+D11/D13</f>
        <v>0.3877731149692229</v>
      </c>
      <c r="F11" s="27">
        <v>22915</v>
      </c>
      <c r="G11" s="50">
        <f>+D11/F11</f>
        <v>92.641239362862748</v>
      </c>
    </row>
    <row r="12" spans="1:7" x14ac:dyDescent="0.25">
      <c r="A12" s="156" t="s">
        <v>15</v>
      </c>
      <c r="B12" s="157"/>
      <c r="C12" s="158"/>
      <c r="D12" s="63">
        <v>884608</v>
      </c>
      <c r="E12" s="12">
        <f>+D12/D13</f>
        <v>0.16158622682584758</v>
      </c>
      <c r="F12" s="5"/>
      <c r="G12" s="39"/>
    </row>
    <row r="13" spans="1:7" ht="15.75" thickBot="1" x14ac:dyDescent="0.3">
      <c r="A13" s="40"/>
      <c r="B13" s="161" t="s">
        <v>10</v>
      </c>
      <c r="C13" s="160"/>
      <c r="D13" s="64">
        <f>SUM(D10:D12)</f>
        <v>5474526</v>
      </c>
      <c r="E13" s="41"/>
      <c r="F13" s="42"/>
      <c r="G13" s="43"/>
    </row>
    <row r="15" spans="1:7" ht="19.5" thickBot="1" x14ac:dyDescent="0.35">
      <c r="B15" s="54" t="s">
        <v>33</v>
      </c>
    </row>
    <row r="16" spans="1:7" x14ac:dyDescent="0.25">
      <c r="A16" s="35"/>
      <c r="B16" s="36"/>
      <c r="C16" s="36"/>
      <c r="D16" s="36"/>
      <c r="E16" s="37" t="s">
        <v>26</v>
      </c>
      <c r="F16" s="44" t="s">
        <v>3</v>
      </c>
      <c r="G16" s="45"/>
    </row>
    <row r="17" spans="1:8" ht="18" x14ac:dyDescent="0.35">
      <c r="A17" s="46"/>
      <c r="B17" s="5"/>
      <c r="C17" s="5"/>
      <c r="D17" s="25" t="s">
        <v>16</v>
      </c>
      <c r="E17" s="18" t="s">
        <v>27</v>
      </c>
      <c r="F17" s="14" t="s">
        <v>6</v>
      </c>
      <c r="G17" s="39"/>
    </row>
    <row r="18" spans="1:8" ht="15.75" thickBot="1" x14ac:dyDescent="0.3">
      <c r="A18" s="156" t="s">
        <v>29</v>
      </c>
      <c r="B18" s="157"/>
      <c r="C18" s="158"/>
      <c r="D18" s="6">
        <f>+'Known Resources'!B41*0.65</f>
        <v>6536727.0920249997</v>
      </c>
      <c r="E18" s="12">
        <f>+D18/(D18+D19)</f>
        <v>1.0779501388282202</v>
      </c>
      <c r="F18" s="6">
        <f>+'Known Resources'!D41*0.65</f>
        <v>2115236.2031504856</v>
      </c>
      <c r="G18" s="39"/>
    </row>
    <row r="19" spans="1:8" ht="18" x14ac:dyDescent="0.35">
      <c r="A19" s="156" t="s">
        <v>30</v>
      </c>
      <c r="B19" s="157"/>
      <c r="C19" s="158"/>
      <c r="D19" s="51">
        <f>+('Unknown Resources'!F64*0.65)</f>
        <v>-472692.35000000003</v>
      </c>
      <c r="E19" s="52">
        <f>+D19/(D18+D19)</f>
        <v>-7.7950138828220328E-2</v>
      </c>
      <c r="F19" s="67">
        <f>+'Unknown Resources'!G64*0.65</f>
        <v>290197.99815322156</v>
      </c>
      <c r="G19" s="69" t="s">
        <v>34</v>
      </c>
    </row>
    <row r="20" spans="1:8" ht="18.75" thickBot="1" x14ac:dyDescent="0.4">
      <c r="A20" s="40"/>
      <c r="B20" s="42"/>
      <c r="C20" s="42"/>
      <c r="D20" s="66">
        <f>+C4</f>
        <v>2010</v>
      </c>
      <c r="E20" s="47" t="s">
        <v>2</v>
      </c>
      <c r="F20" s="68">
        <f>SUM(F18:F19)</f>
        <v>2405434.2013037074</v>
      </c>
      <c r="G20" s="70">
        <f>+F20/G22</f>
        <v>2.1250225947661505</v>
      </c>
    </row>
    <row r="21" spans="1:8" ht="18" x14ac:dyDescent="0.35">
      <c r="A21" t="s">
        <v>204</v>
      </c>
    </row>
    <row r="22" spans="1:8" ht="18" x14ac:dyDescent="0.35">
      <c r="F22" s="17" t="s">
        <v>24</v>
      </c>
      <c r="G22" s="27">
        <v>1131957</v>
      </c>
      <c r="H22" s="24"/>
    </row>
    <row r="24" spans="1:8" x14ac:dyDescent="0.25">
      <c r="C24" s="24" t="s">
        <v>19</v>
      </c>
      <c r="F24" s="19"/>
      <c r="G24" s="19"/>
    </row>
    <row r="25" spans="1:8" x14ac:dyDescent="0.25">
      <c r="E25" s="19"/>
      <c r="F25" s="19"/>
      <c r="G25" s="22" t="s">
        <v>23</v>
      </c>
    </row>
    <row r="26" spans="1:8" ht="18" x14ac:dyDescent="0.35">
      <c r="E26" s="19"/>
      <c r="F26" s="19"/>
      <c r="G26" s="23" t="s">
        <v>1</v>
      </c>
    </row>
    <row r="27" spans="1:8" x14ac:dyDescent="0.25">
      <c r="E27" s="19"/>
      <c r="F27" s="20" t="s">
        <v>20</v>
      </c>
      <c r="G27" s="21">
        <v>1131957</v>
      </c>
    </row>
    <row r="28" spans="1:8" x14ac:dyDescent="0.25">
      <c r="E28" s="19"/>
      <c r="F28" s="20" t="s">
        <v>21</v>
      </c>
      <c r="G28" s="21">
        <v>2399078</v>
      </c>
    </row>
    <row r="29" spans="1:8" x14ac:dyDescent="0.25">
      <c r="E29" s="19"/>
      <c r="F29" s="20" t="s">
        <v>22</v>
      </c>
      <c r="G29" s="21">
        <v>6946064</v>
      </c>
    </row>
  </sheetData>
  <mergeCells count="8">
    <mergeCell ref="A18:C18"/>
    <mergeCell ref="A19:C19"/>
    <mergeCell ref="A4:B4"/>
    <mergeCell ref="A5:B5"/>
    <mergeCell ref="A10:C10"/>
    <mergeCell ref="A11:C11"/>
    <mergeCell ref="A12:C12"/>
    <mergeCell ref="B13:C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3"/>
  <sheetViews>
    <sheetView topLeftCell="A19" workbookViewId="0">
      <selection activeCell="E44" sqref="E44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7" max="7" width="25" bestFit="1" customWidth="1"/>
    <col min="8" max="8" width="10.85546875" bestFit="1" customWidth="1"/>
  </cols>
  <sheetData>
    <row r="1" spans="1:21" ht="18.75" x14ac:dyDescent="0.3">
      <c r="A1" s="3" t="s">
        <v>7</v>
      </c>
      <c r="B1" s="31">
        <f>+Summary!C4</f>
        <v>2010</v>
      </c>
    </row>
    <row r="2" spans="1:21" ht="18.75" x14ac:dyDescent="0.3">
      <c r="A2" s="3"/>
      <c r="B2" s="7" t="s">
        <v>28</v>
      </c>
      <c r="C2" s="7">
        <f>+Summary!C4</f>
        <v>2010</v>
      </c>
      <c r="D2" s="7" t="s">
        <v>3</v>
      </c>
      <c r="L2" t="s">
        <v>176</v>
      </c>
      <c r="M2" t="s">
        <v>177</v>
      </c>
      <c r="N2" t="s">
        <v>178</v>
      </c>
      <c r="O2" t="s">
        <v>179</v>
      </c>
      <c r="P2" t="s">
        <v>180</v>
      </c>
      <c r="Q2" t="s">
        <v>181</v>
      </c>
      <c r="R2" t="s">
        <v>182</v>
      </c>
      <c r="S2" t="s">
        <v>205</v>
      </c>
      <c r="T2" t="s">
        <v>183</v>
      </c>
      <c r="U2" t="s">
        <v>184</v>
      </c>
    </row>
    <row r="3" spans="1:21" ht="19.5" x14ac:dyDescent="0.35">
      <c r="A3" s="4" t="s">
        <v>0</v>
      </c>
      <c r="B3" s="8">
        <f>+Summary!C4</f>
        <v>2010</v>
      </c>
      <c r="C3" s="8" t="s">
        <v>5</v>
      </c>
      <c r="D3" s="8" t="s">
        <v>6</v>
      </c>
      <c r="E3" s="2"/>
      <c r="G3" s="72" t="s">
        <v>51</v>
      </c>
      <c r="H3" s="73">
        <v>222</v>
      </c>
      <c r="I3" s="72" t="s">
        <v>52</v>
      </c>
      <c r="J3" s="74">
        <v>1748980</v>
      </c>
      <c r="L3" t="s">
        <v>185</v>
      </c>
      <c r="M3" t="s">
        <v>206</v>
      </c>
      <c r="N3">
        <v>7456</v>
      </c>
      <c r="O3">
        <v>1</v>
      </c>
      <c r="Q3">
        <v>2010</v>
      </c>
      <c r="R3" t="s">
        <v>188</v>
      </c>
      <c r="S3">
        <v>7905.63</v>
      </c>
      <c r="T3">
        <v>4648.143</v>
      </c>
      <c r="U3">
        <v>78216.035000000003</v>
      </c>
    </row>
    <row r="4" spans="1:21" x14ac:dyDescent="0.25">
      <c r="A4" s="26" t="s">
        <v>37</v>
      </c>
      <c r="B4" s="27">
        <f>0.15*(S6+S7)</f>
        <v>1915723.9184999997</v>
      </c>
      <c r="C4" s="141">
        <f>(D4*2000)/B4</f>
        <v>2050.3372538019498</v>
      </c>
      <c r="D4" s="6">
        <f>0.15*(T6+T7)</f>
        <v>1963940.0590499998</v>
      </c>
      <c r="G4" s="72" t="s">
        <v>53</v>
      </c>
      <c r="H4" s="73">
        <v>149</v>
      </c>
      <c r="I4" s="72" t="s">
        <v>54</v>
      </c>
      <c r="J4" s="74">
        <v>11597</v>
      </c>
      <c r="L4" t="s">
        <v>185</v>
      </c>
      <c r="M4" t="s">
        <v>206</v>
      </c>
      <c r="N4">
        <v>7456</v>
      </c>
      <c r="O4">
        <v>2</v>
      </c>
      <c r="Q4">
        <v>2010</v>
      </c>
      <c r="R4" t="s">
        <v>188</v>
      </c>
      <c r="S4">
        <v>3691.61</v>
      </c>
      <c r="T4">
        <v>2223.319</v>
      </c>
      <c r="U4">
        <v>37407.633000000002</v>
      </c>
    </row>
    <row r="5" spans="1:21" x14ac:dyDescent="0.25">
      <c r="A5" s="28" t="s">
        <v>38</v>
      </c>
      <c r="B5" s="27">
        <f>S3+S4</f>
        <v>11597.24</v>
      </c>
      <c r="C5" s="141">
        <f>(D5*2000)/B5</f>
        <v>1185.0167798545172</v>
      </c>
      <c r="D5" s="6">
        <f>T3+T4</f>
        <v>6871.4619999999995</v>
      </c>
      <c r="G5" s="72" t="s">
        <v>55</v>
      </c>
      <c r="H5" s="73">
        <v>56.3</v>
      </c>
      <c r="I5" s="72" t="s">
        <v>54</v>
      </c>
      <c r="J5" s="74">
        <v>687</v>
      </c>
      <c r="L5" t="s">
        <v>185</v>
      </c>
      <c r="M5" t="s">
        <v>186</v>
      </c>
      <c r="N5">
        <v>55179</v>
      </c>
      <c r="O5" t="s">
        <v>187</v>
      </c>
      <c r="Q5">
        <v>2010</v>
      </c>
      <c r="R5" t="s">
        <v>188</v>
      </c>
      <c r="S5">
        <v>1438575.47</v>
      </c>
      <c r="T5">
        <v>588798.08900000004</v>
      </c>
      <c r="U5">
        <v>9907641.9179999996</v>
      </c>
    </row>
    <row r="6" spans="1:21" x14ac:dyDescent="0.25">
      <c r="A6" s="28" t="s">
        <v>39</v>
      </c>
      <c r="B6" s="27">
        <v>687</v>
      </c>
      <c r="C6" s="141">
        <f t="shared" ref="C6:C7" si="0">(W29*2204.62262)/B6</f>
        <v>2094.6009626141795</v>
      </c>
      <c r="D6" s="6">
        <f t="shared" ref="D6:D10" si="1">(+B6*C6)/2000</f>
        <v>719.49543065797059</v>
      </c>
      <c r="G6" s="72" t="s">
        <v>56</v>
      </c>
      <c r="H6" s="73">
        <v>24</v>
      </c>
      <c r="I6" s="72" t="s">
        <v>54</v>
      </c>
      <c r="J6" s="74">
        <v>10938</v>
      </c>
      <c r="L6" t="s">
        <v>207</v>
      </c>
      <c r="M6" t="s">
        <v>208</v>
      </c>
      <c r="N6">
        <v>6076</v>
      </c>
      <c r="O6">
        <v>3</v>
      </c>
      <c r="Q6">
        <v>2010</v>
      </c>
      <c r="R6" t="s">
        <v>188</v>
      </c>
      <c r="S6">
        <v>6371363.2800000003</v>
      </c>
      <c r="T6">
        <v>6535346.5609999998</v>
      </c>
      <c r="U6" s="143">
        <v>62312605.340999998</v>
      </c>
    </row>
    <row r="7" spans="1:21" x14ac:dyDescent="0.25">
      <c r="A7" s="28" t="s">
        <v>40</v>
      </c>
      <c r="B7" s="27">
        <v>10938</v>
      </c>
      <c r="C7" s="141">
        <f t="shared" si="0"/>
        <v>1163.5313270764846</v>
      </c>
      <c r="D7" s="6">
        <f t="shared" si="1"/>
        <v>6363.3528277812948</v>
      </c>
      <c r="G7" s="72" t="s">
        <v>57</v>
      </c>
      <c r="H7" s="73">
        <v>278.3</v>
      </c>
      <c r="I7" s="72" t="s">
        <v>54</v>
      </c>
      <c r="J7" s="74">
        <v>1661182</v>
      </c>
      <c r="L7" t="s">
        <v>207</v>
      </c>
      <c r="M7" t="s">
        <v>208</v>
      </c>
      <c r="N7">
        <v>6076</v>
      </c>
      <c r="O7">
        <v>4</v>
      </c>
      <c r="Q7">
        <v>2010</v>
      </c>
      <c r="R7" t="s">
        <v>188</v>
      </c>
      <c r="S7">
        <v>6400129.5099999998</v>
      </c>
      <c r="T7">
        <v>6557587.1660000002</v>
      </c>
      <c r="U7" s="143">
        <v>62524674.339000002</v>
      </c>
    </row>
    <row r="8" spans="1:21" x14ac:dyDescent="0.25">
      <c r="A8" s="28" t="s">
        <v>41</v>
      </c>
      <c r="B8" s="27">
        <f>S8</f>
        <v>1683928.59</v>
      </c>
      <c r="C8" s="141">
        <f>(D8*2000)/B8</f>
        <v>816.56323086717111</v>
      </c>
      <c r="D8" s="6">
        <f>T8</f>
        <v>687517.08499999996</v>
      </c>
      <c r="G8" s="72" t="s">
        <v>58</v>
      </c>
      <c r="H8" s="73">
        <v>6.9</v>
      </c>
      <c r="I8" s="72" t="s">
        <v>54</v>
      </c>
      <c r="J8" s="75">
        <v>0</v>
      </c>
      <c r="L8" t="s">
        <v>209</v>
      </c>
      <c r="M8" t="s">
        <v>210</v>
      </c>
      <c r="N8">
        <v>7350</v>
      </c>
      <c r="O8" t="s">
        <v>211</v>
      </c>
      <c r="Q8">
        <v>2010</v>
      </c>
      <c r="R8" t="s">
        <v>188</v>
      </c>
      <c r="S8">
        <v>1683928.59</v>
      </c>
      <c r="T8">
        <v>687517.08499999996</v>
      </c>
      <c r="U8" s="143">
        <v>11568791.051999999</v>
      </c>
    </row>
    <row r="9" spans="1:21" x14ac:dyDescent="0.25">
      <c r="A9" s="28" t="s">
        <v>42</v>
      </c>
      <c r="B9" s="27">
        <v>0</v>
      </c>
      <c r="C9" s="27">
        <v>0</v>
      </c>
      <c r="D9" s="6">
        <f t="shared" si="1"/>
        <v>0</v>
      </c>
      <c r="G9" s="72" t="s">
        <v>59</v>
      </c>
      <c r="H9" s="76">
        <v>50</v>
      </c>
      <c r="I9" s="72" t="s">
        <v>60</v>
      </c>
      <c r="J9" s="74">
        <v>312276</v>
      </c>
    </row>
    <row r="10" spans="1:21" x14ac:dyDescent="0.25">
      <c r="A10" s="28" t="s">
        <v>70</v>
      </c>
      <c r="B10" s="27">
        <v>312276</v>
      </c>
      <c r="C10" s="27">
        <v>0</v>
      </c>
      <c r="D10" s="6">
        <f t="shared" si="1"/>
        <v>0</v>
      </c>
      <c r="G10" s="72" t="s">
        <v>61</v>
      </c>
      <c r="H10" s="73">
        <v>15</v>
      </c>
      <c r="I10" s="72" t="s">
        <v>62</v>
      </c>
      <c r="J10" s="74">
        <v>105901</v>
      </c>
    </row>
    <row r="11" spans="1:21" x14ac:dyDescent="0.25">
      <c r="A11" s="28" t="s">
        <v>43</v>
      </c>
      <c r="B11" s="27">
        <v>105901</v>
      </c>
      <c r="C11" s="27">
        <v>0</v>
      </c>
      <c r="D11" s="6">
        <f t="shared" ref="D11:D40" si="2">(+B11*C11)/2000</f>
        <v>0</v>
      </c>
      <c r="G11" s="72" t="s">
        <v>63</v>
      </c>
      <c r="H11" s="73">
        <v>18</v>
      </c>
      <c r="I11" s="72" t="s">
        <v>62</v>
      </c>
      <c r="J11" s="74">
        <v>90272</v>
      </c>
    </row>
    <row r="12" spans="1:21" x14ac:dyDescent="0.25">
      <c r="A12" s="28" t="s">
        <v>44</v>
      </c>
      <c r="B12" s="27">
        <v>90272</v>
      </c>
      <c r="C12" s="27">
        <v>0</v>
      </c>
      <c r="D12" s="6">
        <f t="shared" si="2"/>
        <v>0</v>
      </c>
      <c r="G12" s="72" t="s">
        <v>64</v>
      </c>
      <c r="H12" s="73">
        <v>17.600000000000001</v>
      </c>
      <c r="I12" s="72" t="s">
        <v>62</v>
      </c>
      <c r="J12" s="74">
        <v>101430</v>
      </c>
    </row>
    <row r="13" spans="1:21" x14ac:dyDescent="0.25">
      <c r="A13" s="28" t="s">
        <v>45</v>
      </c>
      <c r="B13" s="27">
        <v>101430</v>
      </c>
      <c r="C13" s="27">
        <v>0</v>
      </c>
      <c r="D13" s="6">
        <f t="shared" si="2"/>
        <v>0</v>
      </c>
      <c r="G13" s="72" t="s">
        <v>65</v>
      </c>
      <c r="H13" s="73">
        <v>34.6</v>
      </c>
      <c r="I13" s="72" t="s">
        <v>62</v>
      </c>
      <c r="J13" s="74">
        <v>199278</v>
      </c>
    </row>
    <row r="14" spans="1:21" x14ac:dyDescent="0.25">
      <c r="A14" s="28" t="s">
        <v>46</v>
      </c>
      <c r="B14" s="27">
        <v>199278</v>
      </c>
      <c r="C14" s="27">
        <v>0</v>
      </c>
      <c r="D14" s="6">
        <f t="shared" si="2"/>
        <v>0</v>
      </c>
      <c r="G14" s="72" t="s">
        <v>66</v>
      </c>
      <c r="H14" s="73">
        <v>83.3</v>
      </c>
      <c r="I14" s="72" t="s">
        <v>62</v>
      </c>
      <c r="J14" s="74">
        <v>479748</v>
      </c>
    </row>
    <row r="15" spans="1:21" x14ac:dyDescent="0.25">
      <c r="A15" s="28" t="s">
        <v>47</v>
      </c>
      <c r="B15" s="27">
        <v>479748</v>
      </c>
      <c r="C15" s="27">
        <v>0</v>
      </c>
      <c r="D15" s="6">
        <f t="shared" si="2"/>
        <v>0</v>
      </c>
      <c r="G15" s="72" t="s">
        <v>67</v>
      </c>
      <c r="H15" s="73">
        <v>10.199999999999999</v>
      </c>
      <c r="I15" s="72" t="s">
        <v>62</v>
      </c>
      <c r="J15" s="74">
        <v>71163</v>
      </c>
    </row>
    <row r="16" spans="1:21" x14ac:dyDescent="0.25">
      <c r="A16" s="28" t="s">
        <v>48</v>
      </c>
      <c r="B16" s="27">
        <v>71163</v>
      </c>
      <c r="C16" s="27">
        <v>0</v>
      </c>
      <c r="D16" s="6">
        <f t="shared" si="2"/>
        <v>0</v>
      </c>
      <c r="G16" s="72" t="s">
        <v>68</v>
      </c>
      <c r="H16" s="73">
        <v>254.6</v>
      </c>
      <c r="I16" s="72" t="s">
        <v>62</v>
      </c>
      <c r="J16" s="74">
        <v>1060429</v>
      </c>
    </row>
    <row r="17" spans="1:23" x14ac:dyDescent="0.25">
      <c r="A17" s="28" t="s">
        <v>49</v>
      </c>
      <c r="B17" s="27">
        <v>1060429</v>
      </c>
      <c r="C17" s="27">
        <v>0</v>
      </c>
      <c r="D17" s="6">
        <f t="shared" si="2"/>
        <v>0</v>
      </c>
      <c r="G17" s="72" t="s">
        <v>69</v>
      </c>
      <c r="H17" s="73">
        <v>556.6</v>
      </c>
      <c r="I17" s="72" t="s">
        <v>62</v>
      </c>
      <c r="J17" s="74">
        <v>1503127</v>
      </c>
    </row>
    <row r="18" spans="1:23" x14ac:dyDescent="0.25">
      <c r="A18" s="28" t="s">
        <v>50</v>
      </c>
      <c r="B18" s="27">
        <v>1503127</v>
      </c>
      <c r="C18" s="27">
        <v>0</v>
      </c>
      <c r="D18" s="6">
        <f t="shared" si="2"/>
        <v>0</v>
      </c>
    </row>
    <row r="19" spans="1:23" x14ac:dyDescent="0.25">
      <c r="A19" s="28" t="s">
        <v>130</v>
      </c>
      <c r="B19" s="27">
        <f>S5</f>
        <v>1438575.47</v>
      </c>
      <c r="C19" s="141">
        <f>(D19*2000)/B19</f>
        <v>818.58491442232082</v>
      </c>
      <c r="D19" s="6">
        <f>T5</f>
        <v>588798.08900000004</v>
      </c>
    </row>
    <row r="20" spans="1:23" ht="15.75" x14ac:dyDescent="0.25">
      <c r="A20" s="28" t="s">
        <v>175</v>
      </c>
      <c r="B20" s="27">
        <v>10438</v>
      </c>
      <c r="C20" s="27">
        <v>0</v>
      </c>
      <c r="D20" s="6">
        <f t="shared" si="2"/>
        <v>0</v>
      </c>
      <c r="G20" s="77" t="s">
        <v>71</v>
      </c>
      <c r="H20" s="78"/>
      <c r="I20" s="79"/>
      <c r="J20" s="79"/>
      <c r="K20" s="162" t="s">
        <v>72</v>
      </c>
      <c r="L20" s="163"/>
      <c r="M20" s="162" t="s">
        <v>73</v>
      </c>
      <c r="N20" s="164"/>
      <c r="O20" s="164"/>
      <c r="P20" s="164"/>
      <c r="Q20" s="163"/>
      <c r="R20" s="162" t="s">
        <v>74</v>
      </c>
      <c r="S20" s="164"/>
      <c r="T20" s="80" t="s">
        <v>75</v>
      </c>
      <c r="U20" s="80" t="s">
        <v>76</v>
      </c>
      <c r="V20" s="162" t="s">
        <v>77</v>
      </c>
      <c r="W20" s="163"/>
    </row>
    <row r="21" spans="1:23" ht="15.75" x14ac:dyDescent="0.25">
      <c r="A21" s="28" t="s">
        <v>189</v>
      </c>
      <c r="B21" s="27">
        <v>0</v>
      </c>
      <c r="C21" s="27">
        <v>0</v>
      </c>
      <c r="D21" s="6">
        <f t="shared" si="2"/>
        <v>0</v>
      </c>
      <c r="G21" s="81" t="s">
        <v>78</v>
      </c>
      <c r="H21" s="82">
        <v>2010</v>
      </c>
      <c r="I21" s="79"/>
      <c r="J21" s="83"/>
      <c r="K21" s="84" t="s">
        <v>79</v>
      </c>
      <c r="L21" s="84" t="s">
        <v>80</v>
      </c>
      <c r="M21" s="85" t="s">
        <v>81</v>
      </c>
      <c r="N21" s="86" t="s">
        <v>82</v>
      </c>
      <c r="O21" s="85" t="s">
        <v>83</v>
      </c>
      <c r="P21" s="85" t="s">
        <v>84</v>
      </c>
      <c r="Q21" s="85" t="s">
        <v>85</v>
      </c>
      <c r="R21" s="86" t="s">
        <v>86</v>
      </c>
      <c r="S21" s="86" t="s">
        <v>87</v>
      </c>
      <c r="T21" s="87" t="s">
        <v>88</v>
      </c>
      <c r="U21" s="87" t="s">
        <v>89</v>
      </c>
      <c r="V21" s="87" t="s">
        <v>90</v>
      </c>
      <c r="W21" s="88" t="s">
        <v>91</v>
      </c>
    </row>
    <row r="22" spans="1:23" ht="75.75" x14ac:dyDescent="0.25">
      <c r="A22" s="28" t="s">
        <v>190</v>
      </c>
      <c r="B22" s="27">
        <v>144508</v>
      </c>
      <c r="C22" s="27">
        <v>0</v>
      </c>
      <c r="D22" s="6">
        <f t="shared" si="2"/>
        <v>0</v>
      </c>
      <c r="G22" s="89"/>
      <c r="H22" s="90"/>
      <c r="I22" s="91"/>
      <c r="J22" s="92"/>
      <c r="K22" s="93" t="s">
        <v>92</v>
      </c>
      <c r="L22" s="93" t="s">
        <v>93</v>
      </c>
      <c r="M22" s="93" t="s">
        <v>94</v>
      </c>
      <c r="N22" s="93" t="s">
        <v>95</v>
      </c>
      <c r="O22" s="93" t="s">
        <v>96</v>
      </c>
      <c r="P22" s="93" t="s">
        <v>97</v>
      </c>
      <c r="Q22" s="93" t="s">
        <v>98</v>
      </c>
      <c r="R22" s="94" t="s">
        <v>99</v>
      </c>
      <c r="S22" s="94" t="s">
        <v>100</v>
      </c>
      <c r="T22" s="94" t="s">
        <v>101</v>
      </c>
      <c r="U22" s="94" t="s">
        <v>102</v>
      </c>
      <c r="V22" s="94" t="s">
        <v>103</v>
      </c>
      <c r="W22" s="95" t="s">
        <v>104</v>
      </c>
    </row>
    <row r="23" spans="1:23" ht="45" x14ac:dyDescent="0.25">
      <c r="A23" s="28" t="s">
        <v>191</v>
      </c>
      <c r="B23" s="27">
        <v>2939</v>
      </c>
      <c r="C23" s="27">
        <v>0</v>
      </c>
      <c r="D23" s="6">
        <f t="shared" si="2"/>
        <v>0</v>
      </c>
      <c r="G23" s="96"/>
      <c r="H23" s="78"/>
      <c r="I23" s="97"/>
      <c r="J23" s="83"/>
      <c r="K23" s="98"/>
      <c r="L23" s="98"/>
      <c r="M23" s="98"/>
      <c r="N23" s="98"/>
      <c r="O23" s="99" t="s">
        <v>105</v>
      </c>
      <c r="P23" s="99" t="s">
        <v>106</v>
      </c>
      <c r="Q23" s="99"/>
      <c r="R23" s="100"/>
      <c r="S23" s="100"/>
      <c r="T23" s="101"/>
      <c r="U23" s="101"/>
      <c r="V23" s="95" t="s">
        <v>107</v>
      </c>
      <c r="W23" s="102" t="s">
        <v>108</v>
      </c>
    </row>
    <row r="24" spans="1:23" x14ac:dyDescent="0.25">
      <c r="A24" s="28" t="s">
        <v>192</v>
      </c>
      <c r="B24" s="27">
        <v>136440</v>
      </c>
      <c r="C24" s="27">
        <v>0</v>
      </c>
      <c r="D24" s="6">
        <f t="shared" si="2"/>
        <v>0</v>
      </c>
      <c r="G24" s="103">
        <v>0</v>
      </c>
      <c r="H24" s="104" t="s">
        <v>109</v>
      </c>
      <c r="I24" s="105" t="s">
        <v>54</v>
      </c>
      <c r="J24" s="106">
        <v>0.5</v>
      </c>
      <c r="K24" s="107">
        <v>1000</v>
      </c>
      <c r="L24" s="108" t="s">
        <v>110</v>
      </c>
      <c r="M24" s="109">
        <v>5.0999999999999997E-2</v>
      </c>
      <c r="N24" s="110" t="s">
        <v>111</v>
      </c>
      <c r="O24" s="108" t="s">
        <v>112</v>
      </c>
      <c r="P24" s="107">
        <f>K24*M24</f>
        <v>51</v>
      </c>
      <c r="Q24" s="111" t="s">
        <v>113</v>
      </c>
      <c r="R24" s="112">
        <v>14</v>
      </c>
      <c r="S24" s="108" t="s">
        <v>114</v>
      </c>
      <c r="T24" s="113">
        <v>1</v>
      </c>
      <c r="U24" s="114">
        <v>1</v>
      </c>
      <c r="V24" s="115">
        <f>+P24*R24*T24*U24*3.66666666666667</f>
        <v>2618.0000000000023</v>
      </c>
      <c r="W24" s="116">
        <f>V24/1000</f>
        <v>2.6180000000000021</v>
      </c>
    </row>
    <row r="25" spans="1:23" x14ac:dyDescent="0.25">
      <c r="A25" s="28" t="s">
        <v>193</v>
      </c>
      <c r="B25" s="27">
        <v>151949</v>
      </c>
      <c r="C25" s="27">
        <v>0</v>
      </c>
      <c r="D25" s="6">
        <f t="shared" si="2"/>
        <v>0</v>
      </c>
      <c r="G25" s="117" t="s">
        <v>115</v>
      </c>
      <c r="H25" s="117" t="s">
        <v>116</v>
      </c>
      <c r="I25" s="118" t="s">
        <v>117</v>
      </c>
      <c r="J25" s="118" t="s">
        <v>118</v>
      </c>
      <c r="K25" s="119"/>
      <c r="L25" s="120"/>
      <c r="M25" s="120"/>
      <c r="N25" s="120"/>
      <c r="O25" s="120"/>
      <c r="P25" s="120"/>
      <c r="Q25" s="120"/>
      <c r="R25" s="121"/>
      <c r="S25" s="122"/>
      <c r="T25" s="123"/>
      <c r="U25" s="123"/>
      <c r="V25" s="123"/>
      <c r="W25" s="120"/>
    </row>
    <row r="26" spans="1:23" ht="30" x14ac:dyDescent="0.25">
      <c r="A26" s="28" t="s">
        <v>194</v>
      </c>
      <c r="B26" s="27">
        <v>192996</v>
      </c>
      <c r="C26" s="27">
        <v>0</v>
      </c>
      <c r="D26" s="6">
        <f t="shared" si="2"/>
        <v>0</v>
      </c>
      <c r="G26" s="71">
        <v>1</v>
      </c>
      <c r="H26" s="72" t="s">
        <v>37</v>
      </c>
      <c r="I26" s="72" t="s">
        <v>52</v>
      </c>
      <c r="J26" s="124">
        <v>0.15</v>
      </c>
      <c r="K26" s="125">
        <v>1075160</v>
      </c>
      <c r="L26" s="126" t="s">
        <v>119</v>
      </c>
      <c r="M26" s="127">
        <v>17.024999999999999</v>
      </c>
      <c r="N26" s="126" t="s">
        <v>120</v>
      </c>
      <c r="O26" s="126" t="s">
        <v>112</v>
      </c>
      <c r="P26" s="128">
        <f>K26*M26</f>
        <v>18304599</v>
      </c>
      <c r="Q26" s="129" t="s">
        <v>121</v>
      </c>
      <c r="R26" s="130">
        <v>93.4</v>
      </c>
      <c r="S26" s="129" t="s">
        <v>122</v>
      </c>
      <c r="T26" s="131">
        <v>0.98</v>
      </c>
      <c r="U26" s="132">
        <v>1</v>
      </c>
      <c r="V26" s="133">
        <f t="shared" ref="V26:V32" si="3">+P26*R26*T26*U26</f>
        <v>1675456555.6680002</v>
      </c>
      <c r="W26" s="133">
        <f t="shared" ref="W26:W32" si="4">V26/1000</f>
        <v>1675456.5556680001</v>
      </c>
    </row>
    <row r="27" spans="1:23" ht="25.5" x14ac:dyDescent="0.25">
      <c r="A27" s="28" t="s">
        <v>195</v>
      </c>
      <c r="B27" s="27">
        <v>7869</v>
      </c>
      <c r="C27" s="27">
        <v>0</v>
      </c>
      <c r="D27" s="6">
        <f t="shared" si="2"/>
        <v>0</v>
      </c>
      <c r="G27" s="71">
        <f t="shared" ref="G27:G32" si="5">G26+1</f>
        <v>2</v>
      </c>
      <c r="H27" s="72" t="s">
        <v>37</v>
      </c>
      <c r="I27" s="72" t="s">
        <v>123</v>
      </c>
      <c r="J27" s="134">
        <v>0.15</v>
      </c>
      <c r="K27" s="125">
        <v>1627</v>
      </c>
      <c r="L27" s="126" t="s">
        <v>124</v>
      </c>
      <c r="M27" s="130">
        <f>140000*42/1000000</f>
        <v>5.88</v>
      </c>
      <c r="N27" s="135" t="s">
        <v>125</v>
      </c>
      <c r="O27" s="126" t="s">
        <v>112</v>
      </c>
      <c r="P27" s="128">
        <f>(K27*M27)</f>
        <v>9566.76</v>
      </c>
      <c r="Q27" s="129" t="s">
        <v>121</v>
      </c>
      <c r="R27" s="130">
        <v>73.959999999999994</v>
      </c>
      <c r="S27" s="129" t="s">
        <v>122</v>
      </c>
      <c r="T27" s="131">
        <v>0.99</v>
      </c>
      <c r="U27" s="132">
        <v>1</v>
      </c>
      <c r="V27" s="133">
        <f t="shared" si="3"/>
        <v>700481.99390399992</v>
      </c>
      <c r="W27" s="133">
        <f t="shared" si="4"/>
        <v>700.48199390399986</v>
      </c>
    </row>
    <row r="28" spans="1:23" x14ac:dyDescent="0.25">
      <c r="A28" s="28" t="s">
        <v>196</v>
      </c>
      <c r="B28" s="27">
        <v>73276</v>
      </c>
      <c r="C28" s="27">
        <v>0</v>
      </c>
      <c r="D28" s="6">
        <f t="shared" si="2"/>
        <v>0</v>
      </c>
      <c r="G28" s="71">
        <f t="shared" si="5"/>
        <v>3</v>
      </c>
      <c r="H28" s="72" t="s">
        <v>126</v>
      </c>
      <c r="I28" s="72" t="s">
        <v>54</v>
      </c>
      <c r="J28" s="134">
        <v>1</v>
      </c>
      <c r="K28" s="130">
        <v>120.3</v>
      </c>
      <c r="L28" s="126" t="s">
        <v>127</v>
      </c>
      <c r="M28" s="136">
        <v>1020</v>
      </c>
      <c r="N28" s="126" t="s">
        <v>128</v>
      </c>
      <c r="O28" s="126" t="s">
        <v>112</v>
      </c>
      <c r="P28" s="128">
        <f t="shared" ref="P28:P32" si="6">K28*M28</f>
        <v>122706</v>
      </c>
      <c r="Q28" s="129" t="s">
        <v>121</v>
      </c>
      <c r="R28" s="130">
        <v>53.02</v>
      </c>
      <c r="S28" s="129" t="s">
        <v>122</v>
      </c>
      <c r="T28" s="131">
        <v>0.995</v>
      </c>
      <c r="U28" s="132">
        <v>1</v>
      </c>
      <c r="V28" s="133">
        <f t="shared" si="3"/>
        <v>6473342.7593999999</v>
      </c>
      <c r="W28" s="133">
        <f t="shared" si="4"/>
        <v>6473.3427593999995</v>
      </c>
    </row>
    <row r="29" spans="1:23" x14ac:dyDescent="0.25">
      <c r="A29" s="28" t="s">
        <v>197</v>
      </c>
      <c r="B29" s="27">
        <v>967</v>
      </c>
      <c r="C29" s="27">
        <v>0</v>
      </c>
      <c r="D29" s="6">
        <f t="shared" si="2"/>
        <v>0</v>
      </c>
      <c r="G29" s="71">
        <f t="shared" si="5"/>
        <v>4</v>
      </c>
      <c r="H29" s="72" t="s">
        <v>129</v>
      </c>
      <c r="I29" s="72" t="s">
        <v>54</v>
      </c>
      <c r="J29" s="134">
        <v>1</v>
      </c>
      <c r="K29" s="130">
        <v>12.13</v>
      </c>
      <c r="L29" s="126" t="s">
        <v>127</v>
      </c>
      <c r="M29" s="136">
        <v>1020</v>
      </c>
      <c r="N29" s="126" t="s">
        <v>128</v>
      </c>
      <c r="O29" s="126" t="s">
        <v>112</v>
      </c>
      <c r="P29" s="128">
        <f t="shared" si="6"/>
        <v>12372.6</v>
      </c>
      <c r="Q29" s="129" t="s">
        <v>121</v>
      </c>
      <c r="R29" s="130">
        <v>53.02</v>
      </c>
      <c r="S29" s="129" t="s">
        <v>122</v>
      </c>
      <c r="T29" s="131">
        <v>0.995</v>
      </c>
      <c r="U29" s="132">
        <v>1</v>
      </c>
      <c r="V29" s="133">
        <f t="shared" si="3"/>
        <v>652715.27574000007</v>
      </c>
      <c r="W29" s="133">
        <f t="shared" si="4"/>
        <v>652.71527574000004</v>
      </c>
    </row>
    <row r="30" spans="1:23" x14ac:dyDescent="0.25">
      <c r="A30" s="28" t="s">
        <v>198</v>
      </c>
      <c r="B30" s="27">
        <v>2013</v>
      </c>
      <c r="C30" s="27">
        <v>0</v>
      </c>
      <c r="D30" s="6">
        <f t="shared" si="2"/>
        <v>0</v>
      </c>
      <c r="G30" s="71">
        <f t="shared" si="5"/>
        <v>5</v>
      </c>
      <c r="H30" s="72" t="s">
        <v>40</v>
      </c>
      <c r="I30" s="72" t="s">
        <v>54</v>
      </c>
      <c r="J30" s="134">
        <v>1</v>
      </c>
      <c r="K30" s="130">
        <v>107.28</v>
      </c>
      <c r="L30" s="126" t="s">
        <v>127</v>
      </c>
      <c r="M30" s="136">
        <v>1020</v>
      </c>
      <c r="N30" s="126" t="s">
        <v>128</v>
      </c>
      <c r="O30" s="126" t="s">
        <v>112</v>
      </c>
      <c r="P30" s="128">
        <f t="shared" si="6"/>
        <v>109425.60000000001</v>
      </c>
      <c r="Q30" s="129" t="s">
        <v>121</v>
      </c>
      <c r="R30" s="130">
        <v>53.02</v>
      </c>
      <c r="S30" s="129" t="s">
        <v>122</v>
      </c>
      <c r="T30" s="131">
        <v>0.995</v>
      </c>
      <c r="U30" s="132">
        <v>1</v>
      </c>
      <c r="V30" s="133">
        <f t="shared" si="3"/>
        <v>5772736.5854400005</v>
      </c>
      <c r="W30" s="133">
        <f t="shared" si="4"/>
        <v>5772.7365854400005</v>
      </c>
    </row>
    <row r="31" spans="1:23" x14ac:dyDescent="0.25">
      <c r="A31" s="28" t="s">
        <v>199</v>
      </c>
      <c r="B31" s="27">
        <v>65</v>
      </c>
      <c r="C31" s="27">
        <v>0</v>
      </c>
      <c r="D31" s="6">
        <f t="shared" si="2"/>
        <v>0</v>
      </c>
      <c r="G31" s="71">
        <f t="shared" si="5"/>
        <v>6</v>
      </c>
      <c r="H31" s="72" t="s">
        <v>41</v>
      </c>
      <c r="I31" s="72" t="s">
        <v>54</v>
      </c>
      <c r="J31" s="134">
        <v>1</v>
      </c>
      <c r="K31" s="130">
        <v>11356.46</v>
      </c>
      <c r="L31" s="126" t="s">
        <v>127</v>
      </c>
      <c r="M31" s="136">
        <v>1020</v>
      </c>
      <c r="N31" s="126" t="s">
        <v>128</v>
      </c>
      <c r="O31" s="126" t="s">
        <v>112</v>
      </c>
      <c r="P31" s="128">
        <f t="shared" si="6"/>
        <v>11583589.199999999</v>
      </c>
      <c r="Q31" s="129" t="s">
        <v>121</v>
      </c>
      <c r="R31" s="130">
        <v>53.02</v>
      </c>
      <c r="S31" s="129" t="s">
        <v>122</v>
      </c>
      <c r="T31" s="131">
        <v>0.995</v>
      </c>
      <c r="U31" s="132">
        <v>1</v>
      </c>
      <c r="V31" s="133">
        <f t="shared" si="3"/>
        <v>611091089.88707995</v>
      </c>
      <c r="W31" s="133">
        <f t="shared" si="4"/>
        <v>611091.0898870799</v>
      </c>
    </row>
    <row r="32" spans="1:23" x14ac:dyDescent="0.25">
      <c r="A32" s="28" t="s">
        <v>200</v>
      </c>
      <c r="B32" s="27">
        <f>23296+17613+211599</f>
        <v>252508</v>
      </c>
      <c r="C32" s="27">
        <v>0</v>
      </c>
      <c r="D32" s="6">
        <f t="shared" si="2"/>
        <v>0</v>
      </c>
      <c r="G32" s="71">
        <f t="shared" si="5"/>
        <v>7</v>
      </c>
      <c r="H32" s="72" t="s">
        <v>42</v>
      </c>
      <c r="I32" s="72" t="s">
        <v>54</v>
      </c>
      <c r="J32" s="134">
        <v>1</v>
      </c>
      <c r="K32" s="130">
        <v>5.5060000000000002</v>
      </c>
      <c r="L32" s="126" t="s">
        <v>127</v>
      </c>
      <c r="M32" s="136">
        <v>1020</v>
      </c>
      <c r="N32" s="126" t="s">
        <v>128</v>
      </c>
      <c r="O32" s="126" t="s">
        <v>112</v>
      </c>
      <c r="P32" s="128">
        <f t="shared" si="6"/>
        <v>5616.12</v>
      </c>
      <c r="Q32" s="129" t="s">
        <v>121</v>
      </c>
      <c r="R32" s="130">
        <v>53.02</v>
      </c>
      <c r="S32" s="129" t="s">
        <v>122</v>
      </c>
      <c r="T32" s="131">
        <v>1</v>
      </c>
      <c r="U32" s="132">
        <v>1</v>
      </c>
      <c r="V32" s="133">
        <f t="shared" si="3"/>
        <v>297766.68239999999</v>
      </c>
      <c r="W32" s="133">
        <f t="shared" si="4"/>
        <v>297.76668239999998</v>
      </c>
    </row>
    <row r="33" spans="1:15" x14ac:dyDescent="0.25">
      <c r="A33" s="28" t="s">
        <v>201</v>
      </c>
      <c r="B33" s="27">
        <v>7097</v>
      </c>
      <c r="C33" s="27"/>
      <c r="D33" s="6">
        <f t="shared" si="2"/>
        <v>0</v>
      </c>
    </row>
    <row r="34" spans="1:15" x14ac:dyDescent="0.25">
      <c r="A34" s="28" t="s">
        <v>202</v>
      </c>
      <c r="B34" s="27">
        <v>52519</v>
      </c>
      <c r="C34" s="27"/>
      <c r="D34" s="6">
        <f t="shared" si="2"/>
        <v>0</v>
      </c>
      <c r="G34" t="s">
        <v>176</v>
      </c>
      <c r="H34" t="s">
        <v>177</v>
      </c>
      <c r="I34" t="s">
        <v>178</v>
      </c>
      <c r="J34" t="s">
        <v>179</v>
      </c>
      <c r="K34" t="s">
        <v>180</v>
      </c>
      <c r="L34" t="s">
        <v>181</v>
      </c>
      <c r="M34" t="s">
        <v>182</v>
      </c>
      <c r="N34" t="s">
        <v>183</v>
      </c>
      <c r="O34" t="s">
        <v>184</v>
      </c>
    </row>
    <row r="35" spans="1:15" x14ac:dyDescent="0.25">
      <c r="A35" s="28" t="s">
        <v>203</v>
      </c>
      <c r="B35" s="27">
        <v>35845</v>
      </c>
      <c r="C35" s="27"/>
      <c r="D35" s="6">
        <f t="shared" si="2"/>
        <v>0</v>
      </c>
      <c r="G35" t="s">
        <v>185</v>
      </c>
      <c r="H35" t="s">
        <v>186</v>
      </c>
      <c r="I35">
        <v>55179</v>
      </c>
      <c r="J35" t="s">
        <v>187</v>
      </c>
      <c r="L35">
        <v>2010</v>
      </c>
      <c r="M35" t="s">
        <v>188</v>
      </c>
      <c r="N35">
        <v>588798.08900000004</v>
      </c>
      <c r="O35">
        <v>9907641.9179999996</v>
      </c>
    </row>
    <row r="36" spans="1:15" x14ac:dyDescent="0.25">
      <c r="A36" s="28"/>
      <c r="B36" s="27"/>
      <c r="C36" s="27"/>
      <c r="D36" s="6">
        <f t="shared" si="2"/>
        <v>0</v>
      </c>
    </row>
    <row r="37" spans="1:15" x14ac:dyDescent="0.25">
      <c r="A37" s="28"/>
      <c r="B37" s="27"/>
      <c r="C37" s="27"/>
      <c r="D37" s="6">
        <f t="shared" si="2"/>
        <v>0</v>
      </c>
      <c r="F37" s="137"/>
      <c r="G37" s="137"/>
      <c r="H37" s="138"/>
      <c r="I37" s="139"/>
      <c r="J37" s="139"/>
      <c r="K37" s="140"/>
    </row>
    <row r="38" spans="1:15" x14ac:dyDescent="0.25">
      <c r="A38" s="28"/>
      <c r="B38" s="27"/>
      <c r="C38" s="27"/>
      <c r="D38" s="6">
        <f t="shared" si="2"/>
        <v>0</v>
      </c>
      <c r="F38" s="137"/>
      <c r="G38" s="137"/>
      <c r="H38" s="138"/>
      <c r="I38" s="139"/>
      <c r="J38" s="139"/>
      <c r="K38" s="140"/>
    </row>
    <row r="39" spans="1:15" x14ac:dyDescent="0.25">
      <c r="A39" s="28"/>
      <c r="B39" s="27"/>
      <c r="C39" s="27"/>
      <c r="D39" s="6">
        <f t="shared" si="2"/>
        <v>0</v>
      </c>
      <c r="F39" s="137"/>
      <c r="G39" s="137"/>
      <c r="H39" s="138"/>
      <c r="I39" s="139"/>
      <c r="J39" s="139"/>
      <c r="K39" s="140"/>
    </row>
    <row r="40" spans="1:15" ht="15.75" thickBot="1" x14ac:dyDescent="0.3">
      <c r="A40" s="29"/>
      <c r="B40" s="30"/>
      <c r="C40" s="30"/>
      <c r="D40" s="9">
        <f t="shared" si="2"/>
        <v>0</v>
      </c>
      <c r="F40" s="137"/>
      <c r="G40" s="137"/>
      <c r="H40" s="138"/>
      <c r="I40" s="139"/>
      <c r="J40" s="139"/>
      <c r="K40" s="140"/>
    </row>
    <row r="41" spans="1:15" ht="16.5" thickTop="1" thickBot="1" x14ac:dyDescent="0.3">
      <c r="A41" s="1"/>
      <c r="B41" s="10">
        <f>SUM(B4:B40)</f>
        <v>10056503.218499999</v>
      </c>
      <c r="C41" s="142">
        <f>(D41*2000)/B41</f>
        <v>647.18510452459805</v>
      </c>
      <c r="D41" s="10">
        <f>SUM(D4:D40)</f>
        <v>3254209.5433084392</v>
      </c>
      <c r="F41" s="137"/>
      <c r="G41" s="137"/>
      <c r="H41" s="138"/>
      <c r="I41" s="139"/>
      <c r="J41" s="139"/>
      <c r="K41" s="140"/>
    </row>
    <row r="42" spans="1:15" x14ac:dyDescent="0.25">
      <c r="F42" s="137"/>
      <c r="G42" s="137"/>
      <c r="H42" s="138"/>
      <c r="I42" s="139"/>
      <c r="J42" s="139"/>
      <c r="K42" s="140"/>
    </row>
    <row r="43" spans="1:15" x14ac:dyDescent="0.25">
      <c r="F43" s="137"/>
      <c r="G43" s="137"/>
      <c r="H43" s="138"/>
      <c r="I43" s="139"/>
      <c r="J43" s="139"/>
      <c r="K43" s="140"/>
    </row>
  </sheetData>
  <mergeCells count="4">
    <mergeCell ref="K20:L20"/>
    <mergeCell ref="M20:Q20"/>
    <mergeCell ref="R20:S20"/>
    <mergeCell ref="V20:W20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opLeftCell="A46" zoomScaleNormal="100" workbookViewId="0">
      <selection activeCell="G64" sqref="G64"/>
    </sheetView>
  </sheetViews>
  <sheetFormatPr defaultColWidth="14.42578125" defaultRowHeight="15" x14ac:dyDescent="0.25"/>
  <cols>
    <col min="1" max="1" width="55.7109375" bestFit="1" customWidth="1"/>
    <col min="2" max="2" width="10.140625" bestFit="1" customWidth="1"/>
    <col min="7" max="7" width="16.85546875" style="165" bestFit="1" customWidth="1"/>
  </cols>
  <sheetData>
    <row r="1" spans="1:11" ht="18.75" thickBot="1" x14ac:dyDescent="0.3">
      <c r="A1" s="155" t="s">
        <v>231</v>
      </c>
      <c r="B1" s="144">
        <v>2010</v>
      </c>
      <c r="D1" s="144"/>
      <c r="E1" s="145"/>
      <c r="K1" s="147"/>
    </row>
    <row r="2" spans="1:11" ht="18" x14ac:dyDescent="0.35">
      <c r="A2" s="146"/>
      <c r="B2" s="145"/>
      <c r="D2" s="152" t="s">
        <v>232</v>
      </c>
      <c r="E2" s="33">
        <v>1191.7</v>
      </c>
      <c r="F2" t="s">
        <v>4</v>
      </c>
    </row>
    <row r="3" spans="1:11" ht="18" x14ac:dyDescent="0.35">
      <c r="D3" s="151" t="s">
        <v>233</v>
      </c>
      <c r="E3" s="148">
        <f>'Known Resources'!C41</f>
        <v>647.18510452459805</v>
      </c>
      <c r="F3" t="s">
        <v>4</v>
      </c>
    </row>
    <row r="4" spans="1:11" ht="45" x14ac:dyDescent="0.25">
      <c r="A4" s="149" t="s">
        <v>212</v>
      </c>
      <c r="B4" s="149" t="s">
        <v>213</v>
      </c>
      <c r="C4" s="149"/>
      <c r="D4" s="149" t="s">
        <v>212</v>
      </c>
      <c r="E4" s="149" t="s">
        <v>214</v>
      </c>
      <c r="F4" s="149" t="s">
        <v>234</v>
      </c>
      <c r="G4" s="166" t="s">
        <v>237</v>
      </c>
      <c r="H4" s="150"/>
    </row>
    <row r="5" spans="1:11" x14ac:dyDescent="0.25">
      <c r="A5" s="137" t="s">
        <v>131</v>
      </c>
      <c r="B5" s="140">
        <v>16452</v>
      </c>
      <c r="D5" s="137" t="s">
        <v>131</v>
      </c>
      <c r="E5" s="140">
        <v>90975</v>
      </c>
      <c r="F5" s="147">
        <f>B5-E5</f>
        <v>-74523</v>
      </c>
      <c r="G5" s="165">
        <f>IF(F5&gt;0,F5*$E$2,F5*$E$3)</f>
        <v>-48230175.54448662</v>
      </c>
    </row>
    <row r="6" spans="1:11" x14ac:dyDescent="0.25">
      <c r="A6" s="137"/>
      <c r="B6" s="140"/>
      <c r="D6" s="137" t="s">
        <v>215</v>
      </c>
      <c r="E6" s="140">
        <v>24</v>
      </c>
      <c r="F6" s="147">
        <f t="shared" ref="F6:F11" si="0">B6-E6</f>
        <v>-24</v>
      </c>
      <c r="G6" s="165">
        <f t="shared" ref="G6:G62" si="1">IF(F6&gt;0,F6*$E$2,F6*$E$3)</f>
        <v>-15532.442508590353</v>
      </c>
    </row>
    <row r="7" spans="1:11" x14ac:dyDescent="0.25">
      <c r="A7" s="137"/>
      <c r="B7" s="140"/>
      <c r="D7" s="137" t="s">
        <v>216</v>
      </c>
      <c r="E7" s="140">
        <v>1600</v>
      </c>
      <c r="F7" s="147">
        <f t="shared" si="0"/>
        <v>-1600</v>
      </c>
      <c r="G7" s="165">
        <f t="shared" si="1"/>
        <v>-1035496.1672393569</v>
      </c>
    </row>
    <row r="8" spans="1:11" x14ac:dyDescent="0.25">
      <c r="A8" s="137" t="s">
        <v>132</v>
      </c>
      <c r="B8" s="140">
        <v>3000</v>
      </c>
      <c r="D8" s="137" t="s">
        <v>132</v>
      </c>
      <c r="E8" s="140">
        <v>3800</v>
      </c>
      <c r="F8" s="147">
        <f t="shared" si="0"/>
        <v>-800</v>
      </c>
      <c r="G8" s="165">
        <f t="shared" si="1"/>
        <v>-517748.08361967845</v>
      </c>
    </row>
    <row r="9" spans="1:11" x14ac:dyDescent="0.25">
      <c r="A9" s="137" t="s">
        <v>217</v>
      </c>
      <c r="B9" s="140">
        <v>524851</v>
      </c>
      <c r="D9" s="137" t="s">
        <v>217</v>
      </c>
      <c r="E9" s="140">
        <v>328728</v>
      </c>
      <c r="F9" s="147">
        <f t="shared" si="0"/>
        <v>196123</v>
      </c>
      <c r="G9" s="165">
        <f t="shared" si="1"/>
        <v>233719779.09999999</v>
      </c>
    </row>
    <row r="10" spans="1:11" x14ac:dyDescent="0.25">
      <c r="A10" s="137" t="s">
        <v>133</v>
      </c>
      <c r="B10" s="140">
        <v>572924</v>
      </c>
      <c r="D10" s="137" t="s">
        <v>133</v>
      </c>
      <c r="E10" s="140">
        <v>729793</v>
      </c>
      <c r="F10" s="147">
        <f t="shared" si="0"/>
        <v>-156869</v>
      </c>
      <c r="G10" s="165">
        <f t="shared" si="1"/>
        <v>-101523280.16166916</v>
      </c>
    </row>
    <row r="11" spans="1:11" x14ac:dyDescent="0.25">
      <c r="A11" s="137"/>
      <c r="B11" s="140"/>
      <c r="D11" s="137" t="s">
        <v>218</v>
      </c>
      <c r="E11" s="140">
        <v>200</v>
      </c>
      <c r="F11" s="147">
        <f t="shared" si="0"/>
        <v>-200</v>
      </c>
      <c r="G11" s="165">
        <f t="shared" si="1"/>
        <v>-129437.02090491961</v>
      </c>
    </row>
    <row r="12" spans="1:11" x14ac:dyDescent="0.25">
      <c r="A12" s="137" t="s">
        <v>134</v>
      </c>
      <c r="B12" s="140">
        <v>3215</v>
      </c>
      <c r="D12" s="137"/>
      <c r="E12" s="140"/>
      <c r="F12" s="147">
        <f t="shared" ref="F12:F62" si="2">B12-E12</f>
        <v>3215</v>
      </c>
      <c r="G12" s="165">
        <f t="shared" si="1"/>
        <v>3831315.5</v>
      </c>
    </row>
    <row r="13" spans="1:11" x14ac:dyDescent="0.25">
      <c r="A13" s="137" t="s">
        <v>135</v>
      </c>
      <c r="B13" s="140">
        <v>50</v>
      </c>
      <c r="D13" s="137"/>
      <c r="E13" s="140"/>
      <c r="F13" s="147">
        <f t="shared" si="2"/>
        <v>50</v>
      </c>
      <c r="G13" s="165">
        <f t="shared" si="1"/>
        <v>59585</v>
      </c>
    </row>
    <row r="14" spans="1:11" x14ac:dyDescent="0.25">
      <c r="A14" s="137" t="s">
        <v>136</v>
      </c>
      <c r="B14" s="140">
        <v>57779</v>
      </c>
      <c r="D14" s="137" t="s">
        <v>136</v>
      </c>
      <c r="E14" s="140">
        <v>140852</v>
      </c>
      <c r="F14" s="147">
        <f t="shared" si="2"/>
        <v>-83073</v>
      </c>
      <c r="G14" s="165">
        <f t="shared" si="1"/>
        <v>-53763608.188171931</v>
      </c>
    </row>
    <row r="15" spans="1:11" x14ac:dyDescent="0.25">
      <c r="A15" s="137" t="s">
        <v>137</v>
      </c>
      <c r="B15" s="140">
        <v>6605</v>
      </c>
      <c r="D15" s="137" t="s">
        <v>137</v>
      </c>
      <c r="E15" s="140">
        <v>10625</v>
      </c>
      <c r="F15" s="147">
        <f t="shared" si="2"/>
        <v>-4020</v>
      </c>
      <c r="G15" s="165">
        <f t="shared" si="1"/>
        <v>-2601684.120188884</v>
      </c>
    </row>
    <row r="16" spans="1:11" x14ac:dyDescent="0.25">
      <c r="A16" s="137" t="s">
        <v>138</v>
      </c>
      <c r="B16" s="140">
        <v>118775</v>
      </c>
      <c r="D16" s="137" t="s">
        <v>138</v>
      </c>
      <c r="E16" s="140">
        <v>234625</v>
      </c>
      <c r="F16" s="147">
        <f t="shared" si="2"/>
        <v>-115850</v>
      </c>
      <c r="G16" s="165">
        <f t="shared" si="1"/>
        <v>-74976394.359174684</v>
      </c>
    </row>
    <row r="17" spans="1:7" x14ac:dyDescent="0.25">
      <c r="A17" s="137" t="s">
        <v>139</v>
      </c>
      <c r="B17" s="140">
        <v>2287</v>
      </c>
      <c r="D17" s="137" t="s">
        <v>139</v>
      </c>
      <c r="E17" s="140">
        <v>1448</v>
      </c>
      <c r="F17" s="147">
        <f t="shared" si="2"/>
        <v>839</v>
      </c>
      <c r="G17" s="165">
        <f t="shared" si="1"/>
        <v>999836.3</v>
      </c>
    </row>
    <row r="18" spans="1:7" x14ac:dyDescent="0.25">
      <c r="A18" s="137" t="s">
        <v>140</v>
      </c>
      <c r="B18" s="140">
        <v>44</v>
      </c>
      <c r="D18" s="137" t="s">
        <v>140</v>
      </c>
      <c r="E18" s="140">
        <v>70606</v>
      </c>
      <c r="F18" s="147">
        <f t="shared" si="2"/>
        <v>-70562</v>
      </c>
      <c r="G18" s="165">
        <f t="shared" si="1"/>
        <v>-45666675.345464684</v>
      </c>
    </row>
    <row r="19" spans="1:7" x14ac:dyDescent="0.25">
      <c r="A19" s="137" t="s">
        <v>141</v>
      </c>
      <c r="B19" s="140">
        <v>7200</v>
      </c>
      <c r="D19" s="137" t="s">
        <v>141</v>
      </c>
      <c r="E19" s="140">
        <v>24600</v>
      </c>
      <c r="F19" s="147">
        <f t="shared" si="2"/>
        <v>-17400</v>
      </c>
      <c r="G19" s="165">
        <f t="shared" si="1"/>
        <v>-11261020.818728006</v>
      </c>
    </row>
    <row r="20" spans="1:7" x14ac:dyDescent="0.25">
      <c r="A20" s="137" t="s">
        <v>142</v>
      </c>
      <c r="B20" s="140">
        <v>400</v>
      </c>
      <c r="D20" s="137" t="s">
        <v>142</v>
      </c>
      <c r="E20" s="140">
        <v>400</v>
      </c>
      <c r="F20" s="147">
        <f t="shared" si="2"/>
        <v>0</v>
      </c>
      <c r="G20" s="165">
        <f t="shared" si="1"/>
        <v>0</v>
      </c>
    </row>
    <row r="21" spans="1:7" x14ac:dyDescent="0.25">
      <c r="A21" s="137" t="s">
        <v>219</v>
      </c>
      <c r="B21" s="140">
        <v>2264</v>
      </c>
      <c r="D21" s="137" t="s">
        <v>219</v>
      </c>
      <c r="E21" s="140">
        <v>2768</v>
      </c>
      <c r="F21" s="147">
        <f t="shared" si="2"/>
        <v>-504</v>
      </c>
      <c r="G21" s="165">
        <f t="shared" si="1"/>
        <v>-326181.2926803974</v>
      </c>
    </row>
    <row r="22" spans="1:7" x14ac:dyDescent="0.25">
      <c r="A22" s="137" t="s">
        <v>143</v>
      </c>
      <c r="B22" s="140">
        <v>10529</v>
      </c>
      <c r="D22" s="137" t="s">
        <v>143</v>
      </c>
      <c r="E22" s="140">
        <v>6667</v>
      </c>
      <c r="F22" s="147">
        <f t="shared" si="2"/>
        <v>3862</v>
      </c>
      <c r="G22" s="165">
        <f t="shared" si="1"/>
        <v>4602345.4000000004</v>
      </c>
    </row>
    <row r="23" spans="1:7" x14ac:dyDescent="0.25">
      <c r="A23" s="137" t="s">
        <v>144</v>
      </c>
      <c r="B23" s="140">
        <v>7400</v>
      </c>
      <c r="D23" s="137" t="s">
        <v>144</v>
      </c>
      <c r="E23" s="140">
        <v>9762</v>
      </c>
      <c r="F23" s="147">
        <f t="shared" si="2"/>
        <v>-2362</v>
      </c>
      <c r="G23" s="165">
        <f t="shared" si="1"/>
        <v>-1528651.2168871006</v>
      </c>
    </row>
    <row r="24" spans="1:7" x14ac:dyDescent="0.25">
      <c r="A24" s="137" t="s">
        <v>145</v>
      </c>
      <c r="B24" s="140">
        <v>12614</v>
      </c>
      <c r="D24" s="137" t="s">
        <v>145</v>
      </c>
      <c r="E24" s="140">
        <v>26532</v>
      </c>
      <c r="F24" s="147">
        <f t="shared" si="2"/>
        <v>-13918</v>
      </c>
      <c r="G24" s="165">
        <f t="shared" si="1"/>
        <v>-9007522.2847733553</v>
      </c>
    </row>
    <row r="25" spans="1:7" x14ac:dyDescent="0.25">
      <c r="A25" s="137" t="s">
        <v>146</v>
      </c>
      <c r="B25" s="140">
        <v>336690</v>
      </c>
      <c r="D25" s="137" t="s">
        <v>146</v>
      </c>
      <c r="E25" s="140">
        <v>607789</v>
      </c>
      <c r="F25" s="147">
        <f t="shared" si="2"/>
        <v>-271099</v>
      </c>
      <c r="G25" s="165">
        <f t="shared" si="1"/>
        <v>-175451234.65151399</v>
      </c>
    </row>
    <row r="26" spans="1:7" x14ac:dyDescent="0.25">
      <c r="A26" s="137" t="s">
        <v>147</v>
      </c>
      <c r="B26" s="140">
        <v>2205</v>
      </c>
      <c r="D26" s="137" t="s">
        <v>147</v>
      </c>
      <c r="E26" s="140">
        <v>14966</v>
      </c>
      <c r="F26" s="147">
        <f t="shared" si="2"/>
        <v>-12761</v>
      </c>
      <c r="G26" s="165">
        <f t="shared" si="1"/>
        <v>-8258729.1188383959</v>
      </c>
    </row>
    <row r="27" spans="1:7" x14ac:dyDescent="0.25">
      <c r="A27" s="137" t="s">
        <v>148</v>
      </c>
      <c r="B27" s="140">
        <v>104</v>
      </c>
      <c r="D27" s="137"/>
      <c r="E27" s="140"/>
      <c r="F27" s="147">
        <f t="shared" si="2"/>
        <v>104</v>
      </c>
      <c r="G27" s="165">
        <f t="shared" si="1"/>
        <v>123936.8</v>
      </c>
    </row>
    <row r="28" spans="1:7" x14ac:dyDescent="0.25">
      <c r="A28" s="137" t="s">
        <v>222</v>
      </c>
      <c r="B28" s="140">
        <v>0</v>
      </c>
      <c r="D28" s="137"/>
      <c r="E28" s="140"/>
      <c r="F28" s="147">
        <f t="shared" si="2"/>
        <v>0</v>
      </c>
      <c r="G28" s="165">
        <f t="shared" si="1"/>
        <v>0</v>
      </c>
    </row>
    <row r="29" spans="1:7" x14ac:dyDescent="0.25">
      <c r="A29" s="137"/>
      <c r="B29" s="140"/>
      <c r="D29" s="137" t="s">
        <v>220</v>
      </c>
      <c r="E29" s="140">
        <v>10000</v>
      </c>
      <c r="F29" s="147">
        <f t="shared" si="2"/>
        <v>-10000</v>
      </c>
      <c r="G29" s="165">
        <f t="shared" si="1"/>
        <v>-6471851.0452459808</v>
      </c>
    </row>
    <row r="30" spans="1:7" x14ac:dyDescent="0.25">
      <c r="A30" s="137" t="s">
        <v>149</v>
      </c>
      <c r="B30" s="140">
        <v>15602</v>
      </c>
      <c r="D30" s="137" t="s">
        <v>221</v>
      </c>
      <c r="E30" s="140">
        <v>153758</v>
      </c>
      <c r="F30" s="147">
        <f t="shared" si="2"/>
        <v>-138156</v>
      </c>
      <c r="G30" s="165">
        <f t="shared" si="1"/>
        <v>-89412505.300700366</v>
      </c>
    </row>
    <row r="31" spans="1:7" x14ac:dyDescent="0.25">
      <c r="A31" s="137" t="s">
        <v>150</v>
      </c>
      <c r="B31" s="140">
        <v>66331</v>
      </c>
      <c r="D31" s="137" t="s">
        <v>150</v>
      </c>
      <c r="E31" s="140">
        <v>187391</v>
      </c>
      <c r="F31" s="147">
        <f t="shared" si="2"/>
        <v>-121060</v>
      </c>
      <c r="G31" s="165">
        <f t="shared" si="1"/>
        <v>-78348228.753747836</v>
      </c>
    </row>
    <row r="32" spans="1:7" x14ac:dyDescent="0.25">
      <c r="D32" s="137" t="s">
        <v>223</v>
      </c>
      <c r="E32" s="140">
        <v>6372</v>
      </c>
      <c r="F32" s="147">
        <f t="shared" si="2"/>
        <v>-6372</v>
      </c>
      <c r="G32" s="165">
        <f t="shared" si="1"/>
        <v>-4123863.4860307388</v>
      </c>
    </row>
    <row r="33" spans="1:7" x14ac:dyDescent="0.25">
      <c r="A33" s="137" t="s">
        <v>151</v>
      </c>
      <c r="B33" s="140">
        <v>757709</v>
      </c>
      <c r="D33" s="137" t="s">
        <v>151</v>
      </c>
      <c r="E33" s="140">
        <v>362854</v>
      </c>
      <c r="F33" s="147">
        <f t="shared" si="2"/>
        <v>394855</v>
      </c>
      <c r="G33" s="165">
        <f t="shared" si="1"/>
        <v>470548703.5</v>
      </c>
    </row>
    <row r="34" spans="1:7" x14ac:dyDescent="0.25">
      <c r="A34" s="137" t="s">
        <v>152</v>
      </c>
      <c r="B34" s="140">
        <v>13</v>
      </c>
      <c r="D34" s="137" t="s">
        <v>224</v>
      </c>
      <c r="E34" s="140">
        <v>22877</v>
      </c>
      <c r="F34" s="147">
        <f t="shared" si="2"/>
        <v>-22864</v>
      </c>
      <c r="G34" s="165">
        <f t="shared" si="1"/>
        <v>-14797240.22985041</v>
      </c>
    </row>
    <row r="35" spans="1:7" x14ac:dyDescent="0.25">
      <c r="A35" s="137" t="s">
        <v>153</v>
      </c>
      <c r="B35" s="140">
        <v>307</v>
      </c>
      <c r="D35" s="137"/>
      <c r="E35" s="140"/>
      <c r="F35" s="147">
        <f t="shared" si="2"/>
        <v>307</v>
      </c>
      <c r="G35" s="165">
        <f t="shared" si="1"/>
        <v>365851.9</v>
      </c>
    </row>
    <row r="36" spans="1:7" x14ac:dyDescent="0.25">
      <c r="A36" s="137" t="s">
        <v>154</v>
      </c>
      <c r="B36" s="140">
        <v>39954</v>
      </c>
      <c r="D36" s="137" t="s">
        <v>154</v>
      </c>
      <c r="E36" s="140">
        <v>159200</v>
      </c>
      <c r="F36" s="147">
        <f t="shared" si="2"/>
        <v>-119246</v>
      </c>
      <c r="G36" s="165">
        <f t="shared" si="1"/>
        <v>-77174234.974140212</v>
      </c>
    </row>
    <row r="37" spans="1:7" x14ac:dyDescent="0.25">
      <c r="A37" s="137" t="s">
        <v>155</v>
      </c>
      <c r="B37" s="140">
        <v>8439</v>
      </c>
      <c r="D37" s="137" t="s">
        <v>155</v>
      </c>
      <c r="E37" s="140">
        <v>1852</v>
      </c>
      <c r="F37" s="147">
        <f t="shared" si="2"/>
        <v>6587</v>
      </c>
      <c r="G37" s="165">
        <f t="shared" si="1"/>
        <v>7849727.9000000004</v>
      </c>
    </row>
    <row r="38" spans="1:7" x14ac:dyDescent="0.25">
      <c r="A38" s="137" t="s">
        <v>156</v>
      </c>
      <c r="B38" s="140">
        <v>51782</v>
      </c>
      <c r="D38" s="137" t="s">
        <v>156</v>
      </c>
      <c r="E38" s="140">
        <v>134024</v>
      </c>
      <c r="F38" s="147">
        <f t="shared" si="2"/>
        <v>-82242</v>
      </c>
      <c r="G38" s="165">
        <f t="shared" si="1"/>
        <v>-53225797.36631199</v>
      </c>
    </row>
    <row r="39" spans="1:7" x14ac:dyDescent="0.25">
      <c r="A39" s="137" t="s">
        <v>157</v>
      </c>
      <c r="B39" s="140">
        <v>6883</v>
      </c>
      <c r="D39" s="137" t="s">
        <v>157</v>
      </c>
      <c r="E39" s="140">
        <v>40114</v>
      </c>
      <c r="F39" s="147">
        <f t="shared" si="2"/>
        <v>-33231</v>
      </c>
      <c r="G39" s="165">
        <f t="shared" si="1"/>
        <v>-21506608.208456919</v>
      </c>
    </row>
    <row r="40" spans="1:7" x14ac:dyDescent="0.25">
      <c r="A40" s="137" t="s">
        <v>158</v>
      </c>
      <c r="B40" s="140">
        <v>73148</v>
      </c>
      <c r="D40" s="137" t="s">
        <v>158</v>
      </c>
      <c r="E40" s="140">
        <v>327442</v>
      </c>
      <c r="F40" s="147">
        <f t="shared" si="2"/>
        <v>-254294</v>
      </c>
      <c r="G40" s="165">
        <f t="shared" si="1"/>
        <v>-164575288.96997812</v>
      </c>
    </row>
    <row r="41" spans="1:7" x14ac:dyDescent="0.25">
      <c r="A41" s="137" t="s">
        <v>159</v>
      </c>
      <c r="B41" s="140">
        <v>800</v>
      </c>
      <c r="D41" s="137" t="s">
        <v>159</v>
      </c>
      <c r="E41" s="140">
        <v>3600</v>
      </c>
      <c r="F41" s="147">
        <f t="shared" si="2"/>
        <v>-2800</v>
      </c>
      <c r="G41" s="165">
        <f t="shared" si="1"/>
        <v>-1812118.2926688746</v>
      </c>
    </row>
    <row r="42" spans="1:7" x14ac:dyDescent="0.25">
      <c r="A42" s="137" t="s">
        <v>160</v>
      </c>
      <c r="B42" s="140">
        <v>22170</v>
      </c>
      <c r="D42" s="137" t="s">
        <v>160</v>
      </c>
      <c r="E42" s="140">
        <v>8100</v>
      </c>
      <c r="F42" s="147">
        <f t="shared" si="2"/>
        <v>14070</v>
      </c>
      <c r="G42" s="165">
        <f t="shared" si="1"/>
        <v>16767219</v>
      </c>
    </row>
    <row r="43" spans="1:7" x14ac:dyDescent="0.25">
      <c r="A43" s="137" t="s">
        <v>161</v>
      </c>
      <c r="B43" s="140">
        <v>57242</v>
      </c>
      <c r="D43" s="137" t="s">
        <v>161</v>
      </c>
      <c r="E43" s="140">
        <v>7595</v>
      </c>
      <c r="F43" s="147">
        <f t="shared" si="2"/>
        <v>49647</v>
      </c>
      <c r="G43" s="165">
        <f t="shared" si="1"/>
        <v>59164329.900000006</v>
      </c>
    </row>
    <row r="44" spans="1:7" x14ac:dyDescent="0.25">
      <c r="A44" s="137" t="s">
        <v>162</v>
      </c>
      <c r="B44" s="140">
        <v>103640</v>
      </c>
      <c r="D44" s="137" t="s">
        <v>162</v>
      </c>
      <c r="E44" s="140">
        <v>51267</v>
      </c>
      <c r="F44" s="147">
        <f t="shared" si="2"/>
        <v>52373</v>
      </c>
      <c r="G44" s="165">
        <f t="shared" si="1"/>
        <v>62412904.100000001</v>
      </c>
    </row>
    <row r="45" spans="1:7" x14ac:dyDescent="0.25">
      <c r="A45" s="137" t="s">
        <v>163</v>
      </c>
      <c r="B45" s="140">
        <v>23105</v>
      </c>
      <c r="D45" s="137" t="s">
        <v>163</v>
      </c>
      <c r="E45" s="140">
        <v>5455</v>
      </c>
      <c r="F45" s="147">
        <f t="shared" si="2"/>
        <v>17650</v>
      </c>
      <c r="G45" s="165">
        <f t="shared" si="1"/>
        <v>21033505</v>
      </c>
    </row>
    <row r="46" spans="1:7" x14ac:dyDescent="0.25">
      <c r="A46" s="137" t="s">
        <v>164</v>
      </c>
      <c r="B46" s="140">
        <v>27014</v>
      </c>
      <c r="D46" s="137" t="s">
        <v>164</v>
      </c>
      <c r="E46" s="140">
        <v>165768</v>
      </c>
      <c r="F46" s="147">
        <f t="shared" si="2"/>
        <v>-138754</v>
      </c>
      <c r="G46" s="165">
        <f t="shared" si="1"/>
        <v>-89799521.993206084</v>
      </c>
    </row>
    <row r="47" spans="1:7" x14ac:dyDescent="0.25">
      <c r="A47" s="137" t="s">
        <v>165</v>
      </c>
      <c r="B47" s="140">
        <v>116026</v>
      </c>
      <c r="D47" s="137" t="s">
        <v>165</v>
      </c>
      <c r="E47" s="140">
        <v>47393</v>
      </c>
      <c r="F47" s="147">
        <f t="shared" si="2"/>
        <v>68633</v>
      </c>
      <c r="G47" s="165">
        <f t="shared" si="1"/>
        <v>81789946.100000009</v>
      </c>
    </row>
    <row r="48" spans="1:7" x14ac:dyDescent="0.25">
      <c r="A48" s="137"/>
      <c r="B48" s="140"/>
      <c r="D48" s="137" t="s">
        <v>225</v>
      </c>
      <c r="E48" s="140">
        <v>1376</v>
      </c>
      <c r="F48" s="147">
        <f t="shared" si="2"/>
        <v>-1376</v>
      </c>
      <c r="G48" s="165">
        <f t="shared" si="1"/>
        <v>-890526.7038258469</v>
      </c>
    </row>
    <row r="49" spans="1:8" x14ac:dyDescent="0.25">
      <c r="A49" s="137"/>
      <c r="B49" s="140"/>
      <c r="D49" s="137" t="s">
        <v>226</v>
      </c>
      <c r="E49" s="140">
        <v>-1</v>
      </c>
      <c r="F49" s="147">
        <f t="shared" si="2"/>
        <v>1</v>
      </c>
      <c r="G49" s="165">
        <f t="shared" si="1"/>
        <v>1191.7</v>
      </c>
    </row>
    <row r="50" spans="1:8" x14ac:dyDescent="0.25">
      <c r="A50" s="137"/>
      <c r="B50" s="140"/>
      <c r="D50" s="137" t="s">
        <v>227</v>
      </c>
      <c r="E50" s="140">
        <v>8798</v>
      </c>
      <c r="F50" s="147">
        <f t="shared" si="2"/>
        <v>-8798</v>
      </c>
      <c r="G50" s="165">
        <f t="shared" si="1"/>
        <v>-5693934.5496074138</v>
      </c>
    </row>
    <row r="51" spans="1:8" x14ac:dyDescent="0.25">
      <c r="A51" s="137" t="s">
        <v>166</v>
      </c>
      <c r="B51" s="140">
        <v>56214</v>
      </c>
      <c r="D51" s="137" t="s">
        <v>166</v>
      </c>
      <c r="E51" s="140">
        <v>17361</v>
      </c>
      <c r="F51" s="147">
        <f t="shared" si="2"/>
        <v>38853</v>
      </c>
      <c r="G51" s="165">
        <f t="shared" si="1"/>
        <v>46301120.100000001</v>
      </c>
    </row>
    <row r="52" spans="1:8" x14ac:dyDescent="0.25">
      <c r="A52" s="137" t="s">
        <v>167</v>
      </c>
      <c r="B52" s="140">
        <v>99159</v>
      </c>
      <c r="D52" s="137" t="s">
        <v>167</v>
      </c>
      <c r="E52" s="140">
        <v>46848</v>
      </c>
      <c r="F52" s="147">
        <f t="shared" si="2"/>
        <v>52311</v>
      </c>
      <c r="G52" s="165">
        <f t="shared" si="1"/>
        <v>62339018.700000003</v>
      </c>
    </row>
    <row r="53" spans="1:8" x14ac:dyDescent="0.25">
      <c r="A53" s="137" t="s">
        <v>168</v>
      </c>
      <c r="B53" s="140">
        <v>473149</v>
      </c>
      <c r="D53" s="137" t="s">
        <v>168</v>
      </c>
      <c r="E53" s="140">
        <v>1050124</v>
      </c>
      <c r="F53" s="147">
        <f t="shared" si="2"/>
        <v>-576975</v>
      </c>
      <c r="G53" s="165">
        <f t="shared" si="1"/>
        <v>-373409625.68307996</v>
      </c>
    </row>
    <row r="54" spans="1:8" x14ac:dyDescent="0.25">
      <c r="A54" s="137"/>
      <c r="B54" s="140"/>
      <c r="D54" s="137" t="s">
        <v>228</v>
      </c>
      <c r="E54" s="140">
        <v>40753</v>
      </c>
      <c r="F54" s="147">
        <f t="shared" si="2"/>
        <v>-40753</v>
      </c>
      <c r="G54" s="165">
        <f t="shared" si="1"/>
        <v>-26374734.564690944</v>
      </c>
    </row>
    <row r="55" spans="1:8" x14ac:dyDescent="0.25">
      <c r="A55" s="137" t="s">
        <v>169</v>
      </c>
      <c r="B55" s="140">
        <v>1200</v>
      </c>
      <c r="D55" s="137" t="s">
        <v>169</v>
      </c>
      <c r="E55" s="140">
        <v>727744</v>
      </c>
      <c r="F55" s="147">
        <f t="shared" si="2"/>
        <v>-726544</v>
      </c>
      <c r="G55" s="165">
        <f t="shared" si="1"/>
        <v>-470208454.58171958</v>
      </c>
    </row>
    <row r="56" spans="1:8" x14ac:dyDescent="0.25">
      <c r="A56" s="137" t="s">
        <v>170</v>
      </c>
      <c r="B56" s="140">
        <v>610</v>
      </c>
      <c r="D56" s="137"/>
      <c r="E56" s="140"/>
      <c r="F56" s="147">
        <f t="shared" si="2"/>
        <v>610</v>
      </c>
      <c r="G56" s="165">
        <f t="shared" si="1"/>
        <v>726937</v>
      </c>
    </row>
    <row r="57" spans="1:8" x14ac:dyDescent="0.25">
      <c r="A57" s="137" t="s">
        <v>171</v>
      </c>
      <c r="B57" s="140">
        <v>7404</v>
      </c>
      <c r="D57" s="137" t="s">
        <v>171</v>
      </c>
      <c r="E57" s="140">
        <v>15902</v>
      </c>
      <c r="F57" s="147">
        <f t="shared" si="2"/>
        <v>-8498</v>
      </c>
      <c r="G57" s="165">
        <f t="shared" si="1"/>
        <v>-5499779.0182500342</v>
      </c>
    </row>
    <row r="58" spans="1:8" x14ac:dyDescent="0.25">
      <c r="A58" s="137" t="s">
        <v>172</v>
      </c>
      <c r="B58" s="140">
        <v>30606</v>
      </c>
      <c r="D58" s="137" t="s">
        <v>172</v>
      </c>
      <c r="E58" s="140">
        <v>3120</v>
      </c>
      <c r="F58" s="147">
        <f t="shared" si="2"/>
        <v>27486</v>
      </c>
      <c r="G58" s="165">
        <f t="shared" si="1"/>
        <v>32755066.200000003</v>
      </c>
    </row>
    <row r="59" spans="1:8" x14ac:dyDescent="0.25">
      <c r="A59" s="137" t="s">
        <v>173</v>
      </c>
      <c r="B59" s="140">
        <v>1724322</v>
      </c>
      <c r="D59" s="137" t="s">
        <v>173</v>
      </c>
      <c r="E59" s="140">
        <v>147720</v>
      </c>
      <c r="F59" s="147">
        <f t="shared" si="2"/>
        <v>1576602</v>
      </c>
      <c r="G59" s="165">
        <f t="shared" si="1"/>
        <v>1878836603.4000001</v>
      </c>
    </row>
    <row r="60" spans="1:8" x14ac:dyDescent="0.25">
      <c r="A60" s="137"/>
      <c r="B60" s="140"/>
      <c r="D60" s="137" t="s">
        <v>229</v>
      </c>
      <c r="E60" s="140">
        <v>400</v>
      </c>
      <c r="F60" s="147">
        <f t="shared" si="2"/>
        <v>-400</v>
      </c>
      <c r="G60" s="165">
        <f t="shared" si="1"/>
        <v>-258874.04180983923</v>
      </c>
    </row>
    <row r="61" spans="1:8" x14ac:dyDescent="0.25">
      <c r="A61" s="137" t="s">
        <v>174</v>
      </c>
      <c r="B61" s="140">
        <v>76072</v>
      </c>
      <c r="D61" s="137" t="s">
        <v>174</v>
      </c>
      <c r="E61" s="140">
        <v>189141</v>
      </c>
      <c r="F61" s="147">
        <f t="shared" si="2"/>
        <v>-113069</v>
      </c>
      <c r="G61" s="165">
        <f t="shared" si="1"/>
        <v>-73176572.583491772</v>
      </c>
    </row>
    <row r="62" spans="1:8" x14ac:dyDescent="0.25">
      <c r="D62" s="137" t="s">
        <v>230</v>
      </c>
      <c r="E62" s="140">
        <v>400</v>
      </c>
      <c r="F62" s="147">
        <f t="shared" si="2"/>
        <v>-400</v>
      </c>
      <c r="G62" s="165">
        <f t="shared" si="1"/>
        <v>-258874.04180983923</v>
      </c>
    </row>
    <row r="63" spans="1:8" x14ac:dyDescent="0.25">
      <c r="E63" s="147"/>
    </row>
    <row r="64" spans="1:8" x14ac:dyDescent="0.25">
      <c r="F64" s="147">
        <f>SUM(F5:F62)</f>
        <v>-727219</v>
      </c>
      <c r="G64" s="165">
        <f>SUM(G5:G62)/2000</f>
        <v>446458.45869726391</v>
      </c>
      <c r="H64" s="154"/>
    </row>
    <row r="65" spans="2:8" ht="45" x14ac:dyDescent="0.25">
      <c r="B65" s="147"/>
      <c r="F65" s="153" t="s">
        <v>236</v>
      </c>
      <c r="G65" s="167" t="s">
        <v>235</v>
      </c>
      <c r="H65" s="153"/>
    </row>
    <row r="76" spans="2:8" x14ac:dyDescent="0.25">
      <c r="F76" s="147"/>
    </row>
    <row r="81" spans="6:6" x14ac:dyDescent="0.25">
      <c r="F81" s="147"/>
    </row>
    <row r="98" spans="6:6" x14ac:dyDescent="0.25">
      <c r="F98" s="147"/>
    </row>
    <row r="105" spans="6:6" x14ac:dyDescent="0.25">
      <c r="F105" s="14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2019-05-30T07:00:00+00:00</OpenedDate>
    <Date1 xmlns="dc463f71-b30c-4ab2-9473-d307f9d35888">2019-05-30T07:00:00+00:00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190444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A81EEAD079C40939B8EFA91C8A612" ma:contentTypeVersion="56" ma:contentTypeDescription="" ma:contentTypeScope="" ma:versionID="ca287d0bfc38e83da8041744df99af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7526AB-AE7E-4982-AF84-6272F7DC3AF3}"/>
</file>

<file path=customXml/itemProps3.xml><?xml version="1.0" encoding="utf-8"?>
<ds:datastoreItem xmlns:ds="http://schemas.openxmlformats.org/officeDocument/2006/customXml" ds:itemID="{57BE1F28-303A-4833-8A05-0A33588D1988}">
  <ds:schemaRefs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dc463f71-b30c-4ab2-9473-d307f9d35888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37A1E38E-22A3-4C0E-9369-68558B1971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jyl3501</cp:lastModifiedBy>
  <dcterms:created xsi:type="dcterms:W3CDTF">2016-02-08T23:38:12Z</dcterms:created>
  <dcterms:modified xsi:type="dcterms:W3CDTF">2018-05-30T16:11:42Z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0x0101006E56B4D1795A2E4DB2F0B01679ED314A006FAA81EEAD079C40939B8EFA91C8A612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