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75" windowWidth="14445" windowHeight="10470" tabRatio="731"/>
  </bookViews>
  <sheets>
    <sheet name="+2019 Tax Reform Rate Impacts" sheetId="12" r:id="rId1"/>
    <sheet name="+2019 Tax Reform Rate Design" sheetId="10" r:id="rId2"/>
    <sheet name="+Sch 449-459 Rate Design" sheetId="37" r:id="rId3"/>
    <sheet name="+UE-180280 Compliance ECOS" sheetId="38" r:id="rId4"/>
    <sheet name="+2019 Rev Req" sheetId="39" r:id="rId5"/>
    <sheet name="+2019 Street &amp; Area Lighting" sheetId="34" r:id="rId6"/>
    <sheet name="+Typical Res Customer Sch 140" sheetId="27" r:id="rId7"/>
    <sheet name="+Projected Revenue on F2017" sheetId="31" r:id="rId8"/>
  </sheets>
  <externalReferences>
    <externalReference r:id="rId9"/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">[1]INPUTS!$C$11</definedName>
    <definedName name="CBWorkbookPriority">-2060790043</definedName>
    <definedName name="EffTax">[1]INPUTS!$F$36</definedName>
    <definedName name="FTAX">[1]INPUTS!$F$35</definedName>
    <definedName name="HTML_CodePage">1252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4">'+2019 Rev Req'!$A$1:$N$35</definedName>
    <definedName name="_xlnm.Print_Area" localSheetId="5">'+2019 Street &amp; Area Lighting'!$A$1:$G$195</definedName>
    <definedName name="_xlnm.Print_Area" localSheetId="1">'+2019 Tax Reform Rate Design'!$A$1:$M$38</definedName>
    <definedName name="_xlnm.Print_Area" localSheetId="0">'+2019 Tax Reform Rate Impacts'!$A$1:$I$35</definedName>
    <definedName name="_xlnm.Print_Area" localSheetId="7">'+Projected Revenue on F2017'!$A$1:$N$41</definedName>
    <definedName name="_xlnm.Print_Area" localSheetId="2">'+Sch 449-459 Rate Design'!$A$1:$F$29</definedName>
    <definedName name="_xlnm.Print_Area" localSheetId="6">'+Typical Res Customer Sch 140'!$A$1:$T$63</definedName>
    <definedName name="_xlnm.Print_Area" localSheetId="3">'+UE-180280 Compliance ECOS'!$A$1:$O$148</definedName>
    <definedName name="_xlnm.Print_Titles" localSheetId="5">'+2019 Street &amp; Area Lighting'!$1:$8</definedName>
    <definedName name="_xlnm.Print_Titles" localSheetId="3">'+UE-180280 Compliance ECOS'!$1:$6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APBEXhrIndnt">"Wide"</definedName>
    <definedName name="SAPsysID">"708C5W7SBKP804JT78WJ0JNKI"</definedName>
    <definedName name="SAPwbID">"ARS"</definedName>
    <definedName name="STAX">[1]INPUTS!$F$34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 iterate="1" calcOnSave="0"/>
</workbook>
</file>

<file path=xl/calcChain.xml><?xml version="1.0" encoding="utf-8"?>
<calcChain xmlns="http://schemas.openxmlformats.org/spreadsheetml/2006/main">
  <c r="F194" i="34" l="1"/>
  <c r="F191" i="34"/>
  <c r="E191" i="34"/>
  <c r="F189" i="34"/>
  <c r="E189" i="34"/>
  <c r="F188" i="34"/>
  <c r="E188" i="34"/>
  <c r="F185" i="34"/>
  <c r="E185" i="34"/>
  <c r="F182" i="34"/>
  <c r="E182" i="34"/>
  <c r="F181" i="34"/>
  <c r="E181" i="34"/>
  <c r="F180" i="34"/>
  <c r="E180" i="34"/>
  <c r="F179" i="34"/>
  <c r="E179" i="34"/>
  <c r="F178" i="34"/>
  <c r="E178" i="34"/>
  <c r="F177" i="34"/>
  <c r="E177" i="34"/>
  <c r="F176" i="34"/>
  <c r="E176" i="34"/>
  <c r="F175" i="34"/>
  <c r="E175" i="34"/>
  <c r="F174" i="34"/>
  <c r="E174" i="34"/>
  <c r="F173" i="34"/>
  <c r="E173" i="34"/>
  <c r="F172" i="34"/>
  <c r="E172" i="34"/>
  <c r="F171" i="34"/>
  <c r="E171" i="34"/>
  <c r="F170" i="34"/>
  <c r="E170" i="34"/>
  <c r="F169" i="34"/>
  <c r="E169" i="34"/>
  <c r="F168" i="34"/>
  <c r="E168" i="34"/>
  <c r="F165" i="34"/>
  <c r="E165" i="34"/>
  <c r="F164" i="34"/>
  <c r="E164" i="34"/>
  <c r="F162" i="34"/>
  <c r="E162" i="34"/>
  <c r="F161" i="34"/>
  <c r="E161" i="34"/>
  <c r="F160" i="34"/>
  <c r="E160" i="34"/>
  <c r="F159" i="34"/>
  <c r="E159" i="34"/>
  <c r="F157" i="34"/>
  <c r="E157" i="34"/>
  <c r="F156" i="34"/>
  <c r="E156" i="34"/>
  <c r="F155" i="34"/>
  <c r="E155" i="34"/>
  <c r="F154" i="34"/>
  <c r="E154" i="34"/>
  <c r="F153" i="34"/>
  <c r="E153" i="34"/>
  <c r="F151" i="34"/>
  <c r="E151" i="34"/>
  <c r="F150" i="34"/>
  <c r="E150" i="34"/>
  <c r="F149" i="34"/>
  <c r="E149" i="34"/>
  <c r="F148" i="34"/>
  <c r="E148" i="34"/>
  <c r="F147" i="34"/>
  <c r="E147" i="34"/>
  <c r="F146" i="34"/>
  <c r="E146" i="34"/>
  <c r="F143" i="34"/>
  <c r="E143" i="34"/>
  <c r="F142" i="34"/>
  <c r="E142" i="34"/>
  <c r="F141" i="34"/>
  <c r="E141" i="34"/>
  <c r="F140" i="34"/>
  <c r="E140" i="34"/>
  <c r="F139" i="34"/>
  <c r="E139" i="34"/>
  <c r="F138" i="34"/>
  <c r="E138" i="34"/>
  <c r="F137" i="34"/>
  <c r="E137" i="34"/>
  <c r="F136" i="34"/>
  <c r="E136" i="34"/>
  <c r="F135" i="34"/>
  <c r="E135" i="34"/>
  <c r="F133" i="34"/>
  <c r="E133" i="34"/>
  <c r="F131" i="34"/>
  <c r="E131" i="34"/>
  <c r="F130" i="34"/>
  <c r="E130" i="34"/>
  <c r="F129" i="34"/>
  <c r="E129" i="34"/>
  <c r="F128" i="34"/>
  <c r="E128" i="34"/>
  <c r="F127" i="34"/>
  <c r="E127" i="34"/>
  <c r="F126" i="34"/>
  <c r="E126" i="34"/>
  <c r="F123" i="34"/>
  <c r="E123" i="34"/>
  <c r="F122" i="34"/>
  <c r="E122" i="34"/>
  <c r="F121" i="34"/>
  <c r="E121" i="34"/>
  <c r="F120" i="34"/>
  <c r="E120" i="34"/>
  <c r="F119" i="34"/>
  <c r="E119" i="34"/>
  <c r="F118" i="34"/>
  <c r="E118" i="34"/>
  <c r="F117" i="34"/>
  <c r="E117" i="34"/>
  <c r="F116" i="34"/>
  <c r="E116" i="34"/>
  <c r="F115" i="34"/>
  <c r="E115" i="34"/>
  <c r="F112" i="34"/>
  <c r="E112" i="34"/>
  <c r="F111" i="34"/>
  <c r="E111" i="34"/>
  <c r="F110" i="34"/>
  <c r="E110" i="34"/>
  <c r="F109" i="34"/>
  <c r="E109" i="34"/>
  <c r="F108" i="34"/>
  <c r="E108" i="34"/>
  <c r="F107" i="34"/>
  <c r="E107" i="34"/>
  <c r="F106" i="34"/>
  <c r="E106" i="34"/>
  <c r="F105" i="34"/>
  <c r="E105" i="34"/>
  <c r="F104" i="34"/>
  <c r="E104" i="34"/>
  <c r="F101" i="34"/>
  <c r="E101" i="34"/>
  <c r="F100" i="34"/>
  <c r="E100" i="34"/>
  <c r="F99" i="34"/>
  <c r="E99" i="34"/>
  <c r="F98" i="34"/>
  <c r="E98" i="34"/>
  <c r="F97" i="34"/>
  <c r="E97" i="34"/>
  <c r="F96" i="34"/>
  <c r="E96" i="34"/>
  <c r="F95" i="34"/>
  <c r="E95" i="34"/>
  <c r="F94" i="34"/>
  <c r="E94" i="34"/>
  <c r="F93" i="34"/>
  <c r="E93" i="34"/>
  <c r="F91" i="34"/>
  <c r="E91" i="34"/>
  <c r="F90" i="34"/>
  <c r="E90" i="34"/>
  <c r="F89" i="34"/>
  <c r="E89" i="34"/>
  <c r="F88" i="34"/>
  <c r="E88" i="34"/>
  <c r="F87" i="34"/>
  <c r="E87" i="34"/>
  <c r="F86" i="34"/>
  <c r="E86" i="34"/>
  <c r="F84" i="34"/>
  <c r="E84" i="34"/>
  <c r="F83" i="34"/>
  <c r="E83" i="34"/>
  <c r="F82" i="34"/>
  <c r="E82" i="34"/>
  <c r="F81" i="34"/>
  <c r="E81" i="34"/>
  <c r="F80" i="34"/>
  <c r="E80" i="34"/>
  <c r="F79" i="34"/>
  <c r="E79" i="34"/>
  <c r="F78" i="34"/>
  <c r="E78" i="34"/>
  <c r="F77" i="34"/>
  <c r="E77" i="34"/>
  <c r="F76" i="34"/>
  <c r="E76" i="34"/>
  <c r="F74" i="34"/>
  <c r="E74" i="34"/>
  <c r="F73" i="34"/>
  <c r="E73" i="34"/>
  <c r="F72" i="34"/>
  <c r="E72" i="34"/>
  <c r="F71" i="34"/>
  <c r="E71" i="34"/>
  <c r="F70" i="34"/>
  <c r="E70" i="34"/>
  <c r="F69" i="34"/>
  <c r="E69" i="34"/>
  <c r="F68" i="34"/>
  <c r="E68" i="34"/>
  <c r="F67" i="34"/>
  <c r="E67" i="34"/>
  <c r="F66" i="34"/>
  <c r="E66" i="34"/>
  <c r="F64" i="34"/>
  <c r="E64" i="34"/>
  <c r="F63" i="34"/>
  <c r="E63" i="34"/>
  <c r="F62" i="34"/>
  <c r="E62" i="34"/>
  <c r="F61" i="34"/>
  <c r="E61" i="34"/>
  <c r="F60" i="34"/>
  <c r="E60" i="34"/>
  <c r="F58" i="34"/>
  <c r="E58" i="34"/>
  <c r="F57" i="34"/>
  <c r="E57" i="34"/>
  <c r="F56" i="34"/>
  <c r="E56" i="34"/>
  <c r="F55" i="34"/>
  <c r="E55" i="34"/>
  <c r="F54" i="34"/>
  <c r="E54" i="34"/>
  <c r="F53" i="34"/>
  <c r="E53" i="34"/>
  <c r="F52" i="34"/>
  <c r="E52" i="34"/>
  <c r="F51" i="34"/>
  <c r="E51" i="34"/>
  <c r="F50" i="34"/>
  <c r="E50" i="34"/>
  <c r="F47" i="34"/>
  <c r="E47" i="34"/>
  <c r="F46" i="34"/>
  <c r="E46" i="34"/>
  <c r="F45" i="34"/>
  <c r="E45" i="34"/>
  <c r="F44" i="34"/>
  <c r="E44" i="34"/>
  <c r="F43" i="34"/>
  <c r="E43" i="34"/>
  <c r="F42" i="34"/>
  <c r="E42" i="34"/>
  <c r="F41" i="34"/>
  <c r="E41" i="34"/>
  <c r="F39" i="34"/>
  <c r="E39" i="34"/>
  <c r="F38" i="34"/>
  <c r="E38" i="34"/>
  <c r="F37" i="34"/>
  <c r="E37" i="34"/>
  <c r="F36" i="34"/>
  <c r="E36" i="34"/>
  <c r="F35" i="34"/>
  <c r="E35" i="34"/>
  <c r="F34" i="34"/>
  <c r="E34" i="34"/>
  <c r="F33" i="34"/>
  <c r="E33" i="34"/>
  <c r="F32" i="34"/>
  <c r="E32" i="34"/>
  <c r="F29" i="34"/>
  <c r="E29" i="34"/>
  <c r="F28" i="34"/>
  <c r="E28" i="34"/>
  <c r="F27" i="34"/>
  <c r="E27" i="34"/>
  <c r="F26" i="34"/>
  <c r="E26" i="34"/>
  <c r="F25" i="34"/>
  <c r="E25" i="34"/>
  <c r="F24" i="34"/>
  <c r="E24" i="34"/>
  <c r="F23" i="34"/>
  <c r="E23" i="34"/>
  <c r="F22" i="34"/>
  <c r="E22" i="34"/>
  <c r="F21" i="34"/>
  <c r="E21" i="34"/>
  <c r="F18" i="34"/>
  <c r="E18" i="34"/>
  <c r="F17" i="34"/>
  <c r="E17" i="34"/>
  <c r="F16" i="34"/>
  <c r="E16" i="34"/>
  <c r="F15" i="34"/>
  <c r="E15" i="34"/>
  <c r="F14" i="34"/>
  <c r="E14" i="34"/>
  <c r="F13" i="34"/>
  <c r="E13" i="34"/>
  <c r="F12" i="34"/>
  <c r="E12" i="34"/>
  <c r="F10" i="34"/>
  <c r="E10" i="34"/>
  <c r="A40" i="27" l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Q26" i="27"/>
  <c r="Q24" i="27"/>
  <c r="Q8" i="27"/>
  <c r="Q9" i="27"/>
  <c r="Q10" i="27"/>
  <c r="Q11" i="27"/>
  <c r="Q12" i="27"/>
  <c r="Q13" i="27"/>
  <c r="Q14" i="27"/>
  <c r="Q15" i="27"/>
  <c r="Q16" i="27"/>
  <c r="Q17" i="27"/>
  <c r="Q18" i="27"/>
  <c r="Q7" i="27"/>
  <c r="O26" i="27"/>
  <c r="G48" i="27"/>
  <c r="G41" i="27"/>
  <c r="M35" i="10"/>
  <c r="H8" i="12"/>
  <c r="G33" i="12"/>
  <c r="G31" i="12"/>
  <c r="G27" i="12"/>
  <c r="G24" i="12"/>
  <c r="G21" i="12"/>
  <c r="G19" i="12"/>
  <c r="G13" i="12"/>
  <c r="G14" i="12"/>
  <c r="G12" i="12"/>
  <c r="G8" i="12"/>
  <c r="H40" i="27" s="1"/>
  <c r="H37" i="27"/>
  <c r="H48" i="27" l="1"/>
  <c r="C9" i="37" l="1"/>
  <c r="C7" i="37"/>
  <c r="G37" i="10"/>
  <c r="K19" i="39"/>
  <c r="K25" i="39" s="1"/>
  <c r="G19" i="39"/>
  <c r="G25" i="39" s="1"/>
  <c r="C19" i="39"/>
  <c r="C25" i="39" s="1"/>
  <c r="N16" i="39"/>
  <c r="M19" i="39" s="1"/>
  <c r="M25" i="39" s="1"/>
  <c r="N15" i="39"/>
  <c r="J18" i="39" s="1"/>
  <c r="J24" i="39" s="1"/>
  <c r="C9" i="39"/>
  <c r="B9" i="39"/>
  <c r="D8" i="39"/>
  <c r="D7" i="39"/>
  <c r="D9" i="39" s="1"/>
  <c r="L24" i="39" l="1"/>
  <c r="H18" i="39"/>
  <c r="H24" i="39" s="1"/>
  <c r="H26" i="39" s="1"/>
  <c r="L18" i="39"/>
  <c r="I18" i="39"/>
  <c r="I24" i="39" s="1"/>
  <c r="I26" i="39" s="1"/>
  <c r="D19" i="39"/>
  <c r="D25" i="39" s="1"/>
  <c r="L19" i="39"/>
  <c r="L25" i="39" s="1"/>
  <c r="C18" i="39"/>
  <c r="G18" i="39"/>
  <c r="G24" i="39" s="1"/>
  <c r="G26" i="39" s="1"/>
  <c r="K18" i="39"/>
  <c r="B19" i="39"/>
  <c r="F19" i="39"/>
  <c r="F25" i="39" s="1"/>
  <c r="J19" i="39"/>
  <c r="J25" i="39" s="1"/>
  <c r="J26" i="39" s="1"/>
  <c r="M24" i="39"/>
  <c r="M26" i="39" s="1"/>
  <c r="D18" i="39"/>
  <c r="D24" i="39" s="1"/>
  <c r="D26" i="39" s="1"/>
  <c r="E18" i="39"/>
  <c r="E24" i="39" s="1"/>
  <c r="E26" i="39" s="1"/>
  <c r="M18" i="39"/>
  <c r="H19" i="39"/>
  <c r="H25" i="39" s="1"/>
  <c r="C24" i="39"/>
  <c r="C26" i="39" s="1"/>
  <c r="K24" i="39"/>
  <c r="K26" i="39" s="1"/>
  <c r="B18" i="39"/>
  <c r="F18" i="39"/>
  <c r="F24" i="39" s="1"/>
  <c r="F26" i="39" s="1"/>
  <c r="E19" i="39"/>
  <c r="E25" i="39" s="1"/>
  <c r="I19" i="39"/>
  <c r="I25" i="39" s="1"/>
  <c r="L26" i="39" l="1"/>
  <c r="N18" i="39"/>
  <c r="B24" i="39"/>
  <c r="N19" i="39"/>
  <c r="B25" i="39"/>
  <c r="B26" i="39" l="1"/>
  <c r="C31" i="39"/>
  <c r="B31" i="39"/>
  <c r="N24" i="39"/>
  <c r="N25" i="39"/>
  <c r="C32" i="39"/>
  <c r="D32" i="39" s="1"/>
  <c r="E32" i="39" s="1"/>
  <c r="F32" i="39" s="1"/>
  <c r="G32" i="39" s="1"/>
  <c r="H32" i="39" s="1"/>
  <c r="I32" i="39" s="1"/>
  <c r="J32" i="39" s="1"/>
  <c r="K32" i="39" s="1"/>
  <c r="L32" i="39" s="1"/>
  <c r="M32" i="39" s="1"/>
  <c r="B32" i="39"/>
  <c r="B33" i="39" l="1"/>
  <c r="D31" i="39"/>
  <c r="C33" i="39"/>
  <c r="N26" i="39"/>
  <c r="E31" i="39" l="1"/>
  <c r="D33" i="39"/>
  <c r="E33" i="39" l="1"/>
  <c r="F31" i="39"/>
  <c r="F33" i="39" l="1"/>
  <c r="G31" i="39"/>
  <c r="G33" i="39" l="1"/>
  <c r="H31" i="39"/>
  <c r="I31" i="39" l="1"/>
  <c r="H33" i="39"/>
  <c r="I33" i="39" l="1"/>
  <c r="J31" i="39"/>
  <c r="J33" i="39" l="1"/>
  <c r="K31" i="39"/>
  <c r="L31" i="39" l="1"/>
  <c r="K33" i="39"/>
  <c r="M31" i="39" l="1"/>
  <c r="M33" i="39" s="1"/>
  <c r="L33" i="39"/>
  <c r="A39" i="38" l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A60" i="38" s="1"/>
  <c r="A61" i="38" s="1"/>
  <c r="A62" i="38" s="1"/>
  <c r="A63" i="38" s="1"/>
  <c r="A64" i="38" s="1"/>
  <c r="A65" i="38" s="1"/>
  <c r="A66" i="38" s="1"/>
  <c r="A67" i="38" s="1"/>
  <c r="A68" i="38" s="1"/>
  <c r="A69" i="38" s="1"/>
  <c r="A70" i="38" s="1"/>
  <c r="A71" i="38" s="1"/>
  <c r="A72" i="38" s="1"/>
  <c r="A73" i="38" s="1"/>
  <c r="A74" i="38" s="1"/>
  <c r="A75" i="38" s="1"/>
  <c r="A76" i="38" s="1"/>
  <c r="A77" i="38" s="1"/>
  <c r="A78" i="38" s="1"/>
  <c r="A79" i="38" s="1"/>
  <c r="A80" i="38" s="1"/>
  <c r="A81" i="38" s="1"/>
  <c r="A82" i="38" s="1"/>
  <c r="A83" i="38" s="1"/>
  <c r="A84" i="38" s="1"/>
  <c r="A85" i="38" s="1"/>
  <c r="A86" i="38" s="1"/>
  <c r="A87" i="38" s="1"/>
  <c r="A88" i="38" s="1"/>
  <c r="A89" i="38" s="1"/>
  <c r="A90" i="38" s="1"/>
  <c r="A91" i="38" s="1"/>
  <c r="A92" i="38" s="1"/>
  <c r="A93" i="38" s="1"/>
  <c r="A94" i="38" s="1"/>
  <c r="A95" i="38" s="1"/>
  <c r="A96" i="38" s="1"/>
  <c r="A97" i="38" s="1"/>
  <c r="A98" i="38" s="1"/>
  <c r="A99" i="38" s="1"/>
  <c r="A100" i="38" s="1"/>
  <c r="A101" i="38" s="1"/>
  <c r="A102" i="38" s="1"/>
  <c r="A103" i="38" s="1"/>
  <c r="A104" i="38" s="1"/>
  <c r="A105" i="38" s="1"/>
  <c r="A106" i="38" s="1"/>
  <c r="A107" i="38" s="1"/>
  <c r="A108" i="38" s="1"/>
  <c r="A109" i="38" s="1"/>
  <c r="A110" i="38" s="1"/>
  <c r="A111" i="38" s="1"/>
  <c r="A112" i="38" s="1"/>
  <c r="A113" i="38" s="1"/>
  <c r="A114" i="38" s="1"/>
  <c r="A115" i="38" s="1"/>
  <c r="A116" i="38" s="1"/>
  <c r="A117" i="38" s="1"/>
  <c r="A118" i="38" s="1"/>
  <c r="A119" i="38" s="1"/>
  <c r="A120" i="38" s="1"/>
  <c r="A121" i="38" s="1"/>
  <c r="A122" i="38" s="1"/>
  <c r="A123" i="38" s="1"/>
  <c r="A124" i="38" s="1"/>
  <c r="A125" i="38" s="1"/>
  <c r="A126" i="38" s="1"/>
  <c r="A127" i="38" s="1"/>
  <c r="A128" i="38" s="1"/>
  <c r="A129" i="38" s="1"/>
  <c r="A130" i="38" s="1"/>
  <c r="A131" i="38" s="1"/>
  <c r="A132" i="38" s="1"/>
  <c r="A133" i="38" s="1"/>
  <c r="A134" i="38" s="1"/>
  <c r="A135" i="38" s="1"/>
  <c r="A136" i="38" s="1"/>
  <c r="A137" i="38" s="1"/>
  <c r="A138" i="38" s="1"/>
  <c r="A139" i="38" s="1"/>
  <c r="A140" i="38" s="1"/>
  <c r="A141" i="38" s="1"/>
  <c r="A142" i="38" s="1"/>
  <c r="A143" i="38" s="1"/>
  <c r="A144" i="38" s="1"/>
  <c r="A145" i="38" s="1"/>
  <c r="A146" i="38" s="1"/>
  <c r="A147" i="38" s="1"/>
  <c r="A148" i="38" s="1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F22" i="12"/>
  <c r="E14" i="38" l="1"/>
  <c r="E20" i="38"/>
  <c r="E26" i="38"/>
  <c r="E73" i="38"/>
  <c r="E79" i="38"/>
  <c r="E85" i="38"/>
  <c r="E121" i="38"/>
  <c r="E144" i="38" l="1"/>
  <c r="E146" i="38" s="1"/>
  <c r="E64" i="38"/>
  <c r="E50" i="38"/>
  <c r="E109" i="38"/>
  <c r="E114" i="38"/>
  <c r="E66" i="38" l="1"/>
  <c r="E148" i="38"/>
  <c r="E28" i="37"/>
  <c r="D28" i="37"/>
  <c r="C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A9" i="37"/>
  <c r="A10" i="37" s="1"/>
  <c r="A8" i="37"/>
  <c r="F28" i="37" l="1"/>
  <c r="C8" i="37" s="1"/>
  <c r="T31" i="38" l="1"/>
  <c r="U31" i="38"/>
  <c r="T47" i="38"/>
  <c r="U47" i="38"/>
  <c r="U24" i="38"/>
  <c r="T24" i="38"/>
  <c r="U132" i="38"/>
  <c r="T132" i="38"/>
  <c r="T96" i="38"/>
  <c r="U96" i="38"/>
  <c r="T42" i="38"/>
  <c r="U42" i="38"/>
  <c r="U25" i="38"/>
  <c r="T25" i="38"/>
  <c r="T38" i="38"/>
  <c r="U38" i="38"/>
  <c r="U19" i="38"/>
  <c r="T19" i="38"/>
  <c r="T35" i="38"/>
  <c r="U35" i="38"/>
  <c r="T82" i="38"/>
  <c r="U82" i="38"/>
  <c r="U125" i="38"/>
  <c r="T125" i="38"/>
  <c r="T30" i="38"/>
  <c r="U30" i="38"/>
  <c r="T104" i="38"/>
  <c r="U104" i="38"/>
  <c r="T39" i="38"/>
  <c r="U39" i="38"/>
  <c r="U12" i="38"/>
  <c r="T12" i="38"/>
  <c r="U124" i="38"/>
  <c r="T124" i="38"/>
  <c r="T101" i="38"/>
  <c r="U101" i="38"/>
  <c r="U71" i="38"/>
  <c r="T71" i="38"/>
  <c r="T88" i="38"/>
  <c r="U88" i="38"/>
  <c r="T97" i="38"/>
  <c r="U97" i="38"/>
  <c r="U128" i="38"/>
  <c r="T128" i="38"/>
  <c r="U18" i="38"/>
  <c r="T18" i="38"/>
  <c r="T43" i="38"/>
  <c r="U43" i="38"/>
  <c r="T100" i="38"/>
  <c r="U100" i="38"/>
  <c r="T93" i="38"/>
  <c r="U93" i="38"/>
  <c r="T105" i="38"/>
  <c r="U105" i="38"/>
  <c r="T92" i="38"/>
  <c r="U92" i="38"/>
  <c r="T46" i="38"/>
  <c r="U46" i="38"/>
  <c r="T89" i="38"/>
  <c r="U89" i="38"/>
  <c r="U141" i="38"/>
  <c r="T141" i="38"/>
  <c r="K31" i="31"/>
  <c r="G31" i="31"/>
  <c r="K19" i="31"/>
  <c r="I10" i="31"/>
  <c r="K10" i="31"/>
  <c r="E80" i="27"/>
  <c r="E78" i="27"/>
  <c r="E76" i="27"/>
  <c r="E74" i="27"/>
  <c r="E72" i="27"/>
  <c r="E70" i="27"/>
  <c r="G45" i="27" l="1"/>
  <c r="G49" i="27" s="1"/>
  <c r="G26" i="38"/>
  <c r="O26" i="38"/>
  <c r="O20" i="38"/>
  <c r="K20" i="38"/>
  <c r="G20" i="38"/>
  <c r="L26" i="38"/>
  <c r="K26" i="38"/>
  <c r="T34" i="38"/>
  <c r="U34" i="38"/>
  <c r="N85" i="38"/>
  <c r="I26" i="38"/>
  <c r="M20" i="38"/>
  <c r="H20" i="38"/>
  <c r="F26" i="38"/>
  <c r="N20" i="38"/>
  <c r="F20" i="38"/>
  <c r="L20" i="38"/>
  <c r="H26" i="38"/>
  <c r="N26" i="38"/>
  <c r="I20" i="38"/>
  <c r="E69" i="27"/>
  <c r="E71" i="27"/>
  <c r="E73" i="27"/>
  <c r="E75" i="27"/>
  <c r="E77" i="27"/>
  <c r="E79" i="27"/>
  <c r="F10" i="31"/>
  <c r="F31" i="31"/>
  <c r="J31" i="31"/>
  <c r="D10" i="31"/>
  <c r="H10" i="31"/>
  <c r="L10" i="31"/>
  <c r="J10" i="31"/>
  <c r="D19" i="31"/>
  <c r="H19" i="31"/>
  <c r="D31" i="31"/>
  <c r="H31" i="31"/>
  <c r="E10" i="31"/>
  <c r="M10" i="31"/>
  <c r="G25" i="31"/>
  <c r="M31" i="31"/>
  <c r="D25" i="31"/>
  <c r="H25" i="31"/>
  <c r="K25" i="31"/>
  <c r="K37" i="31" s="1"/>
  <c r="K41" i="31" s="1"/>
  <c r="E31" i="31"/>
  <c r="I31" i="31"/>
  <c r="L31" i="31"/>
  <c r="F19" i="31"/>
  <c r="J19" i="31"/>
  <c r="M19" i="31"/>
  <c r="E19" i="31"/>
  <c r="I19" i="31"/>
  <c r="L19" i="31"/>
  <c r="E25" i="31"/>
  <c r="I25" i="31"/>
  <c r="L25" i="31"/>
  <c r="G10" i="31"/>
  <c r="G19" i="31"/>
  <c r="F25" i="31"/>
  <c r="J25" i="31"/>
  <c r="M25" i="31"/>
  <c r="K85" i="38" l="1"/>
  <c r="L85" i="38"/>
  <c r="R26" i="38"/>
  <c r="M26" i="38"/>
  <c r="F85" i="38"/>
  <c r="J20" i="38"/>
  <c r="O85" i="38"/>
  <c r="S20" i="38"/>
  <c r="S26" i="38"/>
  <c r="U138" i="38"/>
  <c r="U45" i="38"/>
  <c r="I85" i="38"/>
  <c r="J26" i="38"/>
  <c r="H85" i="38"/>
  <c r="R20" i="38"/>
  <c r="G85" i="38"/>
  <c r="M85" i="38"/>
  <c r="L37" i="31"/>
  <c r="L41" i="31" s="1"/>
  <c r="D37" i="31"/>
  <c r="D41" i="31" s="1"/>
  <c r="H37" i="31"/>
  <c r="H41" i="31" s="1"/>
  <c r="E37" i="31"/>
  <c r="E41" i="31" s="1"/>
  <c r="M37" i="31"/>
  <c r="M41" i="31" s="1"/>
  <c r="I37" i="31"/>
  <c r="I41" i="31" s="1"/>
  <c r="G37" i="31"/>
  <c r="G41" i="31" s="1"/>
  <c r="J37" i="31"/>
  <c r="J41" i="31" s="1"/>
  <c r="F37" i="31"/>
  <c r="F41" i="31" s="1"/>
  <c r="S85" i="38" l="1"/>
  <c r="T45" i="38"/>
  <c r="T138" i="38"/>
  <c r="T103" i="38"/>
  <c r="U103" i="38"/>
  <c r="T90" i="38"/>
  <c r="U90" i="38"/>
  <c r="T98" i="38"/>
  <c r="U98" i="38"/>
  <c r="T44" i="38"/>
  <c r="U44" i="38"/>
  <c r="R85" i="38"/>
  <c r="T40" i="38"/>
  <c r="U40" i="38"/>
  <c r="U17" i="38"/>
  <c r="U20" i="38" s="1"/>
  <c r="T17" i="38"/>
  <c r="T20" i="38" s="1"/>
  <c r="Q20" i="38"/>
  <c r="T94" i="38"/>
  <c r="U94" i="38"/>
  <c r="T29" i="38"/>
  <c r="U29" i="38"/>
  <c r="U130" i="38"/>
  <c r="T130" i="38"/>
  <c r="U23" i="38"/>
  <c r="U26" i="38" s="1"/>
  <c r="T23" i="38"/>
  <c r="T26" i="38" s="1"/>
  <c r="Q26" i="38"/>
  <c r="T84" i="38"/>
  <c r="U84" i="38"/>
  <c r="T48" i="38"/>
  <c r="U48" i="38"/>
  <c r="T95" i="38"/>
  <c r="U95" i="38"/>
  <c r="T91" i="38"/>
  <c r="U91" i="38"/>
  <c r="T33" i="38"/>
  <c r="U33" i="38"/>
  <c r="T83" i="38"/>
  <c r="U83" i="38"/>
  <c r="Q85" i="38"/>
  <c r="T102" i="38"/>
  <c r="U102" i="38"/>
  <c r="T107" i="38"/>
  <c r="U107" i="38"/>
  <c r="U131" i="38"/>
  <c r="T131" i="38"/>
  <c r="T99" i="38"/>
  <c r="U99" i="38"/>
  <c r="J85" i="38"/>
  <c r="U135" i="38"/>
  <c r="T135" i="38"/>
  <c r="T36" i="38"/>
  <c r="U36" i="38"/>
  <c r="T32" i="38"/>
  <c r="U32" i="38"/>
  <c r="T37" i="38"/>
  <c r="U37" i="38"/>
  <c r="T41" i="38"/>
  <c r="U41" i="38"/>
  <c r="T85" i="38" l="1"/>
  <c r="U85" i="38"/>
  <c r="B169" i="34" l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B164" i="34"/>
  <c r="B165" i="34" s="1"/>
  <c r="B154" i="34"/>
  <c r="B155" i="34" s="1"/>
  <c r="B156" i="34" s="1"/>
  <c r="B157" i="34" s="1"/>
  <c r="B147" i="34"/>
  <c r="B159" i="34" s="1"/>
  <c r="B160" i="34" s="1"/>
  <c r="B161" i="34" s="1"/>
  <c r="B162" i="34" s="1"/>
  <c r="B127" i="34"/>
  <c r="B128" i="34" s="1"/>
  <c r="B129" i="34" s="1"/>
  <c r="B130" i="34" s="1"/>
  <c r="B131" i="34" s="1"/>
  <c r="B133" i="34" s="1"/>
  <c r="B105" i="34"/>
  <c r="B106" i="34" s="1"/>
  <c r="B107" i="34" s="1"/>
  <c r="B108" i="34" s="1"/>
  <c r="B109" i="34" s="1"/>
  <c r="B110" i="34" s="1"/>
  <c r="B111" i="34" s="1"/>
  <c r="B112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77" i="34"/>
  <c r="B78" i="34" s="1"/>
  <c r="B79" i="34" s="1"/>
  <c r="B80" i="34" s="1"/>
  <c r="B81" i="34" s="1"/>
  <c r="B82" i="34" s="1"/>
  <c r="B83" i="34" s="1"/>
  <c r="B84" i="34" s="1"/>
  <c r="B86" i="34" s="1"/>
  <c r="B87" i="34" s="1"/>
  <c r="B88" i="34" s="1"/>
  <c r="B89" i="34" s="1"/>
  <c r="B90" i="34" s="1"/>
  <c r="B91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52" i="34"/>
  <c r="B53" i="34" s="1"/>
  <c r="B54" i="34" s="1"/>
  <c r="B55" i="34" s="1"/>
  <c r="B56" i="34" s="1"/>
  <c r="B57" i="34" s="1"/>
  <c r="B58" i="34" s="1"/>
  <c r="B60" i="34" s="1"/>
  <c r="B61" i="34" s="1"/>
  <c r="B62" i="34" s="1"/>
  <c r="B63" i="34" s="1"/>
  <c r="B64" i="34" s="1"/>
  <c r="B66" i="34" s="1"/>
  <c r="B67" i="34" s="1"/>
  <c r="B68" i="34" s="1"/>
  <c r="B69" i="34" s="1"/>
  <c r="B70" i="34" s="1"/>
  <c r="B71" i="34" s="1"/>
  <c r="B72" i="34" s="1"/>
  <c r="B73" i="34" s="1"/>
  <c r="B74" i="34" s="1"/>
  <c r="B51" i="34"/>
  <c r="C45" i="34"/>
  <c r="C46" i="34" s="1"/>
  <c r="C47" i="34" s="1"/>
  <c r="B33" i="34"/>
  <c r="B34" i="34" s="1"/>
  <c r="B35" i="34" s="1"/>
  <c r="B36" i="34" s="1"/>
  <c r="B16" i="34"/>
  <c r="B17" i="34" s="1"/>
  <c r="B18" i="34" s="1"/>
  <c r="C13" i="34"/>
  <c r="C14" i="34" s="1"/>
  <c r="C15" i="34" s="1"/>
  <c r="C16" i="34" s="1"/>
  <c r="C17" i="34" s="1"/>
  <c r="C18" i="34" s="1"/>
  <c r="B13" i="34"/>
  <c r="B14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F193" i="34" l="1"/>
  <c r="F195" i="34" s="1"/>
  <c r="B41" i="34"/>
  <c r="B37" i="34"/>
  <c r="B148" i="34"/>
  <c r="B149" i="34" s="1"/>
  <c r="B150" i="34" s="1"/>
  <c r="B151" i="34" s="1"/>
  <c r="B42" i="34" l="1"/>
  <c r="B38" i="34"/>
  <c r="B43" i="34" l="1"/>
  <c r="B39" i="34"/>
  <c r="B44" i="34" s="1"/>
  <c r="B45" i="34" s="1"/>
  <c r="B46" i="34" s="1"/>
  <c r="B47" i="34" s="1"/>
  <c r="C10" i="31" l="1"/>
  <c r="C19" i="31"/>
  <c r="C31" i="31"/>
  <c r="C25" i="31"/>
  <c r="H57" i="27"/>
  <c r="H59" i="27"/>
  <c r="H58" i="27"/>
  <c r="G60" i="27"/>
  <c r="H56" i="27"/>
  <c r="H55" i="27"/>
  <c r="H52" i="27"/>
  <c r="H51" i="27"/>
  <c r="H47" i="27"/>
  <c r="H46" i="27"/>
  <c r="H44" i="27"/>
  <c r="H43" i="27"/>
  <c r="H39" i="27"/>
  <c r="H38" i="27"/>
  <c r="H36" i="27"/>
  <c r="H35" i="27"/>
  <c r="G33" i="27"/>
  <c r="H32" i="27"/>
  <c r="H31" i="27"/>
  <c r="H41" i="27" l="1"/>
  <c r="G62" i="27"/>
  <c r="C37" i="31"/>
  <c r="C41" i="31" s="1"/>
  <c r="H33" i="27"/>
  <c r="C81" i="27"/>
  <c r="D81" i="27"/>
  <c r="H60" i="27"/>
  <c r="N17" i="31" l="1"/>
  <c r="N13" i="31"/>
  <c r="N9" i="31"/>
  <c r="N8" i="31"/>
  <c r="N22" i="31" l="1"/>
  <c r="N29" i="31"/>
  <c r="N39" i="31"/>
  <c r="N23" i="31"/>
  <c r="N15" i="31"/>
  <c r="N18" i="31"/>
  <c r="N24" i="31"/>
  <c r="N33" i="31"/>
  <c r="N14" i="31"/>
  <c r="N30" i="31"/>
  <c r="N12" i="31"/>
  <c r="N16" i="31"/>
  <c r="N21" i="31"/>
  <c r="N27" i="31"/>
  <c r="N35" i="31"/>
  <c r="E19" i="12" l="1"/>
  <c r="E14" i="12"/>
  <c r="E13" i="12"/>
  <c r="E12" i="12"/>
  <c r="E33" i="12"/>
  <c r="E31" i="12"/>
  <c r="E28" i="12"/>
  <c r="E27" i="12"/>
  <c r="E24" i="12"/>
  <c r="E21" i="12"/>
  <c r="E20" i="12"/>
  <c r="E15" i="12"/>
  <c r="E8" i="12"/>
  <c r="E9" i="12" s="1"/>
  <c r="D33" i="12"/>
  <c r="D31" i="12"/>
  <c r="D28" i="12"/>
  <c r="D27" i="12"/>
  <c r="D24" i="12"/>
  <c r="D21" i="12"/>
  <c r="D20" i="12"/>
  <c r="D19" i="12"/>
  <c r="D15" i="12"/>
  <c r="D14" i="12"/>
  <c r="D13" i="12"/>
  <c r="D12" i="12"/>
  <c r="D8" i="12"/>
  <c r="I33" i="10"/>
  <c r="I29" i="10"/>
  <c r="I27" i="10"/>
  <c r="I25" i="10"/>
  <c r="I23" i="10"/>
  <c r="I20" i="10"/>
  <c r="I19" i="10"/>
  <c r="I15" i="10"/>
  <c r="I14" i="10"/>
  <c r="I13" i="10"/>
  <c r="I9" i="10"/>
  <c r="N31" i="31"/>
  <c r="N25" i="31"/>
  <c r="N19" i="31"/>
  <c r="N10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G63" i="27"/>
  <c r="E29" i="12" l="1"/>
  <c r="E22" i="12"/>
  <c r="E16" i="12"/>
  <c r="N37" i="31"/>
  <c r="N41" i="31" s="1"/>
  <c r="E35" i="12" l="1"/>
  <c r="C18" i="27"/>
  <c r="J18" i="27" s="1"/>
  <c r="B80" i="27"/>
  <c r="C17" i="27"/>
  <c r="K17" i="27" s="1"/>
  <c r="B79" i="27"/>
  <c r="C16" i="27"/>
  <c r="B78" i="27"/>
  <c r="C15" i="27"/>
  <c r="G15" i="27" s="1"/>
  <c r="B77" i="27"/>
  <c r="C14" i="27"/>
  <c r="B76" i="27"/>
  <c r="C13" i="27"/>
  <c r="B75" i="27"/>
  <c r="C12" i="27"/>
  <c r="B74" i="27"/>
  <c r="C11" i="27"/>
  <c r="M11" i="27" s="1"/>
  <c r="B73" i="27"/>
  <c r="C10" i="27"/>
  <c r="K10" i="27" s="1"/>
  <c r="B72" i="27"/>
  <c r="C9" i="27"/>
  <c r="K9" i="27" s="1"/>
  <c r="B71" i="27"/>
  <c r="C8" i="27"/>
  <c r="L8" i="27" s="1"/>
  <c r="B70" i="27"/>
  <c r="B69" i="27"/>
  <c r="N26" i="27"/>
  <c r="M26" i="27"/>
  <c r="K26" i="27"/>
  <c r="J26" i="27"/>
  <c r="I26" i="27"/>
  <c r="H26" i="27"/>
  <c r="F26" i="27"/>
  <c r="E26" i="27"/>
  <c r="D26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I18" i="27" l="1"/>
  <c r="N18" i="27"/>
  <c r="E83" i="27"/>
  <c r="F18" i="27"/>
  <c r="I13" i="27"/>
  <c r="D13" i="27"/>
  <c r="M15" i="27"/>
  <c r="K14" i="27"/>
  <c r="F14" i="27"/>
  <c r="M14" i="27"/>
  <c r="E11" i="27"/>
  <c r="J11" i="27"/>
  <c r="F15" i="27"/>
  <c r="H17" i="27"/>
  <c r="K15" i="27"/>
  <c r="F10" i="27"/>
  <c r="L10" i="27"/>
  <c r="C7" i="27"/>
  <c r="K7" i="27" s="1"/>
  <c r="L12" i="27"/>
  <c r="K12" i="27"/>
  <c r="F12" i="27"/>
  <c r="L16" i="27"/>
  <c r="J16" i="27"/>
  <c r="D16" i="27"/>
  <c r="E9" i="27"/>
  <c r="M7" i="27"/>
  <c r="J8" i="27"/>
  <c r="L9" i="27"/>
  <c r="E10" i="27"/>
  <c r="J10" i="27"/>
  <c r="E14" i="27"/>
  <c r="J14" i="27"/>
  <c r="E17" i="27"/>
  <c r="M17" i="27"/>
  <c r="H10" i="27"/>
  <c r="M10" i="27"/>
  <c r="H14" i="27"/>
  <c r="N14" i="27"/>
  <c r="I17" i="27"/>
  <c r="D8" i="27"/>
  <c r="D10" i="27"/>
  <c r="I10" i="27"/>
  <c r="N10" i="27"/>
  <c r="D14" i="27"/>
  <c r="I14" i="27"/>
  <c r="D17" i="27"/>
  <c r="L17" i="27"/>
  <c r="G12" i="27"/>
  <c r="G9" i="27"/>
  <c r="F8" i="27"/>
  <c r="K8" i="27"/>
  <c r="N9" i="27"/>
  <c r="J9" i="27"/>
  <c r="F9" i="27"/>
  <c r="H9" i="27"/>
  <c r="M9" i="27"/>
  <c r="F11" i="27"/>
  <c r="K11" i="27"/>
  <c r="M12" i="27"/>
  <c r="I12" i="27"/>
  <c r="E12" i="27"/>
  <c r="H12" i="27"/>
  <c r="N12" i="27"/>
  <c r="E13" i="27"/>
  <c r="K13" i="27"/>
  <c r="L14" i="27"/>
  <c r="L15" i="27"/>
  <c r="H15" i="27"/>
  <c r="D15" i="27"/>
  <c r="I15" i="27"/>
  <c r="N15" i="27"/>
  <c r="F16" i="27"/>
  <c r="K16" i="27"/>
  <c r="L18" i="27"/>
  <c r="H18" i="27"/>
  <c r="D18" i="27"/>
  <c r="K18" i="27"/>
  <c r="G18" i="27"/>
  <c r="G8" i="27"/>
  <c r="D9" i="27"/>
  <c r="I9" i="27"/>
  <c r="G11" i="27"/>
  <c r="D12" i="27"/>
  <c r="J12" i="27"/>
  <c r="G13" i="27"/>
  <c r="L13" i="27"/>
  <c r="E15" i="27"/>
  <c r="J15" i="27"/>
  <c r="G16" i="27"/>
  <c r="E18" i="27"/>
  <c r="M18" i="27"/>
  <c r="M8" i="27"/>
  <c r="I8" i="27"/>
  <c r="E8" i="27"/>
  <c r="H8" i="27"/>
  <c r="N8" i="27"/>
  <c r="L11" i="27"/>
  <c r="H11" i="27"/>
  <c r="D11" i="27"/>
  <c r="I11" i="27"/>
  <c r="N11" i="27"/>
  <c r="N13" i="27"/>
  <c r="J13" i="27"/>
  <c r="F13" i="27"/>
  <c r="H13" i="27"/>
  <c r="M13" i="27"/>
  <c r="N16" i="27"/>
  <c r="M16" i="27"/>
  <c r="I16" i="27"/>
  <c r="E16" i="27"/>
  <c r="H16" i="27"/>
  <c r="L26" i="27"/>
  <c r="G26" i="27"/>
  <c r="G10" i="27"/>
  <c r="G14" i="27"/>
  <c r="F17" i="27"/>
  <c r="J17" i="27"/>
  <c r="N17" i="27"/>
  <c r="E81" i="27"/>
  <c r="G17" i="27"/>
  <c r="C20" i="27" l="1"/>
  <c r="C22" i="27" s="1"/>
  <c r="F7" i="27"/>
  <c r="F20" i="27" s="1"/>
  <c r="F22" i="27" s="1"/>
  <c r="I7" i="27"/>
  <c r="I20" i="27" s="1"/>
  <c r="D7" i="27"/>
  <c r="D20" i="27" s="1"/>
  <c r="J7" i="27"/>
  <c r="J20" i="27" s="1"/>
  <c r="E7" i="27"/>
  <c r="E20" i="27" s="1"/>
  <c r="H7" i="27"/>
  <c r="H20" i="27" s="1"/>
  <c r="N7" i="27"/>
  <c r="N20" i="27" s="1"/>
  <c r="N22" i="27" s="1"/>
  <c r="L7" i="27"/>
  <c r="L20" i="27" s="1"/>
  <c r="G7" i="27"/>
  <c r="O10" i="27"/>
  <c r="M20" i="27"/>
  <c r="M22" i="27" s="1"/>
  <c r="K20" i="27"/>
  <c r="K24" i="27" s="1"/>
  <c r="P20" i="27"/>
  <c r="O16" i="27"/>
  <c r="O11" i="27"/>
  <c r="O12" i="27"/>
  <c r="O8" i="27"/>
  <c r="O13" i="27"/>
  <c r="O14" i="27"/>
  <c r="O15" i="27"/>
  <c r="O17" i="27"/>
  <c r="O18" i="27"/>
  <c r="O9" i="27"/>
  <c r="O7" i="27" l="1"/>
  <c r="O20" i="27" s="1"/>
  <c r="G20" i="27"/>
  <c r="G24" i="27" s="1"/>
  <c r="K22" i="27"/>
  <c r="M24" i="27"/>
  <c r="F24" i="27"/>
  <c r="N24" i="27"/>
  <c r="H22" i="27"/>
  <c r="H24" i="27"/>
  <c r="I24" i="27"/>
  <c r="I22" i="27"/>
  <c r="D22" i="27"/>
  <c r="D24" i="27"/>
  <c r="E24" i="27"/>
  <c r="E22" i="27"/>
  <c r="J24" i="27"/>
  <c r="J22" i="27"/>
  <c r="L22" i="27"/>
  <c r="L24" i="27"/>
  <c r="P22" i="27"/>
  <c r="P24" i="27"/>
  <c r="G22" i="27" l="1"/>
  <c r="O22" i="27"/>
  <c r="O24" i="27"/>
  <c r="I6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I21" i="10" l="1"/>
  <c r="D22" i="12"/>
  <c r="I16" i="10" l="1"/>
  <c r="D16" i="12"/>
  <c r="F16" i="12"/>
  <c r="I10" i="10" l="1"/>
  <c r="D9" i="12"/>
  <c r="D35" i="12" l="1"/>
  <c r="F35" i="12" s="1"/>
  <c r="I31" i="10"/>
  <c r="I35" i="10" l="1"/>
  <c r="L50" i="38" l="1"/>
  <c r="O50" i="38"/>
  <c r="G79" i="38"/>
  <c r="J50" i="38"/>
  <c r="H50" i="38"/>
  <c r="K50" i="38"/>
  <c r="F50" i="38"/>
  <c r="N79" i="38"/>
  <c r="G50" i="38"/>
  <c r="K109" i="38"/>
  <c r="G109" i="38"/>
  <c r="R109" i="38"/>
  <c r="R50" i="38"/>
  <c r="S109" i="38"/>
  <c r="S50" i="38"/>
  <c r="N50" i="38"/>
  <c r="M50" i="38"/>
  <c r="I50" i="38"/>
  <c r="H109" i="38"/>
  <c r="J79" i="38" l="1"/>
  <c r="L79" i="38"/>
  <c r="H79" i="38"/>
  <c r="K79" i="38"/>
  <c r="M79" i="38"/>
  <c r="I109" i="38"/>
  <c r="T77" i="38"/>
  <c r="U77" i="38"/>
  <c r="I79" i="38"/>
  <c r="U70" i="38"/>
  <c r="T70" i="38"/>
  <c r="M109" i="38"/>
  <c r="U134" i="38"/>
  <c r="T134" i="38"/>
  <c r="T11" i="38"/>
  <c r="U11" i="38"/>
  <c r="T108" i="38"/>
  <c r="U108" i="38"/>
  <c r="T49" i="38"/>
  <c r="T50" i="38" s="1"/>
  <c r="U49" i="38"/>
  <c r="U50" i="38" s="1"/>
  <c r="Q50" i="38"/>
  <c r="U127" i="38"/>
  <c r="T127" i="38"/>
  <c r="N109" i="38"/>
  <c r="F109" i="38"/>
  <c r="U137" i="38"/>
  <c r="T137" i="38"/>
  <c r="T76" i="38"/>
  <c r="Q79" i="38"/>
  <c r="U76" i="38"/>
  <c r="S79" i="38"/>
  <c r="R79" i="38"/>
  <c r="O79" i="38"/>
  <c r="L109" i="38"/>
  <c r="J109" i="38"/>
  <c r="O109" i="38"/>
  <c r="U140" i="38"/>
  <c r="T140" i="38"/>
  <c r="T78" i="38"/>
  <c r="U78" i="38"/>
  <c r="F79" i="38"/>
  <c r="T106" i="38"/>
  <c r="T109" i="38" s="1"/>
  <c r="U106" i="38"/>
  <c r="U109" i="38" s="1"/>
  <c r="Q109" i="38"/>
  <c r="T79" i="38" l="1"/>
  <c r="U79" i="38"/>
  <c r="U57" i="38" l="1"/>
  <c r="T57" i="38"/>
  <c r="U139" i="38"/>
  <c r="T139" i="38"/>
  <c r="U142" i="38"/>
  <c r="T142" i="38"/>
  <c r="U136" i="38"/>
  <c r="T136" i="38"/>
  <c r="U126" i="38"/>
  <c r="T126" i="38"/>
  <c r="U129" i="38"/>
  <c r="T129" i="38"/>
  <c r="U59" i="38" l="1"/>
  <c r="T59" i="38"/>
  <c r="T55" i="38"/>
  <c r="U55" i="38"/>
  <c r="U58" i="38"/>
  <c r="T58" i="38"/>
  <c r="U60" i="38"/>
  <c r="T60" i="38"/>
  <c r="S64" i="38" l="1"/>
  <c r="O64" i="38"/>
  <c r="T133" i="38"/>
  <c r="L64" i="38"/>
  <c r="I73" i="38"/>
  <c r="U54" i="38"/>
  <c r="T54" i="38"/>
  <c r="H64" i="38"/>
  <c r="U63" i="38"/>
  <c r="T63" i="38"/>
  <c r="G64" i="38"/>
  <c r="U62" i="38"/>
  <c r="T62" i="38"/>
  <c r="R64" i="38"/>
  <c r="Q64" i="38"/>
  <c r="U53" i="38"/>
  <c r="T53" i="38"/>
  <c r="U56" i="38"/>
  <c r="T56" i="38"/>
  <c r="I64" i="38"/>
  <c r="M64" i="38"/>
  <c r="J64" i="38"/>
  <c r="F64" i="38"/>
  <c r="K14" i="38"/>
  <c r="U61" i="38"/>
  <c r="T61" i="38"/>
  <c r="N64" i="38"/>
  <c r="U133" i="38"/>
  <c r="K64" i="38"/>
  <c r="M73" i="38"/>
  <c r="R14" i="38"/>
  <c r="K66" i="38" l="1"/>
  <c r="H144" i="38"/>
  <c r="N144" i="38"/>
  <c r="G14" i="38"/>
  <c r="H73" i="38"/>
  <c r="F73" i="38"/>
  <c r="I114" i="38"/>
  <c r="O144" i="38"/>
  <c r="K144" i="38"/>
  <c r="M14" i="38"/>
  <c r="M66" i="38" s="1"/>
  <c r="F14" i="38"/>
  <c r="U13" i="38"/>
  <c r="U14" i="38" s="1"/>
  <c r="Q14" i="38"/>
  <c r="Q73" i="38"/>
  <c r="Q66" i="38"/>
  <c r="G144" i="38"/>
  <c r="L114" i="38"/>
  <c r="G66" i="38"/>
  <c r="N73" i="38"/>
  <c r="J114" i="38"/>
  <c r="S144" i="38"/>
  <c r="F66" i="38"/>
  <c r="I144" i="38"/>
  <c r="S14" i="38"/>
  <c r="S66" i="38" s="1"/>
  <c r="J14" i="38"/>
  <c r="J66" i="38" s="1"/>
  <c r="L144" i="38"/>
  <c r="O73" i="38"/>
  <c r="H14" i="38"/>
  <c r="H66" i="38" s="1"/>
  <c r="F144" i="38"/>
  <c r="K73" i="38"/>
  <c r="H114" i="38"/>
  <c r="O14" i="38"/>
  <c r="O66" i="38" s="1"/>
  <c r="T64" i="38"/>
  <c r="M144" i="38"/>
  <c r="N14" i="38"/>
  <c r="R73" i="38"/>
  <c r="R66" i="38"/>
  <c r="L73" i="38"/>
  <c r="O114" i="38"/>
  <c r="N66" i="38"/>
  <c r="J144" i="38"/>
  <c r="L14" i="38"/>
  <c r="L66" i="38" s="1"/>
  <c r="N114" i="38"/>
  <c r="R144" i="38"/>
  <c r="G73" i="38"/>
  <c r="S73" i="38"/>
  <c r="J73" i="38"/>
  <c r="U64" i="38"/>
  <c r="I14" i="38"/>
  <c r="I66" i="38" s="1"/>
  <c r="R114" i="38"/>
  <c r="M114" i="38" l="1"/>
  <c r="K114" i="38"/>
  <c r="U66" i="38"/>
  <c r="S114" i="38"/>
  <c r="T113" i="38"/>
  <c r="U113" i="38"/>
  <c r="U143" i="38"/>
  <c r="U144" i="38" s="1"/>
  <c r="T143" i="38"/>
  <c r="T144" i="38" s="1"/>
  <c r="Q144" i="38"/>
  <c r="F114" i="38"/>
  <c r="T72" i="38"/>
  <c r="T73" i="38" s="1"/>
  <c r="T13" i="38"/>
  <c r="T14" i="38" s="1"/>
  <c r="T66" i="38" s="1"/>
  <c r="Q114" i="38"/>
  <c r="T112" i="38"/>
  <c r="U112" i="38"/>
  <c r="U114" i="38" s="1"/>
  <c r="U72" i="38"/>
  <c r="U73" i="38" s="1"/>
  <c r="G114" i="38"/>
  <c r="O121" i="38" l="1"/>
  <c r="O146" i="38" s="1"/>
  <c r="T114" i="38"/>
  <c r="N121" i="38"/>
  <c r="N146" i="38" s="1"/>
  <c r="N148" i="38" s="1"/>
  <c r="D27" i="10" s="1"/>
  <c r="L121" i="38"/>
  <c r="L146" i="38" s="1"/>
  <c r="G121" i="38"/>
  <c r="G146" i="38" s="1"/>
  <c r="L148" i="38" l="1"/>
  <c r="D25" i="10" s="1"/>
  <c r="M121" i="38"/>
  <c r="M146" i="38" s="1"/>
  <c r="M148" i="38" s="1"/>
  <c r="D29" i="10" s="1"/>
  <c r="G148" i="38"/>
  <c r="D13" i="10" s="1"/>
  <c r="F121" i="38"/>
  <c r="F146" i="38" s="1"/>
  <c r="F148" i="38" s="1"/>
  <c r="D9" i="10" s="1"/>
  <c r="O148" i="38"/>
  <c r="D33" i="10" s="1"/>
  <c r="T116" i="38"/>
  <c r="U116" i="38"/>
  <c r="H121" i="38"/>
  <c r="H146" i="38" s="1"/>
  <c r="H148" i="38" s="1"/>
  <c r="D14" i="10" s="1"/>
  <c r="K121" i="38"/>
  <c r="K146" i="38" s="1"/>
  <c r="K148" i="38" s="1"/>
  <c r="D23" i="10" s="1"/>
  <c r="R121" i="38"/>
  <c r="R146" i="38" s="1"/>
  <c r="R148" i="38" s="1"/>
  <c r="S121" i="38"/>
  <c r="S146" i="38" s="1"/>
  <c r="S148" i="38" s="1"/>
  <c r="D20" i="10" s="1"/>
  <c r="J121" i="38"/>
  <c r="J146" i="38" s="1"/>
  <c r="J148" i="38" s="1"/>
  <c r="I121" i="38"/>
  <c r="I146" i="38" s="1"/>
  <c r="I148" i="38" s="1"/>
  <c r="D15" i="10" s="1"/>
  <c r="D16" i="10" l="1"/>
  <c r="U120" i="38"/>
  <c r="U121" i="38" s="1"/>
  <c r="U146" i="38" s="1"/>
  <c r="U148" i="38" s="1"/>
  <c r="D19" i="10" s="1"/>
  <c r="D21" i="10" s="1"/>
  <c r="T120" i="38"/>
  <c r="T121" i="38" s="1"/>
  <c r="T146" i="38" s="1"/>
  <c r="T148" i="38" s="1"/>
  <c r="Q121" i="38"/>
  <c r="Q146" i="38" s="1"/>
  <c r="Q148" i="38" s="1"/>
  <c r="D10" i="10"/>
  <c r="D31" i="10" l="1"/>
  <c r="D35" i="10" l="1"/>
  <c r="E31" i="10" s="1"/>
  <c r="E27" i="10" l="1"/>
  <c r="E13" i="10"/>
  <c r="E33" i="10"/>
  <c r="E16" i="10"/>
  <c r="E20" i="10"/>
  <c r="E29" i="10"/>
  <c r="E25" i="10"/>
  <c r="E21" i="10"/>
  <c r="E15" i="10"/>
  <c r="E19" i="10"/>
  <c r="E23" i="10"/>
  <c r="E14" i="10"/>
  <c r="E9" i="10"/>
  <c r="E10" i="10"/>
  <c r="G19" i="10" l="1"/>
  <c r="G29" i="10"/>
  <c r="G13" i="10"/>
  <c r="G9" i="10"/>
  <c r="K9" i="10" s="1"/>
  <c r="M9" i="10" s="1"/>
  <c r="G15" i="10"/>
  <c r="G20" i="10"/>
  <c r="G27" i="10"/>
  <c r="G14" i="10"/>
  <c r="G23" i="10"/>
  <c r="G25" i="10"/>
  <c r="G33" i="10"/>
  <c r="E35" i="10"/>
  <c r="K25" i="10" l="1"/>
  <c r="M25" i="10" s="1"/>
  <c r="G194" i="34"/>
  <c r="K27" i="10"/>
  <c r="M27" i="10" s="1"/>
  <c r="K15" i="10"/>
  <c r="M15" i="10" s="1"/>
  <c r="G16" i="10"/>
  <c r="K16" i="10" s="1"/>
  <c r="K13" i="10"/>
  <c r="M13" i="10" s="1"/>
  <c r="G21" i="10"/>
  <c r="K21" i="10" s="1"/>
  <c r="K19" i="10"/>
  <c r="M19" i="10" s="1"/>
  <c r="K23" i="10"/>
  <c r="M23" i="10" s="1"/>
  <c r="K20" i="10"/>
  <c r="M20" i="10" s="1"/>
  <c r="K14" i="10"/>
  <c r="M14" i="10" s="1"/>
  <c r="G10" i="10"/>
  <c r="K29" i="10"/>
  <c r="M29" i="10" s="1"/>
  <c r="M10" i="10" l="1"/>
  <c r="H21" i="12"/>
  <c r="I21" i="12" s="1"/>
  <c r="H24" i="12"/>
  <c r="I24" i="12" s="1"/>
  <c r="G31" i="10"/>
  <c r="K10" i="10"/>
  <c r="H33" i="12"/>
  <c r="I33" i="12" s="1"/>
  <c r="H14" i="12"/>
  <c r="I14" i="12" s="1"/>
  <c r="H13" i="12" l="1"/>
  <c r="I13" i="12" s="1"/>
  <c r="G15" i="12"/>
  <c r="H15" i="12" s="1"/>
  <c r="I15" i="12" s="1"/>
  <c r="G9" i="12"/>
  <c r="K31" i="10"/>
  <c r="G35" i="10"/>
  <c r="K35" i="10" s="1"/>
  <c r="G28" i="12"/>
  <c r="H28" i="12" s="1"/>
  <c r="I28" i="12" s="1"/>
  <c r="H27" i="12"/>
  <c r="M16" i="10"/>
  <c r="H31" i="12"/>
  <c r="I31" i="12" s="1"/>
  <c r="M21" i="10"/>
  <c r="G29" i="12" l="1"/>
  <c r="M31" i="10"/>
  <c r="H12" i="12"/>
  <c r="G16" i="12"/>
  <c r="I8" i="12"/>
  <c r="H9" i="12"/>
  <c r="H19" i="12"/>
  <c r="G20" i="12"/>
  <c r="H20" i="12" s="1"/>
  <c r="I20" i="12" s="1"/>
  <c r="H62" i="27"/>
  <c r="H45" i="27"/>
  <c r="H49" i="27" s="1"/>
  <c r="I27" i="12"/>
  <c r="H29" i="12"/>
  <c r="I29" i="12" s="1"/>
  <c r="G22" i="12" l="1"/>
  <c r="G35" i="12" s="1"/>
  <c r="H63" i="27"/>
  <c r="R8" i="27"/>
  <c r="R18" i="27"/>
  <c r="R10" i="27"/>
  <c r="R14" i="27"/>
  <c r="R15" i="27"/>
  <c r="R11" i="27"/>
  <c r="R13" i="27"/>
  <c r="R26" i="27"/>
  <c r="R17" i="27"/>
  <c r="R9" i="27"/>
  <c r="R12" i="27"/>
  <c r="R16" i="27"/>
  <c r="I19" i="12"/>
  <c r="H22" i="12"/>
  <c r="I22" i="12" s="1"/>
  <c r="I9" i="12"/>
  <c r="I12" i="12"/>
  <c r="H16" i="12"/>
  <c r="I16" i="12" s="1"/>
  <c r="T16" i="27" l="1"/>
  <c r="S16" i="27"/>
  <c r="S26" i="27"/>
  <c r="T26" i="27"/>
  <c r="S15" i="27"/>
  <c r="T15" i="27"/>
  <c r="T8" i="27"/>
  <c r="S8" i="27"/>
  <c r="S12" i="27"/>
  <c r="T12" i="27"/>
  <c r="T13" i="27"/>
  <c r="S13" i="27"/>
  <c r="S14" i="27"/>
  <c r="T14" i="27"/>
  <c r="H35" i="12"/>
  <c r="I35" i="12" s="1"/>
  <c r="S9" i="27"/>
  <c r="T9" i="27"/>
  <c r="R7" i="27"/>
  <c r="Q20" i="27"/>
  <c r="S10" i="27"/>
  <c r="T10" i="27"/>
  <c r="T17" i="27"/>
  <c r="S17" i="27"/>
  <c r="T11" i="27"/>
  <c r="S11" i="27"/>
  <c r="S18" i="27"/>
  <c r="T18" i="27"/>
  <c r="Q22" i="27" l="1"/>
  <c r="T7" i="27"/>
  <c r="S7" i="27"/>
  <c r="S20" i="27" s="1"/>
  <c r="R20" i="27"/>
  <c r="T20" i="27" l="1"/>
  <c r="R24" i="27"/>
  <c r="R22" i="27"/>
  <c r="T22" i="27" s="1"/>
  <c r="S24" i="27"/>
  <c r="S22" i="27"/>
  <c r="G185" i="34" l="1"/>
  <c r="G189" i="34" l="1"/>
  <c r="G188" i="34"/>
  <c r="G191" i="34"/>
  <c r="G87" i="34" l="1"/>
  <c r="G14" i="34"/>
  <c r="G91" i="34"/>
  <c r="G104" i="34"/>
  <c r="G45" i="34"/>
  <c r="G81" i="34"/>
  <c r="G77" i="34"/>
  <c r="G44" i="34"/>
  <c r="G42" i="34"/>
  <c r="G118" i="34"/>
  <c r="G99" i="34"/>
  <c r="G46" i="34"/>
  <c r="G69" i="34"/>
  <c r="G97" i="34"/>
  <c r="G119" i="34"/>
  <c r="G110" i="34"/>
  <c r="G26" i="34"/>
  <c r="G27" i="34"/>
  <c r="G18" i="34"/>
  <c r="G39" i="34"/>
  <c r="G79" i="34"/>
  <c r="G89" i="34"/>
  <c r="G96" i="34"/>
  <c r="G73" i="34"/>
  <c r="G67" i="34"/>
  <c r="G37" i="34"/>
  <c r="G84" i="34"/>
  <c r="G68" i="34"/>
  <c r="G33" i="34"/>
  <c r="G117" i="34"/>
  <c r="G161" i="34"/>
  <c r="G120" i="34"/>
  <c r="G74" i="34"/>
  <c r="G72" i="34"/>
  <c r="G35" i="34"/>
  <c r="G24" i="34"/>
  <c r="G43" i="34"/>
  <c r="G174" i="34"/>
  <c r="G93" i="34"/>
  <c r="G116" i="34"/>
  <c r="G86" i="34"/>
  <c r="G71" i="34"/>
  <c r="G108" i="34"/>
  <c r="G106" i="34"/>
  <c r="G111" i="34"/>
  <c r="G13" i="34"/>
  <c r="G66" i="34"/>
  <c r="G28" i="34"/>
  <c r="G82" i="34"/>
  <c r="G29" i="34"/>
  <c r="G12" i="34"/>
  <c r="G41" i="34"/>
  <c r="G47" i="34"/>
  <c r="G122" i="34"/>
  <c r="G21" i="34"/>
  <c r="G90" i="34"/>
  <c r="G80" i="34"/>
  <c r="G25" i="34"/>
  <c r="G100" i="34"/>
  <c r="G38" i="34"/>
  <c r="G83" i="34"/>
  <c r="G32" i="34"/>
  <c r="G36" i="34"/>
  <c r="G16" i="34"/>
  <c r="G121" i="34"/>
  <c r="G23" i="34"/>
  <c r="G101" i="34"/>
  <c r="G70" i="34"/>
  <c r="G115" i="34"/>
  <c r="G94" i="34"/>
  <c r="G78" i="34"/>
  <c r="G17" i="34"/>
  <c r="G112" i="34"/>
  <c r="G105" i="34"/>
  <c r="G15" i="34"/>
  <c r="G95" i="34"/>
  <c r="G98" i="34"/>
  <c r="G123" i="34"/>
  <c r="G76" i="34"/>
  <c r="G88" i="34"/>
  <c r="G133" i="34"/>
  <c r="G109" i="34"/>
  <c r="G22" i="34"/>
  <c r="G34" i="34"/>
  <c r="G107" i="34"/>
  <c r="G10" i="34"/>
  <c r="G129" i="34" l="1"/>
  <c r="G164" i="34"/>
  <c r="G172" i="34"/>
  <c r="G173" i="34"/>
  <c r="G128" i="34"/>
  <c r="G143" i="34"/>
  <c r="G57" i="34"/>
  <c r="G55" i="34"/>
  <c r="G137" i="34"/>
  <c r="G127" i="34"/>
  <c r="G146" i="34"/>
  <c r="G181" i="34"/>
  <c r="G64" i="34"/>
  <c r="G178" i="34"/>
  <c r="G176" i="34"/>
  <c r="G54" i="34"/>
  <c r="G131" i="34"/>
  <c r="G51" i="34"/>
  <c r="G150" i="34"/>
  <c r="G136" i="34"/>
  <c r="G53" i="34"/>
  <c r="G60" i="34"/>
  <c r="G148" i="34"/>
  <c r="G156" i="34"/>
  <c r="G139" i="34"/>
  <c r="G58" i="34"/>
  <c r="G160" i="34"/>
  <c r="G179" i="34"/>
  <c r="G151" i="34"/>
  <c r="G175" i="34"/>
  <c r="G149" i="34"/>
  <c r="G155" i="34"/>
  <c r="G63" i="34"/>
  <c r="G169" i="34"/>
  <c r="G170" i="34"/>
  <c r="G147" i="34"/>
  <c r="G135" i="34"/>
  <c r="G165" i="34"/>
  <c r="G162" i="34"/>
  <c r="G52" i="34"/>
  <c r="G138" i="34"/>
  <c r="G61" i="34"/>
  <c r="G140" i="34"/>
  <c r="G56" i="34"/>
  <c r="G142" i="34"/>
  <c r="G141" i="34"/>
  <c r="G168" i="34"/>
  <c r="G182" i="34"/>
  <c r="G157" i="34"/>
  <c r="G153" i="34"/>
  <c r="G126" i="34"/>
  <c r="G177" i="34"/>
  <c r="G130" i="34"/>
  <c r="G62" i="34"/>
  <c r="G50" i="34"/>
  <c r="G154" i="34"/>
  <c r="G180" i="34"/>
  <c r="G159" i="34"/>
  <c r="G171" i="34"/>
  <c r="G193" i="34" l="1"/>
  <c r="G195" i="34" s="1"/>
</calcChain>
</file>

<file path=xl/sharedStrings.xml><?xml version="1.0" encoding="utf-8"?>
<sst xmlns="http://schemas.openxmlformats.org/spreadsheetml/2006/main" count="827" uniqueCount="459">
  <si>
    <t>Puget Sound Energy</t>
  </si>
  <si>
    <t>Line No.</t>
  </si>
  <si>
    <t>Voltage Level</t>
  </si>
  <si>
    <t>Schedule</t>
  </si>
  <si>
    <t>Percent of Total</t>
  </si>
  <si>
    <t>A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</si>
  <si>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</si>
  <si>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</si>
  <si>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</si>
  <si>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</si>
  <si>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</si>
  <si>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</si>
  <si>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</si>
  <si>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</si>
  <si>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</si>
  <si>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Campus Rate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</si>
  <si>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</si>
  <si>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</si>
  <si>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</si>
  <si>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</si>
  <si>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</si>
  <si>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</si>
  <si>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</si>
  <si>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</si>
  <si>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</si>
  <si>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</si>
  <si>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</si>
  <si>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</si>
  <si>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</si>
  <si>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</si>
  <si>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</si>
  <si>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</si>
  <si>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</si>
  <si>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</si>
  <si>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</si>
  <si>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</si>
  <si>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</si>
  <si>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</si>
  <si>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</si>
  <si>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per Month</t>
  </si>
  <si>
    <t>Schedule 140 - Property Tax Rider</t>
  </si>
  <si>
    <t>Schedule 137 - Renewable Energy Credit</t>
  </si>
  <si>
    <t>Schedule 133 - Regulatory Asset Tracker</t>
  </si>
  <si>
    <t>Schedule 132 - Merger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</si>
  <si>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</si>
  <si>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</si>
  <si>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</si>
  <si>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</si>
  <si>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</si>
  <si>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</si>
  <si>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</si>
  <si>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</si>
  <si>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Average Cents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</si>
  <si>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</si>
  <si>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</si>
  <si>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</si>
  <si>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</si>
  <si>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</si>
  <si>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</si>
  <si>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</si>
  <si>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</si>
  <si>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</si>
  <si>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</si>
  <si>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</si>
  <si>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</si>
  <si>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</si>
  <si>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 Difference</t>
  </si>
  <si>
    <t>$ Difference</t>
  </si>
  <si>
    <t>kWh</t>
  </si>
  <si>
    <t>Customer Bill</t>
  </si>
  <si>
    <t>Residential Customer Impacts</t>
  </si>
  <si>
    <t>46 &amp; 49</t>
  </si>
  <si>
    <t>449 &amp; 459</t>
  </si>
  <si>
    <t>Property Tax Revenue Requirement</t>
  </si>
  <si>
    <t>Lamp Type</t>
  </si>
  <si>
    <t>Mercury Vapor</t>
  </si>
  <si>
    <t>Sodium Vapor</t>
  </si>
  <si>
    <t>Check Difference due to Rounding</t>
  </si>
  <si>
    <t>Difference</t>
  </si>
  <si>
    <t>Annual kWh Delivered Sales (Normalized)</t>
  </si>
  <si>
    <t>8 &amp; 24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</si>
  <si>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</si>
  <si>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</si>
  <si>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</si>
  <si>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</si>
  <si>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</si>
  <si>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</si>
  <si>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</si>
  <si>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</si>
  <si>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</si>
  <si>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</si>
  <si>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(g) =
(f - e) * (c)</t>
  </si>
  <si>
    <t>(h) = (g) / 
[(c * e) + (d)]</t>
  </si>
  <si>
    <t>(h)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</si>
  <si>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</si>
  <si>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</si>
  <si>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</si>
  <si>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</si>
  <si>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</si>
  <si>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</si>
  <si>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</si>
  <si>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</si>
  <si>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142</t>
  </si>
  <si>
    <t>Sch 194</t>
  </si>
  <si>
    <t>Current Residential Bill</t>
  </si>
  <si>
    <t>Proposed Residential Bill</t>
  </si>
  <si>
    <t>Summary Page Residential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</si>
  <si>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</si>
  <si>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</si>
  <si>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</si>
  <si>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</si>
  <si>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</si>
  <si>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</si>
  <si>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</si>
  <si>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</si>
  <si>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</si>
  <si>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</si>
  <si>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</si>
  <si>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</si>
  <si>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</si>
  <si>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</si>
  <si>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</si>
  <si>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</si>
  <si>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137
RECS</t>
  </si>
  <si>
    <t>Schedule 142
Decoupling</t>
  </si>
  <si>
    <t>Schedule 194
BPA Res &amp; Farm Credit</t>
  </si>
  <si>
    <t>7A (Note 1)</t>
  </si>
  <si>
    <t>26 &amp; 26P</t>
  </si>
  <si>
    <t>All Sales</t>
  </si>
  <si>
    <t>12 / 26</t>
  </si>
  <si>
    <t>Annual Estimated Revenue @ Rates Effective 4/30/2019 (Excluding Sch 140)</t>
  </si>
  <si>
    <t>(b)= 
(a) / ∑ (a)</t>
  </si>
  <si>
    <t>12 &amp; 26</t>
  </si>
  <si>
    <t>(g)</t>
  </si>
  <si>
    <t>(k)</t>
  </si>
  <si>
    <t>(l)</t>
  </si>
  <si>
    <t>(m)</t>
  </si>
  <si>
    <t>(n)</t>
  </si>
  <si>
    <t>Summary of Allocated Costs</t>
  </si>
  <si>
    <t>Wattage (W)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</si>
  <si>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</si>
  <si>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</si>
  <si>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</si>
  <si>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</si>
  <si>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</si>
  <si>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</si>
  <si>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</si>
  <si>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</si>
  <si>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</si>
  <si>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</si>
  <si>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</si>
  <si>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</si>
  <si>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</si>
  <si>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</si>
  <si>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</si>
  <si>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</si>
  <si>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</si>
  <si>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</si>
  <si>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</si>
  <si>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</si>
  <si>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</si>
  <si>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</si>
  <si>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</si>
  <si>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</si>
  <si>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</si>
  <si>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</si>
  <si>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</si>
  <si>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</si>
  <si>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</si>
  <si>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</si>
  <si>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</si>
  <si>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</si>
  <si>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</si>
  <si>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</si>
  <si>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</si>
  <si>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</si>
  <si>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</si>
  <si>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</si>
  <si>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</si>
  <si>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</si>
  <si>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</si>
  <si>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</si>
  <si>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</si>
  <si>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</si>
  <si>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</si>
  <si>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</si>
  <si>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Average Customer</t>
  </si>
  <si>
    <t>ELECTRIC COST OF SERVICE SUMMARY - EXPENSE SUMMARY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</si>
  <si>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</si>
  <si>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</si>
  <si>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</si>
  <si>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</si>
  <si>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</si>
  <si>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</si>
  <si>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</si>
  <si>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</si>
  <si>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</si>
  <si>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</si>
  <si>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</si>
  <si>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</si>
  <si>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</si>
  <si>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</si>
  <si>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</si>
  <si>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</si>
  <si>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</si>
  <si>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</si>
  <si>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</si>
  <si>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</si>
  <si>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</si>
  <si>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</si>
  <si>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</si>
  <si>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</si>
  <si>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</si>
  <si>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</si>
  <si>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</si>
  <si>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</si>
  <si>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</si>
  <si>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</si>
  <si>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</si>
  <si>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</si>
  <si>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</si>
  <si>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</si>
  <si>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</si>
  <si>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</si>
  <si>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</si>
  <si>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</si>
  <si>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</si>
  <si>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</si>
  <si>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</si>
  <si>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</si>
  <si>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</si>
  <si>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</si>
  <si>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</si>
  <si>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</si>
  <si>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</si>
  <si>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</si>
  <si>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</si>
  <si>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</si>
  <si>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</si>
  <si>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</si>
  <si>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</si>
  <si>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</si>
  <si>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</si>
  <si>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</si>
  <si>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</si>
  <si>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</si>
  <si>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</si>
  <si>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</si>
  <si>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</si>
  <si>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</si>
  <si>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</si>
  <si>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</si>
  <si>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</si>
  <si>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</si>
  <si>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</si>
  <si>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</si>
  <si>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</si>
  <si>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</si>
  <si>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</si>
  <si>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</si>
  <si>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</si>
  <si>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</si>
  <si>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</si>
  <si>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</si>
  <si>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</si>
  <si>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</si>
  <si>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</si>
  <si>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</si>
  <si>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</si>
  <si>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</si>
  <si>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</si>
  <si>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</si>
  <si>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</si>
  <si>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</si>
  <si>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</si>
  <si>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</si>
  <si>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</si>
  <si>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</si>
  <si>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</si>
  <si>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</si>
  <si>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</si>
  <si>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</si>
  <si>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</si>
  <si>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</si>
  <si>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</si>
  <si>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Adjusted Test Year Twelve Months ended September 2016 @ Proforma Rev Requirement</t>
  </si>
  <si>
    <t>Firm Resale</t>
  </si>
  <si>
    <t>Impacts of Rate Change Effective May 1, 2019</t>
  </si>
  <si>
    <t>F2018 kWh 
May 2019
to April 2020</t>
  </si>
  <si>
    <t>Projected
Revenue 
(Based on Rates
Effective
1-1-2019)</t>
  </si>
  <si>
    <t>(c)
= (b) * A</t>
  </si>
  <si>
    <t>Effective May 1, 2019</t>
  </si>
  <si>
    <t>Test Year Ending April 30, 2020</t>
  </si>
  <si>
    <t>Inventory @ 12/31/2018</t>
  </si>
  <si>
    <t>Present Rates Effective 
4-30-19</t>
  </si>
  <si>
    <t>Proposed Rates Effective 
5-1-19</t>
  </si>
  <si>
    <t>Schedule 141 &amp; 141x - ERF Rider - First 600 kWh</t>
  </si>
  <si>
    <t>Schedule 141 &amp; 141x - ERF Rider - Over 600 kWh</t>
  </si>
  <si>
    <t>Sch 141 &amp; 
Sch 141x</t>
  </si>
  <si>
    <t>Schedule 141 &amp; Sch 141x - ERF Rider - 1 Phase Basic Charge</t>
  </si>
  <si>
    <t>May 1, 2019 Rate Impacts</t>
  </si>
  <si>
    <t>Schedule 141
ERF</t>
  </si>
  <si>
    <t>Rate Design Change</t>
  </si>
  <si>
    <t>Line No</t>
  </si>
  <si>
    <t>Description</t>
  </si>
  <si>
    <t>Proposed kVa Rate</t>
  </si>
  <si>
    <t>Year</t>
  </si>
  <si>
    <t>RC 449PV</t>
  </si>
  <si>
    <t>RC449HV</t>
  </si>
  <si>
    <t>RC 459HV</t>
  </si>
  <si>
    <t>Proposed Effective 5-1-19</t>
  </si>
  <si>
    <t>2019 Revenue Increase</t>
  </si>
  <si>
    <t>F2018 kVa Demand (May 2019 to April 2020)</t>
  </si>
  <si>
    <t>F2018 Monthly Billing Demand by Rate Schedule</t>
  </si>
  <si>
    <t>Monthly kVa Projection, May 2019 - April 2020</t>
  </si>
  <si>
    <t>Test Year ended April 2020 (F2018 Schedule Level)</t>
  </si>
  <si>
    <t>Average Residential Usage YE April 2020</t>
  </si>
  <si>
    <t>Adjusted Electric
Cost of Service 
RB.T 
Allocation Factor
Docket No. 
UE-180282</t>
  </si>
  <si>
    <t>PSE</t>
  </si>
  <si>
    <t>Overcollection of Income Taxes: January - April 2018</t>
  </si>
  <si>
    <t>electric</t>
  </si>
  <si>
    <t>gas</t>
  </si>
  <si>
    <t>total</t>
  </si>
  <si>
    <t>GRC Settlement Impact</t>
  </si>
  <si>
    <t>Sch.95A impact</t>
  </si>
  <si>
    <t>Total Revenue Decrease</t>
  </si>
  <si>
    <t>Determine Shaping for 2018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</si>
  <si>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</si>
  <si>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</si>
  <si>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</si>
  <si>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</si>
  <si>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</si>
  <si>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</si>
  <si>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</si>
  <si>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</si>
  <si>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</si>
  <si>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</si>
  <si>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</si>
  <si>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</si>
  <si>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Year 2018</t>
  </si>
  <si>
    <t>2018 Revenue</t>
  </si>
  <si>
    <t>D:[Electric Revenue]</t>
  </si>
  <si>
    <t>E:[Gas Revenue]</t>
  </si>
  <si>
    <t>Electric Revenue by %</t>
  </si>
  <si>
    <t>Gas Revenue by %</t>
  </si>
  <si>
    <t>Monthly Impact</t>
  </si>
  <si>
    <t>Not used</t>
  </si>
  <si>
    <t>Electric Tracker</t>
  </si>
  <si>
    <t>Gas Tracker</t>
  </si>
  <si>
    <t>Final</t>
  </si>
  <si>
    <t>YTD Impact - cummulative</t>
  </si>
  <si>
    <t>Balance</t>
  </si>
  <si>
    <t>YTD Impact</t>
  </si>
  <si>
    <t>Accumulated Reserve for Depreciation</t>
  </si>
  <si>
    <t>Accum Amortization - Production</t>
  </si>
  <si>
    <t>Accum Amortization - Transmission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</si>
  <si>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</si>
  <si>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</si>
  <si>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</si>
  <si>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</si>
  <si>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</si>
  <si>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</si>
  <si>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</si>
  <si>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</si>
  <si>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</si>
  <si>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108.04_L</t>
  </si>
  <si>
    <t>Accum Depreciation Transmission Sch 62</t>
  </si>
  <si>
    <t>108.05_360a</t>
  </si>
  <si>
    <t>Land Rights - Assigned</t>
  </si>
  <si>
    <t>DIR108.360</t>
  </si>
  <si>
    <t>108.05_360b</t>
  </si>
  <si>
    <t>Land Rights</t>
  </si>
  <si>
    <t>108.05_361a</t>
  </si>
  <si>
    <t>DIR108.361</t>
  </si>
  <si>
    <t>108.05_361b</t>
  </si>
  <si>
    <t>108.05_362a</t>
  </si>
  <si>
    <t>DIR108.362</t>
  </si>
  <si>
    <t>108.05_362b</t>
  </si>
  <si>
    <t>108.10_363</t>
  </si>
  <si>
    <t>108.10_364a</t>
  </si>
  <si>
    <t>108.10_364b</t>
  </si>
  <si>
    <t>Poles &amp; OH Conductor - Assigned</t>
  </si>
  <si>
    <t>DIR108.364</t>
  </si>
  <si>
    <t>108.10_365a</t>
  </si>
  <si>
    <t>108.10_366a</t>
  </si>
  <si>
    <t>UG Conduit &amp; Conductor - Assigned</t>
  </si>
  <si>
    <t>DIR108.366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</si>
  <si>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</si>
  <si>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</si>
  <si>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</si>
  <si>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</si>
  <si>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</si>
  <si>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</si>
  <si>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</si>
  <si>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</si>
  <si>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</si>
  <si>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</si>
  <si>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</si>
  <si>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</si>
  <si>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</si>
  <si>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</si>
  <si>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</si>
  <si>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D370.T</t>
  </si>
  <si>
    <t>108.10_373</t>
  </si>
  <si>
    <t>108.10_374</t>
  </si>
  <si>
    <t>Accum Depreciation General Plant</t>
  </si>
  <si>
    <t>RWIP</t>
  </si>
  <si>
    <t>PTDGP.T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</si>
  <si>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</si>
  <si>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</si>
  <si>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</si>
  <si>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</si>
  <si>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</si>
  <si>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EPIS.T</t>
  </si>
  <si>
    <t>Other Items</t>
  </si>
  <si>
    <t>Misc Def Debits - Production</t>
  </si>
  <si>
    <t>Misc Def Debits - Transmission</t>
  </si>
  <si>
    <t>Misc Def Debits - Distribution</t>
  </si>
  <si>
    <t>DP.T</t>
  </si>
  <si>
    <t xml:space="preserve">Accum Deferred Income Tax - Prod </t>
  </si>
  <si>
    <t>Accum Deferred Income Tax - Trans</t>
  </si>
  <si>
    <t>Accum Deferred Income Tax - General</t>
  </si>
  <si>
    <t>Customer Deposits</t>
  </si>
  <si>
    <t>DIR235.00</t>
  </si>
  <si>
    <t>Customer Deposits - Transmission</t>
  </si>
  <si>
    <t>Customer Advances</t>
  </si>
  <si>
    <t>DIR252.00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</si>
  <si>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</si>
  <si>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</si>
  <si>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</si>
  <si>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</si>
  <si>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</si>
  <si>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</si>
  <si>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</si>
  <si>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</si>
  <si>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</si>
  <si>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</si>
  <si>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</si>
  <si>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</si>
  <si>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</si>
  <si>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(e) = 
(c) / (d)</t>
  </si>
  <si>
    <t>(f) = 
(e * d) - (c)</t>
  </si>
  <si>
    <t>= (a) * (b) * 12</t>
  </si>
  <si>
    <t>Lighting Revenue to Credit</t>
  </si>
  <si>
    <t>Sch 141Y Revenue</t>
  </si>
  <si>
    <t>Proposed Credit Schedule 141Y
Effective 5/1/2019</t>
  </si>
  <si>
    <t>Remove:  Schedule 141Y</t>
  </si>
  <si>
    <t>Add:  Schedule 141Y</t>
  </si>
  <si>
    <t>Electric Schedule 141Y Federal Tax Reform Credit Filing</t>
  </si>
  <si>
    <t>Current
Schedule 141Y
Tax Reform Credit
Rates</t>
  </si>
  <si>
    <t>Proposed
Schedule 141Y
Tax Reform Credit
Effective 5-1-19</t>
  </si>
  <si>
    <t>Schedule 141Y Tax Reform Credit Revenue Change</t>
  </si>
  <si>
    <t>Schedule 141Y Tax Reform Credit % Change</t>
  </si>
  <si>
    <t>Calculation of Federal Tax Reform Credit Rates</t>
  </si>
  <si>
    <t>Tax Reform Credit Allocation</t>
  </si>
  <si>
    <t>Schedule 141Y Tax Reform Credit Rates</t>
  </si>
  <si>
    <t>Schedules 449 and 459 Tax Reform (Schedule 141Y) kVa Credit</t>
  </si>
  <si>
    <t>2018 Federal Tax Reform Credit Workpapers</t>
  </si>
  <si>
    <t>Schedule 141Y - Tax Reform Credit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</si>
</sst>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00_);_(&quot;$&quot;* \(#,##0.00000\);_(&quot;$&quot;* &quot;-&quot;??_);_(@_)"/>
    <numFmt numFmtId="169" formatCode="_(&quot;$&quot;* #,##0.000_);_(&quot;$&quot;* \(#,##0.000\);_(&quot;$&quot;* &quot;-&quot;??_);_(@_)"/>
    <numFmt numFmtId="170" formatCode="0.000000"/>
    <numFmt numFmtId="171" formatCode="_(* #,##0.00000_);_(* \(#,##0.00000\);_(* &quot;-&quot;??_);_(@_)"/>
    <numFmt numFmtId="172" formatCode="0.0000000"/>
    <numFmt numFmtId="173" formatCode="d\.mmm\.yy"/>
    <numFmt numFmtId="174" formatCode="#."/>
    <numFmt numFmtId="175" formatCode="_(* ###0_);_(* \(###0\);_(* &quot;-&quot;_);_(@_)"/>
    <numFmt numFmtId="176" formatCode="0.00_)"/>
    <numFmt numFmtId="177" formatCode="&quot;$&quot;#,##0;\-&quot;$&quot;#,##0"/>
    <numFmt numFmtId="178" formatCode="_(&quot;$&quot;* #,##0.0000_);_(&quot;$&quot;* \(#,##0.0000\);_(&quot;$&quot;* &quot;-&quot;????_);_(@_)"/>
    <numFmt numFmtId="179" formatCode="_(* #,##0.0_);_(* \(#,##0.0\);_(* &quot;-&quot;_);_(@_)"/>
    <numFmt numFmtId="180" formatCode="#,##0_);[Red]\(#,##0\);&quot; &quot;"/>
  </numFmts>
  <fonts count="5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8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11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0" fontId="15" fillId="0" borderId="0">
      <alignment horizontal="left" wrapText="1"/>
    </xf>
    <xf numFmtId="44" fontId="15" fillId="0" borderId="0" applyFont="0" applyFill="0" applyBorder="0" applyAlignment="0" applyProtection="0"/>
    <xf numFmtId="0" fontId="1" fillId="0" borderId="0"/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2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0" fontId="16" fillId="0" borderId="0"/>
    <xf numFmtId="171" fontId="1" fillId="0" borderId="0">
      <alignment horizontal="left" wrapText="1"/>
    </xf>
    <xf numFmtId="171" fontId="1" fillId="0" borderId="0">
      <alignment horizontal="left" wrapText="1"/>
    </xf>
    <xf numFmtId="0" fontId="1" fillId="0" borderId="0"/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2" fontId="1" fillId="0" borderId="0">
      <alignment horizontal="left" wrapText="1"/>
    </xf>
    <xf numFmtId="172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171" fontId="1" fillId="0" borderId="0">
      <alignment horizontal="left" wrapText="1"/>
    </xf>
    <xf numFmtId="0" fontId="16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173" fontId="20" fillId="0" borderId="0" applyFill="0" applyBorder="0" applyAlignment="0"/>
    <xf numFmtId="41" fontId="1" fillId="2" borderId="0"/>
    <xf numFmtId="0" fontId="21" fillId="23" borderId="20" applyNumberFormat="0" applyAlignment="0" applyProtection="0"/>
    <xf numFmtId="41" fontId="1" fillId="24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3" fillId="0" borderId="0"/>
    <xf numFmtId="0" fontId="23" fillId="0" borderId="0"/>
    <xf numFmtId="0" fontId="24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174" fontId="26" fillId="0" borderId="0">
      <protection locked="0"/>
    </xf>
    <xf numFmtId="0" fontId="24" fillId="0" borderId="0"/>
    <xf numFmtId="0" fontId="27" fillId="0" borderId="0" applyNumberFormat="0" applyAlignment="0">
      <alignment horizontal="left"/>
    </xf>
    <xf numFmtId="0" fontId="28" fillId="0" borderId="0" applyNumberFormat="0" applyAlignment="0"/>
    <xf numFmtId="0" fontId="23" fillId="0" borderId="0"/>
    <xf numFmtId="0" fontId="24" fillId="0" borderId="0"/>
    <xf numFmtId="0" fontId="23" fillId="0" borderId="0"/>
    <xf numFmtId="0" fontId="2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1" fillId="0" borderId="0"/>
    <xf numFmtId="0" fontId="29" fillId="0" borderId="0" applyNumberFormat="0" applyFill="0" applyBorder="0" applyAlignment="0" applyProtection="0"/>
    <xf numFmtId="2" fontId="22" fillId="0" borderId="0" applyFont="0" applyFill="0" applyBorder="0" applyAlignment="0" applyProtection="0"/>
    <xf numFmtId="0" fontId="23" fillId="0" borderId="0"/>
    <xf numFmtId="0" fontId="30" fillId="7" borderId="0" applyNumberFormat="0" applyBorder="0" applyAlignment="0" applyProtection="0"/>
    <xf numFmtId="38" fontId="31" fillId="24" borderId="0" applyNumberFormat="0" applyBorder="0" applyAlignment="0" applyProtection="0"/>
    <xf numFmtId="38" fontId="31" fillId="24" borderId="0" applyNumberFormat="0" applyBorder="0" applyAlignment="0" applyProtection="0"/>
    <xf numFmtId="38" fontId="31" fillId="24" borderId="0" applyNumberFormat="0" applyBorder="0" applyAlignment="0" applyProtection="0"/>
    <xf numFmtId="38" fontId="31" fillId="24" borderId="0" applyNumberFormat="0" applyBorder="0" applyAlignment="0" applyProtection="0"/>
    <xf numFmtId="38" fontId="31" fillId="24" borderId="0" applyNumberFormat="0" applyBorder="0" applyAlignment="0" applyProtection="0"/>
    <xf numFmtId="0" fontId="32" fillId="0" borderId="21" applyNumberFormat="0" applyAlignment="0" applyProtection="0">
      <alignment horizontal="left"/>
    </xf>
    <xf numFmtId="0" fontId="32" fillId="0" borderId="2">
      <alignment horizontal="left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38" fontId="33" fillId="0" borderId="0"/>
    <xf numFmtId="40" fontId="33" fillId="0" borderId="0"/>
    <xf numFmtId="10" fontId="31" fillId="2" borderId="4" applyNumberFormat="0" applyBorder="0" applyAlignment="0" applyProtection="0"/>
    <xf numFmtId="10" fontId="31" fillId="2" borderId="4" applyNumberFormat="0" applyBorder="0" applyAlignment="0" applyProtection="0"/>
    <xf numFmtId="10" fontId="31" fillId="2" borderId="4" applyNumberFormat="0" applyBorder="0" applyAlignment="0" applyProtection="0"/>
    <xf numFmtId="10" fontId="31" fillId="2" borderId="4" applyNumberFormat="0" applyBorder="0" applyAlignment="0" applyProtection="0"/>
    <xf numFmtId="10" fontId="31" fillId="2" borderId="4" applyNumberFormat="0" applyBorder="0" applyAlignment="0" applyProtection="0"/>
    <xf numFmtId="0" fontId="34" fillId="10" borderId="22" applyNumberFormat="0" applyAlignment="0" applyProtection="0"/>
    <xf numFmtId="0" fontId="34" fillId="10" borderId="22" applyNumberFormat="0" applyAlignment="0" applyProtection="0"/>
    <xf numFmtId="0" fontId="34" fillId="10" borderId="22" applyNumberFormat="0" applyAlignment="0" applyProtection="0"/>
    <xf numFmtId="41" fontId="35" fillId="25" borderId="23">
      <alignment horizontal="left"/>
      <protection locked="0"/>
    </xf>
    <xf numFmtId="10" fontId="35" fillId="25" borderId="23">
      <alignment horizontal="right"/>
      <protection locked="0"/>
    </xf>
    <xf numFmtId="0" fontId="31" fillId="24" borderId="0"/>
    <xf numFmtId="3" fontId="36" fillId="0" borderId="0" applyFill="0" applyBorder="0" applyAlignment="0" applyProtection="0"/>
    <xf numFmtId="44" fontId="3" fillId="0" borderId="24" applyNumberFormat="0" applyFont="0" applyAlignment="0">
      <alignment horizontal="center"/>
    </xf>
    <xf numFmtId="44" fontId="3" fillId="0" borderId="24" applyNumberFormat="0" applyFont="0" applyAlignment="0">
      <alignment horizontal="center"/>
    </xf>
    <xf numFmtId="44" fontId="3" fillId="0" borderId="24" applyNumberFormat="0" applyFont="0" applyAlignment="0">
      <alignment horizontal="center"/>
    </xf>
    <xf numFmtId="44" fontId="3" fillId="0" borderId="24" applyNumberFormat="0" applyFont="0" applyAlignment="0">
      <alignment horizontal="center"/>
    </xf>
    <xf numFmtId="44" fontId="3" fillId="0" borderId="25" applyNumberFormat="0" applyFont="0" applyAlignment="0">
      <alignment horizontal="center"/>
    </xf>
    <xf numFmtId="44" fontId="3" fillId="0" borderId="25" applyNumberFormat="0" applyFont="0" applyAlignment="0">
      <alignment horizontal="center"/>
    </xf>
    <xf numFmtId="44" fontId="3" fillId="0" borderId="25" applyNumberFormat="0" applyFont="0" applyAlignment="0">
      <alignment horizontal="center"/>
    </xf>
    <xf numFmtId="44" fontId="3" fillId="0" borderId="25" applyNumberFormat="0" applyFont="0" applyAlignment="0">
      <alignment horizontal="center"/>
    </xf>
    <xf numFmtId="0" fontId="37" fillId="26" borderId="0" applyNumberFormat="0" applyBorder="0" applyAlignment="0" applyProtection="0"/>
    <xf numFmtId="37" fontId="38" fillId="0" borderId="0"/>
    <xf numFmtId="176" fontId="39" fillId="0" borderId="0"/>
    <xf numFmtId="177" fontId="1" fillId="0" borderId="0"/>
    <xf numFmtId="177" fontId="1" fillId="0" borderId="0"/>
    <xf numFmtId="177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7" borderId="26" applyNumberFormat="0" applyFont="0" applyAlignment="0" applyProtection="0"/>
    <xf numFmtId="0" fontId="17" fillId="27" borderId="26" applyNumberFormat="0" applyFont="0" applyAlignment="0" applyProtection="0"/>
    <xf numFmtId="0" fontId="1" fillId="27" borderId="26" applyNumberFormat="0" applyFont="0" applyAlignment="0" applyProtection="0"/>
    <xf numFmtId="0" fontId="17" fillId="27" borderId="26" applyNumberFormat="0" applyFont="0" applyAlignment="0" applyProtection="0"/>
    <xf numFmtId="0" fontId="17" fillId="27" borderId="26" applyNumberFormat="0" applyFont="0" applyAlignment="0" applyProtection="0"/>
    <xf numFmtId="0" fontId="17" fillId="27" borderId="26" applyNumberFormat="0" applyFont="0" applyAlignment="0" applyProtection="0"/>
    <xf numFmtId="0" fontId="17" fillId="27" borderId="26" applyNumberFormat="0" applyFont="0" applyAlignment="0" applyProtection="0"/>
    <xf numFmtId="0" fontId="17" fillId="27" borderId="26" applyNumberFormat="0" applyFont="0" applyAlignment="0" applyProtection="0"/>
    <xf numFmtId="0" fontId="17" fillId="27" borderId="26" applyNumberFormat="0" applyFont="0" applyAlignment="0" applyProtection="0"/>
    <xf numFmtId="0" fontId="17" fillId="27" borderId="26" applyNumberFormat="0" applyFont="0" applyAlignment="0" applyProtection="0"/>
    <xf numFmtId="0" fontId="17" fillId="27" borderId="26" applyNumberFormat="0" applyFont="0" applyAlignment="0" applyProtection="0"/>
    <xf numFmtId="0" fontId="41" fillId="28" borderId="27" applyNumberFormat="0" applyAlignment="0" applyProtection="0"/>
    <xf numFmtId="0" fontId="23" fillId="0" borderId="0"/>
    <xf numFmtId="0" fontId="23" fillId="0" borderId="0"/>
    <xf numFmtId="0" fontId="24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29" borderId="23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42" fillId="0" borderId="28">
      <alignment horizontal="center"/>
    </xf>
    <xf numFmtId="3" fontId="40" fillId="0" borderId="0" applyFont="0" applyFill="0" applyBorder="0" applyAlignment="0" applyProtection="0"/>
    <xf numFmtId="0" fontId="40" fillId="30" borderId="0" applyNumberFormat="0" applyFont="0" applyBorder="0" applyAlignment="0" applyProtection="0"/>
    <xf numFmtId="0" fontId="24" fillId="0" borderId="0"/>
    <xf numFmtId="3" fontId="43" fillId="0" borderId="0" applyFill="0" applyBorder="0" applyAlignment="0" applyProtection="0"/>
    <xf numFmtId="0" fontId="44" fillId="0" borderId="0"/>
    <xf numFmtId="3" fontId="43" fillId="0" borderId="0" applyFill="0" applyBorder="0" applyAlignment="0" applyProtection="0"/>
    <xf numFmtId="42" fontId="1" fillId="2" borderId="0"/>
    <xf numFmtId="42" fontId="1" fillId="2" borderId="3">
      <alignment vertical="center"/>
    </xf>
    <xf numFmtId="0" fontId="3" fillId="2" borderId="1" applyNumberFormat="0">
      <alignment horizontal="center" vertical="center" wrapText="1"/>
    </xf>
    <xf numFmtId="10" fontId="1" fillId="2" borderId="0"/>
    <xf numFmtId="178" fontId="1" fillId="2" borderId="0"/>
    <xf numFmtId="164" fontId="33" fillId="0" borderId="0" applyBorder="0" applyAlignment="0"/>
    <xf numFmtId="42" fontId="1" fillId="2" borderId="5">
      <alignment horizontal="left"/>
    </xf>
    <xf numFmtId="178" fontId="45" fillId="2" borderId="5">
      <alignment horizontal="left"/>
    </xf>
    <xf numFmtId="14" fontId="46" fillId="0" borderId="0" applyNumberFormat="0" applyFill="0" applyBorder="0" applyAlignment="0" applyProtection="0">
      <alignment horizontal="left"/>
    </xf>
    <xf numFmtId="179" fontId="1" fillId="0" borderId="0" applyFont="0" applyFill="0" applyAlignment="0">
      <alignment horizontal="right"/>
    </xf>
    <xf numFmtId="4" fontId="47" fillId="25" borderId="27" applyNumberFormat="0" applyProtection="0">
      <alignment vertical="center"/>
    </xf>
    <xf numFmtId="4" fontId="48" fillId="25" borderId="27" applyNumberFormat="0" applyProtection="0">
      <alignment vertical="center"/>
    </xf>
    <xf numFmtId="4" fontId="47" fillId="25" borderId="27" applyNumberFormat="0" applyProtection="0">
      <alignment horizontal="left" vertical="center" indent="1"/>
    </xf>
    <xf numFmtId="4" fontId="47" fillId="25" borderId="27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4" fontId="47" fillId="32" borderId="27" applyNumberFormat="0" applyProtection="0">
      <alignment horizontal="right" vertical="center"/>
    </xf>
    <xf numFmtId="4" fontId="47" fillId="33" borderId="27" applyNumberFormat="0" applyProtection="0">
      <alignment horizontal="right" vertical="center"/>
    </xf>
    <xf numFmtId="4" fontId="47" fillId="34" borderId="27" applyNumberFormat="0" applyProtection="0">
      <alignment horizontal="right" vertical="center"/>
    </xf>
    <xf numFmtId="4" fontId="47" fillId="35" borderId="27" applyNumberFormat="0" applyProtection="0">
      <alignment horizontal="right" vertical="center"/>
    </xf>
    <xf numFmtId="4" fontId="47" fillId="36" borderId="27" applyNumberFormat="0" applyProtection="0">
      <alignment horizontal="right" vertical="center"/>
    </xf>
    <xf numFmtId="4" fontId="47" fillId="37" borderId="27" applyNumberFormat="0" applyProtection="0">
      <alignment horizontal="right" vertical="center"/>
    </xf>
    <xf numFmtId="4" fontId="47" fillId="38" borderId="27" applyNumberFormat="0" applyProtection="0">
      <alignment horizontal="right" vertical="center"/>
    </xf>
    <xf numFmtId="4" fontId="47" fillId="39" borderId="27" applyNumberFormat="0" applyProtection="0">
      <alignment horizontal="right" vertical="center"/>
    </xf>
    <xf numFmtId="4" fontId="47" fillId="40" borderId="27" applyNumberFormat="0" applyProtection="0">
      <alignment horizontal="right" vertical="center"/>
    </xf>
    <xf numFmtId="4" fontId="49" fillId="41" borderId="27" applyNumberFormat="0" applyProtection="0">
      <alignment horizontal="left" vertical="center" indent="1"/>
    </xf>
    <xf numFmtId="4" fontId="47" fillId="42" borderId="29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4" fontId="47" fillId="42" borderId="27" applyNumberFormat="0" applyProtection="0">
      <alignment horizontal="left" vertical="center" indent="1"/>
    </xf>
    <xf numFmtId="4" fontId="47" fillId="44" borderId="27" applyNumberFormat="0" applyProtection="0">
      <alignment horizontal="left" vertical="center" indent="1"/>
    </xf>
    <xf numFmtId="0" fontId="1" fillId="44" borderId="27" applyNumberFormat="0" applyProtection="0">
      <alignment horizontal="left" vertical="center" indent="1"/>
    </xf>
    <xf numFmtId="0" fontId="1" fillId="44" borderId="27" applyNumberFormat="0" applyProtection="0">
      <alignment horizontal="left" vertical="center" indent="1"/>
    </xf>
    <xf numFmtId="0" fontId="1" fillId="45" borderId="27" applyNumberFormat="0" applyProtection="0">
      <alignment horizontal="left" vertical="center" indent="1"/>
    </xf>
    <xf numFmtId="0" fontId="1" fillId="45" borderId="27" applyNumberFormat="0" applyProtection="0">
      <alignment horizontal="left" vertical="center" indent="1"/>
    </xf>
    <xf numFmtId="0" fontId="1" fillId="24" borderId="27" applyNumberFormat="0" applyProtection="0">
      <alignment horizontal="left" vertical="center" indent="1"/>
    </xf>
    <xf numFmtId="0" fontId="1" fillId="24" borderId="27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4" fontId="47" fillId="46" borderId="27" applyNumberFormat="0" applyProtection="0">
      <alignment vertical="center"/>
    </xf>
    <xf numFmtId="4" fontId="48" fillId="46" borderId="27" applyNumberFormat="0" applyProtection="0">
      <alignment vertical="center"/>
    </xf>
    <xf numFmtId="4" fontId="47" fillId="46" borderId="27" applyNumberFormat="0" applyProtection="0">
      <alignment horizontal="left" vertical="center" indent="1"/>
    </xf>
    <xf numFmtId="4" fontId="47" fillId="46" borderId="27" applyNumberFormat="0" applyProtection="0">
      <alignment horizontal="left" vertical="center" indent="1"/>
    </xf>
    <xf numFmtId="4" fontId="47" fillId="42" borderId="27" applyNumberFormat="0" applyProtection="0">
      <alignment horizontal="right" vertical="center"/>
    </xf>
    <xf numFmtId="4" fontId="48" fillId="42" borderId="27" applyNumberFormat="0" applyProtection="0">
      <alignment horizontal="right" vertical="center"/>
    </xf>
    <xf numFmtId="0" fontId="1" fillId="31" borderId="27" applyNumberFormat="0" applyProtection="0">
      <alignment horizontal="left" vertical="center" indent="1"/>
    </xf>
    <xf numFmtId="0" fontId="1" fillId="31" borderId="27" applyNumberFormat="0" applyProtection="0">
      <alignment horizontal="left" vertical="center" indent="1"/>
    </xf>
    <xf numFmtId="0" fontId="51" fillId="0" borderId="0"/>
    <xf numFmtId="4" fontId="52" fillId="42" borderId="27" applyNumberFormat="0" applyProtection="0">
      <alignment horizontal="right" vertical="center"/>
    </xf>
    <xf numFmtId="39" fontId="1" fillId="47" borderId="0"/>
    <xf numFmtId="38" fontId="31" fillId="0" borderId="30"/>
    <xf numFmtId="38" fontId="31" fillId="0" borderId="30"/>
    <xf numFmtId="38" fontId="31" fillId="0" borderId="30"/>
    <xf numFmtId="38" fontId="31" fillId="0" borderId="30"/>
    <xf numFmtId="38" fontId="31" fillId="0" borderId="30"/>
    <xf numFmtId="38" fontId="33" fillId="0" borderId="5"/>
    <xf numFmtId="39" fontId="46" fillId="48" borderId="0"/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40" fontId="53" fillId="0" borderId="0" applyBorder="0">
      <alignment horizontal="right"/>
    </xf>
    <xf numFmtId="41" fontId="54" fillId="2" borderId="0">
      <alignment horizontal="left"/>
    </xf>
    <xf numFmtId="167" fontId="55" fillId="2" borderId="0">
      <alignment horizontal="left" vertical="center"/>
    </xf>
    <xf numFmtId="0" fontId="3" fillId="2" borderId="0">
      <alignment horizontal="left" wrapText="1"/>
    </xf>
    <xf numFmtId="0" fontId="56" fillId="0" borderId="0">
      <alignment horizontal="left" vertical="center"/>
    </xf>
    <xf numFmtId="0" fontId="22" fillId="0" borderId="31" applyNumberFormat="0" applyFont="0" applyFill="0" applyAlignment="0" applyProtection="0"/>
    <xf numFmtId="0" fontId="24" fillId="0" borderId="32"/>
    <xf numFmtId="0" fontId="57" fillId="0" borderId="0" applyNumberFormat="0" applyFill="0" applyBorder="0" applyAlignment="0" applyProtection="0"/>
  </cellStyleXfs>
  <cellXfs count="283">
    <xf numFmtId="0" fontId="0" fillId="0" borderId="0" xfId="0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quotePrefix="1" applyFont="1" applyFill="1" applyAlignment="1">
      <alignment horizontal="center" vertical="top" wrapText="1"/>
    </xf>
    <xf numFmtId="164" fontId="2" fillId="0" borderId="2" xfId="0" applyNumberFormat="1" applyFont="1" applyFill="1" applyBorder="1"/>
    <xf numFmtId="165" fontId="2" fillId="0" borderId="2" xfId="0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0" borderId="0" xfId="0" applyNumberFormat="1" applyFont="1" applyFill="1"/>
    <xf numFmtId="164" fontId="2" fillId="0" borderId="3" xfId="0" applyNumberFormat="1" applyFont="1" applyFill="1" applyBorder="1"/>
    <xf numFmtId="165" fontId="2" fillId="0" borderId="3" xfId="0" applyNumberFormat="1" applyFont="1" applyFill="1" applyBorder="1"/>
    <xf numFmtId="0" fontId="2" fillId="0" borderId="0" xfId="0" applyFont="1" applyFill="1"/>
    <xf numFmtId="165" fontId="2" fillId="0" borderId="0" xfId="0" applyNumberFormat="1" applyFont="1" applyFill="1"/>
    <xf numFmtId="164" fontId="2" fillId="0" borderId="0" xfId="0" quotePrefix="1" applyNumberFormat="1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165" fontId="2" fillId="0" borderId="5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left" indent="1"/>
    </xf>
    <xf numFmtId="165" fontId="2" fillId="0" borderId="0" xfId="0" quotePrefix="1" applyNumberFormat="1" applyFont="1" applyFill="1" applyAlignment="1">
      <alignment horizontal="left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Continuous" wrapText="1"/>
    </xf>
    <xf numFmtId="0" fontId="2" fillId="0" borderId="0" xfId="0" applyFont="1" applyFill="1" applyAlignment="1">
      <alignment horizontal="centerContinuous"/>
    </xf>
    <xf numFmtId="164" fontId="2" fillId="0" borderId="0" xfId="0" applyNumberFormat="1" applyFont="1" applyFill="1"/>
    <xf numFmtId="164" fontId="2" fillId="0" borderId="5" xfId="0" applyNumberFormat="1" applyFont="1" applyFill="1" applyBorder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/>
    <xf numFmtId="166" fontId="2" fillId="0" borderId="0" xfId="0" applyNumberFormat="1" applyFont="1" applyFill="1"/>
    <xf numFmtId="166" fontId="2" fillId="0" borderId="0" xfId="0" quotePrefix="1" applyNumberFormat="1" applyFont="1" applyFill="1" applyAlignment="1">
      <alignment horizontal="left"/>
    </xf>
    <xf numFmtId="166" fontId="2" fillId="0" borderId="2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165" fontId="2" fillId="0" borderId="0" xfId="0" quotePrefix="1" applyNumberFormat="1" applyFont="1" applyFill="1" applyAlignment="1">
      <alignment horizontal="left"/>
    </xf>
    <xf numFmtId="164" fontId="2" fillId="0" borderId="0" xfId="0" quotePrefix="1" applyNumberFormat="1" applyFont="1" applyFill="1" applyAlignment="1">
      <alignment horizontal="left"/>
    </xf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164" fontId="2" fillId="0" borderId="0" xfId="0" applyNumberFormat="1" applyFont="1" applyFill="1"/>
    <xf numFmtId="164" fontId="2" fillId="0" borderId="3" xfId="0" applyNumberFormat="1" applyFont="1" applyFill="1" applyBorder="1"/>
    <xf numFmtId="165" fontId="2" fillId="0" borderId="2" xfId="0" applyNumberFormat="1" applyFont="1" applyFill="1" applyBorder="1"/>
    <xf numFmtId="165" fontId="2" fillId="0" borderId="0" xfId="0" applyNumberFormat="1" applyFont="1" applyFill="1" applyBorder="1"/>
    <xf numFmtId="165" fontId="2" fillId="0" borderId="3" xfId="0" applyNumberFormat="1" applyFont="1" applyFill="1" applyBorder="1"/>
    <xf numFmtId="10" fontId="2" fillId="0" borderId="0" xfId="0" quotePrefix="1" applyNumberFormat="1" applyFont="1" applyFill="1" applyAlignment="1">
      <alignment horizontal="center"/>
    </xf>
    <xf numFmtId="10" fontId="2" fillId="0" borderId="2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3" fontId="2" fillId="0" borderId="0" xfId="0" applyNumberFormat="1" applyFont="1" applyFill="1"/>
    <xf numFmtId="44" fontId="2" fillId="0" borderId="0" xfId="0" applyNumberFormat="1" applyFont="1" applyFill="1"/>
    <xf numFmtId="0" fontId="0" fillId="0" borderId="1" xfId="0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6" fontId="2" fillId="0" borderId="5" xfId="0" applyNumberFormat="1" applyFont="1" applyFill="1" applyBorder="1"/>
    <xf numFmtId="0" fontId="2" fillId="0" borderId="0" xfId="0" quotePrefix="1" applyFont="1" applyFill="1" applyAlignment="1">
      <alignment horizontal="center"/>
    </xf>
    <xf numFmtId="0" fontId="0" fillId="0" borderId="0" xfId="0" applyFill="1"/>
    <xf numFmtId="0" fontId="6" fillId="0" borderId="0" xfId="0" applyFont="1"/>
    <xf numFmtId="164" fontId="1" fillId="0" borderId="0" xfId="0" applyNumberFormat="1" applyFont="1"/>
    <xf numFmtId="10" fontId="1" fillId="0" borderId="0" xfId="0" applyNumberFormat="1" applyFont="1"/>
    <xf numFmtId="0" fontId="1" fillId="0" borderId="0" xfId="0" applyFont="1"/>
    <xf numFmtId="0" fontId="1" fillId="0" borderId="0" xfId="0" applyFont="1" applyFill="1"/>
    <xf numFmtId="10" fontId="2" fillId="0" borderId="0" xfId="0" quotePrefix="1" applyNumberFormat="1" applyFont="1" applyFill="1" applyAlignment="1">
      <alignment horizontal="right"/>
    </xf>
    <xf numFmtId="10" fontId="2" fillId="0" borderId="2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10" fontId="2" fillId="0" borderId="0" xfId="0" applyNumberFormat="1" applyFont="1" applyFill="1" applyAlignment="1">
      <alignment horizontal="right"/>
    </xf>
    <xf numFmtId="10" fontId="2" fillId="0" borderId="3" xfId="0" applyNumberFormat="1" applyFont="1" applyFill="1" applyBorder="1" applyAlignment="1">
      <alignment horizontal="right"/>
    </xf>
    <xf numFmtId="10" fontId="2" fillId="0" borderId="5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44" fontId="1" fillId="0" borderId="0" xfId="0" applyNumberFormat="1" applyFont="1" applyFill="1"/>
    <xf numFmtId="44" fontId="1" fillId="0" borderId="0" xfId="0" applyNumberFormat="1" applyFont="1"/>
    <xf numFmtId="164" fontId="0" fillId="0" borderId="3" xfId="0" applyNumberFormat="1" applyBorder="1"/>
    <xf numFmtId="44" fontId="1" fillId="0" borderId="3" xfId="0" applyNumberFormat="1" applyFont="1" applyBorder="1"/>
    <xf numFmtId="44" fontId="1" fillId="0" borderId="3" xfId="0" applyNumberFormat="1" applyFont="1" applyFill="1" applyBorder="1"/>
    <xf numFmtId="10" fontId="1" fillId="0" borderId="3" xfId="0" applyNumberFormat="1" applyFont="1" applyBorder="1"/>
    <xf numFmtId="44" fontId="0" fillId="0" borderId="0" xfId="0" applyNumberFormat="1" applyFont="1"/>
    <xf numFmtId="44" fontId="0" fillId="0" borderId="0" xfId="0" applyNumberFormat="1" applyFont="1" applyFill="1"/>
    <xf numFmtId="10" fontId="0" fillId="0" borderId="0" xfId="0" applyNumberFormat="1" applyFont="1"/>
    <xf numFmtId="0" fontId="0" fillId="0" borderId="1" xfId="0" quotePrefix="1" applyBorder="1" applyAlignment="1">
      <alignment horizontal="left"/>
    </xf>
    <xf numFmtId="0" fontId="0" fillId="0" borderId="4" xfId="0" quotePrefix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1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0" fontId="0" fillId="0" borderId="13" xfId="0" applyFill="1" applyBorder="1"/>
    <xf numFmtId="166" fontId="0" fillId="0" borderId="8" xfId="0" applyNumberFormat="1" applyFill="1" applyBorder="1"/>
    <xf numFmtId="166" fontId="0" fillId="0" borderId="13" xfId="0" applyNumberFormat="1" applyFill="1" applyBorder="1"/>
    <xf numFmtId="166" fontId="0" fillId="0" borderId="7" xfId="0" applyNumberFormat="1" applyFill="1" applyBorder="1"/>
    <xf numFmtId="166" fontId="0" fillId="0" borderId="15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64" fontId="0" fillId="0" borderId="0" xfId="0" applyNumberFormat="1" applyFont="1" applyFill="1"/>
    <xf numFmtId="164" fontId="0" fillId="0" borderId="0" xfId="0" applyNumberFormat="1" applyFont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/>
    <xf numFmtId="0" fontId="2" fillId="0" borderId="0" xfId="0" quotePrefix="1" applyFont="1" applyFill="1" applyAlignment="1">
      <alignment horizontal="center"/>
    </xf>
    <xf numFmtId="166" fontId="1" fillId="0" borderId="11" xfId="0" applyNumberFormat="1" applyFont="1" applyFill="1" applyBorder="1"/>
    <xf numFmtId="166" fontId="1" fillId="0" borderId="10" xfId="0" applyNumberFormat="1" applyFont="1" applyFill="1" applyBorder="1"/>
    <xf numFmtId="166" fontId="1" fillId="0" borderId="8" xfId="0" applyNumberFormat="1" applyFont="1" applyFill="1" applyBorder="1"/>
    <xf numFmtId="166" fontId="1" fillId="0" borderId="13" xfId="0" applyNumberFormat="1" applyFont="1" applyFill="1" applyBorder="1"/>
    <xf numFmtId="166" fontId="1" fillId="0" borderId="12" xfId="0" applyNumberFormat="1" applyFont="1" applyFill="1" applyBorder="1"/>
    <xf numFmtId="166" fontId="1" fillId="0" borderId="14" xfId="0" applyNumberFormat="1" applyFont="1" applyFill="1" applyBorder="1"/>
    <xf numFmtId="166" fontId="1" fillId="0" borderId="8" xfId="0" quotePrefix="1" applyNumberFormat="1" applyFont="1" applyFill="1" applyBorder="1" applyAlignment="1"/>
    <xf numFmtId="166" fontId="1" fillId="0" borderId="13" xfId="0" quotePrefix="1" applyNumberFormat="1" applyFont="1" applyFill="1" applyBorder="1" applyAlignment="1"/>
    <xf numFmtId="166" fontId="1" fillId="0" borderId="12" xfId="0" quotePrefix="1" applyNumberFormat="1" applyFont="1" applyFill="1" applyBorder="1" applyAlignment="1"/>
    <xf numFmtId="166" fontId="1" fillId="0" borderId="14" xfId="0" quotePrefix="1" applyNumberFormat="1" applyFont="1" applyFill="1" applyBorder="1" applyAlignment="1"/>
    <xf numFmtId="164" fontId="0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/>
    <xf numFmtId="0" fontId="1" fillId="0" borderId="1" xfId="0" quotePrefix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 wrapText="1"/>
    </xf>
    <xf numFmtId="0" fontId="2" fillId="0" borderId="0" xfId="0" applyFont="1" applyFill="1" applyBorder="1"/>
    <xf numFmtId="0" fontId="7" fillId="0" borderId="0" xfId="0" applyFont="1" applyFill="1" applyBorder="1"/>
    <xf numFmtId="0" fontId="2" fillId="0" borderId="0" xfId="0" quotePrefix="1" applyFont="1" applyFill="1" applyBorder="1" applyAlignment="1">
      <alignment horizontal="left" indent="1"/>
    </xf>
    <xf numFmtId="0" fontId="2" fillId="0" borderId="0" xfId="0" quotePrefix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right" wrapText="1"/>
    </xf>
    <xf numFmtId="167" fontId="7" fillId="0" borderId="0" xfId="0" applyNumberFormat="1" applyFont="1" applyFill="1" applyBorder="1"/>
    <xf numFmtId="164" fontId="7" fillId="0" borderId="0" xfId="0" applyNumberFormat="1" applyFont="1" applyFill="1"/>
    <xf numFmtId="165" fontId="7" fillId="0" borderId="0" xfId="0" applyNumberFormat="1" applyFont="1" applyFill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164" fontId="8" fillId="0" borderId="0" xfId="0" applyNumberFormat="1" applyFont="1" applyFill="1" applyBorder="1"/>
    <xf numFmtId="0" fontId="7" fillId="0" borderId="0" xfId="0" quotePrefix="1" applyFont="1" applyFill="1" applyAlignment="1">
      <alignment horizontal="left"/>
    </xf>
    <xf numFmtId="41" fontId="7" fillId="0" borderId="0" xfId="0" applyNumberFormat="1" applyFont="1" applyFill="1"/>
    <xf numFmtId="0" fontId="7" fillId="0" borderId="0" xfId="0" applyFont="1" applyFill="1" applyAlignment="1">
      <alignment horizontal="left"/>
    </xf>
    <xf numFmtId="9" fontId="7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left"/>
    </xf>
    <xf numFmtId="0" fontId="1" fillId="0" borderId="0" xfId="0" applyFont="1" applyFill="1" applyAlignment="1">
      <alignment horizontal="center"/>
    </xf>
    <xf numFmtId="165" fontId="0" fillId="0" borderId="0" xfId="1" applyNumberFormat="1" applyFont="1"/>
    <xf numFmtId="165" fontId="2" fillId="3" borderId="9" xfId="0" quotePrefix="1" applyNumberFormat="1" applyFont="1" applyFill="1" applyBorder="1" applyAlignment="1">
      <alignment horizontal="left"/>
    </xf>
    <xf numFmtId="0" fontId="0" fillId="3" borderId="0" xfId="0" applyFill="1"/>
    <xf numFmtId="166" fontId="1" fillId="3" borderId="8" xfId="0" quotePrefix="1" applyNumberFormat="1" applyFont="1" applyFill="1" applyBorder="1" applyAlignment="1"/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5" fontId="0" fillId="0" borderId="0" xfId="0" applyNumberFormat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5" fontId="11" fillId="0" borderId="0" xfId="1" applyNumberFormat="1" applyFont="1" applyFill="1"/>
    <xf numFmtId="164" fontId="11" fillId="4" borderId="0" xfId="2" applyNumberFormat="1" applyFont="1" applyFill="1"/>
    <xf numFmtId="164" fontId="11" fillId="0" borderId="0" xfId="2" applyNumberFormat="1" applyFont="1" applyFill="1"/>
    <xf numFmtId="169" fontId="0" fillId="0" borderId="0" xfId="1" applyNumberFormat="1" applyFont="1" applyFill="1"/>
    <xf numFmtId="0" fontId="13" fillId="0" borderId="17" xfId="0" applyFont="1" applyFill="1" applyBorder="1"/>
    <xf numFmtId="0" fontId="0" fillId="0" borderId="0" xfId="0" applyFill="1" applyBorder="1"/>
    <xf numFmtId="0" fontId="0" fillId="0" borderId="13" xfId="0" applyBorder="1"/>
    <xf numFmtId="0" fontId="14" fillId="0" borderId="18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0" fillId="4" borderId="17" xfId="0" applyNumberFormat="1" applyFill="1" applyBorder="1"/>
    <xf numFmtId="3" fontId="0" fillId="4" borderId="0" xfId="0" applyNumberFormat="1" applyFill="1" applyBorder="1"/>
    <xf numFmtId="3" fontId="0" fillId="4" borderId="13" xfId="0" applyNumberFormat="1" applyFill="1" applyBorder="1"/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3" fontId="0" fillId="4" borderId="19" xfId="0" applyNumberFormat="1" applyFill="1" applyBorder="1"/>
    <xf numFmtId="3" fontId="0" fillId="4" borderId="1" xfId="0" applyNumberFormat="1" applyFill="1" applyBorder="1"/>
    <xf numFmtId="3" fontId="0" fillId="4" borderId="15" xfId="0" applyNumberFormat="1" applyFill="1" applyBorder="1"/>
    <xf numFmtId="0" fontId="0" fillId="0" borderId="19" xfId="0" applyBorder="1"/>
    <xf numFmtId="168" fontId="7" fillId="0" borderId="0" xfId="1" applyNumberFormat="1" applyFont="1" applyFill="1" applyBorder="1"/>
    <xf numFmtId="0" fontId="15" fillId="0" borderId="0" xfId="4" applyNumberFormat="1" applyFill="1" applyBorder="1" applyAlignment="1">
      <alignment horizontal="center"/>
    </xf>
    <xf numFmtId="0" fontId="15" fillId="0" borderId="0" xfId="4" applyNumberFormat="1" applyFill="1" applyBorder="1" applyAlignment="1"/>
    <xf numFmtId="0" fontId="15" fillId="2" borderId="0" xfId="4" applyNumberFormat="1" applyFill="1" applyAlignment="1"/>
    <xf numFmtId="0" fontId="15" fillId="2" borderId="0" xfId="4" applyNumberFormat="1" applyFill="1" applyAlignment="1">
      <alignment horizontal="center"/>
    </xf>
    <xf numFmtId="0" fontId="3" fillId="2" borderId="2" xfId="4" applyNumberFormat="1" applyFont="1" applyFill="1" applyBorder="1" applyAlignment="1">
      <alignment horizontal="center" wrapText="1"/>
    </xf>
    <xf numFmtId="0" fontId="3" fillId="2" borderId="2" xfId="4" applyNumberFormat="1" applyFont="1" applyFill="1" applyBorder="1" applyAlignment="1">
      <alignment horizontal="left" wrapText="1"/>
    </xf>
    <xf numFmtId="0" fontId="3" fillId="2" borderId="0" xfId="4" applyNumberFormat="1" applyFont="1" applyFill="1" applyAlignment="1">
      <alignment horizontal="center" vertical="center" wrapText="1"/>
    </xf>
    <xf numFmtId="0" fontId="3" fillId="2" borderId="2" xfId="4" quotePrefix="1" applyNumberFormat="1" applyFont="1" applyFill="1" applyBorder="1" applyAlignment="1">
      <alignment horizontal="center" wrapText="1"/>
    </xf>
    <xf numFmtId="0" fontId="3" fillId="2" borderId="0" xfId="4" applyNumberFormat="1" applyFont="1" applyFill="1" applyAlignment="1"/>
    <xf numFmtId="2" fontId="15" fillId="2" borderId="0" xfId="4" applyNumberFormat="1" applyFill="1" applyAlignment="1">
      <alignment horizontal="center"/>
    </xf>
    <xf numFmtId="165" fontId="0" fillId="2" borderId="0" xfId="5" applyNumberFormat="1" applyFont="1" applyFill="1" applyAlignment="1">
      <alignment horizontal="center"/>
    </xf>
    <xf numFmtId="0" fontId="3" fillId="2" borderId="2" xfId="4" applyNumberFormat="1" applyFont="1" applyFill="1" applyBorder="1" applyAlignment="1"/>
    <xf numFmtId="2" fontId="3" fillId="2" borderId="2" xfId="4" applyNumberFormat="1" applyFont="1" applyFill="1" applyBorder="1" applyAlignment="1">
      <alignment horizontal="center"/>
    </xf>
    <xf numFmtId="0" fontId="3" fillId="2" borderId="2" xfId="4" applyNumberFormat="1" applyFont="1" applyFill="1" applyBorder="1" applyAlignment="1">
      <alignment horizontal="center"/>
    </xf>
    <xf numFmtId="165" fontId="3" fillId="2" borderId="2" xfId="5" applyNumberFormat="1" applyFont="1" applyFill="1" applyBorder="1" applyAlignment="1">
      <alignment horizontal="center"/>
    </xf>
    <xf numFmtId="0" fontId="3" fillId="2" borderId="0" xfId="4" applyNumberFormat="1" applyFont="1" applyFill="1" applyAlignment="1">
      <alignment horizontal="center"/>
    </xf>
    <xf numFmtId="0" fontId="3" fillId="2" borderId="3" xfId="4" applyNumberFormat="1" applyFont="1" applyFill="1" applyBorder="1" applyAlignment="1"/>
    <xf numFmtId="2" fontId="3" fillId="2" borderId="3" xfId="4" applyNumberFormat="1" applyFont="1" applyFill="1" applyBorder="1" applyAlignment="1">
      <alignment horizontal="center"/>
    </xf>
    <xf numFmtId="0" fontId="3" fillId="2" borderId="3" xfId="4" applyNumberFormat="1" applyFont="1" applyFill="1" applyBorder="1" applyAlignment="1">
      <alignment horizontal="center"/>
    </xf>
    <xf numFmtId="165" fontId="3" fillId="2" borderId="3" xfId="5" applyNumberFormat="1" applyFont="1" applyFill="1" applyBorder="1" applyAlignment="1">
      <alignment horizontal="center"/>
    </xf>
    <xf numFmtId="180" fontId="5" fillId="0" borderId="0" xfId="0" applyNumberFormat="1" applyFont="1" applyAlignment="1">
      <alignment horizontal="left"/>
    </xf>
    <xf numFmtId="180" fontId="58" fillId="0" borderId="0" xfId="0" applyNumberFormat="1" applyFont="1" applyAlignment="1">
      <alignment horizontal="right"/>
    </xf>
    <xf numFmtId="180" fontId="58" fillId="0" borderId="0" xfId="0" applyNumberFormat="1" applyFont="1" applyAlignment="1">
      <alignment horizontal="left"/>
    </xf>
    <xf numFmtId="49" fontId="58" fillId="0" borderId="0" xfId="0" applyNumberFormat="1" applyFont="1" applyAlignment="1">
      <alignment horizontal="left" wrapText="1"/>
    </xf>
    <xf numFmtId="49" fontId="58" fillId="0" borderId="0" xfId="0" applyNumberFormat="1" applyFont="1" applyAlignment="1">
      <alignment horizontal="right" wrapText="1"/>
    </xf>
    <xf numFmtId="180" fontId="58" fillId="0" borderId="33" xfId="0" applyNumberFormat="1" applyFont="1" applyBorder="1" applyAlignment="1">
      <alignment horizontal="left"/>
    </xf>
    <xf numFmtId="180" fontId="58" fillId="0" borderId="34" xfId="0" applyNumberFormat="1" applyFont="1" applyBorder="1" applyAlignment="1">
      <alignment horizontal="right"/>
    </xf>
    <xf numFmtId="180" fontId="58" fillId="0" borderId="35" xfId="0" applyNumberFormat="1" applyFont="1" applyBorder="1" applyAlignment="1">
      <alignment horizontal="right"/>
    </xf>
    <xf numFmtId="180" fontId="58" fillId="0" borderId="36" xfId="0" applyNumberFormat="1" applyFont="1" applyBorder="1" applyAlignment="1">
      <alignment horizontal="left"/>
    </xf>
    <xf numFmtId="180" fontId="58" fillId="0" borderId="1" xfId="0" applyNumberFormat="1" applyFont="1" applyBorder="1" applyAlignment="1">
      <alignment horizontal="center"/>
    </xf>
    <xf numFmtId="180" fontId="58" fillId="0" borderId="37" xfId="0" applyNumberFormat="1" applyFont="1" applyBorder="1" applyAlignment="1">
      <alignment horizontal="center"/>
    </xf>
    <xf numFmtId="180" fontId="58" fillId="0" borderId="38" xfId="0" applyNumberFormat="1" applyFont="1" applyBorder="1" applyAlignment="1">
      <alignment horizontal="left"/>
    </xf>
    <xf numFmtId="180" fontId="58" fillId="0" borderId="0" xfId="0" applyNumberFormat="1" applyFont="1" applyBorder="1" applyAlignment="1">
      <alignment horizontal="right"/>
    </xf>
    <xf numFmtId="180" fontId="58" fillId="0" borderId="39" xfId="0" applyNumberFormat="1" applyFont="1" applyBorder="1" applyAlignment="1">
      <alignment horizontal="right"/>
    </xf>
    <xf numFmtId="180" fontId="58" fillId="0" borderId="40" xfId="0" applyNumberFormat="1" applyFont="1" applyFill="1" applyBorder="1" applyAlignment="1">
      <alignment horizontal="left"/>
    </xf>
    <xf numFmtId="180" fontId="58" fillId="0" borderId="3" xfId="0" applyNumberFormat="1" applyFont="1" applyFill="1" applyBorder="1" applyAlignment="1">
      <alignment horizontal="right"/>
    </xf>
    <xf numFmtId="180" fontId="58" fillId="0" borderId="41" xfId="0" applyNumberFormat="1" applyFont="1" applyFill="1" applyBorder="1" applyAlignment="1">
      <alignment horizontal="right"/>
    </xf>
    <xf numFmtId="180" fontId="58" fillId="0" borderId="42" xfId="0" applyNumberFormat="1" applyFont="1" applyBorder="1" applyAlignment="1">
      <alignment horizontal="left"/>
    </xf>
    <xf numFmtId="180" fontId="58" fillId="0" borderId="28" xfId="0" applyNumberFormat="1" applyFont="1" applyBorder="1" applyAlignment="1">
      <alignment horizontal="right"/>
    </xf>
    <xf numFmtId="180" fontId="58" fillId="0" borderId="43" xfId="0" applyNumberFormat="1" applyFont="1" applyBorder="1" applyAlignment="1">
      <alignment horizontal="right"/>
    </xf>
    <xf numFmtId="180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right" wrapText="1"/>
    </xf>
    <xf numFmtId="49" fontId="58" fillId="0" borderId="0" xfId="0" applyNumberFormat="1" applyFont="1" applyFill="1" applyAlignment="1">
      <alignment horizontal="left" wrapText="1"/>
    </xf>
    <xf numFmtId="180" fontId="58" fillId="0" borderId="0" xfId="0" applyNumberFormat="1" applyFont="1" applyFill="1" applyAlignment="1">
      <alignment horizontal="left"/>
    </xf>
    <xf numFmtId="9" fontId="58" fillId="0" borderId="0" xfId="3" applyFont="1" applyAlignment="1">
      <alignment horizontal="right"/>
    </xf>
    <xf numFmtId="180" fontId="58" fillId="0" borderId="16" xfId="0" applyNumberFormat="1" applyFont="1" applyBorder="1" applyAlignment="1">
      <alignment horizontal="left"/>
    </xf>
    <xf numFmtId="180" fontId="58" fillId="0" borderId="5" xfId="0" applyNumberFormat="1" applyFont="1" applyBorder="1" applyAlignment="1">
      <alignment horizontal="right"/>
    </xf>
    <xf numFmtId="180" fontId="58" fillId="0" borderId="10" xfId="0" applyNumberFormat="1" applyFont="1" applyBorder="1" applyAlignment="1">
      <alignment horizontal="right"/>
    </xf>
    <xf numFmtId="180" fontId="58" fillId="0" borderId="0" xfId="0" applyNumberFormat="1" applyFont="1" applyFill="1" applyAlignment="1">
      <alignment horizontal="right"/>
    </xf>
    <xf numFmtId="180" fontId="58" fillId="0" borderId="17" xfId="0" applyNumberFormat="1" applyFont="1" applyFill="1" applyBorder="1" applyAlignment="1">
      <alignment horizontal="right"/>
    </xf>
    <xf numFmtId="180" fontId="58" fillId="0" borderId="0" xfId="0" applyNumberFormat="1" applyFont="1" applyFill="1" applyBorder="1" applyAlignment="1">
      <alignment horizontal="right"/>
    </xf>
    <xf numFmtId="180" fontId="58" fillId="0" borderId="13" xfId="0" applyNumberFormat="1" applyFont="1" applyFill="1" applyBorder="1" applyAlignment="1">
      <alignment horizontal="right"/>
    </xf>
    <xf numFmtId="180" fontId="58" fillId="0" borderId="3" xfId="0" applyNumberFormat="1" applyFont="1" applyBorder="1" applyAlignment="1">
      <alignment horizontal="right"/>
    </xf>
    <xf numFmtId="180" fontId="58" fillId="0" borderId="44" xfId="0" applyNumberFormat="1" applyFont="1" applyFill="1" applyBorder="1" applyAlignment="1">
      <alignment horizontal="right"/>
    </xf>
    <xf numFmtId="180" fontId="58" fillId="0" borderId="14" xfId="0" applyNumberFormat="1" applyFont="1" applyFill="1" applyBorder="1" applyAlignment="1">
      <alignment horizontal="right"/>
    </xf>
    <xf numFmtId="180" fontId="58" fillId="0" borderId="0" xfId="0" applyNumberFormat="1" applyFont="1" applyAlignment="1">
      <alignment horizontal="center"/>
    </xf>
    <xf numFmtId="180" fontId="58" fillId="0" borderId="19" xfId="0" applyNumberFormat="1" applyFont="1" applyBorder="1" applyAlignment="1">
      <alignment horizontal="right"/>
    </xf>
    <xf numFmtId="180" fontId="58" fillId="0" borderId="1" xfId="0" applyNumberFormat="1" applyFont="1" applyBorder="1" applyAlignment="1">
      <alignment horizontal="right"/>
    </xf>
    <xf numFmtId="180" fontId="58" fillId="0" borderId="15" xfId="0" applyNumberFormat="1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quotePrefix="1" applyFill="1" applyBorder="1" applyAlignment="1">
      <alignment horizontal="right"/>
    </xf>
    <xf numFmtId="166" fontId="1" fillId="3" borderId="13" xfId="0" quotePrefix="1" applyNumberFormat="1" applyFont="1" applyFill="1" applyBorder="1" applyAlignment="1"/>
    <xf numFmtId="0" fontId="7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12" fillId="0" borderId="17" xfId="0" quotePrefix="1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center"/>
    </xf>
    <xf numFmtId="0" fontId="12" fillId="0" borderId="13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2" fillId="0" borderId="16" xfId="0" quotePrefix="1" applyFont="1" applyFill="1" applyBorder="1" applyAlignment="1">
      <alignment horizontal="center"/>
    </xf>
    <xf numFmtId="0" fontId="12" fillId="0" borderId="5" xfId="0" quotePrefix="1" applyFont="1" applyFill="1" applyBorder="1" applyAlignment="1">
      <alignment horizontal="center"/>
    </xf>
    <xf numFmtId="0" fontId="12" fillId="0" borderId="10" xfId="0" quotePrefix="1" applyFont="1" applyFill="1" applyBorder="1" applyAlignment="1">
      <alignment horizontal="center"/>
    </xf>
    <xf numFmtId="0" fontId="3" fillId="2" borderId="0" xfId="4" applyNumberFormat="1" applyFont="1" applyFill="1" applyAlignment="1">
      <alignment horizontal="center"/>
    </xf>
    <xf numFmtId="0" fontId="3" fillId="2" borderId="0" xfId="4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3"/>
    </xf>
    <xf numFmtId="0" fontId="0" fillId="0" borderId="0" xfId="0" quotePrefix="1" applyFill="1" applyAlignment="1">
      <alignment horizontal="left"/>
    </xf>
    <xf numFmtId="0" fontId="0" fillId="0" borderId="0" xfId="0" quotePrefix="1" applyAlignment="1">
      <alignment horizontal="left" indent="2"/>
    </xf>
    <xf numFmtId="0" fontId="0" fillId="0" borderId="0" xfId="0" quotePrefix="1" applyFill="1" applyAlignment="1">
      <alignment horizontal="left" indent="2"/>
    </xf>
    <xf numFmtId="0" fontId="0" fillId="3" borderId="0" xfId="0" quotePrefix="1" applyFill="1" applyAlignment="1">
      <alignment horizontal="left" indent="2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</cellXfs>
  <cellStyles count="411">
    <cellStyle name="_x0013_" xfId="6"/>
    <cellStyle name="_4.06E Pass Throughs" xfId="7"/>
    <cellStyle name="_4.06E Pass Throughs_04 07E Wild Horse Wind Expansion (C) (2)" xfId="8"/>
    <cellStyle name="_4.06E Pass Throughs_04 07E Wild Horse Wind Expansion (C) (2)_Electric Rev Req Model (2009 GRC) " xfId="9"/>
    <cellStyle name="_4.06E Pass Throughs_Production Adj 4.37" xfId="10"/>
    <cellStyle name="_4.06E Pass Throughs_Purchased Power Adj 4.03" xfId="11"/>
    <cellStyle name="_4.06E Pass Throughs_ROR 5.02" xfId="12"/>
    <cellStyle name="_4.13E Montana Energy Tax" xfId="13"/>
    <cellStyle name="_4.13E Montana Energy Tax_04 07E Wild Horse Wind Expansion (C) (2)" xfId="14"/>
    <cellStyle name="_4.13E Montana Energy Tax_04 07E Wild Horse Wind Expansion (C) (2)_Electric Rev Req Model (2009 GRC) " xfId="15"/>
    <cellStyle name="_4.13E Montana Energy Tax_Production Adj 4.37" xfId="16"/>
    <cellStyle name="_4.13E Montana Energy Tax_Purchased Power Adj 4.03" xfId="17"/>
    <cellStyle name="_4.13E Montana Energy Tax_ROR 5.02" xfId="18"/>
    <cellStyle name="_Book1" xfId="19"/>
    <cellStyle name="_Book1 (2)" xfId="20"/>
    <cellStyle name="_Book1 (2)_04 07E Wild Horse Wind Expansion (C) (2)" xfId="21"/>
    <cellStyle name="_Book1 (2)_04 07E Wild Horse Wind Expansion (C) (2)_Electric Rev Req Model (2009 GRC) " xfId="22"/>
    <cellStyle name="_Book1 (2)_Production Adj 4.37" xfId="23"/>
    <cellStyle name="_Book1 (2)_Purchased Power Adj 4.03" xfId="24"/>
    <cellStyle name="_Book1 (2)_ROR 5.02" xfId="25"/>
    <cellStyle name="_Book1_Production Adj 4.37" xfId="26"/>
    <cellStyle name="_Book1_Purchased Power Adj 4.03" xfId="27"/>
    <cellStyle name="_Book1_ROR 5.02" xfId="28"/>
    <cellStyle name="_Book2" xfId="29"/>
    <cellStyle name="_Book2_04 07E Wild Horse Wind Expansion (C) (2)" xfId="30"/>
    <cellStyle name="_Book2_04 07E Wild Horse Wind Expansion (C) (2)_Electric Rev Req Model (2009 GRC) " xfId="31"/>
    <cellStyle name="_Book2_Production Adj 4.37" xfId="32"/>
    <cellStyle name="_Book2_Purchased Power Adj 4.03" xfId="33"/>
    <cellStyle name="_Book2_ROR 5.02" xfId="34"/>
    <cellStyle name="_Chelan Debt Forecast 12.19.05" xfId="35"/>
    <cellStyle name="_Chelan Debt Forecast 12.19.05_Production Adj 4.37" xfId="36"/>
    <cellStyle name="_Chelan Debt Forecast 12.19.05_Purchased Power Adj 4.03" xfId="37"/>
    <cellStyle name="_Chelan Debt Forecast 12.19.05_ROR 5.02" xfId="38"/>
    <cellStyle name="_Costs not in AURORA 06GRC" xfId="39"/>
    <cellStyle name="_Costs not in AURORA 06GRC_04 07E Wild Horse Wind Expansion (C) (2)" xfId="40"/>
    <cellStyle name="_Costs not in AURORA 06GRC_04 07E Wild Horse Wind Expansion (C) (2)_Electric Rev Req Model (2009 GRC) " xfId="41"/>
    <cellStyle name="_Costs not in AURORA 06GRC_Production Adj 4.37" xfId="42"/>
    <cellStyle name="_Costs not in AURORA 06GRC_Purchased Power Adj 4.03" xfId="43"/>
    <cellStyle name="_Costs not in AURORA 06GRC_ROR 5.02" xfId="44"/>
    <cellStyle name="_Costs not in AURORA 2006GRC 6.15.06" xfId="45"/>
    <cellStyle name="_Costs not in AURORA 2006GRC 6.15.06_04 07E Wild Horse Wind Expansion (C) (2)" xfId="46"/>
    <cellStyle name="_Costs not in AURORA 2006GRC 6.15.06_04 07E Wild Horse Wind Expansion (C) (2)_Electric Rev Req Model (2009 GRC) " xfId="47"/>
    <cellStyle name="_Costs not in AURORA 2006GRC 6.15.06_Production Adj 4.37" xfId="48"/>
    <cellStyle name="_Costs not in AURORA 2006GRC 6.15.06_Purchased Power Adj 4.03" xfId="49"/>
    <cellStyle name="_Costs not in AURORA 2006GRC 6.15.06_ROR 5.02" xfId="50"/>
    <cellStyle name="_Costs not in AURORA 2006GRC w gas price updated" xfId="51"/>
    <cellStyle name="_Costs not in AURORA 2006GRC w gas price updated_Electric Rev Req Model (2009 GRC) " xfId="52"/>
    <cellStyle name="_Costs not in AURORA 2007 Rate Case" xfId="53"/>
    <cellStyle name="_Costs not in AURORA 2007 Rate Case_Production Adj 4.37" xfId="54"/>
    <cellStyle name="_Costs not in AURORA 2007 Rate Case_Purchased Power Adj 4.03" xfId="55"/>
    <cellStyle name="_Costs not in AURORA 2007 Rate Case_ROR 5.02" xfId="56"/>
    <cellStyle name="_Costs not in KWI3000 '06Budget" xfId="57"/>
    <cellStyle name="_Costs not in KWI3000 '06Budget_Production Adj 4.37" xfId="58"/>
    <cellStyle name="_Costs not in KWI3000 '06Budget_Purchased Power Adj 4.03" xfId="59"/>
    <cellStyle name="_Costs not in KWI3000 '06Budget_ROR 5.02" xfId="60"/>
    <cellStyle name="_DEM-WP (C) Power Cost 2006GRC Order" xfId="61"/>
    <cellStyle name="_DEM-WP (C) Power Cost 2006GRC Order_04 07E Wild Horse Wind Expansion (C) (2)" xfId="62"/>
    <cellStyle name="_DEM-WP (C) Power Cost 2006GRC Order_04 07E Wild Horse Wind Expansion (C) (2)_Electric Rev Req Model (2009 GRC) " xfId="63"/>
    <cellStyle name="_DEM-WP (C) Power Cost 2006GRC Order_Production Adj 4.37" xfId="64"/>
    <cellStyle name="_DEM-WP (C) Power Cost 2006GRC Order_Purchased Power Adj 4.03" xfId="65"/>
    <cellStyle name="_DEM-WP (C) Power Cost 2006GRC Order_ROR 5.02" xfId="66"/>
    <cellStyle name="_DEM-WP Revised (HC) Wild Horse 2006GRC" xfId="67"/>
    <cellStyle name="_DEM-WP Revised (HC) Wild Horse 2006GRC_Electric Rev Req Model (2009 GRC) " xfId="68"/>
    <cellStyle name="_DEM-WP(C) Costs not in AURORA 2006GRC" xfId="69"/>
    <cellStyle name="_DEM-WP(C) Costs not in AURORA 2006GRC_Production Adj 4.37" xfId="70"/>
    <cellStyle name="_DEM-WP(C) Costs not in AURORA 2006GRC_Purchased Power Adj 4.03" xfId="71"/>
    <cellStyle name="_DEM-WP(C) Costs not in AURORA 2006GRC_ROR 5.02" xfId="72"/>
    <cellStyle name="_DEM-WP(C) Costs not in AURORA 2007GRC" xfId="73"/>
    <cellStyle name="_DEM-WP(C) Costs not in AURORA 2007GRC_Electric Rev Req Model (2009 GRC) " xfId="74"/>
    <cellStyle name="_DEM-WP(C) Costs not in AURORA 2007PCORC-5.07Update" xfId="75"/>
    <cellStyle name="_DEM-WP(C) Costs not in AURORA 2007PCORC-5.07Update_Electric Rev Req Model (2009 GRC) " xfId="76"/>
    <cellStyle name="_DEM-WP(C) Sumas Proforma 11.5.07" xfId="77"/>
    <cellStyle name="_DEM-WP(C) Westside Hydro Data_051007" xfId="78"/>
    <cellStyle name="_DEM-WP(C) Westside Hydro Data_051007_Electric Rev Req Model (2009 GRC) " xfId="79"/>
    <cellStyle name="_x0013__Electric Rev Req Model (2009 GRC) " xfId="80"/>
    <cellStyle name="_Fuel Prices 4-14" xfId="81"/>
    <cellStyle name="_Fuel Prices 4-14_04 07E Wild Horse Wind Expansion (C) (2)" xfId="82"/>
    <cellStyle name="_Fuel Prices 4-14_04 07E Wild Horse Wind Expansion (C) (2)_Electric Rev Req Model (2009 GRC) " xfId="83"/>
    <cellStyle name="_Fuel Prices 4-14_Production Adj 4.37" xfId="84"/>
    <cellStyle name="_Fuel Prices 4-14_Purchased Power Adj 4.03" xfId="85"/>
    <cellStyle name="_Fuel Prices 4-14_ROR 5.02" xfId="86"/>
    <cellStyle name="_Fuel Prices 4-14_Sch 40 Interim Energy Rates " xfId="87"/>
    <cellStyle name="_NIM 06 Base Case Current Trends" xfId="88"/>
    <cellStyle name="_NIM 06 Base Case Current Trends_Electric Rev Req Model (2009 GRC) " xfId="89"/>
    <cellStyle name="_Portfolio SPlan Base Case.xls Chart 1" xfId="90"/>
    <cellStyle name="_Portfolio SPlan Base Case.xls Chart 1_Electric Rev Req Model (2009 GRC) " xfId="91"/>
    <cellStyle name="_Portfolio SPlan Base Case.xls Chart 2" xfId="92"/>
    <cellStyle name="_Portfolio SPlan Base Case.xls Chart 2_Electric Rev Req Model (2009 GRC) " xfId="93"/>
    <cellStyle name="_Portfolio SPlan Base Case.xls Chart 3" xfId="94"/>
    <cellStyle name="_Portfolio SPlan Base Case.xls Chart 3_Electric Rev Req Model (2009 GRC) " xfId="95"/>
    <cellStyle name="_Power Cost Value Copy 11.30.05 gas 1.09.06 AURORA at 1.10.06" xfId="96"/>
    <cellStyle name="_Power Cost Value Copy 11.30.05 gas 1.09.06 AURORA at 1.10.06_04 07E Wild Horse Wind Expansion (C) (2)" xfId="97"/>
    <cellStyle name="_Power Cost Value Copy 11.30.05 gas 1.09.06 AURORA at 1.10.06_04 07E Wild Horse Wind Expansion (C) (2)_Electric Rev Req Model (2009 GRC) " xfId="98"/>
    <cellStyle name="_Power Cost Value Copy 11.30.05 gas 1.09.06 AURORA at 1.10.06_Production Adj 4.37" xfId="99"/>
    <cellStyle name="_Power Cost Value Copy 11.30.05 gas 1.09.06 AURORA at 1.10.06_Purchased Power Adj 4.03" xfId="100"/>
    <cellStyle name="_Power Cost Value Copy 11.30.05 gas 1.09.06 AURORA at 1.10.06_ROR 5.02" xfId="101"/>
    <cellStyle name="_Power Cost Value Copy 11.30.05 gas 1.09.06 AURORA at 1.10.06_Sch 40 Interim Energy Rates " xfId="102"/>
    <cellStyle name="_Recon to Darrin's 5.11.05 proforma" xfId="103"/>
    <cellStyle name="_Recon to Darrin's 5.11.05 proforma_Production Adj 4.37" xfId="104"/>
    <cellStyle name="_Recon to Darrin's 5.11.05 proforma_Purchased Power Adj 4.03" xfId="105"/>
    <cellStyle name="_Recon to Darrin's 5.11.05 proforma_ROR 5.02" xfId="106"/>
    <cellStyle name="_Tenaska Comparison" xfId="107"/>
    <cellStyle name="_Tenaska Comparison_Production Adj 4.37" xfId="108"/>
    <cellStyle name="_Tenaska Comparison_Purchased Power Adj 4.03" xfId="109"/>
    <cellStyle name="_Tenaska Comparison_ROR 5.02" xfId="110"/>
    <cellStyle name="_Value Copy 11 30 05 gas 12 09 05 AURORA at 12 14 05" xfId="111"/>
    <cellStyle name="_Value Copy 11 30 05 gas 12 09 05 AURORA at 12 14 05_04 07E Wild Horse Wind Expansion (C) (2)" xfId="112"/>
    <cellStyle name="_Value Copy 11 30 05 gas 12 09 05 AURORA at 12 14 05_04 07E Wild Horse Wind Expansion (C) (2)_Electric Rev Req Model (2009 GRC) " xfId="113"/>
    <cellStyle name="_Value Copy 11 30 05 gas 12 09 05 AURORA at 12 14 05_Production Adj 4.37" xfId="114"/>
    <cellStyle name="_Value Copy 11 30 05 gas 12 09 05 AURORA at 12 14 05_Purchased Power Adj 4.03" xfId="115"/>
    <cellStyle name="_Value Copy 11 30 05 gas 12 09 05 AURORA at 12 14 05_ROR 5.02" xfId="116"/>
    <cellStyle name="_Value Copy 11 30 05 gas 12 09 05 AURORA at 12 14 05_Sch 40 Interim Energy Rates " xfId="117"/>
    <cellStyle name="_VC 6.15.06 update on 06GRC power costs.xls Chart 1" xfId="118"/>
    <cellStyle name="_VC 6.15.06 update on 06GRC power costs.xls Chart 1_04 07E Wild Horse Wind Expansion (C) (2)" xfId="119"/>
    <cellStyle name="_VC 6.15.06 update on 06GRC power costs.xls Chart 1_04 07E Wild Horse Wind Expansion (C) (2)_Electric Rev Req Model (2009 GRC) " xfId="120"/>
    <cellStyle name="_VC 6.15.06 update on 06GRC power costs.xls Chart 1_Production Adj 4.37" xfId="121"/>
    <cellStyle name="_VC 6.15.06 update on 06GRC power costs.xls Chart 1_Purchased Power Adj 4.03" xfId="122"/>
    <cellStyle name="_VC 6.15.06 update on 06GRC power costs.xls Chart 1_ROR 5.02" xfId="123"/>
    <cellStyle name="_VC 6.15.06 update on 06GRC power costs.xls Chart 2" xfId="124"/>
    <cellStyle name="_VC 6.15.06 update on 06GRC power costs.xls Chart 2_04 07E Wild Horse Wind Expansion (C) (2)" xfId="125"/>
    <cellStyle name="_VC 6.15.06 update on 06GRC power costs.xls Chart 2_04 07E Wild Horse Wind Expansion (C) (2)_Electric Rev Req Model (2009 GRC) " xfId="126"/>
    <cellStyle name="_VC 6.15.06 update on 06GRC power costs.xls Chart 2_Production Adj 4.37" xfId="127"/>
    <cellStyle name="_VC 6.15.06 update on 06GRC power costs.xls Chart 2_Purchased Power Adj 4.03" xfId="128"/>
    <cellStyle name="_VC 6.15.06 update on 06GRC power costs.xls Chart 2_ROR 5.02" xfId="129"/>
    <cellStyle name="_VC 6.15.06 update on 06GRC power costs.xls Chart 3" xfId="130"/>
    <cellStyle name="_VC 6.15.06 update on 06GRC power costs.xls Chart 3_04 07E Wild Horse Wind Expansion (C) (2)" xfId="131"/>
    <cellStyle name="_VC 6.15.06 update on 06GRC power costs.xls Chart 3_04 07E Wild Horse Wind Expansion (C) (2)_Electric Rev Req Model (2009 GRC) " xfId="132"/>
    <cellStyle name="_VC 6.15.06 update on 06GRC power costs.xls Chart 3_Production Adj 4.37" xfId="133"/>
    <cellStyle name="_VC 6.15.06 update on 06GRC power costs.xls Chart 3_Purchased Power Adj 4.03" xfId="134"/>
    <cellStyle name="_VC 6.15.06 update on 06GRC power costs.xls Chart 3_ROR 5.02" xfId="135"/>
    <cellStyle name="0,0_x000d__x000a_NA_x000d__x000a_" xfId="136"/>
    <cellStyle name="20% - Accent1 2" xfId="137"/>
    <cellStyle name="20% - Accent1 3" xfId="138"/>
    <cellStyle name="20% - Accent1 4" xfId="139"/>
    <cellStyle name="20% - Accent2 2" xfId="140"/>
    <cellStyle name="20% - Accent2 3" xfId="141"/>
    <cellStyle name="20% - Accent2 4" xfId="142"/>
    <cellStyle name="20% - Accent3 2" xfId="143"/>
    <cellStyle name="20% - Accent3 3" xfId="144"/>
    <cellStyle name="20% - Accent3 4" xfId="145"/>
    <cellStyle name="20% - Accent4 2" xfId="146"/>
    <cellStyle name="20% - Accent4 3" xfId="147"/>
    <cellStyle name="20% - Accent4 4" xfId="148"/>
    <cellStyle name="20% - Accent5 2" xfId="149"/>
    <cellStyle name="20% - Accent5 3" xfId="150"/>
    <cellStyle name="20% - Accent5 4" xfId="151"/>
    <cellStyle name="20% - Accent6 2" xfId="152"/>
    <cellStyle name="20% - Accent6 3" xfId="153"/>
    <cellStyle name="20% - Accent6 4" xfId="154"/>
    <cellStyle name="40% - Accent1 2" xfId="155"/>
    <cellStyle name="40% - Accent1 3" xfId="156"/>
    <cellStyle name="40% - Accent1 4" xfId="157"/>
    <cellStyle name="40% - Accent2 2" xfId="158"/>
    <cellStyle name="40% - Accent2 3" xfId="159"/>
    <cellStyle name="40% - Accent2 4" xfId="160"/>
    <cellStyle name="40% - Accent3 2" xfId="161"/>
    <cellStyle name="40% - Accent3 3" xfId="162"/>
    <cellStyle name="40% - Accent3 4" xfId="163"/>
    <cellStyle name="40% - Accent4 2" xfId="164"/>
    <cellStyle name="40% - Accent4 3" xfId="165"/>
    <cellStyle name="40% - Accent4 4" xfId="166"/>
    <cellStyle name="40% - Accent5 2" xfId="167"/>
    <cellStyle name="40% - Accent5 3" xfId="168"/>
    <cellStyle name="40% - Accent5 4" xfId="169"/>
    <cellStyle name="40% - Accent6 2" xfId="170"/>
    <cellStyle name="40% - Accent6 3" xfId="171"/>
    <cellStyle name="40% - Accent6 4" xfId="172"/>
    <cellStyle name="60% - Accent1 2" xfId="173"/>
    <cellStyle name="60% - Accent2 2" xfId="174"/>
    <cellStyle name="60% - Accent3 2" xfId="175"/>
    <cellStyle name="60% - Accent4 2" xfId="176"/>
    <cellStyle name="60% - Accent5 2" xfId="177"/>
    <cellStyle name="60% - Accent6 2" xfId="178"/>
    <cellStyle name="Accent1 2" xfId="179"/>
    <cellStyle name="Accent2 2" xfId="180"/>
    <cellStyle name="Accent3 2" xfId="181"/>
    <cellStyle name="Accent4 2" xfId="182"/>
    <cellStyle name="Accent5 2" xfId="183"/>
    <cellStyle name="Accent6 2" xfId="184"/>
    <cellStyle name="Bad 2" xfId="185"/>
    <cellStyle name="Calc Currency (0)" xfId="186"/>
    <cellStyle name="Calculation 2" xfId="187"/>
    <cellStyle name="Check Cell 2" xfId="188"/>
    <cellStyle name="CheckCell" xfId="189"/>
    <cellStyle name="Comma" xfId="2" builtinId="3"/>
    <cellStyle name="Comma 10" xfId="190"/>
    <cellStyle name="Comma 11" xfId="191"/>
    <cellStyle name="Comma 2" xfId="192"/>
    <cellStyle name="Comma 2 2" xfId="193"/>
    <cellStyle name="Comma 3" xfId="194"/>
    <cellStyle name="Comma 4" xfId="195"/>
    <cellStyle name="Comma 5" xfId="196"/>
    <cellStyle name="Comma 6" xfId="197"/>
    <cellStyle name="Comma 7" xfId="198"/>
    <cellStyle name="Comma 8" xfId="199"/>
    <cellStyle name="Comma 8 2" xfId="200"/>
    <cellStyle name="Comma 9" xfId="201"/>
    <cellStyle name="Comma0" xfId="202"/>
    <cellStyle name="Comma0 - Style2" xfId="203"/>
    <cellStyle name="Comma0 - Style4" xfId="204"/>
    <cellStyle name="Comma0 - Style5" xfId="205"/>
    <cellStyle name="Comma0 2" xfId="206"/>
    <cellStyle name="Comma0 3" xfId="207"/>
    <cellStyle name="Comma0 4" xfId="208"/>
    <cellStyle name="Comma0_00COS Ind Allocators" xfId="209"/>
    <cellStyle name="Comma1 - Style1" xfId="210"/>
    <cellStyle name="Copied" xfId="211"/>
    <cellStyle name="COST1" xfId="212"/>
    <cellStyle name="Curren - Style1" xfId="213"/>
    <cellStyle name="Curren - Style2" xfId="214"/>
    <cellStyle name="Curren - Style5" xfId="215"/>
    <cellStyle name="Curren - Style6" xfId="216"/>
    <cellStyle name="Currency" xfId="1" builtinId="4"/>
    <cellStyle name="Currency 10" xfId="217"/>
    <cellStyle name="Currency 2" xfId="5"/>
    <cellStyle name="Currency 3" xfId="218"/>
    <cellStyle name="Currency 3 2" xfId="219"/>
    <cellStyle name="Currency 4" xfId="220"/>
    <cellStyle name="Currency 5" xfId="221"/>
    <cellStyle name="Currency 6" xfId="222"/>
    <cellStyle name="Currency 7" xfId="223"/>
    <cellStyle name="Currency 8" xfId="224"/>
    <cellStyle name="Currency 9" xfId="225"/>
    <cellStyle name="Currency0" xfId="226"/>
    <cellStyle name="Date" xfId="227"/>
    <cellStyle name="Date 2" xfId="228"/>
    <cellStyle name="Date 3" xfId="229"/>
    <cellStyle name="Date 4" xfId="230"/>
    <cellStyle name="Entered" xfId="231"/>
    <cellStyle name="Explanatory Text 2" xfId="232"/>
    <cellStyle name="Fixed" xfId="233"/>
    <cellStyle name="Fixed3 - Style3" xfId="234"/>
    <cellStyle name="Good 2" xfId="235"/>
    <cellStyle name="Grey" xfId="236"/>
    <cellStyle name="Grey 2" xfId="237"/>
    <cellStyle name="Grey 3" xfId="238"/>
    <cellStyle name="Grey 4" xfId="239"/>
    <cellStyle name="Grey_ERB" xfId="240"/>
    <cellStyle name="Header1" xfId="241"/>
    <cellStyle name="Header2" xfId="242"/>
    <cellStyle name="Heading 1 2" xfId="243"/>
    <cellStyle name="Heading 2 2" xfId="244"/>
    <cellStyle name="Heading1" xfId="245"/>
    <cellStyle name="Heading2" xfId="246"/>
    <cellStyle name="Input [yellow]" xfId="247"/>
    <cellStyle name="Input [yellow] 2" xfId="248"/>
    <cellStyle name="Input [yellow] 3" xfId="249"/>
    <cellStyle name="Input [yellow] 4" xfId="250"/>
    <cellStyle name="Input [yellow]_ERB" xfId="251"/>
    <cellStyle name="Input 2" xfId="252"/>
    <cellStyle name="Input 3" xfId="253"/>
    <cellStyle name="Input 4" xfId="254"/>
    <cellStyle name="Input Cells" xfId="255"/>
    <cellStyle name="Input Cells Percent" xfId="256"/>
    <cellStyle name="Lines" xfId="257"/>
    <cellStyle name="LINKED" xfId="258"/>
    <cellStyle name="modified border" xfId="259"/>
    <cellStyle name="modified border 2" xfId="260"/>
    <cellStyle name="modified border 3" xfId="261"/>
    <cellStyle name="modified border 4" xfId="262"/>
    <cellStyle name="modified border1" xfId="263"/>
    <cellStyle name="modified border1 2" xfId="264"/>
    <cellStyle name="modified border1 3" xfId="265"/>
    <cellStyle name="modified border1 4" xfId="266"/>
    <cellStyle name="Neutral 2" xfId="267"/>
    <cellStyle name="no dec" xfId="268"/>
    <cellStyle name="Normal" xfId="0" builtinId="0"/>
    <cellStyle name="Normal - Style1" xfId="269"/>
    <cellStyle name="Normal - Style1 2" xfId="270"/>
    <cellStyle name="Normal - Style1 3" xfId="271"/>
    <cellStyle name="Normal - Style1 4" xfId="272"/>
    <cellStyle name="Normal - Style1_Depreciation Exp" xfId="273"/>
    <cellStyle name="Normal 10" xfId="274"/>
    <cellStyle name="Normal 11" xfId="275"/>
    <cellStyle name="Normal 12" xfId="276"/>
    <cellStyle name="Normal 13" xfId="277"/>
    <cellStyle name="Normal 14" xfId="278"/>
    <cellStyle name="Normal 15" xfId="279"/>
    <cellStyle name="Normal 16" xfId="280"/>
    <cellStyle name="Normal 17" xfId="281"/>
    <cellStyle name="Normal 2" xfId="4"/>
    <cellStyle name="Normal 2 2" xfId="282"/>
    <cellStyle name="Normal 2 2 2" xfId="283"/>
    <cellStyle name="Normal 2 2 3" xfId="284"/>
    <cellStyle name="Normal 2 2_4.14E Miscellaneous Operating Expense working file" xfId="285"/>
    <cellStyle name="Normal 2 3" xfId="286"/>
    <cellStyle name="Normal 2 4" xfId="287"/>
    <cellStyle name="Normal 2 5" xfId="288"/>
    <cellStyle name="Normal 2 6" xfId="289"/>
    <cellStyle name="Normal 2 7" xfId="290"/>
    <cellStyle name="Normal 2 8" xfId="291"/>
    <cellStyle name="Normal 2 9" xfId="292"/>
    <cellStyle name="Normal 2_Allocation Method - Working File" xfId="293"/>
    <cellStyle name="Normal 3" xfId="294"/>
    <cellStyle name="Normal 3 2" xfId="295"/>
    <cellStyle name="Normal 3 3" xfId="296"/>
    <cellStyle name="Normal 3_4.14E Miscellaneous Operating Expense working file" xfId="297"/>
    <cellStyle name="Normal 4" xfId="298"/>
    <cellStyle name="Normal 5" xfId="299"/>
    <cellStyle name="Normal 6" xfId="300"/>
    <cellStyle name="Normal 7" xfId="301"/>
    <cellStyle name="Normal 8" xfId="302"/>
    <cellStyle name="Normal 9" xfId="303"/>
    <cellStyle name="Note 10" xfId="304"/>
    <cellStyle name="Note 11" xfId="305"/>
    <cellStyle name="Note 12" xfId="306"/>
    <cellStyle name="Note 2" xfId="307"/>
    <cellStyle name="Note 3" xfId="308"/>
    <cellStyle name="Note 4" xfId="309"/>
    <cellStyle name="Note 5" xfId="310"/>
    <cellStyle name="Note 6" xfId="311"/>
    <cellStyle name="Note 7" xfId="312"/>
    <cellStyle name="Note 8" xfId="313"/>
    <cellStyle name="Note 9" xfId="314"/>
    <cellStyle name="Output 2" xfId="315"/>
    <cellStyle name="Percen - Style1" xfId="316"/>
    <cellStyle name="Percen - Style2" xfId="317"/>
    <cellStyle name="Percen - Style3" xfId="318"/>
    <cellStyle name="Percent" xfId="3" builtinId="5"/>
    <cellStyle name="Percent [2]" xfId="319"/>
    <cellStyle name="Percent 10" xfId="320"/>
    <cellStyle name="Percent 11" xfId="321"/>
    <cellStyle name="Percent 2" xfId="322"/>
    <cellStyle name="Percent 3" xfId="323"/>
    <cellStyle name="Percent 4" xfId="324"/>
    <cellStyle name="Percent 4 2" xfId="325"/>
    <cellStyle name="Percent 5" xfId="326"/>
    <cellStyle name="Percent 6" xfId="327"/>
    <cellStyle name="Percent 7" xfId="328"/>
    <cellStyle name="Percent 8" xfId="329"/>
    <cellStyle name="Percent 9" xfId="330"/>
    <cellStyle name="Processing" xfId="331"/>
    <cellStyle name="PSChar" xfId="332"/>
    <cellStyle name="PSDate" xfId="333"/>
    <cellStyle name="PSDec" xfId="334"/>
    <cellStyle name="PSHeading" xfId="335"/>
    <cellStyle name="PSInt" xfId="336"/>
    <cellStyle name="PSSpacer" xfId="337"/>
    <cellStyle name="purple - Style8" xfId="338"/>
    <cellStyle name="RED" xfId="339"/>
    <cellStyle name="Red - Style7" xfId="340"/>
    <cellStyle name="RED_04 07E Wild Horse Wind Expansion (C) (2)" xfId="341"/>
    <cellStyle name="Report" xfId="342"/>
    <cellStyle name="Report Bar" xfId="343"/>
    <cellStyle name="Report Heading" xfId="344"/>
    <cellStyle name="Report Percent" xfId="345"/>
    <cellStyle name="Report Unit Cost" xfId="346"/>
    <cellStyle name="Reports" xfId="347"/>
    <cellStyle name="Reports Total" xfId="348"/>
    <cellStyle name="Reports Unit Cost Total" xfId="349"/>
    <cellStyle name="RevList" xfId="350"/>
    <cellStyle name="round100" xfId="351"/>
    <cellStyle name="SAPBEXaggData" xfId="352"/>
    <cellStyle name="SAPBEXaggDataEmph" xfId="353"/>
    <cellStyle name="SAPBEXaggItem" xfId="354"/>
    <cellStyle name="SAPBEXaggItemX" xfId="355"/>
    <cellStyle name="SAPBEXchaText" xfId="356"/>
    <cellStyle name="SAPBEXexcBad7" xfId="357"/>
    <cellStyle name="SAPBEXexcBad8" xfId="358"/>
    <cellStyle name="SAPBEXexcBad9" xfId="359"/>
    <cellStyle name="SAPBEXexcCritical4" xfId="360"/>
    <cellStyle name="SAPBEXexcCritical5" xfId="361"/>
    <cellStyle name="SAPBEXexcCritical6" xfId="362"/>
    <cellStyle name="SAPBEXexcGood1" xfId="363"/>
    <cellStyle name="SAPBEXexcGood2" xfId="364"/>
    <cellStyle name="SAPBEXexcGood3" xfId="365"/>
    <cellStyle name="SAPBEXfilterDrill" xfId="366"/>
    <cellStyle name="SAPBEXfilterItem" xfId="367"/>
    <cellStyle name="SAPBEXfilterText" xfId="368"/>
    <cellStyle name="SAPBEXformats" xfId="369"/>
    <cellStyle name="SAPBEXheaderItem" xfId="370"/>
    <cellStyle name="SAPBEXheaderText" xfId="371"/>
    <cellStyle name="SAPBEXHLevel0" xfId="372"/>
    <cellStyle name="SAPBEXHLevel0X" xfId="373"/>
    <cellStyle name="SAPBEXHLevel1" xfId="374"/>
    <cellStyle name="SAPBEXHLevel1X" xfId="375"/>
    <cellStyle name="SAPBEXHLevel2" xfId="376"/>
    <cellStyle name="SAPBEXHLevel2X" xfId="377"/>
    <cellStyle name="SAPBEXHLevel3" xfId="378"/>
    <cellStyle name="SAPBEXHLevel3X" xfId="379"/>
    <cellStyle name="SAPBEXresData" xfId="380"/>
    <cellStyle name="SAPBEXresDataEmph" xfId="381"/>
    <cellStyle name="SAPBEXresItem" xfId="382"/>
    <cellStyle name="SAPBEXresItemX" xfId="383"/>
    <cellStyle name="SAPBEXstdData" xfId="384"/>
    <cellStyle name="SAPBEXstdDataEmph" xfId="385"/>
    <cellStyle name="SAPBEXstdItem" xfId="386"/>
    <cellStyle name="SAPBEXstdItemX" xfId="387"/>
    <cellStyle name="SAPBEXtitle" xfId="388"/>
    <cellStyle name="SAPBEXundefined" xfId="389"/>
    <cellStyle name="shade" xfId="390"/>
    <cellStyle name="StmtTtl1" xfId="391"/>
    <cellStyle name="StmtTtl1 2" xfId="392"/>
    <cellStyle name="StmtTtl1 3" xfId="393"/>
    <cellStyle name="StmtTtl1 4" xfId="394"/>
    <cellStyle name="StmtTtl1_ERB" xfId="395"/>
    <cellStyle name="StmtTtl2" xfId="396"/>
    <cellStyle name="STYL1 - Style1" xfId="397"/>
    <cellStyle name="Style 1" xfId="398"/>
    <cellStyle name="Style 1 2" xfId="399"/>
    <cellStyle name="Style 1 3" xfId="400"/>
    <cellStyle name="Style 1 4" xfId="401"/>
    <cellStyle name="Style 1_4.14E Miscellaneous Operating Expense working file" xfId="402"/>
    <cellStyle name="Subtotal" xfId="403"/>
    <cellStyle name="Sub-total" xfId="404"/>
    <cellStyle name="Title: Major" xfId="405"/>
    <cellStyle name="Title: Minor" xfId="406"/>
    <cellStyle name="Title: Worksheet" xfId="407"/>
    <cellStyle name="Total 2" xfId="408"/>
    <cellStyle name="Total4 - Style4" xfId="409"/>
    <cellStyle name="Warning Text 2" xfId="4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2017%20GRC/Compliance%20Tax%20Reform/PSE%20Compliance%20ECOS%20Model_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Electric%20Tax%20Reform%20Credit%20Rate%20Design%20WP%20-%20Ligh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 refreshError="1"/>
      <sheetData sheetId="1">
        <row r="11">
          <cell r="C11">
            <v>2</v>
          </cell>
        </row>
        <row r="29">
          <cell r="F29">
            <v>7.6000000000000012E-2</v>
          </cell>
        </row>
        <row r="30">
          <cell r="F30">
            <v>2.9900000000000003E-2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0.75238499999999997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41Y Rates"/>
      <sheetName val="UE-180382 Light WP1 - Sch 141Y"/>
      <sheetName val="UE-180382 Light WP2"/>
      <sheetName val="UE-180280 COS (PTDGP.T)"/>
      <sheetName val="Sch 141Y Capital Charge"/>
      <sheetName val="Sch 141Y O&amp;M Charge"/>
      <sheetName val="Sch 141Y Customer Charge"/>
      <sheetName val="Sch 141Y Demand Charge"/>
      <sheetName val="Sch 141Y Energy Charge"/>
    </sheetNames>
    <sheetDataSet>
      <sheetData sheetId="0">
        <row r="24">
          <cell r="L24">
            <v>708</v>
          </cell>
          <cell r="O24">
            <v>-0.01</v>
          </cell>
        </row>
        <row r="26">
          <cell r="L26">
            <v>36</v>
          </cell>
          <cell r="O26">
            <v>-0.02</v>
          </cell>
        </row>
        <row r="27">
          <cell r="L27">
            <v>228</v>
          </cell>
          <cell r="O27">
            <v>-0.04</v>
          </cell>
        </row>
        <row r="28">
          <cell r="L28">
            <v>240</v>
          </cell>
          <cell r="O28">
            <v>-0.1</v>
          </cell>
        </row>
        <row r="29">
          <cell r="L29">
            <v>0</v>
          </cell>
          <cell r="O29">
            <v>-0.02</v>
          </cell>
        </row>
        <row r="30">
          <cell r="L30">
            <v>12</v>
          </cell>
          <cell r="O30">
            <v>-0.04</v>
          </cell>
        </row>
        <row r="31">
          <cell r="L31">
            <v>0</v>
          </cell>
          <cell r="O31">
            <v>-0.1</v>
          </cell>
        </row>
        <row r="32">
          <cell r="L32"/>
          <cell r="O32">
            <v>-0.17</v>
          </cell>
        </row>
        <row r="35">
          <cell r="L35">
            <v>24817</v>
          </cell>
          <cell r="O35">
            <v>-0.01</v>
          </cell>
        </row>
        <row r="36">
          <cell r="L36">
            <v>13647</v>
          </cell>
          <cell r="O36">
            <v>-0.02</v>
          </cell>
        </row>
        <row r="37">
          <cell r="L37">
            <v>7663</v>
          </cell>
          <cell r="O37">
            <v>-0.03</v>
          </cell>
        </row>
        <row r="38">
          <cell r="L38">
            <v>3502</v>
          </cell>
          <cell r="O38">
            <v>-0.03</v>
          </cell>
        </row>
        <row r="39">
          <cell r="L39">
            <v>606</v>
          </cell>
          <cell r="O39">
            <v>-0.04</v>
          </cell>
        </row>
        <row r="40">
          <cell r="L40">
            <v>2271</v>
          </cell>
          <cell r="O40">
            <v>-0.05</v>
          </cell>
        </row>
        <row r="41">
          <cell r="L41">
            <v>0</v>
          </cell>
          <cell r="O41">
            <v>-0.06</v>
          </cell>
        </row>
        <row r="42">
          <cell r="L42">
            <v>120</v>
          </cell>
          <cell r="O42">
            <v>-0.06</v>
          </cell>
        </row>
        <row r="43">
          <cell r="L43">
            <v>911</v>
          </cell>
          <cell r="O43">
            <v>-7.0000000000000007E-2</v>
          </cell>
        </row>
        <row r="46">
          <cell r="L46">
            <v>0</v>
          </cell>
          <cell r="O46">
            <v>-0.01</v>
          </cell>
        </row>
        <row r="47">
          <cell r="L47">
            <v>8520</v>
          </cell>
          <cell r="O47">
            <v>-0.02</v>
          </cell>
        </row>
        <row r="48">
          <cell r="L48">
            <v>123704</v>
          </cell>
          <cell r="O48">
            <v>-0.02</v>
          </cell>
        </row>
        <row r="49">
          <cell r="L49">
            <v>55078</v>
          </cell>
          <cell r="O49">
            <v>-0.04</v>
          </cell>
        </row>
        <row r="50">
          <cell r="L50">
            <v>11934</v>
          </cell>
          <cell r="O50">
            <v>-0.05</v>
          </cell>
        </row>
        <row r="51">
          <cell r="L51">
            <v>17568</v>
          </cell>
          <cell r="O51">
            <v>-0.06</v>
          </cell>
        </row>
        <row r="52">
          <cell r="L52">
            <v>1788</v>
          </cell>
          <cell r="O52">
            <v>-0.08</v>
          </cell>
        </row>
        <row r="53">
          <cell r="L53">
            <v>7293</v>
          </cell>
          <cell r="O53">
            <v>-0.1</v>
          </cell>
        </row>
        <row r="55">
          <cell r="L55">
            <v>816</v>
          </cell>
          <cell r="O55">
            <v>-0.02</v>
          </cell>
        </row>
        <row r="56">
          <cell r="L56">
            <v>49</v>
          </cell>
          <cell r="O56">
            <v>-0.02</v>
          </cell>
        </row>
        <row r="57">
          <cell r="L57">
            <v>2460</v>
          </cell>
          <cell r="O57">
            <v>-0.04</v>
          </cell>
        </row>
        <row r="58">
          <cell r="L58">
            <v>2664</v>
          </cell>
          <cell r="O58">
            <v>-0.04</v>
          </cell>
        </row>
        <row r="59">
          <cell r="L59">
            <v>732</v>
          </cell>
          <cell r="O59">
            <v>-0.06</v>
          </cell>
        </row>
        <row r="60">
          <cell r="L60">
            <v>684</v>
          </cell>
          <cell r="O60">
            <v>-0.1</v>
          </cell>
        </row>
        <row r="61">
          <cell r="L61">
            <v>216</v>
          </cell>
          <cell r="O61">
            <v>-0.25</v>
          </cell>
        </row>
        <row r="64">
          <cell r="L64">
            <v>0</v>
          </cell>
          <cell r="O64">
            <v>-0.21</v>
          </cell>
        </row>
        <row r="65">
          <cell r="L65">
            <v>54637</v>
          </cell>
          <cell r="O65">
            <v>-0.22</v>
          </cell>
        </row>
        <row r="66">
          <cell r="L66">
            <v>382985</v>
          </cell>
          <cell r="O66">
            <v>-0.23</v>
          </cell>
        </row>
        <row r="67">
          <cell r="L67">
            <v>45980</v>
          </cell>
          <cell r="O67">
            <v>-0.25</v>
          </cell>
        </row>
        <row r="68">
          <cell r="L68">
            <v>60631</v>
          </cell>
          <cell r="O68">
            <v>-0.28000000000000003</v>
          </cell>
        </row>
        <row r="69">
          <cell r="L69">
            <v>20854</v>
          </cell>
          <cell r="O69">
            <v>-0.3</v>
          </cell>
        </row>
        <row r="70">
          <cell r="L70">
            <v>199</v>
          </cell>
          <cell r="O70">
            <v>-0.33</v>
          </cell>
        </row>
        <row r="71">
          <cell r="L71">
            <v>12055</v>
          </cell>
          <cell r="O71">
            <v>-0.37</v>
          </cell>
        </row>
        <row r="72">
          <cell r="L72">
            <v>0</v>
          </cell>
          <cell r="O72">
            <v>-0.66</v>
          </cell>
        </row>
        <row r="74">
          <cell r="L74">
            <v>0</v>
          </cell>
          <cell r="O74">
            <v>-0.23</v>
          </cell>
        </row>
        <row r="75">
          <cell r="L75">
            <v>0</v>
          </cell>
          <cell r="O75">
            <v>-0.25</v>
          </cell>
        </row>
        <row r="76">
          <cell r="L76">
            <v>0</v>
          </cell>
          <cell r="O76">
            <v>-0.28000000000000003</v>
          </cell>
        </row>
        <row r="77">
          <cell r="L77">
            <v>0</v>
          </cell>
          <cell r="O77">
            <v>-0.33</v>
          </cell>
        </row>
        <row r="78">
          <cell r="L78">
            <v>0</v>
          </cell>
          <cell r="O78">
            <v>-0.41</v>
          </cell>
        </row>
        <row r="80">
          <cell r="L80">
            <v>211377</v>
          </cell>
          <cell r="O80">
            <v>-0.24</v>
          </cell>
        </row>
        <row r="81">
          <cell r="L81">
            <v>481</v>
          </cell>
          <cell r="O81">
            <v>-0.25</v>
          </cell>
        </row>
        <row r="82">
          <cell r="L82">
            <v>23471</v>
          </cell>
          <cell r="O82">
            <v>-0.26</v>
          </cell>
        </row>
        <row r="83">
          <cell r="L83">
            <v>21149</v>
          </cell>
          <cell r="O83">
            <v>-0.27</v>
          </cell>
        </row>
        <row r="84">
          <cell r="L84">
            <v>896</v>
          </cell>
          <cell r="O84">
            <v>-0.28000000000000003</v>
          </cell>
        </row>
        <row r="85">
          <cell r="L85">
            <v>4956</v>
          </cell>
          <cell r="O85">
            <v>-0.28999999999999998</v>
          </cell>
        </row>
        <row r="86">
          <cell r="L86">
            <v>0</v>
          </cell>
          <cell r="O86">
            <v>-0.3</v>
          </cell>
        </row>
        <row r="87">
          <cell r="L87">
            <v>288</v>
          </cell>
          <cell r="O87">
            <v>-0.31</v>
          </cell>
        </row>
        <row r="88">
          <cell r="L88">
            <v>1308</v>
          </cell>
          <cell r="O88">
            <v>-0.33</v>
          </cell>
        </row>
        <row r="90">
          <cell r="L90">
            <v>0</v>
          </cell>
          <cell r="O90">
            <v>-0.01</v>
          </cell>
        </row>
        <row r="91">
          <cell r="L91">
            <v>684</v>
          </cell>
          <cell r="O91">
            <v>-0.02</v>
          </cell>
        </row>
        <row r="92">
          <cell r="L92">
            <v>3066</v>
          </cell>
          <cell r="O92">
            <v>-0.02</v>
          </cell>
        </row>
        <row r="93">
          <cell r="L93">
            <v>1779</v>
          </cell>
          <cell r="O93">
            <v>-0.04</v>
          </cell>
        </row>
        <row r="94">
          <cell r="L94">
            <v>5111</v>
          </cell>
          <cell r="O94">
            <v>-0.05</v>
          </cell>
        </row>
        <row r="95">
          <cell r="L95">
            <v>3364</v>
          </cell>
          <cell r="O95">
            <v>-0.06</v>
          </cell>
        </row>
        <row r="96">
          <cell r="L96">
            <v>84</v>
          </cell>
          <cell r="O96">
            <v>-0.08</v>
          </cell>
        </row>
        <row r="97">
          <cell r="L97">
            <v>5174</v>
          </cell>
          <cell r="O97">
            <v>-0.1</v>
          </cell>
        </row>
        <row r="98">
          <cell r="L98">
            <v>0</v>
          </cell>
          <cell r="O98">
            <v>-0.25</v>
          </cell>
        </row>
        <row r="100">
          <cell r="L100">
            <v>0</v>
          </cell>
          <cell r="O100">
            <v>-0.02</v>
          </cell>
        </row>
        <row r="101">
          <cell r="L101">
            <v>0</v>
          </cell>
          <cell r="O101">
            <v>-0.02</v>
          </cell>
        </row>
        <row r="102">
          <cell r="L102">
            <v>0</v>
          </cell>
          <cell r="O102">
            <v>-0.04</v>
          </cell>
        </row>
        <row r="103">
          <cell r="L103">
            <v>48</v>
          </cell>
          <cell r="O103">
            <v>-0.04</v>
          </cell>
        </row>
        <row r="104">
          <cell r="L104">
            <v>0</v>
          </cell>
          <cell r="O104">
            <v>-0.06</v>
          </cell>
        </row>
        <row r="105">
          <cell r="L105">
            <v>0</v>
          </cell>
          <cell r="O105">
            <v>-0.1</v>
          </cell>
        </row>
        <row r="107">
          <cell r="L107">
            <v>7103</v>
          </cell>
          <cell r="O107">
            <v>-0.01</v>
          </cell>
        </row>
        <row r="108">
          <cell r="L108">
            <v>7369</v>
          </cell>
          <cell r="O108">
            <v>-0.02</v>
          </cell>
        </row>
        <row r="109">
          <cell r="L109">
            <v>10408</v>
          </cell>
          <cell r="O109">
            <v>-0.03</v>
          </cell>
        </row>
        <row r="110">
          <cell r="L110">
            <v>1687</v>
          </cell>
          <cell r="O110">
            <v>-0.03</v>
          </cell>
        </row>
        <row r="111">
          <cell r="L111">
            <v>15781</v>
          </cell>
          <cell r="O111">
            <v>-0.04</v>
          </cell>
        </row>
        <row r="112">
          <cell r="L112">
            <v>1288</v>
          </cell>
          <cell r="O112">
            <v>-0.05</v>
          </cell>
        </row>
        <row r="113">
          <cell r="L113">
            <v>0</v>
          </cell>
          <cell r="O113">
            <v>-0.06</v>
          </cell>
        </row>
        <row r="114">
          <cell r="L114">
            <v>0</v>
          </cell>
          <cell r="O114">
            <v>-0.06</v>
          </cell>
        </row>
        <row r="115">
          <cell r="L115">
            <v>0</v>
          </cell>
          <cell r="O115">
            <v>-7.0000000000000007E-2</v>
          </cell>
        </row>
        <row r="118">
          <cell r="L118">
            <v>456</v>
          </cell>
          <cell r="O118">
            <v>-0.01</v>
          </cell>
        </row>
        <row r="119">
          <cell r="L119">
            <v>8767</v>
          </cell>
          <cell r="O119">
            <v>-0.02</v>
          </cell>
        </row>
        <row r="120">
          <cell r="L120">
            <v>20536</v>
          </cell>
          <cell r="O120">
            <v>-0.02</v>
          </cell>
        </row>
        <row r="121">
          <cell r="L121">
            <v>6043</v>
          </cell>
          <cell r="O121">
            <v>-0.04</v>
          </cell>
        </row>
        <row r="122">
          <cell r="L122">
            <v>8057</v>
          </cell>
          <cell r="O122">
            <v>-0.05</v>
          </cell>
        </row>
        <row r="123">
          <cell r="L123">
            <v>18169</v>
          </cell>
          <cell r="O123">
            <v>-0.06</v>
          </cell>
        </row>
        <row r="124">
          <cell r="L124">
            <v>903</v>
          </cell>
          <cell r="O124">
            <v>-0.08</v>
          </cell>
        </row>
        <row r="125">
          <cell r="L125">
            <v>9002</v>
          </cell>
          <cell r="O125">
            <v>-0.1</v>
          </cell>
        </row>
        <row r="126">
          <cell r="L126">
            <v>132</v>
          </cell>
          <cell r="O126">
            <v>-0.25</v>
          </cell>
        </row>
        <row r="129">
          <cell r="L129">
            <v>16680</v>
          </cell>
          <cell r="O129">
            <v>-0.01</v>
          </cell>
        </row>
        <row r="130">
          <cell r="L130">
            <v>214</v>
          </cell>
          <cell r="O130">
            <v>-0.02</v>
          </cell>
        </row>
        <row r="131">
          <cell r="L131">
            <v>20366</v>
          </cell>
          <cell r="O131">
            <v>-0.03</v>
          </cell>
        </row>
        <row r="132">
          <cell r="L132">
            <v>9608</v>
          </cell>
          <cell r="O132">
            <v>-0.03</v>
          </cell>
        </row>
        <row r="133">
          <cell r="L133">
            <v>3792</v>
          </cell>
          <cell r="O133">
            <v>-0.04</v>
          </cell>
        </row>
        <row r="134">
          <cell r="L134">
            <v>223</v>
          </cell>
          <cell r="O134">
            <v>-0.05</v>
          </cell>
        </row>
        <row r="135">
          <cell r="L135">
            <v>0</v>
          </cell>
          <cell r="O135">
            <v>-0.06</v>
          </cell>
        </row>
        <row r="136">
          <cell r="L136">
            <v>127</v>
          </cell>
          <cell r="O136">
            <v>-0.06</v>
          </cell>
        </row>
        <row r="137">
          <cell r="L137">
            <v>0</v>
          </cell>
          <cell r="O137">
            <v>-7.0000000000000007E-2</v>
          </cell>
        </row>
        <row r="140">
          <cell r="L140">
            <v>213</v>
          </cell>
          <cell r="O140">
            <v>-0.22</v>
          </cell>
        </row>
        <row r="141">
          <cell r="L141">
            <v>46760</v>
          </cell>
          <cell r="O141">
            <v>-0.23</v>
          </cell>
        </row>
        <row r="142">
          <cell r="L142">
            <v>6244</v>
          </cell>
          <cell r="O142">
            <v>-0.26</v>
          </cell>
        </row>
        <row r="143">
          <cell r="L143">
            <v>13456</v>
          </cell>
          <cell r="O143">
            <v>-0.28000000000000003</v>
          </cell>
        </row>
        <row r="144">
          <cell r="L144">
            <v>1417</v>
          </cell>
          <cell r="O144">
            <v>-0.3</v>
          </cell>
        </row>
        <row r="145">
          <cell r="L145">
            <v>588</v>
          </cell>
          <cell r="O145">
            <v>-0.38</v>
          </cell>
        </row>
        <row r="147">
          <cell r="L147">
            <v>72</v>
          </cell>
          <cell r="O147">
            <v>-0.33</v>
          </cell>
        </row>
        <row r="149">
          <cell r="L149">
            <v>4817</v>
          </cell>
          <cell r="O149">
            <v>-0.3</v>
          </cell>
        </row>
        <row r="150">
          <cell r="L150">
            <v>0</v>
          </cell>
          <cell r="O150">
            <v>-0.31</v>
          </cell>
        </row>
        <row r="151">
          <cell r="L151">
            <v>1266</v>
          </cell>
          <cell r="O151">
            <v>-0.32</v>
          </cell>
        </row>
        <row r="152">
          <cell r="L152">
            <v>0</v>
          </cell>
          <cell r="O152">
            <v>-0.34</v>
          </cell>
        </row>
        <row r="153">
          <cell r="L153">
            <v>0</v>
          </cell>
          <cell r="O153">
            <v>-0.35</v>
          </cell>
        </row>
        <row r="154">
          <cell r="L154">
            <v>0</v>
          </cell>
          <cell r="O154">
            <v>-0.36</v>
          </cell>
        </row>
        <row r="155">
          <cell r="L155">
            <v>0</v>
          </cell>
          <cell r="O155">
            <v>-0.37</v>
          </cell>
        </row>
        <row r="156">
          <cell r="L156">
            <v>0</v>
          </cell>
          <cell r="O156">
            <v>-0.39</v>
          </cell>
        </row>
        <row r="157">
          <cell r="L157">
            <v>0</v>
          </cell>
          <cell r="O157">
            <v>-0.4</v>
          </cell>
        </row>
        <row r="160">
          <cell r="L160">
            <v>686</v>
          </cell>
          <cell r="O160">
            <v>-0.22</v>
          </cell>
        </row>
        <row r="161">
          <cell r="L161">
            <v>89</v>
          </cell>
          <cell r="O161">
            <v>-0.23</v>
          </cell>
        </row>
        <row r="162">
          <cell r="L162">
            <v>1994</v>
          </cell>
          <cell r="O162">
            <v>-0.26</v>
          </cell>
        </row>
        <row r="163">
          <cell r="L163">
            <v>3425</v>
          </cell>
          <cell r="O163">
            <v>-0.28000000000000003</v>
          </cell>
        </row>
        <row r="164">
          <cell r="L164">
            <v>469</v>
          </cell>
          <cell r="O164">
            <v>-0.3</v>
          </cell>
        </row>
        <row r="165">
          <cell r="L165">
            <v>4548</v>
          </cell>
          <cell r="O165">
            <v>-0.38</v>
          </cell>
        </row>
        <row r="167">
          <cell r="L167">
            <v>13</v>
          </cell>
          <cell r="O167">
            <v>-0.23</v>
          </cell>
        </row>
        <row r="168">
          <cell r="L168">
            <v>240</v>
          </cell>
          <cell r="O168">
            <v>-0.26</v>
          </cell>
        </row>
        <row r="169">
          <cell r="L169">
            <v>156</v>
          </cell>
          <cell r="O169">
            <v>-0.28000000000000003</v>
          </cell>
        </row>
        <row r="170">
          <cell r="L170">
            <v>420</v>
          </cell>
          <cell r="O170">
            <v>-0.3</v>
          </cell>
        </row>
        <row r="171">
          <cell r="L171">
            <v>574</v>
          </cell>
          <cell r="O171">
            <v>-0.38</v>
          </cell>
        </row>
        <row r="173">
          <cell r="L173">
            <v>36</v>
          </cell>
          <cell r="O173">
            <v>-0.28999999999999998</v>
          </cell>
        </row>
        <row r="174">
          <cell r="L174">
            <v>271</v>
          </cell>
          <cell r="O174">
            <v>-0.33</v>
          </cell>
        </row>
        <row r="175">
          <cell r="L175">
            <v>1052</v>
          </cell>
          <cell r="O175">
            <v>-0.41</v>
          </cell>
        </row>
        <row r="176">
          <cell r="L176">
            <v>1612</v>
          </cell>
          <cell r="O176">
            <v>-0.74</v>
          </cell>
        </row>
        <row r="178">
          <cell r="L178">
            <v>132</v>
          </cell>
          <cell r="O178">
            <v>-0.33</v>
          </cell>
        </row>
        <row r="179">
          <cell r="L179">
            <v>486</v>
          </cell>
          <cell r="O179">
            <v>-0.41</v>
          </cell>
        </row>
        <row r="182">
          <cell r="L182">
            <v>20</v>
          </cell>
          <cell r="O182">
            <v>-0.3</v>
          </cell>
        </row>
        <row r="183">
          <cell r="L183">
            <v>198</v>
          </cell>
          <cell r="O183">
            <v>-0.31</v>
          </cell>
        </row>
        <row r="184">
          <cell r="L184">
            <v>252</v>
          </cell>
          <cell r="O184">
            <v>-0.32</v>
          </cell>
        </row>
        <row r="185">
          <cell r="L185">
            <v>716</v>
          </cell>
          <cell r="O185">
            <v>-0.34</v>
          </cell>
        </row>
        <row r="186">
          <cell r="L186">
            <v>59</v>
          </cell>
          <cell r="O186">
            <v>-0.35</v>
          </cell>
        </row>
        <row r="187">
          <cell r="L187">
            <v>0</v>
          </cell>
          <cell r="O187">
            <v>-0.36</v>
          </cell>
        </row>
        <row r="188">
          <cell r="L188">
            <v>35</v>
          </cell>
          <cell r="O188">
            <v>-0.37</v>
          </cell>
        </row>
        <row r="189">
          <cell r="L189">
            <v>107</v>
          </cell>
          <cell r="O189">
            <v>-0.39</v>
          </cell>
        </row>
        <row r="190">
          <cell r="L190">
            <v>0</v>
          </cell>
          <cell r="O190">
            <v>-0.4</v>
          </cell>
        </row>
        <row r="191">
          <cell r="L191">
            <v>0</v>
          </cell>
          <cell r="O191">
            <v>-0.43</v>
          </cell>
        </row>
        <row r="192">
          <cell r="L192">
            <v>0</v>
          </cell>
          <cell r="O192">
            <v>-0.47</v>
          </cell>
        </row>
        <row r="193">
          <cell r="L193">
            <v>0</v>
          </cell>
          <cell r="O193">
            <v>-0.51</v>
          </cell>
        </row>
        <row r="194">
          <cell r="L194">
            <v>0</v>
          </cell>
          <cell r="O194">
            <v>-0.55000000000000004</v>
          </cell>
        </row>
        <row r="195">
          <cell r="L195">
            <v>0</v>
          </cell>
          <cell r="O195">
            <v>-0.59</v>
          </cell>
        </row>
        <row r="196">
          <cell r="L196">
            <v>0</v>
          </cell>
          <cell r="O196">
            <v>-0.63</v>
          </cell>
        </row>
        <row r="199">
          <cell r="L199">
            <v>13087678</v>
          </cell>
          <cell r="O199">
            <v>-4.2000000000000002E-4</v>
          </cell>
        </row>
        <row r="202">
          <cell r="L202">
            <v>7749</v>
          </cell>
          <cell r="O202">
            <v>-0.25</v>
          </cell>
        </row>
        <row r="203">
          <cell r="L203">
            <v>4048</v>
          </cell>
          <cell r="O203">
            <v>-0.5</v>
          </cell>
        </row>
        <row r="205">
          <cell r="L205">
            <v>1905</v>
          </cell>
          <cell r="O205">
            <v>-0.5</v>
          </cell>
        </row>
        <row r="208">
          <cell r="L208">
            <v>14509358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40" sqref="H40"/>
    </sheetView>
  </sheetViews>
  <sheetFormatPr defaultColWidth="5.7109375" defaultRowHeight="12.75" x14ac:dyDescent="0.2"/>
  <cols>
    <col min="1" max="1" width="4.42578125" style="11" bestFit="1" customWidth="1"/>
    <col min="2" max="2" width="33.28515625" style="11" bestFit="1" customWidth="1"/>
    <col min="3" max="3" width="10.140625" style="11" bestFit="1" customWidth="1"/>
    <col min="4" max="4" width="14.7109375" style="11" bestFit="1" customWidth="1"/>
    <col min="5" max="5" width="13.7109375" style="11" bestFit="1" customWidth="1"/>
    <col min="6" max="7" width="13.85546875" style="11" bestFit="1" customWidth="1"/>
    <col min="8" max="8" width="11.85546875" style="11" bestFit="1" customWidth="1"/>
    <col min="9" max="9" width="11.28515625" style="11" bestFit="1" customWidth="1"/>
    <col min="10" max="16384" width="5.7109375" style="11"/>
  </cols>
  <sheetData>
    <row r="1" spans="1:11" ht="12.75" customHeight="1" x14ac:dyDescent="0.25">
      <c r="A1" s="260" t="s">
        <v>0</v>
      </c>
      <c r="B1" s="260"/>
      <c r="C1" s="260"/>
      <c r="D1" s="260"/>
      <c r="E1" s="260"/>
      <c r="F1" s="260"/>
      <c r="G1" s="260"/>
      <c r="H1" s="260"/>
      <c r="I1" s="260"/>
    </row>
    <row r="2" spans="1:11" ht="13.15" x14ac:dyDescent="0.25">
      <c r="A2" s="260" t="s">
        <v>448</v>
      </c>
      <c r="B2" s="260"/>
      <c r="C2" s="260"/>
      <c r="D2" s="260"/>
      <c r="E2" s="260"/>
      <c r="F2" s="260"/>
      <c r="G2" s="260"/>
      <c r="H2" s="260"/>
      <c r="I2" s="260"/>
    </row>
    <row r="3" spans="1:11" ht="13.15" x14ac:dyDescent="0.25">
      <c r="A3" s="261" t="s">
        <v>287</v>
      </c>
      <c r="B3" s="260"/>
      <c r="C3" s="260"/>
      <c r="D3" s="260"/>
      <c r="E3" s="260"/>
      <c r="F3" s="260"/>
      <c r="G3" s="260"/>
      <c r="H3" s="260"/>
      <c r="I3" s="260"/>
    </row>
    <row r="4" spans="1:11" ht="13.15" x14ac:dyDescent="0.25">
      <c r="B4" s="30"/>
      <c r="C4" s="30"/>
      <c r="D4" s="30"/>
      <c r="E4" s="30"/>
    </row>
    <row r="5" spans="1:11" s="15" customFormat="1" ht="63.75" x14ac:dyDescent="0.2">
      <c r="A5" s="27" t="s">
        <v>1</v>
      </c>
      <c r="B5" s="27" t="s">
        <v>2</v>
      </c>
      <c r="C5" s="27" t="s">
        <v>3</v>
      </c>
      <c r="D5" s="26" t="s">
        <v>288</v>
      </c>
      <c r="E5" s="26" t="s">
        <v>289</v>
      </c>
      <c r="F5" s="26" t="s">
        <v>449</v>
      </c>
      <c r="G5" s="26" t="s">
        <v>450</v>
      </c>
      <c r="H5" s="26" t="s">
        <v>451</v>
      </c>
      <c r="I5" s="26" t="s">
        <v>452</v>
      </c>
    </row>
    <row r="6" spans="1:11" s="15" customFormat="1" ht="26.45" x14ac:dyDescent="0.25">
      <c r="A6" s="24"/>
      <c r="B6" s="2" t="s">
        <v>31</v>
      </c>
      <c r="C6" s="74" t="s">
        <v>30</v>
      </c>
      <c r="D6" s="74" t="s">
        <v>29</v>
      </c>
      <c r="E6" s="74" t="s">
        <v>33</v>
      </c>
      <c r="F6" s="1" t="s">
        <v>32</v>
      </c>
      <c r="G6" s="1" t="s">
        <v>28</v>
      </c>
      <c r="H6" s="74" t="s">
        <v>91</v>
      </c>
      <c r="I6" s="74" t="s">
        <v>92</v>
      </c>
    </row>
    <row r="7" spans="1:11" s="15" customFormat="1" ht="13.15" x14ac:dyDescent="0.25">
      <c r="A7" s="15">
        <v>1</v>
      </c>
      <c r="B7" s="25" t="s">
        <v>6</v>
      </c>
      <c r="C7" s="24"/>
      <c r="D7" s="24"/>
      <c r="E7" s="23"/>
      <c r="H7" s="23"/>
      <c r="I7" s="23"/>
    </row>
    <row r="8" spans="1:11" ht="13.15" x14ac:dyDescent="0.25">
      <c r="A8" s="15">
        <f t="shared" ref="A8:A35" si="0">+A7+1</f>
        <v>2</v>
      </c>
      <c r="B8" s="19" t="s">
        <v>6</v>
      </c>
      <c r="C8" s="33">
        <v>7</v>
      </c>
      <c r="D8" s="41">
        <f>SUM('+Projected Revenue on F2017'!C8)</f>
        <v>10838149000</v>
      </c>
      <c r="E8" s="41">
        <f>SUM('+Projected Revenue on F2017'!N8)</f>
        <v>1075024000</v>
      </c>
      <c r="F8" s="36">
        <v>0</v>
      </c>
      <c r="G8" s="36">
        <f>'+2019 Tax Reform Rate Design'!K9</f>
        <v>-1.271E-3</v>
      </c>
      <c r="H8" s="40">
        <f>SUM(G8,-F8)*D8</f>
        <v>-13775287.379000001</v>
      </c>
      <c r="I8" s="49">
        <f>H8/SUM(E8,D8*F8)</f>
        <v>-1.2813934739131406E-2</v>
      </c>
      <c r="K8" s="12"/>
    </row>
    <row r="9" spans="1:11" ht="13.15" x14ac:dyDescent="0.25">
      <c r="A9" s="15">
        <f t="shared" si="0"/>
        <v>3</v>
      </c>
      <c r="B9" s="17" t="s">
        <v>27</v>
      </c>
      <c r="D9" s="42">
        <f>SUM(D8:D8)</f>
        <v>10838149000</v>
      </c>
      <c r="E9" s="42">
        <f>SUM(E8:E8)</f>
        <v>1075024000</v>
      </c>
      <c r="F9" s="37">
        <f>+F8</f>
        <v>0</v>
      </c>
      <c r="G9" s="37">
        <f>+G8</f>
        <v>-1.271E-3</v>
      </c>
      <c r="H9" s="46">
        <f>SUM(H8:H8)</f>
        <v>-13775287.379000001</v>
      </c>
      <c r="I9" s="50">
        <f>H9/SUM(E9,D9*F9)</f>
        <v>-1.2813934739131406E-2</v>
      </c>
      <c r="K9" s="12"/>
    </row>
    <row r="10" spans="1:11" ht="13.15" x14ac:dyDescent="0.25">
      <c r="A10" s="15">
        <f t="shared" si="0"/>
        <v>4</v>
      </c>
      <c r="D10" s="43"/>
      <c r="E10" s="43"/>
      <c r="F10" s="38"/>
      <c r="G10" s="38"/>
      <c r="H10" s="47"/>
      <c r="I10" s="51"/>
      <c r="K10" s="12"/>
    </row>
    <row r="11" spans="1:11" ht="13.15" x14ac:dyDescent="0.25">
      <c r="A11" s="15">
        <f t="shared" si="0"/>
        <v>5</v>
      </c>
      <c r="B11" s="11" t="s">
        <v>7</v>
      </c>
      <c r="D11" s="43"/>
      <c r="E11" s="43"/>
      <c r="F11" s="38"/>
      <c r="G11" s="38"/>
      <c r="H11" s="47"/>
      <c r="I11" s="51"/>
      <c r="K11" s="12"/>
    </row>
    <row r="12" spans="1:11" ht="13.15" x14ac:dyDescent="0.25">
      <c r="A12" s="15">
        <f t="shared" si="0"/>
        <v>6</v>
      </c>
      <c r="B12" s="21" t="s">
        <v>8</v>
      </c>
      <c r="C12" s="59" t="s">
        <v>82</v>
      </c>
      <c r="D12" s="43">
        <f>SUM('+Projected Revenue on F2017'!C12:C13)</f>
        <v>3117609000</v>
      </c>
      <c r="E12" s="43">
        <f>SUM('+Projected Revenue on F2017'!N12:N13)</f>
        <v>315731000</v>
      </c>
      <c r="F12" s="36">
        <v>0</v>
      </c>
      <c r="G12" s="36">
        <f>'+2019 Tax Reform Rate Design'!K13</f>
        <v>-9.4300000000000004E-4</v>
      </c>
      <c r="H12" s="47">
        <f t="shared" ref="H12:H15" si="1">SUM(G12,-F12)*D12</f>
        <v>-2939905.287</v>
      </c>
      <c r="I12" s="51">
        <f t="shared" ref="I12:I16" si="2">H12/SUM(E12,D12*F12)</f>
        <v>-9.3114242408886046E-3</v>
      </c>
      <c r="K12" s="12"/>
    </row>
    <row r="13" spans="1:11" ht="13.15" x14ac:dyDescent="0.25">
      <c r="A13" s="15">
        <f t="shared" si="0"/>
        <v>7</v>
      </c>
      <c r="B13" s="21" t="s">
        <v>9</v>
      </c>
      <c r="C13" s="59" t="s">
        <v>83</v>
      </c>
      <c r="D13" s="43">
        <f>SUM('+Projected Revenue on F2017'!C9,'+Projected Revenue on F2017'!C14:C15)</f>
        <v>3283168000</v>
      </c>
      <c r="E13" s="43">
        <f>SUM('+Projected Revenue on F2017'!N9,'+Projected Revenue on F2017'!N14:N15)</f>
        <v>310810000</v>
      </c>
      <c r="F13" s="36">
        <v>0</v>
      </c>
      <c r="G13" s="36">
        <f>'+2019 Tax Reform Rate Design'!K14</f>
        <v>-8.6700000000000004E-4</v>
      </c>
      <c r="H13" s="47">
        <f t="shared" si="1"/>
        <v>-2846506.656</v>
      </c>
      <c r="I13" s="51">
        <f t="shared" si="2"/>
        <v>-9.1583496541295332E-3</v>
      </c>
      <c r="K13" s="12"/>
    </row>
    <row r="14" spans="1:11" ht="13.15" x14ac:dyDescent="0.25">
      <c r="A14" s="15">
        <f t="shared" si="0"/>
        <v>8</v>
      </c>
      <c r="B14" s="21" t="s">
        <v>10</v>
      </c>
      <c r="C14" s="118" t="s">
        <v>129</v>
      </c>
      <c r="D14" s="43">
        <f>SUM('+Projected Revenue on F2017'!C16:C17)</f>
        <v>1942526000</v>
      </c>
      <c r="E14" s="43">
        <f>SUM('+Projected Revenue on F2017'!N16:N17)</f>
        <v>167048000</v>
      </c>
      <c r="F14" s="36">
        <v>0</v>
      </c>
      <c r="G14" s="36">
        <f>'+2019 Tax Reform Rate Design'!K15</f>
        <v>-8.5700000000000001E-4</v>
      </c>
      <c r="H14" s="47">
        <f t="shared" si="1"/>
        <v>-1664744.7820000001</v>
      </c>
      <c r="I14" s="51">
        <f t="shared" si="2"/>
        <v>-9.9656672453426569E-3</v>
      </c>
      <c r="K14" s="12"/>
    </row>
    <row r="15" spans="1:11" ht="13.15" x14ac:dyDescent="0.25">
      <c r="A15" s="15">
        <f t="shared" si="0"/>
        <v>9</v>
      </c>
      <c r="B15" s="19" t="s">
        <v>26</v>
      </c>
      <c r="C15" s="33">
        <v>29</v>
      </c>
      <c r="D15" s="43">
        <f>SUM('+Projected Revenue on F2017'!C18)</f>
        <v>16292000</v>
      </c>
      <c r="E15" s="43">
        <f>SUM('+Projected Revenue on F2017'!N18)</f>
        <v>1238000</v>
      </c>
      <c r="F15" s="36">
        <v>0</v>
      </c>
      <c r="G15" s="36">
        <f>+G13</f>
        <v>-8.6700000000000004E-4</v>
      </c>
      <c r="H15" s="47">
        <f t="shared" si="1"/>
        <v>-14125.164000000001</v>
      </c>
      <c r="I15" s="51">
        <f t="shared" si="2"/>
        <v>-1.1409663974151859E-2</v>
      </c>
      <c r="K15" s="12"/>
    </row>
    <row r="16" spans="1:11" ht="13.15" x14ac:dyDescent="0.25">
      <c r="A16" s="15">
        <f t="shared" si="0"/>
        <v>10</v>
      </c>
      <c r="B16" s="14" t="s">
        <v>11</v>
      </c>
      <c r="D16" s="42">
        <f>SUM(D12:D15)</f>
        <v>8359595000</v>
      </c>
      <c r="E16" s="42">
        <f>SUM(E12:E15)</f>
        <v>794827000</v>
      </c>
      <c r="F16" s="37">
        <f>SUMPRODUCT(D12:D15,F12:F15)/SUM(D12:D15)</f>
        <v>0</v>
      </c>
      <c r="G16" s="37">
        <f>SUMPRODUCT(D12:D15,G12:G15)/SUM(D12:D15)</f>
        <v>-8.9301956482341547E-4</v>
      </c>
      <c r="H16" s="46">
        <f>SUM(H12:H15)</f>
        <v>-7465281.8889999995</v>
      </c>
      <c r="I16" s="50">
        <f t="shared" si="2"/>
        <v>-9.3923355510066968E-3</v>
      </c>
      <c r="K16" s="12"/>
    </row>
    <row r="17" spans="1:11" ht="13.15" x14ac:dyDescent="0.25">
      <c r="A17" s="15">
        <f t="shared" si="0"/>
        <v>11</v>
      </c>
      <c r="D17" s="43"/>
      <c r="E17" s="43"/>
      <c r="F17" s="38"/>
      <c r="G17" s="38"/>
      <c r="H17" s="47"/>
      <c r="I17" s="51"/>
      <c r="K17" s="12"/>
    </row>
    <row r="18" spans="1:11" ht="13.15" x14ac:dyDescent="0.25">
      <c r="A18" s="15">
        <f t="shared" si="0"/>
        <v>12</v>
      </c>
      <c r="B18" s="11" t="s">
        <v>12</v>
      </c>
      <c r="D18" s="43"/>
      <c r="E18" s="43"/>
      <c r="F18" s="38"/>
      <c r="G18" s="38"/>
      <c r="H18" s="47"/>
      <c r="I18" s="51"/>
      <c r="K18" s="12"/>
    </row>
    <row r="19" spans="1:11" ht="13.15" x14ac:dyDescent="0.25">
      <c r="A19" s="15">
        <f t="shared" si="0"/>
        <v>13</v>
      </c>
      <c r="B19" s="21" t="s">
        <v>23</v>
      </c>
      <c r="C19" s="59" t="s">
        <v>84</v>
      </c>
      <c r="D19" s="43">
        <f>SUM('+Projected Revenue on F2017'!C21:C22)</f>
        <v>1420073000</v>
      </c>
      <c r="E19" s="43">
        <f>SUM('+Projected Revenue on F2017'!N21:N22)</f>
        <v>119174000</v>
      </c>
      <c r="F19" s="36">
        <v>0</v>
      </c>
      <c r="G19" s="38">
        <f>'+2019 Tax Reform Rate Design'!K19</f>
        <v>-8.12E-4</v>
      </c>
      <c r="H19" s="47">
        <f t="shared" ref="H19:H21" si="3">SUM(G19,-F19)*D19</f>
        <v>-1153099.2760000001</v>
      </c>
      <c r="I19" s="51">
        <f t="shared" ref="I19:I22" si="4">H19/SUM(E19,D19*F19)</f>
        <v>-9.6757621293235112E-3</v>
      </c>
      <c r="K19" s="12"/>
    </row>
    <row r="20" spans="1:11" ht="13.15" x14ac:dyDescent="0.25">
      <c r="A20" s="15">
        <f t="shared" si="0"/>
        <v>14</v>
      </c>
      <c r="B20" s="19" t="s">
        <v>26</v>
      </c>
      <c r="C20" s="33">
        <v>35</v>
      </c>
      <c r="D20" s="43">
        <f>SUM('+Projected Revenue on F2017'!C23)</f>
        <v>5174000</v>
      </c>
      <c r="E20" s="43">
        <f>SUM('+Projected Revenue on F2017'!N23)</f>
        <v>290000</v>
      </c>
      <c r="F20" s="36">
        <v>0</v>
      </c>
      <c r="G20" s="38">
        <f>+G19</f>
        <v>-8.12E-4</v>
      </c>
      <c r="H20" s="47">
        <f t="shared" si="3"/>
        <v>-4201.2880000000005</v>
      </c>
      <c r="I20" s="51">
        <f t="shared" si="4"/>
        <v>-1.4487200000000002E-2</v>
      </c>
      <c r="K20" s="12"/>
    </row>
    <row r="21" spans="1:11" ht="13.15" x14ac:dyDescent="0.25">
      <c r="A21" s="15">
        <f t="shared" si="0"/>
        <v>15</v>
      </c>
      <c r="B21" s="19" t="s">
        <v>13</v>
      </c>
      <c r="C21" s="33">
        <v>43</v>
      </c>
      <c r="D21" s="43">
        <f>SUM('+Projected Revenue on F2017'!C24)</f>
        <v>127202000</v>
      </c>
      <c r="E21" s="43">
        <f>SUM('+Projected Revenue on F2017'!N24)</f>
        <v>11686000</v>
      </c>
      <c r="F21" s="36">
        <v>0</v>
      </c>
      <c r="G21" s="38">
        <f>'+2019 Tax Reform Rate Design'!K20</f>
        <v>-1.14E-3</v>
      </c>
      <c r="H21" s="47">
        <f t="shared" si="3"/>
        <v>-145010.28</v>
      </c>
      <c r="I21" s="51">
        <f t="shared" si="4"/>
        <v>-1.2408889269211021E-2</v>
      </c>
      <c r="K21" s="12"/>
    </row>
    <row r="22" spans="1:11" ht="13.15" x14ac:dyDescent="0.25">
      <c r="A22" s="15">
        <f t="shared" si="0"/>
        <v>16</v>
      </c>
      <c r="B22" s="17" t="s">
        <v>14</v>
      </c>
      <c r="D22" s="42">
        <f>SUM(D19:D21)</f>
        <v>1552449000</v>
      </c>
      <c r="E22" s="42">
        <f>SUM(E19:E21)</f>
        <v>131150000</v>
      </c>
      <c r="F22" s="37">
        <f>SUMPRODUCT(D19:D21,F19:F21)/SUM(D19:D21)</f>
        <v>0</v>
      </c>
      <c r="G22" s="37">
        <f>SUMPRODUCT(D19:D21,G19:G21)/SUM(D19:D21)</f>
        <v>-8.3887512182364773E-4</v>
      </c>
      <c r="H22" s="46">
        <f>SUM(H19:H21)</f>
        <v>-1302310.844</v>
      </c>
      <c r="I22" s="50">
        <f t="shared" si="4"/>
        <v>-9.9299339992375141E-3</v>
      </c>
      <c r="K22" s="12"/>
    </row>
    <row r="23" spans="1:11" ht="13.15" x14ac:dyDescent="0.25">
      <c r="A23" s="15">
        <f t="shared" si="0"/>
        <v>17</v>
      </c>
      <c r="D23" s="44"/>
      <c r="E23" s="44"/>
      <c r="F23" s="35"/>
      <c r="G23" s="35"/>
      <c r="H23" s="34"/>
      <c r="I23" s="52"/>
      <c r="K23" s="12"/>
    </row>
    <row r="24" spans="1:11" ht="13.15" x14ac:dyDescent="0.25">
      <c r="A24" s="15">
        <f t="shared" si="0"/>
        <v>18</v>
      </c>
      <c r="B24" s="11" t="s">
        <v>15</v>
      </c>
      <c r="C24" s="33">
        <v>40</v>
      </c>
      <c r="D24" s="42">
        <f>SUM('+Projected Revenue on F2017'!C27)</f>
        <v>586597000</v>
      </c>
      <c r="E24" s="42">
        <f>SUM('+Projected Revenue on F2017'!N27)</f>
        <v>45383000</v>
      </c>
      <c r="F24" s="37">
        <v>0</v>
      </c>
      <c r="G24" s="37">
        <f>'+2019 Tax Reform Rate Design'!K23</f>
        <v>-8.5700000000000001E-4</v>
      </c>
      <c r="H24" s="46">
        <f>SUM(G24,-F24)*D24</f>
        <v>-502713.62900000002</v>
      </c>
      <c r="I24" s="50">
        <f>H24/SUM(E24,D24*F24)</f>
        <v>-1.107713524888174E-2</v>
      </c>
      <c r="K24" s="12"/>
    </row>
    <row r="25" spans="1:11" ht="13.15" x14ac:dyDescent="0.25">
      <c r="A25" s="15">
        <f t="shared" si="0"/>
        <v>19</v>
      </c>
      <c r="D25" s="44"/>
      <c r="E25" s="44"/>
      <c r="F25" s="35"/>
      <c r="G25" s="35"/>
      <c r="H25" s="34"/>
      <c r="I25" s="52"/>
      <c r="K25" s="12"/>
    </row>
    <row r="26" spans="1:11" ht="13.15" x14ac:dyDescent="0.25">
      <c r="A26" s="15">
        <f t="shared" si="0"/>
        <v>20</v>
      </c>
      <c r="B26" s="11" t="s">
        <v>25</v>
      </c>
      <c r="D26" s="43"/>
      <c r="E26" s="43"/>
      <c r="F26" s="38"/>
      <c r="G26" s="38"/>
      <c r="H26" s="47"/>
      <c r="I26" s="51"/>
      <c r="K26" s="12"/>
    </row>
    <row r="27" spans="1:11" ht="13.15" x14ac:dyDescent="0.25">
      <c r="A27" s="15">
        <f t="shared" si="0"/>
        <v>21</v>
      </c>
      <c r="B27" s="21" t="s">
        <v>24</v>
      </c>
      <c r="C27" s="33">
        <v>46</v>
      </c>
      <c r="D27" s="43">
        <f>SUM('+Projected Revenue on F2017'!C29)</f>
        <v>76029000</v>
      </c>
      <c r="E27" s="43">
        <f>SUM('+Projected Revenue on F2017'!N29)</f>
        <v>5327000</v>
      </c>
      <c r="F27" s="38">
        <v>0</v>
      </c>
      <c r="G27" s="38">
        <f>'+2019 Tax Reform Rate Design'!K25</f>
        <v>-6.5300000000000004E-4</v>
      </c>
      <c r="H27" s="47">
        <f t="shared" ref="H27:H28" si="5">SUM(G27,-F27)*D27</f>
        <v>-49646.937000000005</v>
      </c>
      <c r="I27" s="51">
        <f t="shared" ref="I27:I29" si="6">H27/SUM(E27,D27*F27)</f>
        <v>-9.3198680307865593E-3</v>
      </c>
      <c r="K27" s="12"/>
    </row>
    <row r="28" spans="1:11" ht="13.15" x14ac:dyDescent="0.25">
      <c r="A28" s="15">
        <f t="shared" si="0"/>
        <v>22</v>
      </c>
      <c r="B28" s="21" t="s">
        <v>23</v>
      </c>
      <c r="C28" s="33">
        <v>49</v>
      </c>
      <c r="D28" s="43">
        <f>SUM('+Projected Revenue on F2017'!C30)</f>
        <v>606297000</v>
      </c>
      <c r="E28" s="43">
        <f>SUM('+Projected Revenue on F2017'!N30)</f>
        <v>42056000</v>
      </c>
      <c r="F28" s="38">
        <v>0</v>
      </c>
      <c r="G28" s="38">
        <f>+G27</f>
        <v>-6.5300000000000004E-4</v>
      </c>
      <c r="H28" s="47">
        <f t="shared" si="5"/>
        <v>-395911.94100000005</v>
      </c>
      <c r="I28" s="51">
        <f t="shared" si="6"/>
        <v>-9.4139228885295814E-3</v>
      </c>
      <c r="K28" s="12"/>
    </row>
    <row r="29" spans="1:11" ht="13.15" x14ac:dyDescent="0.25">
      <c r="A29" s="15">
        <f t="shared" si="0"/>
        <v>23</v>
      </c>
      <c r="B29" s="14" t="s">
        <v>16</v>
      </c>
      <c r="D29" s="42">
        <f>SUM(D27:D28)</f>
        <v>682326000</v>
      </c>
      <c r="E29" s="42">
        <f>SUM(E27:E28)</f>
        <v>47383000</v>
      </c>
      <c r="F29" s="37">
        <f>SUMPRODUCT(D27:D28,F27:F28)/SUM(D27:D28)</f>
        <v>0</v>
      </c>
      <c r="G29" s="37">
        <f>SUMPRODUCT(D27:D28,G27:G28)/SUM(D27:D28)</f>
        <v>-6.5300000000000004E-4</v>
      </c>
      <c r="H29" s="46">
        <f>SUM(H27:H28)</f>
        <v>-445558.87800000003</v>
      </c>
      <c r="I29" s="50">
        <f t="shared" si="6"/>
        <v>-9.4033488381909131E-3</v>
      </c>
      <c r="K29" s="12"/>
    </row>
    <row r="30" spans="1:11" ht="13.15" x14ac:dyDescent="0.25">
      <c r="A30" s="15">
        <f t="shared" si="0"/>
        <v>24</v>
      </c>
      <c r="D30" s="44"/>
      <c r="E30" s="44"/>
      <c r="F30" s="35"/>
      <c r="G30" s="35"/>
      <c r="H30" s="34"/>
      <c r="I30" s="52"/>
      <c r="K30" s="12"/>
    </row>
    <row r="31" spans="1:11" ht="13.15" x14ac:dyDescent="0.25">
      <c r="A31" s="15">
        <f t="shared" si="0"/>
        <v>25</v>
      </c>
      <c r="B31" s="11" t="s">
        <v>17</v>
      </c>
      <c r="C31" s="33" t="s">
        <v>18</v>
      </c>
      <c r="D31" s="42">
        <f>SUM('+Projected Revenue on F2017'!C33)</f>
        <v>71427000</v>
      </c>
      <c r="E31" s="42">
        <f>SUM('+Projected Revenue on F2017'!N33)</f>
        <v>17031000</v>
      </c>
      <c r="F31" s="37">
        <v>0</v>
      </c>
      <c r="G31" s="37">
        <f>'+2019 Tax Reform Rate Design'!K27</f>
        <v>-3.5850000000000001E-3</v>
      </c>
      <c r="H31" s="46">
        <f>SUM(G31,-F31)*D31</f>
        <v>-256065.79500000001</v>
      </c>
      <c r="I31" s="50">
        <f>H31/SUM(E31,D31*F31)</f>
        <v>-1.5035276554518232E-2</v>
      </c>
      <c r="K31" s="12"/>
    </row>
    <row r="32" spans="1:11" ht="13.15" x14ac:dyDescent="0.25">
      <c r="A32" s="15">
        <f t="shared" si="0"/>
        <v>26</v>
      </c>
      <c r="C32" s="33"/>
      <c r="D32" s="44"/>
      <c r="E32" s="44"/>
      <c r="F32" s="35"/>
      <c r="G32" s="35"/>
      <c r="H32" s="34"/>
      <c r="I32" s="52"/>
      <c r="K32" s="12"/>
    </row>
    <row r="33" spans="1:11" ht="13.15" x14ac:dyDescent="0.25">
      <c r="A33" s="15">
        <f t="shared" si="0"/>
        <v>27</v>
      </c>
      <c r="B33" s="17" t="s">
        <v>22</v>
      </c>
      <c r="C33" s="58" t="s">
        <v>81</v>
      </c>
      <c r="D33" s="42">
        <f>SUM('+Projected Revenue on F2017'!C35)</f>
        <v>2024995000</v>
      </c>
      <c r="E33" s="42">
        <f>SUM('+Projected Revenue on F2017'!N35)</f>
        <v>10680000</v>
      </c>
      <c r="F33" s="37">
        <v>0</v>
      </c>
      <c r="G33" s="37">
        <f>'+2019 Tax Reform Rate Design'!K29</f>
        <v>-1.46E-4</v>
      </c>
      <c r="H33" s="46">
        <f>SUM(G33,-F33)*D33</f>
        <v>-295649.27</v>
      </c>
      <c r="I33" s="50">
        <f t="shared" ref="I33" si="7">H33/SUM(E33,D33*F33)</f>
        <v>-2.7682515917602998E-2</v>
      </c>
      <c r="K33" s="12"/>
    </row>
    <row r="34" spans="1:11" ht="13.15" x14ac:dyDescent="0.25">
      <c r="A34" s="15">
        <f t="shared" si="0"/>
        <v>28</v>
      </c>
      <c r="D34" s="44"/>
      <c r="E34" s="44"/>
      <c r="F34" s="35"/>
      <c r="G34" s="35"/>
      <c r="H34" s="34"/>
      <c r="I34" s="52"/>
      <c r="K34" s="12"/>
    </row>
    <row r="35" spans="1:11" ht="13.9" thickBot="1" x14ac:dyDescent="0.3">
      <c r="A35" s="15">
        <f t="shared" si="0"/>
        <v>29</v>
      </c>
      <c r="B35" s="14" t="s">
        <v>19</v>
      </c>
      <c r="D35" s="45">
        <f>SUM(D9,D16,D22,D24,D29,D31,D33)</f>
        <v>24115538000</v>
      </c>
      <c r="E35" s="45">
        <f>SUM(E9,E16,E22,E24,E29,E31,E33)</f>
        <v>2121478000</v>
      </c>
      <c r="F35" s="39">
        <f>(+F9*D9+F16*D16+F22*D22+F24*D24+F29*D29+F31*D31+F33*D33)/D35</f>
        <v>0</v>
      </c>
      <c r="G35" s="39">
        <f>(+G9*D9+G16*D16+G22*D22+G24*D24+G29*D29+G31*D31+G33*D33)/D35</f>
        <v>-9.9698657703593428E-4</v>
      </c>
      <c r="H35" s="48">
        <f>SUM(H9,H16,H22,H24,H29,H31,H33)</f>
        <v>-24042867.684</v>
      </c>
      <c r="I35" s="53">
        <f>H35/SUM(E35,D35*F35)</f>
        <v>-1.1333074245408154E-2</v>
      </c>
      <c r="K35" s="12"/>
    </row>
    <row r="36" spans="1:11" ht="13.9" thickTop="1" x14ac:dyDescent="0.25">
      <c r="A36" s="15"/>
      <c r="F36" s="35"/>
    </row>
    <row r="37" spans="1:11" ht="13.15" x14ac:dyDescent="0.25">
      <c r="A37" s="15"/>
      <c r="B37" s="14"/>
    </row>
    <row r="38" spans="1:11" ht="13.15" x14ac:dyDescent="0.25">
      <c r="A38" s="15"/>
    </row>
    <row r="39" spans="1:11" ht="13.15" x14ac:dyDescent="0.25">
      <c r="A39" s="15"/>
      <c r="B39" s="14"/>
    </row>
    <row r="42" spans="1:11" ht="13.15" x14ac:dyDescent="0.25">
      <c r="D42" s="12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6" orientation="landscape" r:id="rId1"/>
  <headerFooter alignWithMargins="0">
    <oddHeader>&amp;RAdvice No. 2018-xx
Electric Schedule 1XX Rate Design Workpapers
Page &amp;P of &amp;N</oddHeader>
    <oddFooter>&amp;L&amp;F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workbookViewId="0">
      <pane xSplit="3" ySplit="7" topLeftCell="D14" activePane="bottomRight" state="frozen"/>
      <selection activeCell="E8" sqref="E8"/>
      <selection pane="topRight" activeCell="E8" sqref="E8"/>
      <selection pane="bottomLeft" activeCell="E8" sqref="E8"/>
      <selection pane="bottomRight" activeCell="P21" sqref="P21"/>
    </sheetView>
  </sheetViews>
  <sheetFormatPr defaultColWidth="9.140625" defaultRowHeight="12.75" x14ac:dyDescent="0.2"/>
  <cols>
    <col min="1" max="1" width="4.7109375" style="11" customWidth="1"/>
    <col min="2" max="2" width="29.7109375" style="11" customWidth="1"/>
    <col min="3" max="3" width="13.85546875" style="11" customWidth="1"/>
    <col min="4" max="4" width="14.7109375" style="11" customWidth="1"/>
    <col min="5" max="5" width="9" style="11" customWidth="1"/>
    <col min="6" max="6" width="0.85546875" style="11" customWidth="1"/>
    <col min="7" max="7" width="14.7109375" style="11" bestFit="1" customWidth="1"/>
    <col min="8" max="8" width="0.85546875" style="11" customWidth="1"/>
    <col min="9" max="9" width="14.7109375" style="11" customWidth="1"/>
    <col min="10" max="10" width="0.85546875" style="11" customWidth="1"/>
    <col min="11" max="11" width="12.5703125" style="11" customWidth="1"/>
    <col min="12" max="12" width="0.85546875" style="11" customWidth="1"/>
    <col min="13" max="13" width="9.42578125" style="11" customWidth="1"/>
    <col min="14" max="14" width="2.7109375" style="11" customWidth="1"/>
    <col min="15" max="15" width="13.42578125" style="11" bestFit="1" customWidth="1"/>
    <col min="16" max="16" width="9.140625" style="11"/>
    <col min="17" max="17" width="11.28515625" style="11" customWidth="1"/>
    <col min="18" max="16384" width="9.140625" style="11"/>
  </cols>
  <sheetData>
    <row r="1" spans="1:17" ht="12.75" customHeight="1" x14ac:dyDescent="0.2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7" x14ac:dyDescent="0.2">
      <c r="A2" s="260" t="s">
        <v>453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7" x14ac:dyDescent="0.2">
      <c r="A3" s="261" t="s">
        <v>291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7" x14ac:dyDescent="0.2">
      <c r="B4" s="30"/>
      <c r="C4" s="30"/>
      <c r="D4" s="30"/>
    </row>
    <row r="5" spans="1:17" s="28" customFormat="1" x14ac:dyDescent="0.2">
      <c r="B5" s="29"/>
      <c r="C5" s="29"/>
    </row>
    <row r="6" spans="1:17" s="15" customFormat="1" ht="76.5" x14ac:dyDescent="0.2">
      <c r="A6" s="27" t="s">
        <v>1</v>
      </c>
      <c r="B6" s="27" t="s">
        <v>2</v>
      </c>
      <c r="C6" s="27" t="s">
        <v>3</v>
      </c>
      <c r="D6" s="26" t="s">
        <v>317</v>
      </c>
      <c r="E6" s="27" t="s">
        <v>4</v>
      </c>
      <c r="F6" s="27"/>
      <c r="G6" s="27" t="s">
        <v>454</v>
      </c>
      <c r="H6" s="27"/>
      <c r="I6" s="27" t="str">
        <f>+'+2019 Tax Reform Rate Impacts'!D5</f>
        <v>F2018 kWh 
May 2019
to April 2020</v>
      </c>
      <c r="J6" s="27"/>
      <c r="K6" s="27" t="s">
        <v>455</v>
      </c>
      <c r="L6" s="27"/>
      <c r="M6" s="27" t="s">
        <v>77</v>
      </c>
    </row>
    <row r="7" spans="1:17" s="15" customFormat="1" ht="25.5" x14ac:dyDescent="0.2">
      <c r="A7" s="2"/>
      <c r="B7" s="2"/>
      <c r="C7" s="74"/>
      <c r="D7" s="74" t="s">
        <v>31</v>
      </c>
      <c r="E7" s="74" t="s">
        <v>131</v>
      </c>
      <c r="F7" s="75"/>
      <c r="G7" s="3" t="s">
        <v>290</v>
      </c>
      <c r="H7" s="1"/>
      <c r="I7" s="74" t="s">
        <v>33</v>
      </c>
      <c r="J7" s="74"/>
      <c r="K7" s="3" t="s">
        <v>440</v>
      </c>
      <c r="L7" s="1"/>
      <c r="M7" s="3" t="s">
        <v>441</v>
      </c>
    </row>
    <row r="8" spans="1:17" s="15" customFormat="1" x14ac:dyDescent="0.2">
      <c r="A8" s="15">
        <v>1</v>
      </c>
      <c r="B8" s="25" t="s">
        <v>6</v>
      </c>
      <c r="C8" s="24"/>
      <c r="D8" s="11"/>
      <c r="F8" s="11"/>
      <c r="I8" s="24"/>
      <c r="J8" s="24"/>
    </row>
    <row r="9" spans="1:17" ht="15" x14ac:dyDescent="0.25">
      <c r="A9" s="15">
        <f>+A8+1</f>
        <v>2</v>
      </c>
      <c r="B9" s="19" t="s">
        <v>6</v>
      </c>
      <c r="C9" s="18">
        <v>7</v>
      </c>
      <c r="D9" s="22">
        <f>'+UE-180280 Compliance ECOS'!F148</f>
        <v>2958858088.3010092</v>
      </c>
      <c r="E9" s="68">
        <f>+D9/$D$35</f>
        <v>0.57269688591957557</v>
      </c>
      <c r="G9" s="22">
        <f>+E9*$G$37</f>
        <v>-13775976.507729311</v>
      </c>
      <c r="H9" s="22"/>
      <c r="I9" s="13">
        <f>+'+Projected Revenue on F2017'!C8</f>
        <v>10838149000</v>
      </c>
      <c r="J9" s="13"/>
      <c r="K9" s="36">
        <f>ROUND(G9/$I9,6)</f>
        <v>-1.271E-3</v>
      </c>
      <c r="M9" s="22">
        <f>+K9*I9-G9</f>
        <v>689.12872930988669</v>
      </c>
      <c r="N9" s="55"/>
      <c r="O9" s="163"/>
      <c r="P9"/>
      <c r="Q9"/>
    </row>
    <row r="10" spans="1:17" ht="15" x14ac:dyDescent="0.25">
      <c r="A10" s="15">
        <f>+A9+1</f>
        <v>3</v>
      </c>
      <c r="B10" s="17" t="s">
        <v>27</v>
      </c>
      <c r="D10" s="5">
        <f>SUM(D9:D9)</f>
        <v>2958858088.3010092</v>
      </c>
      <c r="E10" s="69">
        <f>+D10/$D$35</f>
        <v>0.57269688591957557</v>
      </c>
      <c r="G10" s="5">
        <f>SUM(G9:G9)</f>
        <v>-13775976.507729311</v>
      </c>
      <c r="H10" s="5"/>
      <c r="I10" s="4">
        <f>SUM(I9:I9)</f>
        <v>10838149000</v>
      </c>
      <c r="J10" s="7"/>
      <c r="K10" s="37">
        <f>ROUND(G10/$I10,6)</f>
        <v>-1.271E-3</v>
      </c>
      <c r="M10" s="5">
        <f>SUM(M9:M9)</f>
        <v>689.12872930988669</v>
      </c>
      <c r="O10"/>
      <c r="P10"/>
      <c r="Q10"/>
    </row>
    <row r="11" spans="1:17" ht="15" x14ac:dyDescent="0.25">
      <c r="A11" s="15">
        <f>+A10+1</f>
        <v>4</v>
      </c>
      <c r="D11" s="6"/>
      <c r="E11" s="70"/>
      <c r="G11" s="6"/>
      <c r="H11" s="6"/>
      <c r="I11" s="7"/>
      <c r="J11" s="7"/>
      <c r="K11" s="38"/>
      <c r="M11" s="6"/>
      <c r="O11"/>
      <c r="P11"/>
      <c r="Q11"/>
    </row>
    <row r="12" spans="1:17" ht="15" x14ac:dyDescent="0.25">
      <c r="A12" s="15">
        <f>+A11+1</f>
        <v>5</v>
      </c>
      <c r="B12" s="11" t="s">
        <v>7</v>
      </c>
      <c r="D12" s="6"/>
      <c r="E12" s="70"/>
      <c r="G12" s="6"/>
      <c r="H12" s="6"/>
      <c r="I12" s="7"/>
      <c r="J12" s="7"/>
      <c r="K12" s="38"/>
      <c r="M12" s="6"/>
      <c r="O12"/>
      <c r="P12"/>
      <c r="Q12"/>
    </row>
    <row r="13" spans="1:17" ht="15" x14ac:dyDescent="0.25">
      <c r="A13" s="15">
        <f t="shared" ref="A13:A37" si="0">+A12+1</f>
        <v>6</v>
      </c>
      <c r="B13" s="21" t="s">
        <v>8</v>
      </c>
      <c r="C13" s="18" t="s">
        <v>80</v>
      </c>
      <c r="D13" s="22">
        <f>'+UE-180280 Compliance ECOS'!G148</f>
        <v>631768102.8235985</v>
      </c>
      <c r="E13" s="68">
        <f t="shared" ref="E13:E15" si="1">+D13/$D$35</f>
        <v>0.12228083075053697</v>
      </c>
      <c r="G13" s="22">
        <f>+E13*$G$37</f>
        <v>-2941412.6271355045</v>
      </c>
      <c r="H13" s="22"/>
      <c r="I13" s="13">
        <f>SUM('+Projected Revenue on F2017'!C12:C13)</f>
        <v>3117609000</v>
      </c>
      <c r="J13" s="13"/>
      <c r="K13" s="36">
        <f>ROUND(G13/$I13,6)</f>
        <v>-9.4300000000000004E-4</v>
      </c>
      <c r="M13" s="40">
        <f t="shared" ref="M13:M15" si="2">+K13*I13-G13</f>
        <v>1507.3401355044916</v>
      </c>
      <c r="N13" s="55"/>
      <c r="O13" s="163"/>
      <c r="P13"/>
      <c r="Q13"/>
    </row>
    <row r="14" spans="1:17" ht="15" x14ac:dyDescent="0.25">
      <c r="A14" s="15">
        <f t="shared" si="0"/>
        <v>7</v>
      </c>
      <c r="B14" s="21" t="s">
        <v>9</v>
      </c>
      <c r="C14" s="61" t="s">
        <v>89</v>
      </c>
      <c r="D14" s="22">
        <f>'+UE-180280 Compliance ECOS'!H148</f>
        <v>614701551.1524148</v>
      </c>
      <c r="E14" s="68">
        <f t="shared" si="1"/>
        <v>0.11897754255495992</v>
      </c>
      <c r="G14" s="22">
        <f>+E14*$G$37</f>
        <v>-2861953.454754184</v>
      </c>
      <c r="H14" s="22"/>
      <c r="I14" s="13">
        <f>SUM('+Projected Revenue on F2017'!C9,'+Projected Revenue on F2017'!C14:C15,'+Projected Revenue on F2017'!C18)</f>
        <v>3299460000</v>
      </c>
      <c r="J14" s="13"/>
      <c r="K14" s="36">
        <f>ROUND(G14/$I14,6)</f>
        <v>-8.6700000000000004E-4</v>
      </c>
      <c r="M14" s="40">
        <f t="shared" si="2"/>
        <v>1321.6347541837022</v>
      </c>
      <c r="N14" s="55"/>
      <c r="O14" s="163"/>
      <c r="P14"/>
      <c r="Q14"/>
    </row>
    <row r="15" spans="1:17" ht="15" x14ac:dyDescent="0.25">
      <c r="A15" s="15">
        <f t="shared" si="0"/>
        <v>8</v>
      </c>
      <c r="B15" s="21" t="s">
        <v>10</v>
      </c>
      <c r="C15" s="118" t="s">
        <v>132</v>
      </c>
      <c r="D15" s="6">
        <f>'+UE-180280 Compliance ECOS'!I148</f>
        <v>357640689.33106196</v>
      </c>
      <c r="E15" s="70">
        <f t="shared" si="1"/>
        <v>6.9222552398799916E-2</v>
      </c>
      <c r="G15" s="6">
        <f>+E15*$G$37</f>
        <v>-1665118.6327296444</v>
      </c>
      <c r="H15" s="6"/>
      <c r="I15" s="7">
        <f>SUM('+Projected Revenue on F2017'!C16:C17)</f>
        <v>1942526000</v>
      </c>
      <c r="J15" s="7"/>
      <c r="K15" s="38">
        <f>ROUND(G15/$I15,6)</f>
        <v>-8.5700000000000001E-4</v>
      </c>
      <c r="M15" s="40">
        <f t="shared" si="2"/>
        <v>373.85072964429855</v>
      </c>
      <c r="N15" s="55"/>
      <c r="O15" s="163"/>
      <c r="P15"/>
      <c r="Q15"/>
    </row>
    <row r="16" spans="1:17" ht="15" x14ac:dyDescent="0.25">
      <c r="A16" s="15">
        <f t="shared" si="0"/>
        <v>9</v>
      </c>
      <c r="B16" s="14" t="s">
        <v>11</v>
      </c>
      <c r="D16" s="5">
        <f>SUM(D13:D15)</f>
        <v>1604110343.307075</v>
      </c>
      <c r="E16" s="69">
        <f>+D16/$D$35</f>
        <v>0.31048092570429675</v>
      </c>
      <c r="G16" s="5">
        <f>SUM(G13:G15)</f>
        <v>-7468484.7146193329</v>
      </c>
      <c r="H16" s="5"/>
      <c r="I16" s="4">
        <f>SUM(I13:I15)</f>
        <v>8359595000</v>
      </c>
      <c r="J16" s="7"/>
      <c r="K16" s="37">
        <f>ROUND(G16/$I16,6)</f>
        <v>-8.9300000000000002E-4</v>
      </c>
      <c r="M16" s="5">
        <f>SUM(M13:M15)</f>
        <v>3202.8256193324924</v>
      </c>
      <c r="O16"/>
      <c r="P16"/>
      <c r="Q16"/>
    </row>
    <row r="17" spans="1:17" ht="15" x14ac:dyDescent="0.25">
      <c r="A17" s="15">
        <f t="shared" si="0"/>
        <v>10</v>
      </c>
      <c r="D17" s="6"/>
      <c r="E17" s="70"/>
      <c r="G17" s="6"/>
      <c r="H17" s="6"/>
      <c r="I17" s="7"/>
      <c r="J17" s="7"/>
      <c r="K17" s="38"/>
      <c r="M17" s="6"/>
      <c r="O17"/>
      <c r="P17"/>
      <c r="Q17"/>
    </row>
    <row r="18" spans="1:17" ht="15" x14ac:dyDescent="0.25">
      <c r="A18" s="15">
        <f t="shared" si="0"/>
        <v>11</v>
      </c>
      <c r="B18" s="11" t="s">
        <v>12</v>
      </c>
      <c r="D18" s="6"/>
      <c r="E18" s="70"/>
      <c r="G18" s="6"/>
      <c r="H18" s="6"/>
      <c r="I18" s="7"/>
      <c r="J18" s="7"/>
      <c r="K18" s="38"/>
      <c r="M18" s="6"/>
      <c r="O18"/>
      <c r="P18"/>
      <c r="Q18"/>
    </row>
    <row r="19" spans="1:17" ht="15" x14ac:dyDescent="0.25">
      <c r="A19" s="15">
        <f t="shared" si="0"/>
        <v>12</v>
      </c>
      <c r="B19" s="21" t="s">
        <v>23</v>
      </c>
      <c r="C19" s="61" t="s">
        <v>90</v>
      </c>
      <c r="D19" s="22">
        <f>'+UE-180280 Compliance ECOS'!U148</f>
        <v>248470921.91873524</v>
      </c>
      <c r="E19" s="68">
        <f t="shared" ref="E19:E21" si="3">+D19/$D$35</f>
        <v>4.809237853855107E-2</v>
      </c>
      <c r="G19" s="22">
        <f>+E19*$G$37</f>
        <v>-1156841.4168764018</v>
      </c>
      <c r="H19" s="22"/>
      <c r="I19" s="13">
        <f>SUM('+Projected Revenue on F2017'!C21:C23)</f>
        <v>1425247000</v>
      </c>
      <c r="J19" s="13"/>
      <c r="K19" s="36">
        <f>ROUND(G19/$I19,6)</f>
        <v>-8.12E-4</v>
      </c>
      <c r="M19" s="40">
        <f t="shared" ref="M19:M20" si="4">+K19*I19-G19</f>
        <v>-459.14712359826081</v>
      </c>
      <c r="N19" s="55"/>
      <c r="O19" s="163"/>
      <c r="P19"/>
      <c r="Q19"/>
    </row>
    <row r="20" spans="1:17" ht="15" x14ac:dyDescent="0.25">
      <c r="A20" s="15">
        <f t="shared" si="0"/>
        <v>13</v>
      </c>
      <c r="B20" s="19" t="s">
        <v>13</v>
      </c>
      <c r="C20" s="18">
        <v>43</v>
      </c>
      <c r="D20" s="22">
        <f>'+UE-180280 Compliance ECOS'!S148</f>
        <v>31159002.191175163</v>
      </c>
      <c r="E20" s="68">
        <f t="shared" si="3"/>
        <v>6.0309291593953198E-3</v>
      </c>
      <c r="G20" s="22">
        <f>+E20*$G$37</f>
        <v>-145071.3989586402</v>
      </c>
      <c r="H20" s="22"/>
      <c r="I20" s="13">
        <f>SUM('+Projected Revenue on F2017'!C24)</f>
        <v>127202000</v>
      </c>
      <c r="J20" s="13"/>
      <c r="K20" s="36">
        <f>ROUND(G20/$I20,6)</f>
        <v>-1.14E-3</v>
      </c>
      <c r="M20" s="40">
        <f t="shared" si="4"/>
        <v>61.118958640203346</v>
      </c>
      <c r="N20" s="55"/>
      <c r="O20" s="163"/>
      <c r="P20"/>
      <c r="Q20"/>
    </row>
    <row r="21" spans="1:17" ht="15" x14ac:dyDescent="0.25">
      <c r="A21" s="15">
        <f t="shared" si="0"/>
        <v>14</v>
      </c>
      <c r="B21" s="17" t="s">
        <v>14</v>
      </c>
      <c r="D21" s="5">
        <f>SUM(D19:D20)</f>
        <v>279629924.10991037</v>
      </c>
      <c r="E21" s="69">
        <f t="shared" si="3"/>
        <v>5.4123307697946384E-2</v>
      </c>
      <c r="G21" s="5">
        <f>SUM(G19:G20)</f>
        <v>-1301912.8158350419</v>
      </c>
      <c r="H21" s="5"/>
      <c r="I21" s="4">
        <f>SUM(I19:I20)</f>
        <v>1552449000</v>
      </c>
      <c r="J21" s="7"/>
      <c r="K21" s="37">
        <f>ROUND(G21/$I21,6)</f>
        <v>-8.3900000000000001E-4</v>
      </c>
      <c r="M21" s="5">
        <f>SUM(M19:M20)</f>
        <v>-398.02816495805746</v>
      </c>
      <c r="O21"/>
      <c r="P21"/>
      <c r="Q21"/>
    </row>
    <row r="22" spans="1:17" ht="15" x14ac:dyDescent="0.25">
      <c r="A22" s="15">
        <f t="shared" si="0"/>
        <v>15</v>
      </c>
      <c r="D22" s="12"/>
      <c r="E22" s="71"/>
      <c r="G22" s="12"/>
      <c r="H22" s="12"/>
      <c r="I22" s="8"/>
      <c r="J22" s="31"/>
      <c r="K22" s="35"/>
      <c r="M22" s="12"/>
      <c r="O22"/>
      <c r="P22"/>
      <c r="Q22"/>
    </row>
    <row r="23" spans="1:17" ht="15" x14ac:dyDescent="0.25">
      <c r="A23" s="15">
        <f t="shared" si="0"/>
        <v>16</v>
      </c>
      <c r="B23" s="11" t="s">
        <v>15</v>
      </c>
      <c r="C23" s="18">
        <v>40</v>
      </c>
      <c r="D23" s="5">
        <f>'+UE-180280 Compliance ECOS'!K148</f>
        <v>108011887.59779301</v>
      </c>
      <c r="E23" s="69">
        <f>+D23/$D$35</f>
        <v>2.0906062346866556E-2</v>
      </c>
      <c r="G23" s="5">
        <f>+E23*$G$37</f>
        <v>-502886.31008900283</v>
      </c>
      <c r="H23" s="5"/>
      <c r="I23" s="4">
        <f>SUM('+Projected Revenue on F2017'!C27)</f>
        <v>586597000</v>
      </c>
      <c r="J23" s="7"/>
      <c r="K23" s="37">
        <f>ROUND(G23/$I23,6)</f>
        <v>-8.5700000000000001E-4</v>
      </c>
      <c r="M23" s="40">
        <f>+K23*I23-G23</f>
        <v>172.68108900281368</v>
      </c>
      <c r="N23" s="55"/>
      <c r="O23" s="163"/>
      <c r="P23"/>
      <c r="Q23"/>
    </row>
    <row r="24" spans="1:17" ht="15" x14ac:dyDescent="0.25">
      <c r="A24" s="15">
        <f t="shared" si="0"/>
        <v>17</v>
      </c>
      <c r="D24" s="12"/>
      <c r="E24" s="71"/>
      <c r="G24" s="12"/>
      <c r="H24" s="12"/>
      <c r="I24" s="8"/>
      <c r="J24" s="31"/>
      <c r="K24" s="35"/>
      <c r="M24" s="12"/>
      <c r="O24"/>
      <c r="P24"/>
      <c r="Q24"/>
    </row>
    <row r="25" spans="1:17" ht="15" x14ac:dyDescent="0.25">
      <c r="A25" s="15">
        <f t="shared" si="0"/>
        <v>18</v>
      </c>
      <c r="B25" s="11" t="s">
        <v>25</v>
      </c>
      <c r="C25" s="61" t="s">
        <v>71</v>
      </c>
      <c r="D25" s="5">
        <f>'+UE-180280 Compliance ECOS'!L148</f>
        <v>95693698.294125363</v>
      </c>
      <c r="E25" s="69">
        <f>+D25/$D$35</f>
        <v>1.852183557969873E-2</v>
      </c>
      <c r="G25" s="5">
        <f>+E25*$G$37</f>
        <v>-445534.76385025511</v>
      </c>
      <c r="H25" s="5"/>
      <c r="I25" s="4">
        <f>SUM('+Projected Revenue on F2017'!C29:C30)</f>
        <v>682326000</v>
      </c>
      <c r="J25" s="7"/>
      <c r="K25" s="37">
        <f>ROUND(G25/$I25,6)</f>
        <v>-6.5300000000000004E-4</v>
      </c>
      <c r="M25" s="40">
        <f>+K25*I25-G25</f>
        <v>-24.114149744913448</v>
      </c>
      <c r="N25" s="55"/>
      <c r="O25" s="163"/>
      <c r="P25"/>
      <c r="Q25"/>
    </row>
    <row r="26" spans="1:17" ht="15" x14ac:dyDescent="0.25">
      <c r="A26" s="15">
        <f t="shared" si="0"/>
        <v>19</v>
      </c>
      <c r="D26" s="12"/>
      <c r="E26" s="71"/>
      <c r="G26" s="12"/>
      <c r="H26" s="12"/>
      <c r="I26" s="8"/>
      <c r="J26" s="31"/>
      <c r="K26" s="35"/>
      <c r="M26" s="12"/>
      <c r="O26"/>
      <c r="P26"/>
      <c r="Q26"/>
    </row>
    <row r="27" spans="1:17" ht="15" x14ac:dyDescent="0.25">
      <c r="A27" s="15">
        <f t="shared" si="0"/>
        <v>20</v>
      </c>
      <c r="B27" s="11" t="s">
        <v>17</v>
      </c>
      <c r="C27" s="18" t="s">
        <v>18</v>
      </c>
      <c r="D27" s="5">
        <f>'+UE-180280 Compliance ECOS'!N148</f>
        <v>54994041.926398531</v>
      </c>
      <c r="E27" s="69">
        <f>+D27/$D$35</f>
        <v>1.0644280873052466E-2</v>
      </c>
      <c r="G27" s="5">
        <f>+E27*$G$37</f>
        <v>-256043.58405649749</v>
      </c>
      <c r="H27" s="5"/>
      <c r="I27" s="4">
        <f>SUM('+Projected Revenue on F2017'!C33)</f>
        <v>71427000</v>
      </c>
      <c r="J27" s="7"/>
      <c r="K27" s="37">
        <f>ROUND(G27/$I27,6)</f>
        <v>-3.5850000000000001E-3</v>
      </c>
      <c r="M27" s="40">
        <f>+K27*I27-G27</f>
        <v>-22.210943502519513</v>
      </c>
      <c r="N27" s="55"/>
      <c r="O27" s="163"/>
      <c r="P27"/>
      <c r="Q27"/>
    </row>
    <row r="28" spans="1:17" ht="15" x14ac:dyDescent="0.25">
      <c r="A28" s="15">
        <f t="shared" si="0"/>
        <v>21</v>
      </c>
      <c r="C28" s="18"/>
      <c r="D28" s="12"/>
      <c r="E28" s="71"/>
      <c r="G28" s="12"/>
      <c r="H28" s="12"/>
      <c r="I28" s="8"/>
      <c r="J28" s="31"/>
      <c r="K28" s="35"/>
      <c r="M28" s="12"/>
      <c r="O28"/>
      <c r="P28"/>
      <c r="Q28"/>
    </row>
    <row r="29" spans="1:17" ht="15" x14ac:dyDescent="0.25">
      <c r="A29" s="15">
        <f t="shared" si="0"/>
        <v>22</v>
      </c>
      <c r="B29" s="17" t="s">
        <v>22</v>
      </c>
      <c r="C29" s="20" t="s">
        <v>72</v>
      </c>
      <c r="D29" s="5">
        <f>'+UE-180280 Compliance ECOS'!M148</f>
        <v>63435275.031670541</v>
      </c>
      <c r="E29" s="69">
        <f>+D29/$D$35</f>
        <v>1.2278109792332055E-2</v>
      </c>
      <c r="G29" s="5">
        <f>+E29*$G$37</f>
        <v>-295344.63381426613</v>
      </c>
      <c r="H29" s="5"/>
      <c r="I29" s="4">
        <f>SUM('+Projected Revenue on F2017'!C35)</f>
        <v>2024995000</v>
      </c>
      <c r="J29" s="7"/>
      <c r="K29" s="37">
        <f>ROUND(G29/$I29,6)</f>
        <v>-1.46E-4</v>
      </c>
      <c r="M29" s="40">
        <f>+K29*I29-G29</f>
        <v>-304.63618573389249</v>
      </c>
      <c r="N29" s="55"/>
      <c r="O29" s="163"/>
      <c r="P29"/>
      <c r="Q29"/>
    </row>
    <row r="30" spans="1:17" ht="15" x14ac:dyDescent="0.25">
      <c r="A30" s="15">
        <f t="shared" si="0"/>
        <v>23</v>
      </c>
      <c r="D30" s="12"/>
      <c r="E30" s="71"/>
      <c r="G30" s="12"/>
      <c r="H30" s="12"/>
      <c r="I30" s="8"/>
      <c r="J30" s="31"/>
      <c r="K30" s="35"/>
      <c r="M30" s="12"/>
      <c r="O30"/>
      <c r="P30"/>
      <c r="Q30"/>
    </row>
    <row r="31" spans="1:17" ht="15.75" thickBot="1" x14ac:dyDescent="0.3">
      <c r="A31" s="15">
        <f t="shared" si="0"/>
        <v>24</v>
      </c>
      <c r="B31" s="14" t="s">
        <v>19</v>
      </c>
      <c r="D31" s="10">
        <f>SUM(D10,D16,D21,D23,D25,D27,D29)</f>
        <v>5164733258.5679808</v>
      </c>
      <c r="E31" s="72">
        <f>+D31/$D$35</f>
        <v>0.99965140791376828</v>
      </c>
      <c r="G31" s="10">
        <f>SUM(G10,G16,G21,G23,G25,G27,G29)</f>
        <v>-24046183.329993714</v>
      </c>
      <c r="H31" s="10"/>
      <c r="I31" s="9">
        <f>SUM(I10,I16,I21,I23,I25,I27,I29)</f>
        <v>24115538000</v>
      </c>
      <c r="J31" s="7"/>
      <c r="K31" s="39">
        <f>ROUND(G31/$I31,6)</f>
        <v>-9.9700000000000006E-4</v>
      </c>
      <c r="M31" s="10">
        <f>SUM(M10,M16,M21,M23,M25,M27,M29)</f>
        <v>3315.6459937058098</v>
      </c>
      <c r="O31"/>
      <c r="P31"/>
      <c r="Q31"/>
    </row>
    <row r="32" spans="1:17" ht="15.75" thickTop="1" x14ac:dyDescent="0.25">
      <c r="A32" s="15">
        <f t="shared" si="0"/>
        <v>25</v>
      </c>
      <c r="D32" s="16"/>
      <c r="E32" s="73"/>
      <c r="G32" s="16"/>
      <c r="H32" s="16"/>
      <c r="I32" s="32"/>
      <c r="J32" s="7"/>
      <c r="K32" s="60"/>
      <c r="M32" s="16"/>
      <c r="O32"/>
      <c r="P32"/>
      <c r="Q32"/>
    </row>
    <row r="33" spans="1:17" ht="15" x14ac:dyDescent="0.25">
      <c r="A33" s="15">
        <f t="shared" si="0"/>
        <v>26</v>
      </c>
      <c r="B33" s="14" t="s">
        <v>21</v>
      </c>
      <c r="D33" s="5">
        <f>'+UE-180280 Compliance ECOS'!O148</f>
        <v>1801012.9602997608</v>
      </c>
      <c r="E33" s="69">
        <f>+D33/$D$35</f>
        <v>3.4859208623172732E-4</v>
      </c>
      <c r="G33" s="5">
        <f>+E33*$G$37</f>
        <v>-8385.2322385126481</v>
      </c>
      <c r="H33" s="5"/>
      <c r="I33" s="4">
        <f>SUM('+Projected Revenue on F2017'!C39)</f>
        <v>7066000</v>
      </c>
      <c r="J33" s="7"/>
      <c r="K33" s="37"/>
      <c r="M33" s="5"/>
      <c r="N33" s="55"/>
      <c r="O33"/>
      <c r="P33"/>
      <c r="Q33"/>
    </row>
    <row r="34" spans="1:17" ht="15" x14ac:dyDescent="0.25">
      <c r="A34" s="15">
        <f t="shared" si="0"/>
        <v>27</v>
      </c>
      <c r="D34" s="12"/>
      <c r="E34" s="71"/>
      <c r="G34" s="12"/>
      <c r="H34" s="12"/>
      <c r="I34" s="8"/>
      <c r="J34" s="31"/>
      <c r="K34" s="35"/>
      <c r="M34" s="12"/>
      <c r="O34"/>
      <c r="P34"/>
      <c r="Q34"/>
    </row>
    <row r="35" spans="1:17" ht="15.75" thickBot="1" x14ac:dyDescent="0.3">
      <c r="A35" s="15">
        <f t="shared" si="0"/>
        <v>28</v>
      </c>
      <c r="B35" s="14" t="s">
        <v>20</v>
      </c>
      <c r="D35" s="10">
        <f>SUM(D31,D33)</f>
        <v>5166534271.5282803</v>
      </c>
      <c r="E35" s="72">
        <f>SUM(E31,E33)</f>
        <v>1</v>
      </c>
      <c r="G35" s="10">
        <f>SUM(G31,G33)</f>
        <v>-24054568.562232226</v>
      </c>
      <c r="H35" s="10"/>
      <c r="I35" s="9">
        <f>SUM(I31,I33)</f>
        <v>24122604000</v>
      </c>
      <c r="J35" s="7"/>
      <c r="K35" s="39">
        <f>ROUND(G35/$I35,6)</f>
        <v>-9.9700000000000006E-4</v>
      </c>
      <c r="L35" s="55"/>
      <c r="M35" s="10">
        <f>SUM(M31,M33)</f>
        <v>3315.6459937058098</v>
      </c>
      <c r="N35" s="55"/>
      <c r="O35"/>
      <c r="P35"/>
      <c r="Q35"/>
    </row>
    <row r="36" spans="1:17" ht="13.5" thickTop="1" x14ac:dyDescent="0.2">
      <c r="A36" s="15">
        <f t="shared" si="0"/>
        <v>29</v>
      </c>
      <c r="L36" s="56"/>
      <c r="N36" s="55"/>
    </row>
    <row r="37" spans="1:17" ht="13.5" thickBot="1" x14ac:dyDescent="0.25">
      <c r="A37" s="15">
        <f t="shared" si="0"/>
        <v>30</v>
      </c>
      <c r="B37" s="11" t="s">
        <v>73</v>
      </c>
      <c r="D37" s="12"/>
      <c r="G37" s="164">
        <f>'+2019 Rev Req'!E31</f>
        <v>-24054568.562232211</v>
      </c>
    </row>
    <row r="38" spans="1:17" ht="13.5" thickTop="1" x14ac:dyDescent="0.2">
      <c r="G38" s="54" t="s">
        <v>5</v>
      </c>
    </row>
  </sheetData>
  <mergeCells count="3">
    <mergeCell ref="A1:K1"/>
    <mergeCell ref="A2:K2"/>
    <mergeCell ref="A3:K3"/>
  </mergeCells>
  <printOptions horizontalCentered="1"/>
  <pageMargins left="0.7" right="0.7" top="0.75" bottom="0.75" header="0.3" footer="0.3"/>
  <pageSetup scale="83" orientation="landscape" r:id="rId1"/>
  <headerFooter alignWithMargins="0">
    <oddHeader>&amp;RAdvice No. 2018-xx
Electric Schedule 1XX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28"/>
  <sheetViews>
    <sheetView workbookViewId="0">
      <selection activeCell="K23" sqref="K23"/>
    </sheetView>
  </sheetViews>
  <sheetFormatPr defaultRowHeight="15" x14ac:dyDescent="0.25"/>
  <cols>
    <col min="1" max="1" width="7.28515625" bestFit="1" customWidth="1"/>
    <col min="2" max="2" width="39.28515625" bestFit="1" customWidth="1"/>
    <col min="3" max="3" width="13.5703125" bestFit="1" customWidth="1"/>
    <col min="4" max="5" width="10.7109375" bestFit="1" customWidth="1"/>
  </cols>
  <sheetData>
    <row r="1" spans="1:6" ht="14.45" x14ac:dyDescent="0.3">
      <c r="A1" s="265" t="s">
        <v>0</v>
      </c>
      <c r="B1" s="265"/>
      <c r="C1" s="265"/>
      <c r="D1" s="265"/>
      <c r="E1" s="265"/>
    </row>
    <row r="2" spans="1:6" ht="14.45" x14ac:dyDescent="0.3">
      <c r="A2" s="266" t="s">
        <v>456</v>
      </c>
      <c r="B2" s="265"/>
      <c r="C2" s="265"/>
      <c r="D2" s="265"/>
      <c r="E2" s="265"/>
    </row>
    <row r="3" spans="1:6" ht="14.45" x14ac:dyDescent="0.3">
      <c r="A3" s="266" t="s">
        <v>302</v>
      </c>
      <c r="B3" s="265"/>
      <c r="C3" s="265"/>
      <c r="D3" s="265"/>
      <c r="E3" s="265"/>
    </row>
    <row r="4" spans="1:6" ht="14.45" x14ac:dyDescent="0.3">
      <c r="A4" s="266" t="s">
        <v>310</v>
      </c>
      <c r="B4" s="265"/>
      <c r="C4" s="265"/>
      <c r="D4" s="265"/>
      <c r="E4" s="265"/>
    </row>
    <row r="5" spans="1:6" ht="14.45" x14ac:dyDescent="0.3">
      <c r="A5" s="62"/>
      <c r="B5" s="62"/>
      <c r="C5" s="62"/>
      <c r="D5" s="62"/>
      <c r="E5" s="62"/>
    </row>
    <row r="6" spans="1:6" ht="14.45" x14ac:dyDescent="0.3">
      <c r="A6" s="172" t="s">
        <v>303</v>
      </c>
      <c r="B6" s="173" t="s">
        <v>304</v>
      </c>
      <c r="C6" s="174" t="s">
        <v>36</v>
      </c>
      <c r="D6" s="256"/>
      <c r="E6" s="257"/>
    </row>
    <row r="7" spans="1:6" ht="14.45" x14ac:dyDescent="0.3">
      <c r="A7" s="160">
        <v>1</v>
      </c>
      <c r="B7" s="161" t="s">
        <v>311</v>
      </c>
      <c r="C7" s="175">
        <f>'+2019 Tax Reform Rate Design'!G29</f>
        <v>-295344.63381426613</v>
      </c>
      <c r="D7" s="175"/>
      <c r="E7" s="175"/>
    </row>
    <row r="8" spans="1:6" ht="14.45" x14ac:dyDescent="0.3">
      <c r="A8" s="160">
        <f t="shared" ref="A8:A10" si="0">+A7+1</f>
        <v>2</v>
      </c>
      <c r="B8" s="161" t="s">
        <v>312</v>
      </c>
      <c r="C8" s="176">
        <f>+F28</f>
        <v>3581329.8071437776</v>
      </c>
      <c r="D8" s="177"/>
      <c r="E8" s="177"/>
    </row>
    <row r="9" spans="1:6" ht="14.45" x14ac:dyDescent="0.3">
      <c r="A9" s="160">
        <f t="shared" si="0"/>
        <v>3</v>
      </c>
      <c r="B9" s="62" t="s">
        <v>305</v>
      </c>
      <c r="C9" s="178">
        <f>ROUND(C7/$C$8,3)</f>
        <v>-8.2000000000000003E-2</v>
      </c>
      <c r="D9" s="178"/>
      <c r="E9" s="178"/>
    </row>
    <row r="10" spans="1:6" ht="14.45" x14ac:dyDescent="0.3">
      <c r="A10" s="160">
        <f t="shared" si="0"/>
        <v>4</v>
      </c>
      <c r="B10" s="62"/>
      <c r="C10" s="62"/>
      <c r="D10" s="62"/>
      <c r="E10" s="62"/>
    </row>
    <row r="11" spans="1:6" ht="14.45" x14ac:dyDescent="0.3">
      <c r="A11" s="62"/>
      <c r="B11" s="62"/>
      <c r="C11" s="62"/>
      <c r="D11" s="62"/>
      <c r="E11" s="62"/>
    </row>
    <row r="12" spans="1:6" ht="21" x14ac:dyDescent="0.4">
      <c r="A12" s="267" t="s">
        <v>313</v>
      </c>
      <c r="B12" s="268"/>
      <c r="C12" s="268"/>
      <c r="D12" s="268"/>
      <c r="E12" s="268"/>
      <c r="F12" s="269"/>
    </row>
    <row r="13" spans="1:6" ht="21" x14ac:dyDescent="0.4">
      <c r="A13" s="262" t="s">
        <v>314</v>
      </c>
      <c r="B13" s="263"/>
      <c r="C13" s="263"/>
      <c r="D13" s="263"/>
      <c r="E13" s="263"/>
      <c r="F13" s="264"/>
    </row>
    <row r="14" spans="1:6" ht="15.6" x14ac:dyDescent="0.3">
      <c r="A14" s="179"/>
      <c r="B14" s="180"/>
      <c r="C14" s="180"/>
      <c r="D14" s="180"/>
      <c r="E14" s="180"/>
      <c r="F14" s="181"/>
    </row>
    <row r="15" spans="1:6" ht="14.45" x14ac:dyDescent="0.3">
      <c r="A15" s="182" t="s">
        <v>306</v>
      </c>
      <c r="B15" s="183" t="s">
        <v>35</v>
      </c>
      <c r="C15" s="182" t="s">
        <v>307</v>
      </c>
      <c r="D15" s="184" t="s">
        <v>308</v>
      </c>
      <c r="E15" s="184" t="s">
        <v>309</v>
      </c>
      <c r="F15" s="183" t="s">
        <v>36</v>
      </c>
    </row>
    <row r="16" spans="1:6" ht="14.45" x14ac:dyDescent="0.3">
      <c r="A16" s="185">
        <v>2019</v>
      </c>
      <c r="B16" s="186">
        <v>5</v>
      </c>
      <c r="C16" s="187">
        <v>11352.262174192092</v>
      </c>
      <c r="D16" s="188">
        <v>265053.27395790804</v>
      </c>
      <c r="E16" s="188">
        <v>44766.540718238182</v>
      </c>
      <c r="F16" s="189">
        <f t="shared" ref="F16:F27" si="1">SUM(C16:E16)</f>
        <v>321172.07685033832</v>
      </c>
    </row>
    <row r="17" spans="1:6" ht="14.45" x14ac:dyDescent="0.3">
      <c r="A17" s="185"/>
      <c r="B17" s="186">
        <v>6</v>
      </c>
      <c r="C17" s="187">
        <v>10971.71059586224</v>
      </c>
      <c r="D17" s="188">
        <v>240272.79559030442</v>
      </c>
      <c r="E17" s="188">
        <v>46678.962225469681</v>
      </c>
      <c r="F17" s="189">
        <f t="shared" si="1"/>
        <v>297923.46841163636</v>
      </c>
    </row>
    <row r="18" spans="1:6" ht="14.45" x14ac:dyDescent="0.3">
      <c r="A18" s="185"/>
      <c r="B18" s="186">
        <v>7</v>
      </c>
      <c r="C18" s="187">
        <v>10709.924727519663</v>
      </c>
      <c r="D18" s="188">
        <v>243642.65587081778</v>
      </c>
      <c r="E18" s="188">
        <v>46288.352017079604</v>
      </c>
      <c r="F18" s="189">
        <f t="shared" si="1"/>
        <v>300640.93261541706</v>
      </c>
    </row>
    <row r="19" spans="1:6" ht="14.45" x14ac:dyDescent="0.3">
      <c r="A19" s="185"/>
      <c r="B19" s="186">
        <v>8</v>
      </c>
      <c r="C19" s="187">
        <v>10826.811778597432</v>
      </c>
      <c r="D19" s="188">
        <v>242155.29213896589</v>
      </c>
      <c r="E19" s="188">
        <v>45654.797036562071</v>
      </c>
      <c r="F19" s="189">
        <f t="shared" si="1"/>
        <v>298636.90095412539</v>
      </c>
    </row>
    <row r="20" spans="1:6" ht="14.45" x14ac:dyDescent="0.3">
      <c r="A20" s="185"/>
      <c r="B20" s="186">
        <v>9</v>
      </c>
      <c r="C20" s="187">
        <v>10086.96532076987</v>
      </c>
      <c r="D20" s="188">
        <v>236016.15069371043</v>
      </c>
      <c r="E20" s="188">
        <v>47895.899467894291</v>
      </c>
      <c r="F20" s="189">
        <f t="shared" si="1"/>
        <v>293999.01548237458</v>
      </c>
    </row>
    <row r="21" spans="1:6" ht="14.45" x14ac:dyDescent="0.3">
      <c r="A21" s="185"/>
      <c r="B21" s="186">
        <v>10</v>
      </c>
      <c r="C21" s="187">
        <v>9447.8701836171003</v>
      </c>
      <c r="D21" s="188">
        <v>225873.76933317035</v>
      </c>
      <c r="E21" s="188">
        <v>48245.098756593085</v>
      </c>
      <c r="F21" s="189">
        <f t="shared" si="1"/>
        <v>283566.73827338056</v>
      </c>
    </row>
    <row r="22" spans="1:6" ht="14.45" x14ac:dyDescent="0.3">
      <c r="A22" s="185"/>
      <c r="B22" s="186">
        <v>11</v>
      </c>
      <c r="C22" s="187">
        <v>9760.9399875080726</v>
      </c>
      <c r="D22" s="188">
        <v>231089.01014823015</v>
      </c>
      <c r="E22" s="188">
        <v>48047.846701708972</v>
      </c>
      <c r="F22" s="189">
        <f t="shared" si="1"/>
        <v>288897.79683744721</v>
      </c>
    </row>
    <row r="23" spans="1:6" ht="14.45" x14ac:dyDescent="0.3">
      <c r="A23" s="190"/>
      <c r="B23" s="191">
        <v>12</v>
      </c>
      <c r="C23" s="192">
        <v>10006.528961017239</v>
      </c>
      <c r="D23" s="193">
        <v>239346.03631798926</v>
      </c>
      <c r="E23" s="193">
        <v>46252.528199127933</v>
      </c>
      <c r="F23" s="194">
        <f t="shared" si="1"/>
        <v>295605.09347813443</v>
      </c>
    </row>
    <row r="24" spans="1:6" ht="14.45" x14ac:dyDescent="0.3">
      <c r="A24" s="185">
        <v>2020</v>
      </c>
      <c r="B24" s="186">
        <v>1</v>
      </c>
      <c r="C24" s="187">
        <v>11207.519247806373</v>
      </c>
      <c r="D24" s="188">
        <v>244726.22865983992</v>
      </c>
      <c r="E24" s="188">
        <v>46016.596601855468</v>
      </c>
      <c r="F24" s="189">
        <f t="shared" si="1"/>
        <v>301950.34450950177</v>
      </c>
    </row>
    <row r="25" spans="1:6" ht="14.45" x14ac:dyDescent="0.3">
      <c r="A25" s="185"/>
      <c r="B25" s="186">
        <v>2</v>
      </c>
      <c r="C25" s="187">
        <v>10976.140738991677</v>
      </c>
      <c r="D25" s="188">
        <v>250006.57735538663</v>
      </c>
      <c r="E25" s="188">
        <v>45401.325658314265</v>
      </c>
      <c r="F25" s="189">
        <f t="shared" si="1"/>
        <v>306384.04375269258</v>
      </c>
    </row>
    <row r="26" spans="1:6" ht="14.45" x14ac:dyDescent="0.3">
      <c r="A26" s="185"/>
      <c r="B26" s="186">
        <v>3</v>
      </c>
      <c r="C26" s="187">
        <v>10374.073072709354</v>
      </c>
      <c r="D26" s="188">
        <v>249521.54136555979</v>
      </c>
      <c r="E26" s="188">
        <v>45480.216324902991</v>
      </c>
      <c r="F26" s="189">
        <f t="shared" si="1"/>
        <v>305375.83076317213</v>
      </c>
    </row>
    <row r="27" spans="1:6" ht="14.45" x14ac:dyDescent="0.3">
      <c r="A27" s="190"/>
      <c r="B27" s="191">
        <v>4</v>
      </c>
      <c r="C27" s="192">
        <v>10556.320692523197</v>
      </c>
      <c r="D27" s="193">
        <v>234440.3955003848</v>
      </c>
      <c r="E27" s="193">
        <v>42180.84902264909</v>
      </c>
      <c r="F27" s="194">
        <f t="shared" si="1"/>
        <v>287177.56521555712</v>
      </c>
    </row>
    <row r="28" spans="1:6" ht="14.45" x14ac:dyDescent="0.3">
      <c r="A28" s="195"/>
      <c r="B28" s="77" t="s">
        <v>36</v>
      </c>
      <c r="C28" s="193">
        <f>SUM(C16:C27)</f>
        <v>126277.06748111428</v>
      </c>
      <c r="D28" s="193">
        <f>SUM(D16:D27)</f>
        <v>2902143.7269322677</v>
      </c>
      <c r="E28" s="193">
        <f>SUM(E16:E27)</f>
        <v>552909.01273039565</v>
      </c>
      <c r="F28" s="194">
        <f>SUM(F16:F27)</f>
        <v>3581329.8071437776</v>
      </c>
    </row>
  </sheetData>
  <mergeCells count="6">
    <mergeCell ref="A13:F13"/>
    <mergeCell ref="A1:E1"/>
    <mergeCell ref="A2:E2"/>
    <mergeCell ref="A3:E3"/>
    <mergeCell ref="A4:E4"/>
    <mergeCell ref="A12:F12"/>
  </mergeCells>
  <pageMargins left="0.7" right="0.7" top="0.75" bottom="0.7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155"/>
  <sheetViews>
    <sheetView showGridLines="0" zoomScale="86" zoomScaleNormal="86" workbookViewId="0">
      <pane xSplit="4" ySplit="6" topLeftCell="E125" activePane="bottomRight" state="frozen"/>
      <selection activeCell="K386" sqref="K386"/>
      <selection pane="topRight" activeCell="K386" sqref="K386"/>
      <selection pane="bottomLeft" activeCell="K386" sqref="K386"/>
      <selection pane="bottomRight" activeCell="I163" sqref="I163"/>
    </sheetView>
  </sheetViews>
  <sheetFormatPr defaultColWidth="4.5703125" defaultRowHeight="12.75" x14ac:dyDescent="0.2"/>
  <cols>
    <col min="1" max="1" width="4.7109375" style="199" bestFit="1" customWidth="1"/>
    <col min="2" max="2" width="11.7109375" style="199" bestFit="1" customWidth="1"/>
    <col min="3" max="3" width="50.7109375" style="199" bestFit="1" customWidth="1"/>
    <col min="4" max="4" width="10.7109375" style="200" bestFit="1" customWidth="1"/>
    <col min="5" max="5" width="17.5703125" style="200" bestFit="1" customWidth="1"/>
    <col min="6" max="7" width="15.85546875" style="200" bestFit="1" customWidth="1"/>
    <col min="8" max="8" width="16.28515625" style="200" bestFit="1" customWidth="1"/>
    <col min="9" max="15" width="15.28515625" style="200" customWidth="1"/>
    <col min="16" max="16" width="4.5703125" style="197"/>
    <col min="17" max="17" width="14.28515625" style="197" bestFit="1" customWidth="1"/>
    <col min="18" max="18" width="11.42578125" style="197" bestFit="1" customWidth="1"/>
    <col min="19" max="19" width="13.28515625" style="197" bestFit="1" customWidth="1"/>
    <col min="20" max="21" width="14.28515625" style="197" bestFit="1" customWidth="1"/>
    <col min="22" max="25" width="4.5703125" style="197"/>
    <col min="26" max="256" width="4.5703125" style="198"/>
    <col min="257" max="257" width="4.7109375" style="198" bestFit="1" customWidth="1"/>
    <col min="258" max="258" width="11.7109375" style="198" bestFit="1" customWidth="1"/>
    <col min="259" max="259" width="50.7109375" style="198" bestFit="1" customWidth="1"/>
    <col min="260" max="260" width="10.7109375" style="198" bestFit="1" customWidth="1"/>
    <col min="261" max="262" width="15.85546875" style="198" bestFit="1" customWidth="1"/>
    <col min="263" max="271" width="15.28515625" style="198" customWidth="1"/>
    <col min="272" max="272" width="4.5703125" style="198"/>
    <col min="273" max="273" width="14.28515625" style="198" bestFit="1" customWidth="1"/>
    <col min="274" max="274" width="11.42578125" style="198" bestFit="1" customWidth="1"/>
    <col min="275" max="275" width="13.28515625" style="198" bestFit="1" customWidth="1"/>
    <col min="276" max="277" width="14.28515625" style="198" bestFit="1" customWidth="1"/>
    <col min="278" max="512" width="4.5703125" style="198"/>
    <col min="513" max="513" width="4.7109375" style="198" bestFit="1" customWidth="1"/>
    <col min="514" max="514" width="11.7109375" style="198" bestFit="1" customWidth="1"/>
    <col min="515" max="515" width="50.7109375" style="198" bestFit="1" customWidth="1"/>
    <col min="516" max="516" width="10.7109375" style="198" bestFit="1" customWidth="1"/>
    <col min="517" max="518" width="15.85546875" style="198" bestFit="1" customWidth="1"/>
    <col min="519" max="527" width="15.28515625" style="198" customWidth="1"/>
    <col min="528" max="528" width="4.5703125" style="198"/>
    <col min="529" max="529" width="14.28515625" style="198" bestFit="1" customWidth="1"/>
    <col min="530" max="530" width="11.42578125" style="198" bestFit="1" customWidth="1"/>
    <col min="531" max="531" width="13.28515625" style="198" bestFit="1" customWidth="1"/>
    <col min="532" max="533" width="14.28515625" style="198" bestFit="1" customWidth="1"/>
    <col min="534" max="768" width="4.5703125" style="198"/>
    <col min="769" max="769" width="4.7109375" style="198" bestFit="1" customWidth="1"/>
    <col min="770" max="770" width="11.7109375" style="198" bestFit="1" customWidth="1"/>
    <col min="771" max="771" width="50.7109375" style="198" bestFit="1" customWidth="1"/>
    <col min="772" max="772" width="10.7109375" style="198" bestFit="1" customWidth="1"/>
    <col min="773" max="774" width="15.85546875" style="198" bestFit="1" customWidth="1"/>
    <col min="775" max="783" width="15.28515625" style="198" customWidth="1"/>
    <col min="784" max="784" width="4.5703125" style="198"/>
    <col min="785" max="785" width="14.28515625" style="198" bestFit="1" customWidth="1"/>
    <col min="786" max="786" width="11.42578125" style="198" bestFit="1" customWidth="1"/>
    <col min="787" max="787" width="13.28515625" style="198" bestFit="1" customWidth="1"/>
    <col min="788" max="789" width="14.28515625" style="198" bestFit="1" customWidth="1"/>
    <col min="790" max="1024" width="4.5703125" style="198"/>
    <col min="1025" max="1025" width="4.7109375" style="198" bestFit="1" customWidth="1"/>
    <col min="1026" max="1026" width="11.7109375" style="198" bestFit="1" customWidth="1"/>
    <col min="1027" max="1027" width="50.7109375" style="198" bestFit="1" customWidth="1"/>
    <col min="1028" max="1028" width="10.7109375" style="198" bestFit="1" customWidth="1"/>
    <col min="1029" max="1030" width="15.85546875" style="198" bestFit="1" customWidth="1"/>
    <col min="1031" max="1039" width="15.28515625" style="198" customWidth="1"/>
    <col min="1040" max="1040" width="4.5703125" style="198"/>
    <col min="1041" max="1041" width="14.28515625" style="198" bestFit="1" customWidth="1"/>
    <col min="1042" max="1042" width="11.42578125" style="198" bestFit="1" customWidth="1"/>
    <col min="1043" max="1043" width="13.28515625" style="198" bestFit="1" customWidth="1"/>
    <col min="1044" max="1045" width="14.28515625" style="198" bestFit="1" customWidth="1"/>
    <col min="1046" max="1280" width="4.5703125" style="198"/>
    <col min="1281" max="1281" width="4.7109375" style="198" bestFit="1" customWidth="1"/>
    <col min="1282" max="1282" width="11.7109375" style="198" bestFit="1" customWidth="1"/>
    <col min="1283" max="1283" width="50.7109375" style="198" bestFit="1" customWidth="1"/>
    <col min="1284" max="1284" width="10.7109375" style="198" bestFit="1" customWidth="1"/>
    <col min="1285" max="1286" width="15.85546875" style="198" bestFit="1" customWidth="1"/>
    <col min="1287" max="1295" width="15.28515625" style="198" customWidth="1"/>
    <col min="1296" max="1296" width="4.5703125" style="198"/>
    <col min="1297" max="1297" width="14.28515625" style="198" bestFit="1" customWidth="1"/>
    <col min="1298" max="1298" width="11.42578125" style="198" bestFit="1" customWidth="1"/>
    <col min="1299" max="1299" width="13.28515625" style="198" bestFit="1" customWidth="1"/>
    <col min="1300" max="1301" width="14.28515625" style="198" bestFit="1" customWidth="1"/>
    <col min="1302" max="1536" width="4.5703125" style="198"/>
    <col min="1537" max="1537" width="4.7109375" style="198" bestFit="1" customWidth="1"/>
    <col min="1538" max="1538" width="11.7109375" style="198" bestFit="1" customWidth="1"/>
    <col min="1539" max="1539" width="50.7109375" style="198" bestFit="1" customWidth="1"/>
    <col min="1540" max="1540" width="10.7109375" style="198" bestFit="1" customWidth="1"/>
    <col min="1541" max="1542" width="15.85546875" style="198" bestFit="1" customWidth="1"/>
    <col min="1543" max="1551" width="15.28515625" style="198" customWidth="1"/>
    <col min="1552" max="1552" width="4.5703125" style="198"/>
    <col min="1553" max="1553" width="14.28515625" style="198" bestFit="1" customWidth="1"/>
    <col min="1554" max="1554" width="11.42578125" style="198" bestFit="1" customWidth="1"/>
    <col min="1555" max="1555" width="13.28515625" style="198" bestFit="1" customWidth="1"/>
    <col min="1556" max="1557" width="14.28515625" style="198" bestFit="1" customWidth="1"/>
    <col min="1558" max="1792" width="4.5703125" style="198"/>
    <col min="1793" max="1793" width="4.7109375" style="198" bestFit="1" customWidth="1"/>
    <col min="1794" max="1794" width="11.7109375" style="198" bestFit="1" customWidth="1"/>
    <col min="1795" max="1795" width="50.7109375" style="198" bestFit="1" customWidth="1"/>
    <col min="1796" max="1796" width="10.7109375" style="198" bestFit="1" customWidth="1"/>
    <col min="1797" max="1798" width="15.85546875" style="198" bestFit="1" customWidth="1"/>
    <col min="1799" max="1807" width="15.28515625" style="198" customWidth="1"/>
    <col min="1808" max="1808" width="4.5703125" style="198"/>
    <col min="1809" max="1809" width="14.28515625" style="198" bestFit="1" customWidth="1"/>
    <col min="1810" max="1810" width="11.42578125" style="198" bestFit="1" customWidth="1"/>
    <col min="1811" max="1811" width="13.28515625" style="198" bestFit="1" customWidth="1"/>
    <col min="1812" max="1813" width="14.28515625" style="198" bestFit="1" customWidth="1"/>
    <col min="1814" max="2048" width="4.5703125" style="198"/>
    <col min="2049" max="2049" width="4.7109375" style="198" bestFit="1" customWidth="1"/>
    <col min="2050" max="2050" width="11.7109375" style="198" bestFit="1" customWidth="1"/>
    <col min="2051" max="2051" width="50.7109375" style="198" bestFit="1" customWidth="1"/>
    <col min="2052" max="2052" width="10.7109375" style="198" bestFit="1" customWidth="1"/>
    <col min="2053" max="2054" width="15.85546875" style="198" bestFit="1" customWidth="1"/>
    <col min="2055" max="2063" width="15.28515625" style="198" customWidth="1"/>
    <col min="2064" max="2064" width="4.5703125" style="198"/>
    <col min="2065" max="2065" width="14.28515625" style="198" bestFit="1" customWidth="1"/>
    <col min="2066" max="2066" width="11.42578125" style="198" bestFit="1" customWidth="1"/>
    <col min="2067" max="2067" width="13.28515625" style="198" bestFit="1" customWidth="1"/>
    <col min="2068" max="2069" width="14.28515625" style="198" bestFit="1" customWidth="1"/>
    <col min="2070" max="2304" width="4.5703125" style="198"/>
    <col min="2305" max="2305" width="4.7109375" style="198" bestFit="1" customWidth="1"/>
    <col min="2306" max="2306" width="11.7109375" style="198" bestFit="1" customWidth="1"/>
    <col min="2307" max="2307" width="50.7109375" style="198" bestFit="1" customWidth="1"/>
    <col min="2308" max="2308" width="10.7109375" style="198" bestFit="1" customWidth="1"/>
    <col min="2309" max="2310" width="15.85546875" style="198" bestFit="1" customWidth="1"/>
    <col min="2311" max="2319" width="15.28515625" style="198" customWidth="1"/>
    <col min="2320" max="2320" width="4.5703125" style="198"/>
    <col min="2321" max="2321" width="14.28515625" style="198" bestFit="1" customWidth="1"/>
    <col min="2322" max="2322" width="11.42578125" style="198" bestFit="1" customWidth="1"/>
    <col min="2323" max="2323" width="13.28515625" style="198" bestFit="1" customWidth="1"/>
    <col min="2324" max="2325" width="14.28515625" style="198" bestFit="1" customWidth="1"/>
    <col min="2326" max="2560" width="4.5703125" style="198"/>
    <col min="2561" max="2561" width="4.7109375" style="198" bestFit="1" customWidth="1"/>
    <col min="2562" max="2562" width="11.7109375" style="198" bestFit="1" customWidth="1"/>
    <col min="2563" max="2563" width="50.7109375" style="198" bestFit="1" customWidth="1"/>
    <col min="2564" max="2564" width="10.7109375" style="198" bestFit="1" customWidth="1"/>
    <col min="2565" max="2566" width="15.85546875" style="198" bestFit="1" customWidth="1"/>
    <col min="2567" max="2575" width="15.28515625" style="198" customWidth="1"/>
    <col min="2576" max="2576" width="4.5703125" style="198"/>
    <col min="2577" max="2577" width="14.28515625" style="198" bestFit="1" customWidth="1"/>
    <col min="2578" max="2578" width="11.42578125" style="198" bestFit="1" customWidth="1"/>
    <col min="2579" max="2579" width="13.28515625" style="198" bestFit="1" customWidth="1"/>
    <col min="2580" max="2581" width="14.28515625" style="198" bestFit="1" customWidth="1"/>
    <col min="2582" max="2816" width="4.5703125" style="198"/>
    <col min="2817" max="2817" width="4.7109375" style="198" bestFit="1" customWidth="1"/>
    <col min="2818" max="2818" width="11.7109375" style="198" bestFit="1" customWidth="1"/>
    <col min="2819" max="2819" width="50.7109375" style="198" bestFit="1" customWidth="1"/>
    <col min="2820" max="2820" width="10.7109375" style="198" bestFit="1" customWidth="1"/>
    <col min="2821" max="2822" width="15.85546875" style="198" bestFit="1" customWidth="1"/>
    <col min="2823" max="2831" width="15.28515625" style="198" customWidth="1"/>
    <col min="2832" max="2832" width="4.5703125" style="198"/>
    <col min="2833" max="2833" width="14.28515625" style="198" bestFit="1" customWidth="1"/>
    <col min="2834" max="2834" width="11.42578125" style="198" bestFit="1" customWidth="1"/>
    <col min="2835" max="2835" width="13.28515625" style="198" bestFit="1" customWidth="1"/>
    <col min="2836" max="2837" width="14.28515625" style="198" bestFit="1" customWidth="1"/>
    <col min="2838" max="3072" width="4.5703125" style="198"/>
    <col min="3073" max="3073" width="4.7109375" style="198" bestFit="1" customWidth="1"/>
    <col min="3074" max="3074" width="11.7109375" style="198" bestFit="1" customWidth="1"/>
    <col min="3075" max="3075" width="50.7109375" style="198" bestFit="1" customWidth="1"/>
    <col min="3076" max="3076" width="10.7109375" style="198" bestFit="1" customWidth="1"/>
    <col min="3077" max="3078" width="15.85546875" style="198" bestFit="1" customWidth="1"/>
    <col min="3079" max="3087" width="15.28515625" style="198" customWidth="1"/>
    <col min="3088" max="3088" width="4.5703125" style="198"/>
    <col min="3089" max="3089" width="14.28515625" style="198" bestFit="1" customWidth="1"/>
    <col min="3090" max="3090" width="11.42578125" style="198" bestFit="1" customWidth="1"/>
    <col min="3091" max="3091" width="13.28515625" style="198" bestFit="1" customWidth="1"/>
    <col min="3092" max="3093" width="14.28515625" style="198" bestFit="1" customWidth="1"/>
    <col min="3094" max="3328" width="4.5703125" style="198"/>
    <col min="3329" max="3329" width="4.7109375" style="198" bestFit="1" customWidth="1"/>
    <col min="3330" max="3330" width="11.7109375" style="198" bestFit="1" customWidth="1"/>
    <col min="3331" max="3331" width="50.7109375" style="198" bestFit="1" customWidth="1"/>
    <col min="3332" max="3332" width="10.7109375" style="198" bestFit="1" customWidth="1"/>
    <col min="3333" max="3334" width="15.85546875" style="198" bestFit="1" customWidth="1"/>
    <col min="3335" max="3343" width="15.28515625" style="198" customWidth="1"/>
    <col min="3344" max="3344" width="4.5703125" style="198"/>
    <col min="3345" max="3345" width="14.28515625" style="198" bestFit="1" customWidth="1"/>
    <col min="3346" max="3346" width="11.42578125" style="198" bestFit="1" customWidth="1"/>
    <col min="3347" max="3347" width="13.28515625" style="198" bestFit="1" customWidth="1"/>
    <col min="3348" max="3349" width="14.28515625" style="198" bestFit="1" customWidth="1"/>
    <col min="3350" max="3584" width="4.5703125" style="198"/>
    <col min="3585" max="3585" width="4.7109375" style="198" bestFit="1" customWidth="1"/>
    <col min="3586" max="3586" width="11.7109375" style="198" bestFit="1" customWidth="1"/>
    <col min="3587" max="3587" width="50.7109375" style="198" bestFit="1" customWidth="1"/>
    <col min="3588" max="3588" width="10.7109375" style="198" bestFit="1" customWidth="1"/>
    <col min="3589" max="3590" width="15.85546875" style="198" bestFit="1" customWidth="1"/>
    <col min="3591" max="3599" width="15.28515625" style="198" customWidth="1"/>
    <col min="3600" max="3600" width="4.5703125" style="198"/>
    <col min="3601" max="3601" width="14.28515625" style="198" bestFit="1" customWidth="1"/>
    <col min="3602" max="3602" width="11.42578125" style="198" bestFit="1" customWidth="1"/>
    <col min="3603" max="3603" width="13.28515625" style="198" bestFit="1" customWidth="1"/>
    <col min="3604" max="3605" width="14.28515625" style="198" bestFit="1" customWidth="1"/>
    <col min="3606" max="3840" width="4.5703125" style="198"/>
    <col min="3841" max="3841" width="4.7109375" style="198" bestFit="1" customWidth="1"/>
    <col min="3842" max="3842" width="11.7109375" style="198" bestFit="1" customWidth="1"/>
    <col min="3843" max="3843" width="50.7109375" style="198" bestFit="1" customWidth="1"/>
    <col min="3844" max="3844" width="10.7109375" style="198" bestFit="1" customWidth="1"/>
    <col min="3845" max="3846" width="15.85546875" style="198" bestFit="1" customWidth="1"/>
    <col min="3847" max="3855" width="15.28515625" style="198" customWidth="1"/>
    <col min="3856" max="3856" width="4.5703125" style="198"/>
    <col min="3857" max="3857" width="14.28515625" style="198" bestFit="1" customWidth="1"/>
    <col min="3858" max="3858" width="11.42578125" style="198" bestFit="1" customWidth="1"/>
    <col min="3859" max="3859" width="13.28515625" style="198" bestFit="1" customWidth="1"/>
    <col min="3860" max="3861" width="14.28515625" style="198" bestFit="1" customWidth="1"/>
    <col min="3862" max="4096" width="4.5703125" style="198"/>
    <col min="4097" max="4097" width="4.7109375" style="198" bestFit="1" customWidth="1"/>
    <col min="4098" max="4098" width="11.7109375" style="198" bestFit="1" customWidth="1"/>
    <col min="4099" max="4099" width="50.7109375" style="198" bestFit="1" customWidth="1"/>
    <col min="4100" max="4100" width="10.7109375" style="198" bestFit="1" customWidth="1"/>
    <col min="4101" max="4102" width="15.85546875" style="198" bestFit="1" customWidth="1"/>
    <col min="4103" max="4111" width="15.28515625" style="198" customWidth="1"/>
    <col min="4112" max="4112" width="4.5703125" style="198"/>
    <col min="4113" max="4113" width="14.28515625" style="198" bestFit="1" customWidth="1"/>
    <col min="4114" max="4114" width="11.42578125" style="198" bestFit="1" customWidth="1"/>
    <col min="4115" max="4115" width="13.28515625" style="198" bestFit="1" customWidth="1"/>
    <col min="4116" max="4117" width="14.28515625" style="198" bestFit="1" customWidth="1"/>
    <col min="4118" max="4352" width="4.5703125" style="198"/>
    <col min="4353" max="4353" width="4.7109375" style="198" bestFit="1" customWidth="1"/>
    <col min="4354" max="4354" width="11.7109375" style="198" bestFit="1" customWidth="1"/>
    <col min="4355" max="4355" width="50.7109375" style="198" bestFit="1" customWidth="1"/>
    <col min="4356" max="4356" width="10.7109375" style="198" bestFit="1" customWidth="1"/>
    <col min="4357" max="4358" width="15.85546875" style="198" bestFit="1" customWidth="1"/>
    <col min="4359" max="4367" width="15.28515625" style="198" customWidth="1"/>
    <col min="4368" max="4368" width="4.5703125" style="198"/>
    <col min="4369" max="4369" width="14.28515625" style="198" bestFit="1" customWidth="1"/>
    <col min="4370" max="4370" width="11.42578125" style="198" bestFit="1" customWidth="1"/>
    <col min="4371" max="4371" width="13.28515625" style="198" bestFit="1" customWidth="1"/>
    <col min="4372" max="4373" width="14.28515625" style="198" bestFit="1" customWidth="1"/>
    <col min="4374" max="4608" width="4.5703125" style="198"/>
    <col min="4609" max="4609" width="4.7109375" style="198" bestFit="1" customWidth="1"/>
    <col min="4610" max="4610" width="11.7109375" style="198" bestFit="1" customWidth="1"/>
    <col min="4611" max="4611" width="50.7109375" style="198" bestFit="1" customWidth="1"/>
    <col min="4612" max="4612" width="10.7109375" style="198" bestFit="1" customWidth="1"/>
    <col min="4613" max="4614" width="15.85546875" style="198" bestFit="1" customWidth="1"/>
    <col min="4615" max="4623" width="15.28515625" style="198" customWidth="1"/>
    <col min="4624" max="4624" width="4.5703125" style="198"/>
    <col min="4625" max="4625" width="14.28515625" style="198" bestFit="1" customWidth="1"/>
    <col min="4626" max="4626" width="11.42578125" style="198" bestFit="1" customWidth="1"/>
    <col min="4627" max="4627" width="13.28515625" style="198" bestFit="1" customWidth="1"/>
    <col min="4628" max="4629" width="14.28515625" style="198" bestFit="1" customWidth="1"/>
    <col min="4630" max="4864" width="4.5703125" style="198"/>
    <col min="4865" max="4865" width="4.7109375" style="198" bestFit="1" customWidth="1"/>
    <col min="4866" max="4866" width="11.7109375" style="198" bestFit="1" customWidth="1"/>
    <col min="4867" max="4867" width="50.7109375" style="198" bestFit="1" customWidth="1"/>
    <col min="4868" max="4868" width="10.7109375" style="198" bestFit="1" customWidth="1"/>
    <col min="4869" max="4870" width="15.85546875" style="198" bestFit="1" customWidth="1"/>
    <col min="4871" max="4879" width="15.28515625" style="198" customWidth="1"/>
    <col min="4880" max="4880" width="4.5703125" style="198"/>
    <col min="4881" max="4881" width="14.28515625" style="198" bestFit="1" customWidth="1"/>
    <col min="4882" max="4882" width="11.42578125" style="198" bestFit="1" customWidth="1"/>
    <col min="4883" max="4883" width="13.28515625" style="198" bestFit="1" customWidth="1"/>
    <col min="4884" max="4885" width="14.28515625" style="198" bestFit="1" customWidth="1"/>
    <col min="4886" max="5120" width="4.5703125" style="198"/>
    <col min="5121" max="5121" width="4.7109375" style="198" bestFit="1" customWidth="1"/>
    <col min="5122" max="5122" width="11.7109375" style="198" bestFit="1" customWidth="1"/>
    <col min="5123" max="5123" width="50.7109375" style="198" bestFit="1" customWidth="1"/>
    <col min="5124" max="5124" width="10.7109375" style="198" bestFit="1" customWidth="1"/>
    <col min="5125" max="5126" width="15.85546875" style="198" bestFit="1" customWidth="1"/>
    <col min="5127" max="5135" width="15.28515625" style="198" customWidth="1"/>
    <col min="5136" max="5136" width="4.5703125" style="198"/>
    <col min="5137" max="5137" width="14.28515625" style="198" bestFit="1" customWidth="1"/>
    <col min="5138" max="5138" width="11.42578125" style="198" bestFit="1" customWidth="1"/>
    <col min="5139" max="5139" width="13.28515625" style="198" bestFit="1" customWidth="1"/>
    <col min="5140" max="5141" width="14.28515625" style="198" bestFit="1" customWidth="1"/>
    <col min="5142" max="5376" width="4.5703125" style="198"/>
    <col min="5377" max="5377" width="4.7109375" style="198" bestFit="1" customWidth="1"/>
    <col min="5378" max="5378" width="11.7109375" style="198" bestFit="1" customWidth="1"/>
    <col min="5379" max="5379" width="50.7109375" style="198" bestFit="1" customWidth="1"/>
    <col min="5380" max="5380" width="10.7109375" style="198" bestFit="1" customWidth="1"/>
    <col min="5381" max="5382" width="15.85546875" style="198" bestFit="1" customWidth="1"/>
    <col min="5383" max="5391" width="15.28515625" style="198" customWidth="1"/>
    <col min="5392" max="5392" width="4.5703125" style="198"/>
    <col min="5393" max="5393" width="14.28515625" style="198" bestFit="1" customWidth="1"/>
    <col min="5394" max="5394" width="11.42578125" style="198" bestFit="1" customWidth="1"/>
    <col min="5395" max="5395" width="13.28515625" style="198" bestFit="1" customWidth="1"/>
    <col min="5396" max="5397" width="14.28515625" style="198" bestFit="1" customWidth="1"/>
    <col min="5398" max="5632" width="4.5703125" style="198"/>
    <col min="5633" max="5633" width="4.7109375" style="198" bestFit="1" customWidth="1"/>
    <col min="5634" max="5634" width="11.7109375" style="198" bestFit="1" customWidth="1"/>
    <col min="5635" max="5635" width="50.7109375" style="198" bestFit="1" customWidth="1"/>
    <col min="5636" max="5636" width="10.7109375" style="198" bestFit="1" customWidth="1"/>
    <col min="5637" max="5638" width="15.85546875" style="198" bestFit="1" customWidth="1"/>
    <col min="5639" max="5647" width="15.28515625" style="198" customWidth="1"/>
    <col min="5648" max="5648" width="4.5703125" style="198"/>
    <col min="5649" max="5649" width="14.28515625" style="198" bestFit="1" customWidth="1"/>
    <col min="5650" max="5650" width="11.42578125" style="198" bestFit="1" customWidth="1"/>
    <col min="5651" max="5651" width="13.28515625" style="198" bestFit="1" customWidth="1"/>
    <col min="5652" max="5653" width="14.28515625" style="198" bestFit="1" customWidth="1"/>
    <col min="5654" max="5888" width="4.5703125" style="198"/>
    <col min="5889" max="5889" width="4.7109375" style="198" bestFit="1" customWidth="1"/>
    <col min="5890" max="5890" width="11.7109375" style="198" bestFit="1" customWidth="1"/>
    <col min="5891" max="5891" width="50.7109375" style="198" bestFit="1" customWidth="1"/>
    <col min="5892" max="5892" width="10.7109375" style="198" bestFit="1" customWidth="1"/>
    <col min="5893" max="5894" width="15.85546875" style="198" bestFit="1" customWidth="1"/>
    <col min="5895" max="5903" width="15.28515625" style="198" customWidth="1"/>
    <col min="5904" max="5904" width="4.5703125" style="198"/>
    <col min="5905" max="5905" width="14.28515625" style="198" bestFit="1" customWidth="1"/>
    <col min="5906" max="5906" width="11.42578125" style="198" bestFit="1" customWidth="1"/>
    <col min="5907" max="5907" width="13.28515625" style="198" bestFit="1" customWidth="1"/>
    <col min="5908" max="5909" width="14.28515625" style="198" bestFit="1" customWidth="1"/>
    <col min="5910" max="6144" width="4.5703125" style="198"/>
    <col min="6145" max="6145" width="4.7109375" style="198" bestFit="1" customWidth="1"/>
    <col min="6146" max="6146" width="11.7109375" style="198" bestFit="1" customWidth="1"/>
    <col min="6147" max="6147" width="50.7109375" style="198" bestFit="1" customWidth="1"/>
    <col min="6148" max="6148" width="10.7109375" style="198" bestFit="1" customWidth="1"/>
    <col min="6149" max="6150" width="15.85546875" style="198" bestFit="1" customWidth="1"/>
    <col min="6151" max="6159" width="15.28515625" style="198" customWidth="1"/>
    <col min="6160" max="6160" width="4.5703125" style="198"/>
    <col min="6161" max="6161" width="14.28515625" style="198" bestFit="1" customWidth="1"/>
    <col min="6162" max="6162" width="11.42578125" style="198" bestFit="1" customWidth="1"/>
    <col min="6163" max="6163" width="13.28515625" style="198" bestFit="1" customWidth="1"/>
    <col min="6164" max="6165" width="14.28515625" style="198" bestFit="1" customWidth="1"/>
    <col min="6166" max="6400" width="4.5703125" style="198"/>
    <col min="6401" max="6401" width="4.7109375" style="198" bestFit="1" customWidth="1"/>
    <col min="6402" max="6402" width="11.7109375" style="198" bestFit="1" customWidth="1"/>
    <col min="6403" max="6403" width="50.7109375" style="198" bestFit="1" customWidth="1"/>
    <col min="6404" max="6404" width="10.7109375" style="198" bestFit="1" customWidth="1"/>
    <col min="6405" max="6406" width="15.85546875" style="198" bestFit="1" customWidth="1"/>
    <col min="6407" max="6415" width="15.28515625" style="198" customWidth="1"/>
    <col min="6416" max="6416" width="4.5703125" style="198"/>
    <col min="6417" max="6417" width="14.28515625" style="198" bestFit="1" customWidth="1"/>
    <col min="6418" max="6418" width="11.42578125" style="198" bestFit="1" customWidth="1"/>
    <col min="6419" max="6419" width="13.28515625" style="198" bestFit="1" customWidth="1"/>
    <col min="6420" max="6421" width="14.28515625" style="198" bestFit="1" customWidth="1"/>
    <col min="6422" max="6656" width="4.5703125" style="198"/>
    <col min="6657" max="6657" width="4.7109375" style="198" bestFit="1" customWidth="1"/>
    <col min="6658" max="6658" width="11.7109375" style="198" bestFit="1" customWidth="1"/>
    <col min="6659" max="6659" width="50.7109375" style="198" bestFit="1" customWidth="1"/>
    <col min="6660" max="6660" width="10.7109375" style="198" bestFit="1" customWidth="1"/>
    <col min="6661" max="6662" width="15.85546875" style="198" bestFit="1" customWidth="1"/>
    <col min="6663" max="6671" width="15.28515625" style="198" customWidth="1"/>
    <col min="6672" max="6672" width="4.5703125" style="198"/>
    <col min="6673" max="6673" width="14.28515625" style="198" bestFit="1" customWidth="1"/>
    <col min="6674" max="6674" width="11.42578125" style="198" bestFit="1" customWidth="1"/>
    <col min="6675" max="6675" width="13.28515625" style="198" bestFit="1" customWidth="1"/>
    <col min="6676" max="6677" width="14.28515625" style="198" bestFit="1" customWidth="1"/>
    <col min="6678" max="6912" width="4.5703125" style="198"/>
    <col min="6913" max="6913" width="4.7109375" style="198" bestFit="1" customWidth="1"/>
    <col min="6914" max="6914" width="11.7109375" style="198" bestFit="1" customWidth="1"/>
    <col min="6915" max="6915" width="50.7109375" style="198" bestFit="1" customWidth="1"/>
    <col min="6916" max="6916" width="10.7109375" style="198" bestFit="1" customWidth="1"/>
    <col min="6917" max="6918" width="15.85546875" style="198" bestFit="1" customWidth="1"/>
    <col min="6919" max="6927" width="15.28515625" style="198" customWidth="1"/>
    <col min="6928" max="6928" width="4.5703125" style="198"/>
    <col min="6929" max="6929" width="14.28515625" style="198" bestFit="1" customWidth="1"/>
    <col min="6930" max="6930" width="11.42578125" style="198" bestFit="1" customWidth="1"/>
    <col min="6931" max="6931" width="13.28515625" style="198" bestFit="1" customWidth="1"/>
    <col min="6932" max="6933" width="14.28515625" style="198" bestFit="1" customWidth="1"/>
    <col min="6934" max="7168" width="4.5703125" style="198"/>
    <col min="7169" max="7169" width="4.7109375" style="198" bestFit="1" customWidth="1"/>
    <col min="7170" max="7170" width="11.7109375" style="198" bestFit="1" customWidth="1"/>
    <col min="7171" max="7171" width="50.7109375" style="198" bestFit="1" customWidth="1"/>
    <col min="7172" max="7172" width="10.7109375" style="198" bestFit="1" customWidth="1"/>
    <col min="7173" max="7174" width="15.85546875" style="198" bestFit="1" customWidth="1"/>
    <col min="7175" max="7183" width="15.28515625" style="198" customWidth="1"/>
    <col min="7184" max="7184" width="4.5703125" style="198"/>
    <col min="7185" max="7185" width="14.28515625" style="198" bestFit="1" customWidth="1"/>
    <col min="7186" max="7186" width="11.42578125" style="198" bestFit="1" customWidth="1"/>
    <col min="7187" max="7187" width="13.28515625" style="198" bestFit="1" customWidth="1"/>
    <col min="7188" max="7189" width="14.28515625" style="198" bestFit="1" customWidth="1"/>
    <col min="7190" max="7424" width="4.5703125" style="198"/>
    <col min="7425" max="7425" width="4.7109375" style="198" bestFit="1" customWidth="1"/>
    <col min="7426" max="7426" width="11.7109375" style="198" bestFit="1" customWidth="1"/>
    <col min="7427" max="7427" width="50.7109375" style="198" bestFit="1" customWidth="1"/>
    <col min="7428" max="7428" width="10.7109375" style="198" bestFit="1" customWidth="1"/>
    <col min="7429" max="7430" width="15.85546875" style="198" bestFit="1" customWidth="1"/>
    <col min="7431" max="7439" width="15.28515625" style="198" customWidth="1"/>
    <col min="7440" max="7440" width="4.5703125" style="198"/>
    <col min="7441" max="7441" width="14.28515625" style="198" bestFit="1" customWidth="1"/>
    <col min="7442" max="7442" width="11.42578125" style="198" bestFit="1" customWidth="1"/>
    <col min="7443" max="7443" width="13.28515625" style="198" bestFit="1" customWidth="1"/>
    <col min="7444" max="7445" width="14.28515625" style="198" bestFit="1" customWidth="1"/>
    <col min="7446" max="7680" width="4.5703125" style="198"/>
    <col min="7681" max="7681" width="4.7109375" style="198" bestFit="1" customWidth="1"/>
    <col min="7682" max="7682" width="11.7109375" style="198" bestFit="1" customWidth="1"/>
    <col min="7683" max="7683" width="50.7109375" style="198" bestFit="1" customWidth="1"/>
    <col min="7684" max="7684" width="10.7109375" style="198" bestFit="1" customWidth="1"/>
    <col min="7685" max="7686" width="15.85546875" style="198" bestFit="1" customWidth="1"/>
    <col min="7687" max="7695" width="15.28515625" style="198" customWidth="1"/>
    <col min="7696" max="7696" width="4.5703125" style="198"/>
    <col min="7697" max="7697" width="14.28515625" style="198" bestFit="1" customWidth="1"/>
    <col min="7698" max="7698" width="11.42578125" style="198" bestFit="1" customWidth="1"/>
    <col min="7699" max="7699" width="13.28515625" style="198" bestFit="1" customWidth="1"/>
    <col min="7700" max="7701" width="14.28515625" style="198" bestFit="1" customWidth="1"/>
    <col min="7702" max="7936" width="4.5703125" style="198"/>
    <col min="7937" max="7937" width="4.7109375" style="198" bestFit="1" customWidth="1"/>
    <col min="7938" max="7938" width="11.7109375" style="198" bestFit="1" customWidth="1"/>
    <col min="7939" max="7939" width="50.7109375" style="198" bestFit="1" customWidth="1"/>
    <col min="7940" max="7940" width="10.7109375" style="198" bestFit="1" customWidth="1"/>
    <col min="7941" max="7942" width="15.85546875" style="198" bestFit="1" customWidth="1"/>
    <col min="7943" max="7951" width="15.28515625" style="198" customWidth="1"/>
    <col min="7952" max="7952" width="4.5703125" style="198"/>
    <col min="7953" max="7953" width="14.28515625" style="198" bestFit="1" customWidth="1"/>
    <col min="7954" max="7954" width="11.42578125" style="198" bestFit="1" customWidth="1"/>
    <col min="7955" max="7955" width="13.28515625" style="198" bestFit="1" customWidth="1"/>
    <col min="7956" max="7957" width="14.28515625" style="198" bestFit="1" customWidth="1"/>
    <col min="7958" max="8192" width="4.5703125" style="198"/>
    <col min="8193" max="8193" width="4.7109375" style="198" bestFit="1" customWidth="1"/>
    <col min="8194" max="8194" width="11.7109375" style="198" bestFit="1" customWidth="1"/>
    <col min="8195" max="8195" width="50.7109375" style="198" bestFit="1" customWidth="1"/>
    <col min="8196" max="8196" width="10.7109375" style="198" bestFit="1" customWidth="1"/>
    <col min="8197" max="8198" width="15.85546875" style="198" bestFit="1" customWidth="1"/>
    <col min="8199" max="8207" width="15.28515625" style="198" customWidth="1"/>
    <col min="8208" max="8208" width="4.5703125" style="198"/>
    <col min="8209" max="8209" width="14.28515625" style="198" bestFit="1" customWidth="1"/>
    <col min="8210" max="8210" width="11.42578125" style="198" bestFit="1" customWidth="1"/>
    <col min="8211" max="8211" width="13.28515625" style="198" bestFit="1" customWidth="1"/>
    <col min="8212" max="8213" width="14.28515625" style="198" bestFit="1" customWidth="1"/>
    <col min="8214" max="8448" width="4.5703125" style="198"/>
    <col min="8449" max="8449" width="4.7109375" style="198" bestFit="1" customWidth="1"/>
    <col min="8450" max="8450" width="11.7109375" style="198" bestFit="1" customWidth="1"/>
    <col min="8451" max="8451" width="50.7109375" style="198" bestFit="1" customWidth="1"/>
    <col min="8452" max="8452" width="10.7109375" style="198" bestFit="1" customWidth="1"/>
    <col min="8453" max="8454" width="15.85546875" style="198" bestFit="1" customWidth="1"/>
    <col min="8455" max="8463" width="15.28515625" style="198" customWidth="1"/>
    <col min="8464" max="8464" width="4.5703125" style="198"/>
    <col min="8465" max="8465" width="14.28515625" style="198" bestFit="1" customWidth="1"/>
    <col min="8466" max="8466" width="11.42578125" style="198" bestFit="1" customWidth="1"/>
    <col min="8467" max="8467" width="13.28515625" style="198" bestFit="1" customWidth="1"/>
    <col min="8468" max="8469" width="14.28515625" style="198" bestFit="1" customWidth="1"/>
    <col min="8470" max="8704" width="4.5703125" style="198"/>
    <col min="8705" max="8705" width="4.7109375" style="198" bestFit="1" customWidth="1"/>
    <col min="8706" max="8706" width="11.7109375" style="198" bestFit="1" customWidth="1"/>
    <col min="8707" max="8707" width="50.7109375" style="198" bestFit="1" customWidth="1"/>
    <col min="8708" max="8708" width="10.7109375" style="198" bestFit="1" customWidth="1"/>
    <col min="8709" max="8710" width="15.85546875" style="198" bestFit="1" customWidth="1"/>
    <col min="8711" max="8719" width="15.28515625" style="198" customWidth="1"/>
    <col min="8720" max="8720" width="4.5703125" style="198"/>
    <col min="8721" max="8721" width="14.28515625" style="198" bestFit="1" customWidth="1"/>
    <col min="8722" max="8722" width="11.42578125" style="198" bestFit="1" customWidth="1"/>
    <col min="8723" max="8723" width="13.28515625" style="198" bestFit="1" customWidth="1"/>
    <col min="8724" max="8725" width="14.28515625" style="198" bestFit="1" customWidth="1"/>
    <col min="8726" max="8960" width="4.5703125" style="198"/>
    <col min="8961" max="8961" width="4.7109375" style="198" bestFit="1" customWidth="1"/>
    <col min="8962" max="8962" width="11.7109375" style="198" bestFit="1" customWidth="1"/>
    <col min="8963" max="8963" width="50.7109375" style="198" bestFit="1" customWidth="1"/>
    <col min="8964" max="8964" width="10.7109375" style="198" bestFit="1" customWidth="1"/>
    <col min="8965" max="8966" width="15.85546875" style="198" bestFit="1" customWidth="1"/>
    <col min="8967" max="8975" width="15.28515625" style="198" customWidth="1"/>
    <col min="8976" max="8976" width="4.5703125" style="198"/>
    <col min="8977" max="8977" width="14.28515625" style="198" bestFit="1" customWidth="1"/>
    <col min="8978" max="8978" width="11.42578125" style="198" bestFit="1" customWidth="1"/>
    <col min="8979" max="8979" width="13.28515625" style="198" bestFit="1" customWidth="1"/>
    <col min="8980" max="8981" width="14.28515625" style="198" bestFit="1" customWidth="1"/>
    <col min="8982" max="9216" width="4.5703125" style="198"/>
    <col min="9217" max="9217" width="4.7109375" style="198" bestFit="1" customWidth="1"/>
    <col min="9218" max="9218" width="11.7109375" style="198" bestFit="1" customWidth="1"/>
    <col min="9219" max="9219" width="50.7109375" style="198" bestFit="1" customWidth="1"/>
    <col min="9220" max="9220" width="10.7109375" style="198" bestFit="1" customWidth="1"/>
    <col min="9221" max="9222" width="15.85546875" style="198" bestFit="1" customWidth="1"/>
    <col min="9223" max="9231" width="15.28515625" style="198" customWidth="1"/>
    <col min="9232" max="9232" width="4.5703125" style="198"/>
    <col min="9233" max="9233" width="14.28515625" style="198" bestFit="1" customWidth="1"/>
    <col min="9234" max="9234" width="11.42578125" style="198" bestFit="1" customWidth="1"/>
    <col min="9235" max="9235" width="13.28515625" style="198" bestFit="1" customWidth="1"/>
    <col min="9236" max="9237" width="14.28515625" style="198" bestFit="1" customWidth="1"/>
    <col min="9238" max="9472" width="4.5703125" style="198"/>
    <col min="9473" max="9473" width="4.7109375" style="198" bestFit="1" customWidth="1"/>
    <col min="9474" max="9474" width="11.7109375" style="198" bestFit="1" customWidth="1"/>
    <col min="9475" max="9475" width="50.7109375" style="198" bestFit="1" customWidth="1"/>
    <col min="9476" max="9476" width="10.7109375" style="198" bestFit="1" customWidth="1"/>
    <col min="9477" max="9478" width="15.85546875" style="198" bestFit="1" customWidth="1"/>
    <col min="9479" max="9487" width="15.28515625" style="198" customWidth="1"/>
    <col min="9488" max="9488" width="4.5703125" style="198"/>
    <col min="9489" max="9489" width="14.28515625" style="198" bestFit="1" customWidth="1"/>
    <col min="9490" max="9490" width="11.42578125" style="198" bestFit="1" customWidth="1"/>
    <col min="9491" max="9491" width="13.28515625" style="198" bestFit="1" customWidth="1"/>
    <col min="9492" max="9493" width="14.28515625" style="198" bestFit="1" customWidth="1"/>
    <col min="9494" max="9728" width="4.5703125" style="198"/>
    <col min="9729" max="9729" width="4.7109375" style="198" bestFit="1" customWidth="1"/>
    <col min="9730" max="9730" width="11.7109375" style="198" bestFit="1" customWidth="1"/>
    <col min="9731" max="9731" width="50.7109375" style="198" bestFit="1" customWidth="1"/>
    <col min="9732" max="9732" width="10.7109375" style="198" bestFit="1" customWidth="1"/>
    <col min="9733" max="9734" width="15.85546875" style="198" bestFit="1" customWidth="1"/>
    <col min="9735" max="9743" width="15.28515625" style="198" customWidth="1"/>
    <col min="9744" max="9744" width="4.5703125" style="198"/>
    <col min="9745" max="9745" width="14.28515625" style="198" bestFit="1" customWidth="1"/>
    <col min="9746" max="9746" width="11.42578125" style="198" bestFit="1" customWidth="1"/>
    <col min="9747" max="9747" width="13.28515625" style="198" bestFit="1" customWidth="1"/>
    <col min="9748" max="9749" width="14.28515625" style="198" bestFit="1" customWidth="1"/>
    <col min="9750" max="9984" width="4.5703125" style="198"/>
    <col min="9985" max="9985" width="4.7109375" style="198" bestFit="1" customWidth="1"/>
    <col min="9986" max="9986" width="11.7109375" style="198" bestFit="1" customWidth="1"/>
    <col min="9987" max="9987" width="50.7109375" style="198" bestFit="1" customWidth="1"/>
    <col min="9988" max="9988" width="10.7109375" style="198" bestFit="1" customWidth="1"/>
    <col min="9989" max="9990" width="15.85546875" style="198" bestFit="1" customWidth="1"/>
    <col min="9991" max="9999" width="15.28515625" style="198" customWidth="1"/>
    <col min="10000" max="10000" width="4.5703125" style="198"/>
    <col min="10001" max="10001" width="14.28515625" style="198" bestFit="1" customWidth="1"/>
    <col min="10002" max="10002" width="11.42578125" style="198" bestFit="1" customWidth="1"/>
    <col min="10003" max="10003" width="13.28515625" style="198" bestFit="1" customWidth="1"/>
    <col min="10004" max="10005" width="14.28515625" style="198" bestFit="1" customWidth="1"/>
    <col min="10006" max="10240" width="4.5703125" style="198"/>
    <col min="10241" max="10241" width="4.7109375" style="198" bestFit="1" customWidth="1"/>
    <col min="10242" max="10242" width="11.7109375" style="198" bestFit="1" customWidth="1"/>
    <col min="10243" max="10243" width="50.7109375" style="198" bestFit="1" customWidth="1"/>
    <col min="10244" max="10244" width="10.7109375" style="198" bestFit="1" customWidth="1"/>
    <col min="10245" max="10246" width="15.85546875" style="198" bestFit="1" customWidth="1"/>
    <col min="10247" max="10255" width="15.28515625" style="198" customWidth="1"/>
    <col min="10256" max="10256" width="4.5703125" style="198"/>
    <col min="10257" max="10257" width="14.28515625" style="198" bestFit="1" customWidth="1"/>
    <col min="10258" max="10258" width="11.42578125" style="198" bestFit="1" customWidth="1"/>
    <col min="10259" max="10259" width="13.28515625" style="198" bestFit="1" customWidth="1"/>
    <col min="10260" max="10261" width="14.28515625" style="198" bestFit="1" customWidth="1"/>
    <col min="10262" max="10496" width="4.5703125" style="198"/>
    <col min="10497" max="10497" width="4.7109375" style="198" bestFit="1" customWidth="1"/>
    <col min="10498" max="10498" width="11.7109375" style="198" bestFit="1" customWidth="1"/>
    <col min="10499" max="10499" width="50.7109375" style="198" bestFit="1" customWidth="1"/>
    <col min="10500" max="10500" width="10.7109375" style="198" bestFit="1" customWidth="1"/>
    <col min="10501" max="10502" width="15.85546875" style="198" bestFit="1" customWidth="1"/>
    <col min="10503" max="10511" width="15.28515625" style="198" customWidth="1"/>
    <col min="10512" max="10512" width="4.5703125" style="198"/>
    <col min="10513" max="10513" width="14.28515625" style="198" bestFit="1" customWidth="1"/>
    <col min="10514" max="10514" width="11.42578125" style="198" bestFit="1" customWidth="1"/>
    <col min="10515" max="10515" width="13.28515625" style="198" bestFit="1" customWidth="1"/>
    <col min="10516" max="10517" width="14.28515625" style="198" bestFit="1" customWidth="1"/>
    <col min="10518" max="10752" width="4.5703125" style="198"/>
    <col min="10753" max="10753" width="4.7109375" style="198" bestFit="1" customWidth="1"/>
    <col min="10754" max="10754" width="11.7109375" style="198" bestFit="1" customWidth="1"/>
    <col min="10755" max="10755" width="50.7109375" style="198" bestFit="1" customWidth="1"/>
    <col min="10756" max="10756" width="10.7109375" style="198" bestFit="1" customWidth="1"/>
    <col min="10757" max="10758" width="15.85546875" style="198" bestFit="1" customWidth="1"/>
    <col min="10759" max="10767" width="15.28515625" style="198" customWidth="1"/>
    <col min="10768" max="10768" width="4.5703125" style="198"/>
    <col min="10769" max="10769" width="14.28515625" style="198" bestFit="1" customWidth="1"/>
    <col min="10770" max="10770" width="11.42578125" style="198" bestFit="1" customWidth="1"/>
    <col min="10771" max="10771" width="13.28515625" style="198" bestFit="1" customWidth="1"/>
    <col min="10772" max="10773" width="14.28515625" style="198" bestFit="1" customWidth="1"/>
    <col min="10774" max="11008" width="4.5703125" style="198"/>
    <col min="11009" max="11009" width="4.7109375" style="198" bestFit="1" customWidth="1"/>
    <col min="11010" max="11010" width="11.7109375" style="198" bestFit="1" customWidth="1"/>
    <col min="11011" max="11011" width="50.7109375" style="198" bestFit="1" customWidth="1"/>
    <col min="11012" max="11012" width="10.7109375" style="198" bestFit="1" customWidth="1"/>
    <col min="11013" max="11014" width="15.85546875" style="198" bestFit="1" customWidth="1"/>
    <col min="11015" max="11023" width="15.28515625" style="198" customWidth="1"/>
    <col min="11024" max="11024" width="4.5703125" style="198"/>
    <col min="11025" max="11025" width="14.28515625" style="198" bestFit="1" customWidth="1"/>
    <col min="11026" max="11026" width="11.42578125" style="198" bestFit="1" customWidth="1"/>
    <col min="11027" max="11027" width="13.28515625" style="198" bestFit="1" customWidth="1"/>
    <col min="11028" max="11029" width="14.28515625" style="198" bestFit="1" customWidth="1"/>
    <col min="11030" max="11264" width="4.5703125" style="198"/>
    <col min="11265" max="11265" width="4.7109375" style="198" bestFit="1" customWidth="1"/>
    <col min="11266" max="11266" width="11.7109375" style="198" bestFit="1" customWidth="1"/>
    <col min="11267" max="11267" width="50.7109375" style="198" bestFit="1" customWidth="1"/>
    <col min="11268" max="11268" width="10.7109375" style="198" bestFit="1" customWidth="1"/>
    <col min="11269" max="11270" width="15.85546875" style="198" bestFit="1" customWidth="1"/>
    <col min="11271" max="11279" width="15.28515625" style="198" customWidth="1"/>
    <col min="11280" max="11280" width="4.5703125" style="198"/>
    <col min="11281" max="11281" width="14.28515625" style="198" bestFit="1" customWidth="1"/>
    <col min="11282" max="11282" width="11.42578125" style="198" bestFit="1" customWidth="1"/>
    <col min="11283" max="11283" width="13.28515625" style="198" bestFit="1" customWidth="1"/>
    <col min="11284" max="11285" width="14.28515625" style="198" bestFit="1" customWidth="1"/>
    <col min="11286" max="11520" width="4.5703125" style="198"/>
    <col min="11521" max="11521" width="4.7109375" style="198" bestFit="1" customWidth="1"/>
    <col min="11522" max="11522" width="11.7109375" style="198" bestFit="1" customWidth="1"/>
    <col min="11523" max="11523" width="50.7109375" style="198" bestFit="1" customWidth="1"/>
    <col min="11524" max="11524" width="10.7109375" style="198" bestFit="1" customWidth="1"/>
    <col min="11525" max="11526" width="15.85546875" style="198" bestFit="1" customWidth="1"/>
    <col min="11527" max="11535" width="15.28515625" style="198" customWidth="1"/>
    <col min="11536" max="11536" width="4.5703125" style="198"/>
    <col min="11537" max="11537" width="14.28515625" style="198" bestFit="1" customWidth="1"/>
    <col min="11538" max="11538" width="11.42578125" style="198" bestFit="1" customWidth="1"/>
    <col min="11539" max="11539" width="13.28515625" style="198" bestFit="1" customWidth="1"/>
    <col min="11540" max="11541" width="14.28515625" style="198" bestFit="1" customWidth="1"/>
    <col min="11542" max="11776" width="4.5703125" style="198"/>
    <col min="11777" max="11777" width="4.7109375" style="198" bestFit="1" customWidth="1"/>
    <col min="11778" max="11778" width="11.7109375" style="198" bestFit="1" customWidth="1"/>
    <col min="11779" max="11779" width="50.7109375" style="198" bestFit="1" customWidth="1"/>
    <col min="11780" max="11780" width="10.7109375" style="198" bestFit="1" customWidth="1"/>
    <col min="11781" max="11782" width="15.85546875" style="198" bestFit="1" customWidth="1"/>
    <col min="11783" max="11791" width="15.28515625" style="198" customWidth="1"/>
    <col min="11792" max="11792" width="4.5703125" style="198"/>
    <col min="11793" max="11793" width="14.28515625" style="198" bestFit="1" customWidth="1"/>
    <col min="11794" max="11794" width="11.42578125" style="198" bestFit="1" customWidth="1"/>
    <col min="11795" max="11795" width="13.28515625" style="198" bestFit="1" customWidth="1"/>
    <col min="11796" max="11797" width="14.28515625" style="198" bestFit="1" customWidth="1"/>
    <col min="11798" max="12032" width="4.5703125" style="198"/>
    <col min="12033" max="12033" width="4.7109375" style="198" bestFit="1" customWidth="1"/>
    <col min="12034" max="12034" width="11.7109375" style="198" bestFit="1" customWidth="1"/>
    <col min="12035" max="12035" width="50.7109375" style="198" bestFit="1" customWidth="1"/>
    <col min="12036" max="12036" width="10.7109375" style="198" bestFit="1" customWidth="1"/>
    <col min="12037" max="12038" width="15.85546875" style="198" bestFit="1" customWidth="1"/>
    <col min="12039" max="12047" width="15.28515625" style="198" customWidth="1"/>
    <col min="12048" max="12048" width="4.5703125" style="198"/>
    <col min="12049" max="12049" width="14.28515625" style="198" bestFit="1" customWidth="1"/>
    <col min="12050" max="12050" width="11.42578125" style="198" bestFit="1" customWidth="1"/>
    <col min="12051" max="12051" width="13.28515625" style="198" bestFit="1" customWidth="1"/>
    <col min="12052" max="12053" width="14.28515625" style="198" bestFit="1" customWidth="1"/>
    <col min="12054" max="12288" width="4.5703125" style="198"/>
    <col min="12289" max="12289" width="4.7109375" style="198" bestFit="1" customWidth="1"/>
    <col min="12290" max="12290" width="11.7109375" style="198" bestFit="1" customWidth="1"/>
    <col min="12291" max="12291" width="50.7109375" style="198" bestFit="1" customWidth="1"/>
    <col min="12292" max="12292" width="10.7109375" style="198" bestFit="1" customWidth="1"/>
    <col min="12293" max="12294" width="15.85546875" style="198" bestFit="1" customWidth="1"/>
    <col min="12295" max="12303" width="15.28515625" style="198" customWidth="1"/>
    <col min="12304" max="12304" width="4.5703125" style="198"/>
    <col min="12305" max="12305" width="14.28515625" style="198" bestFit="1" customWidth="1"/>
    <col min="12306" max="12306" width="11.42578125" style="198" bestFit="1" customWidth="1"/>
    <col min="12307" max="12307" width="13.28515625" style="198" bestFit="1" customWidth="1"/>
    <col min="12308" max="12309" width="14.28515625" style="198" bestFit="1" customWidth="1"/>
    <col min="12310" max="12544" width="4.5703125" style="198"/>
    <col min="12545" max="12545" width="4.7109375" style="198" bestFit="1" customWidth="1"/>
    <col min="12546" max="12546" width="11.7109375" style="198" bestFit="1" customWidth="1"/>
    <col min="12547" max="12547" width="50.7109375" style="198" bestFit="1" customWidth="1"/>
    <col min="12548" max="12548" width="10.7109375" style="198" bestFit="1" customWidth="1"/>
    <col min="12549" max="12550" width="15.85546875" style="198" bestFit="1" customWidth="1"/>
    <col min="12551" max="12559" width="15.28515625" style="198" customWidth="1"/>
    <col min="12560" max="12560" width="4.5703125" style="198"/>
    <col min="12561" max="12561" width="14.28515625" style="198" bestFit="1" customWidth="1"/>
    <col min="12562" max="12562" width="11.42578125" style="198" bestFit="1" customWidth="1"/>
    <col min="12563" max="12563" width="13.28515625" style="198" bestFit="1" customWidth="1"/>
    <col min="12564" max="12565" width="14.28515625" style="198" bestFit="1" customWidth="1"/>
    <col min="12566" max="12800" width="4.5703125" style="198"/>
    <col min="12801" max="12801" width="4.7109375" style="198" bestFit="1" customWidth="1"/>
    <col min="12802" max="12802" width="11.7109375" style="198" bestFit="1" customWidth="1"/>
    <col min="12803" max="12803" width="50.7109375" style="198" bestFit="1" customWidth="1"/>
    <col min="12804" max="12804" width="10.7109375" style="198" bestFit="1" customWidth="1"/>
    <col min="12805" max="12806" width="15.85546875" style="198" bestFit="1" customWidth="1"/>
    <col min="12807" max="12815" width="15.28515625" style="198" customWidth="1"/>
    <col min="12816" max="12816" width="4.5703125" style="198"/>
    <col min="12817" max="12817" width="14.28515625" style="198" bestFit="1" customWidth="1"/>
    <col min="12818" max="12818" width="11.42578125" style="198" bestFit="1" customWidth="1"/>
    <col min="12819" max="12819" width="13.28515625" style="198" bestFit="1" customWidth="1"/>
    <col min="12820" max="12821" width="14.28515625" style="198" bestFit="1" customWidth="1"/>
    <col min="12822" max="13056" width="4.5703125" style="198"/>
    <col min="13057" max="13057" width="4.7109375" style="198" bestFit="1" customWidth="1"/>
    <col min="13058" max="13058" width="11.7109375" style="198" bestFit="1" customWidth="1"/>
    <col min="13059" max="13059" width="50.7109375" style="198" bestFit="1" customWidth="1"/>
    <col min="13060" max="13060" width="10.7109375" style="198" bestFit="1" customWidth="1"/>
    <col min="13061" max="13062" width="15.85546875" style="198" bestFit="1" customWidth="1"/>
    <col min="13063" max="13071" width="15.28515625" style="198" customWidth="1"/>
    <col min="13072" max="13072" width="4.5703125" style="198"/>
    <col min="13073" max="13073" width="14.28515625" style="198" bestFit="1" customWidth="1"/>
    <col min="13074" max="13074" width="11.42578125" style="198" bestFit="1" customWidth="1"/>
    <col min="13075" max="13075" width="13.28515625" style="198" bestFit="1" customWidth="1"/>
    <col min="13076" max="13077" width="14.28515625" style="198" bestFit="1" customWidth="1"/>
    <col min="13078" max="13312" width="4.5703125" style="198"/>
    <col min="13313" max="13313" width="4.7109375" style="198" bestFit="1" customWidth="1"/>
    <col min="13314" max="13314" width="11.7109375" style="198" bestFit="1" customWidth="1"/>
    <col min="13315" max="13315" width="50.7109375" style="198" bestFit="1" customWidth="1"/>
    <col min="13316" max="13316" width="10.7109375" style="198" bestFit="1" customWidth="1"/>
    <col min="13317" max="13318" width="15.85546875" style="198" bestFit="1" customWidth="1"/>
    <col min="13319" max="13327" width="15.28515625" style="198" customWidth="1"/>
    <col min="13328" max="13328" width="4.5703125" style="198"/>
    <col min="13329" max="13329" width="14.28515625" style="198" bestFit="1" customWidth="1"/>
    <col min="13330" max="13330" width="11.42578125" style="198" bestFit="1" customWidth="1"/>
    <col min="13331" max="13331" width="13.28515625" style="198" bestFit="1" customWidth="1"/>
    <col min="13332" max="13333" width="14.28515625" style="198" bestFit="1" customWidth="1"/>
    <col min="13334" max="13568" width="4.5703125" style="198"/>
    <col min="13569" max="13569" width="4.7109375" style="198" bestFit="1" customWidth="1"/>
    <col min="13570" max="13570" width="11.7109375" style="198" bestFit="1" customWidth="1"/>
    <col min="13571" max="13571" width="50.7109375" style="198" bestFit="1" customWidth="1"/>
    <col min="13572" max="13572" width="10.7109375" style="198" bestFit="1" customWidth="1"/>
    <col min="13573" max="13574" width="15.85546875" style="198" bestFit="1" customWidth="1"/>
    <col min="13575" max="13583" width="15.28515625" style="198" customWidth="1"/>
    <col min="13584" max="13584" width="4.5703125" style="198"/>
    <col min="13585" max="13585" width="14.28515625" style="198" bestFit="1" customWidth="1"/>
    <col min="13586" max="13586" width="11.42578125" style="198" bestFit="1" customWidth="1"/>
    <col min="13587" max="13587" width="13.28515625" style="198" bestFit="1" customWidth="1"/>
    <col min="13588" max="13589" width="14.28515625" style="198" bestFit="1" customWidth="1"/>
    <col min="13590" max="13824" width="4.5703125" style="198"/>
    <col min="13825" max="13825" width="4.7109375" style="198" bestFit="1" customWidth="1"/>
    <col min="13826" max="13826" width="11.7109375" style="198" bestFit="1" customWidth="1"/>
    <col min="13827" max="13827" width="50.7109375" style="198" bestFit="1" customWidth="1"/>
    <col min="13828" max="13828" width="10.7109375" style="198" bestFit="1" customWidth="1"/>
    <col min="13829" max="13830" width="15.85546875" style="198" bestFit="1" customWidth="1"/>
    <col min="13831" max="13839" width="15.28515625" style="198" customWidth="1"/>
    <col min="13840" max="13840" width="4.5703125" style="198"/>
    <col min="13841" max="13841" width="14.28515625" style="198" bestFit="1" customWidth="1"/>
    <col min="13842" max="13842" width="11.42578125" style="198" bestFit="1" customWidth="1"/>
    <col min="13843" max="13843" width="13.28515625" style="198" bestFit="1" customWidth="1"/>
    <col min="13844" max="13845" width="14.28515625" style="198" bestFit="1" customWidth="1"/>
    <col min="13846" max="14080" width="4.5703125" style="198"/>
    <col min="14081" max="14081" width="4.7109375" style="198" bestFit="1" customWidth="1"/>
    <col min="14082" max="14082" width="11.7109375" style="198" bestFit="1" customWidth="1"/>
    <col min="14083" max="14083" width="50.7109375" style="198" bestFit="1" customWidth="1"/>
    <col min="14084" max="14084" width="10.7109375" style="198" bestFit="1" customWidth="1"/>
    <col min="14085" max="14086" width="15.85546875" style="198" bestFit="1" customWidth="1"/>
    <col min="14087" max="14095" width="15.28515625" style="198" customWidth="1"/>
    <col min="14096" max="14096" width="4.5703125" style="198"/>
    <col min="14097" max="14097" width="14.28515625" style="198" bestFit="1" customWidth="1"/>
    <col min="14098" max="14098" width="11.42578125" style="198" bestFit="1" customWidth="1"/>
    <col min="14099" max="14099" width="13.28515625" style="198" bestFit="1" customWidth="1"/>
    <col min="14100" max="14101" width="14.28515625" style="198" bestFit="1" customWidth="1"/>
    <col min="14102" max="14336" width="4.5703125" style="198"/>
    <col min="14337" max="14337" width="4.7109375" style="198" bestFit="1" customWidth="1"/>
    <col min="14338" max="14338" width="11.7109375" style="198" bestFit="1" customWidth="1"/>
    <col min="14339" max="14339" width="50.7109375" style="198" bestFit="1" customWidth="1"/>
    <col min="14340" max="14340" width="10.7109375" style="198" bestFit="1" customWidth="1"/>
    <col min="14341" max="14342" width="15.85546875" style="198" bestFit="1" customWidth="1"/>
    <col min="14343" max="14351" width="15.28515625" style="198" customWidth="1"/>
    <col min="14352" max="14352" width="4.5703125" style="198"/>
    <col min="14353" max="14353" width="14.28515625" style="198" bestFit="1" customWidth="1"/>
    <col min="14354" max="14354" width="11.42578125" style="198" bestFit="1" customWidth="1"/>
    <col min="14355" max="14355" width="13.28515625" style="198" bestFit="1" customWidth="1"/>
    <col min="14356" max="14357" width="14.28515625" style="198" bestFit="1" customWidth="1"/>
    <col min="14358" max="14592" width="4.5703125" style="198"/>
    <col min="14593" max="14593" width="4.7109375" style="198" bestFit="1" customWidth="1"/>
    <col min="14594" max="14594" width="11.7109375" style="198" bestFit="1" customWidth="1"/>
    <col min="14595" max="14595" width="50.7109375" style="198" bestFit="1" customWidth="1"/>
    <col min="14596" max="14596" width="10.7109375" style="198" bestFit="1" customWidth="1"/>
    <col min="14597" max="14598" width="15.85546875" style="198" bestFit="1" customWidth="1"/>
    <col min="14599" max="14607" width="15.28515625" style="198" customWidth="1"/>
    <col min="14608" max="14608" width="4.5703125" style="198"/>
    <col min="14609" max="14609" width="14.28515625" style="198" bestFit="1" customWidth="1"/>
    <col min="14610" max="14610" width="11.42578125" style="198" bestFit="1" customWidth="1"/>
    <col min="14611" max="14611" width="13.28515625" style="198" bestFit="1" customWidth="1"/>
    <col min="14612" max="14613" width="14.28515625" style="198" bestFit="1" customWidth="1"/>
    <col min="14614" max="14848" width="4.5703125" style="198"/>
    <col min="14849" max="14849" width="4.7109375" style="198" bestFit="1" customWidth="1"/>
    <col min="14850" max="14850" width="11.7109375" style="198" bestFit="1" customWidth="1"/>
    <col min="14851" max="14851" width="50.7109375" style="198" bestFit="1" customWidth="1"/>
    <col min="14852" max="14852" width="10.7109375" style="198" bestFit="1" customWidth="1"/>
    <col min="14853" max="14854" width="15.85546875" style="198" bestFit="1" customWidth="1"/>
    <col min="14855" max="14863" width="15.28515625" style="198" customWidth="1"/>
    <col min="14864" max="14864" width="4.5703125" style="198"/>
    <col min="14865" max="14865" width="14.28515625" style="198" bestFit="1" customWidth="1"/>
    <col min="14866" max="14866" width="11.42578125" style="198" bestFit="1" customWidth="1"/>
    <col min="14867" max="14867" width="13.28515625" style="198" bestFit="1" customWidth="1"/>
    <col min="14868" max="14869" width="14.28515625" style="198" bestFit="1" customWidth="1"/>
    <col min="14870" max="15104" width="4.5703125" style="198"/>
    <col min="15105" max="15105" width="4.7109375" style="198" bestFit="1" customWidth="1"/>
    <col min="15106" max="15106" width="11.7109375" style="198" bestFit="1" customWidth="1"/>
    <col min="15107" max="15107" width="50.7109375" style="198" bestFit="1" customWidth="1"/>
    <col min="15108" max="15108" width="10.7109375" style="198" bestFit="1" customWidth="1"/>
    <col min="15109" max="15110" width="15.85546875" style="198" bestFit="1" customWidth="1"/>
    <col min="15111" max="15119" width="15.28515625" style="198" customWidth="1"/>
    <col min="15120" max="15120" width="4.5703125" style="198"/>
    <col min="15121" max="15121" width="14.28515625" style="198" bestFit="1" customWidth="1"/>
    <col min="15122" max="15122" width="11.42578125" style="198" bestFit="1" customWidth="1"/>
    <col min="15123" max="15123" width="13.28515625" style="198" bestFit="1" customWidth="1"/>
    <col min="15124" max="15125" width="14.28515625" style="198" bestFit="1" customWidth="1"/>
    <col min="15126" max="15360" width="4.5703125" style="198"/>
    <col min="15361" max="15361" width="4.7109375" style="198" bestFit="1" customWidth="1"/>
    <col min="15362" max="15362" width="11.7109375" style="198" bestFit="1" customWidth="1"/>
    <col min="15363" max="15363" width="50.7109375" style="198" bestFit="1" customWidth="1"/>
    <col min="15364" max="15364" width="10.7109375" style="198" bestFit="1" customWidth="1"/>
    <col min="15365" max="15366" width="15.85546875" style="198" bestFit="1" customWidth="1"/>
    <col min="15367" max="15375" width="15.28515625" style="198" customWidth="1"/>
    <col min="15376" max="15376" width="4.5703125" style="198"/>
    <col min="15377" max="15377" width="14.28515625" style="198" bestFit="1" customWidth="1"/>
    <col min="15378" max="15378" width="11.42578125" style="198" bestFit="1" customWidth="1"/>
    <col min="15379" max="15379" width="13.28515625" style="198" bestFit="1" customWidth="1"/>
    <col min="15380" max="15381" width="14.28515625" style="198" bestFit="1" customWidth="1"/>
    <col min="15382" max="15616" width="4.5703125" style="198"/>
    <col min="15617" max="15617" width="4.7109375" style="198" bestFit="1" customWidth="1"/>
    <col min="15618" max="15618" width="11.7109375" style="198" bestFit="1" customWidth="1"/>
    <col min="15619" max="15619" width="50.7109375" style="198" bestFit="1" customWidth="1"/>
    <col min="15620" max="15620" width="10.7109375" style="198" bestFit="1" customWidth="1"/>
    <col min="15621" max="15622" width="15.85546875" style="198" bestFit="1" customWidth="1"/>
    <col min="15623" max="15631" width="15.28515625" style="198" customWidth="1"/>
    <col min="15632" max="15632" width="4.5703125" style="198"/>
    <col min="15633" max="15633" width="14.28515625" style="198" bestFit="1" customWidth="1"/>
    <col min="15634" max="15634" width="11.42578125" style="198" bestFit="1" customWidth="1"/>
    <col min="15635" max="15635" width="13.28515625" style="198" bestFit="1" customWidth="1"/>
    <col min="15636" max="15637" width="14.28515625" style="198" bestFit="1" customWidth="1"/>
    <col min="15638" max="15872" width="4.5703125" style="198"/>
    <col min="15873" max="15873" width="4.7109375" style="198" bestFit="1" customWidth="1"/>
    <col min="15874" max="15874" width="11.7109375" style="198" bestFit="1" customWidth="1"/>
    <col min="15875" max="15875" width="50.7109375" style="198" bestFit="1" customWidth="1"/>
    <col min="15876" max="15876" width="10.7109375" style="198" bestFit="1" customWidth="1"/>
    <col min="15877" max="15878" width="15.85546875" style="198" bestFit="1" customWidth="1"/>
    <col min="15879" max="15887" width="15.28515625" style="198" customWidth="1"/>
    <col min="15888" max="15888" width="4.5703125" style="198"/>
    <col min="15889" max="15889" width="14.28515625" style="198" bestFit="1" customWidth="1"/>
    <col min="15890" max="15890" width="11.42578125" style="198" bestFit="1" customWidth="1"/>
    <col min="15891" max="15891" width="13.28515625" style="198" bestFit="1" customWidth="1"/>
    <col min="15892" max="15893" width="14.28515625" style="198" bestFit="1" customWidth="1"/>
    <col min="15894" max="16128" width="4.5703125" style="198"/>
    <col min="16129" max="16129" width="4.7109375" style="198" bestFit="1" customWidth="1"/>
    <col min="16130" max="16130" width="11.7109375" style="198" bestFit="1" customWidth="1"/>
    <col min="16131" max="16131" width="50.7109375" style="198" bestFit="1" customWidth="1"/>
    <col min="16132" max="16132" width="10.7109375" style="198" bestFit="1" customWidth="1"/>
    <col min="16133" max="16134" width="15.85546875" style="198" bestFit="1" customWidth="1"/>
    <col min="16135" max="16143" width="15.28515625" style="198" customWidth="1"/>
    <col min="16144" max="16144" width="4.5703125" style="198"/>
    <col min="16145" max="16145" width="14.28515625" style="198" bestFit="1" customWidth="1"/>
    <col min="16146" max="16146" width="11.42578125" style="198" bestFit="1" customWidth="1"/>
    <col min="16147" max="16147" width="13.28515625" style="198" bestFit="1" customWidth="1"/>
    <col min="16148" max="16149" width="14.28515625" style="198" bestFit="1" customWidth="1"/>
    <col min="16150" max="16384" width="4.5703125" style="198"/>
  </cols>
  <sheetData>
    <row r="1" spans="1:2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5" x14ac:dyDescent="0.2">
      <c r="A2" s="271" t="s">
        <v>187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25" x14ac:dyDescent="0.2">
      <c r="A3" s="270" t="s">
        <v>285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25" s="199" customFormat="1" x14ac:dyDescent="0.2"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</row>
    <row r="5" spans="1:25" s="203" customFormat="1" ht="51" x14ac:dyDescent="0.2">
      <c r="A5" s="201" t="s">
        <v>1</v>
      </c>
      <c r="B5" s="201" t="s">
        <v>188</v>
      </c>
      <c r="C5" s="202" t="s">
        <v>189</v>
      </c>
      <c r="D5" s="201" t="s">
        <v>190</v>
      </c>
      <c r="E5" s="201" t="s">
        <v>36</v>
      </c>
      <c r="F5" s="201" t="s">
        <v>276</v>
      </c>
      <c r="G5" s="201" t="s">
        <v>277</v>
      </c>
      <c r="H5" s="201" t="s">
        <v>278</v>
      </c>
      <c r="I5" s="201" t="s">
        <v>279</v>
      </c>
      <c r="J5" s="201" t="s">
        <v>280</v>
      </c>
      <c r="K5" s="201" t="s">
        <v>281</v>
      </c>
      <c r="L5" s="201" t="s">
        <v>282</v>
      </c>
      <c r="M5" s="201" t="s">
        <v>283</v>
      </c>
      <c r="N5" s="201" t="s">
        <v>284</v>
      </c>
      <c r="O5" s="201" t="s">
        <v>286</v>
      </c>
      <c r="Q5" s="204" t="s">
        <v>271</v>
      </c>
      <c r="R5" s="204" t="s">
        <v>272</v>
      </c>
      <c r="S5" s="204" t="s">
        <v>273</v>
      </c>
      <c r="T5" s="204" t="s">
        <v>274</v>
      </c>
      <c r="U5" s="204" t="s">
        <v>275</v>
      </c>
    </row>
    <row r="6" spans="1:25" s="203" customFormat="1" x14ac:dyDescent="0.25">
      <c r="B6" s="203" t="s">
        <v>31</v>
      </c>
      <c r="C6" s="203" t="s">
        <v>30</v>
      </c>
      <c r="D6" s="203" t="s">
        <v>29</v>
      </c>
      <c r="E6" s="203" t="s">
        <v>33</v>
      </c>
      <c r="F6" s="203" t="s">
        <v>32</v>
      </c>
      <c r="G6" s="203" t="s">
        <v>28</v>
      </c>
      <c r="H6" s="203" t="s">
        <v>133</v>
      </c>
      <c r="I6" s="203" t="s">
        <v>93</v>
      </c>
      <c r="J6" s="203" t="s">
        <v>191</v>
      </c>
      <c r="K6" s="203" t="s">
        <v>192</v>
      </c>
      <c r="L6" s="203" t="s">
        <v>134</v>
      </c>
      <c r="M6" s="203" t="s">
        <v>135</v>
      </c>
      <c r="N6" s="203" t="s">
        <v>136</v>
      </c>
      <c r="O6" s="203" t="s">
        <v>137</v>
      </c>
    </row>
    <row r="7" spans="1:25" x14ac:dyDescent="0.2">
      <c r="A7" s="199">
        <v>1</v>
      </c>
      <c r="C7" s="205" t="s">
        <v>193</v>
      </c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1:25" x14ac:dyDescent="0.2">
      <c r="A8" s="199">
        <f t="shared" ref="A8:A71" si="0">+A7+1</f>
        <v>2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</row>
    <row r="9" spans="1:25" x14ac:dyDescent="0.2">
      <c r="A9" s="199">
        <f t="shared" si="0"/>
        <v>3</v>
      </c>
      <c r="C9" s="205" t="s">
        <v>194</v>
      </c>
      <c r="F9" s="197"/>
      <c r="G9" s="197"/>
      <c r="H9" s="197"/>
      <c r="I9" s="197"/>
      <c r="J9" s="197"/>
      <c r="K9" s="197"/>
      <c r="L9" s="197"/>
      <c r="M9" s="197"/>
      <c r="N9" s="197"/>
      <c r="O9" s="197"/>
    </row>
    <row r="10" spans="1:25" s="199" customFormat="1" x14ac:dyDescent="0.2">
      <c r="A10" s="199">
        <f t="shared" si="0"/>
        <v>4</v>
      </c>
      <c r="C10" s="205" t="s">
        <v>195</v>
      </c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</row>
    <row r="11" spans="1:25" s="199" customFormat="1" ht="15" x14ac:dyDescent="0.25">
      <c r="A11" s="199">
        <f t="shared" si="0"/>
        <v>5</v>
      </c>
      <c r="B11" s="206">
        <v>300</v>
      </c>
      <c r="C11" s="199" t="s">
        <v>196</v>
      </c>
      <c r="D11" s="200" t="s">
        <v>197</v>
      </c>
      <c r="E11" s="207">
        <v>71973279</v>
      </c>
      <c r="F11" s="207">
        <v>38454075.971436448</v>
      </c>
      <c r="G11" s="207">
        <v>9427408.3280417956</v>
      </c>
      <c r="H11" s="207">
        <v>9518487.5898792371</v>
      </c>
      <c r="I11" s="207">
        <v>6156137.3929111613</v>
      </c>
      <c r="J11" s="207">
        <v>4380202.8235320868</v>
      </c>
      <c r="K11" s="207">
        <v>1914522.9679305665</v>
      </c>
      <c r="L11" s="207">
        <v>1837841.8877231576</v>
      </c>
      <c r="M11" s="207">
        <v>0</v>
      </c>
      <c r="N11" s="207">
        <v>260129.32749372019</v>
      </c>
      <c r="O11" s="207">
        <v>24472.711051832724</v>
      </c>
      <c r="P11" s="200"/>
      <c r="Q11" s="207">
        <v>4066700.2176939882</v>
      </c>
      <c r="R11" s="207">
        <v>11134.274188423173</v>
      </c>
      <c r="S11" s="207">
        <v>302368.33164967579</v>
      </c>
      <c r="T11" s="207">
        <f>SUM(Q11:S11)</f>
        <v>4380202.8235320868</v>
      </c>
      <c r="U11" s="207">
        <f>SUM(Q11:R11)</f>
        <v>4077834.4918824113</v>
      </c>
      <c r="V11" s="200"/>
      <c r="W11" s="200"/>
      <c r="X11" s="200"/>
      <c r="Y11" s="200"/>
    </row>
    <row r="12" spans="1:25" s="199" customFormat="1" ht="15" x14ac:dyDescent="0.25">
      <c r="A12" s="199">
        <f t="shared" si="0"/>
        <v>6</v>
      </c>
      <c r="B12" s="206">
        <v>300.01</v>
      </c>
      <c r="C12" s="199" t="s">
        <v>198</v>
      </c>
      <c r="D12" s="200" t="s">
        <v>199</v>
      </c>
      <c r="E12" s="207">
        <v>83029</v>
      </c>
      <c r="F12" s="207">
        <v>44360.956151968523</v>
      </c>
      <c r="G12" s="207">
        <v>10875.540158021457</v>
      </c>
      <c r="H12" s="207">
        <v>10980.609985826592</v>
      </c>
      <c r="I12" s="207">
        <v>7101.7735845551915</v>
      </c>
      <c r="J12" s="207">
        <v>5053.0400349697238</v>
      </c>
      <c r="K12" s="207">
        <v>2208.6103302908709</v>
      </c>
      <c r="L12" s="207">
        <v>2120.1503699138962</v>
      </c>
      <c r="M12" s="207">
        <v>0</v>
      </c>
      <c r="N12" s="207">
        <v>300.08745235125519</v>
      </c>
      <c r="O12" s="207">
        <v>28.231932102504587</v>
      </c>
      <c r="P12" s="200"/>
      <c r="Q12" s="207">
        <v>4691.380704982389</v>
      </c>
      <c r="R12" s="207">
        <v>12.844595444798168</v>
      </c>
      <c r="S12" s="207">
        <v>348.81473454253666</v>
      </c>
      <c r="T12" s="207">
        <f>SUM(Q12:S12)</f>
        <v>5053.0400349697238</v>
      </c>
      <c r="U12" s="207">
        <f>SUM(Q12:R12)</f>
        <v>4704.225300427187</v>
      </c>
      <c r="V12" s="200"/>
      <c r="W12" s="200"/>
      <c r="X12" s="200"/>
      <c r="Y12" s="200"/>
    </row>
    <row r="13" spans="1:25" s="199" customFormat="1" ht="15" x14ac:dyDescent="0.25">
      <c r="A13" s="199">
        <f t="shared" si="0"/>
        <v>7</v>
      </c>
      <c r="B13" s="206">
        <v>300.02</v>
      </c>
      <c r="C13" s="199" t="s">
        <v>200</v>
      </c>
      <c r="D13" s="200" t="s">
        <v>201</v>
      </c>
      <c r="E13" s="207">
        <v>177634269</v>
      </c>
      <c r="F13" s="207">
        <v>108396150.92325711</v>
      </c>
      <c r="G13" s="207">
        <v>21926460.822066031</v>
      </c>
      <c r="H13" s="207">
        <v>18384457.50789753</v>
      </c>
      <c r="I13" s="207">
        <v>10527272.442336291</v>
      </c>
      <c r="J13" s="207">
        <v>8238433.1115532396</v>
      </c>
      <c r="K13" s="207">
        <v>3325215.7181211836</v>
      </c>
      <c r="L13" s="207">
        <v>2730945.8069843245</v>
      </c>
      <c r="M13" s="207">
        <v>1932950.0570126709</v>
      </c>
      <c r="N13" s="207">
        <v>2118710.5708934804</v>
      </c>
      <c r="O13" s="207">
        <v>53672.039878144315</v>
      </c>
      <c r="P13" s="200"/>
      <c r="Q13" s="207">
        <v>7256179.7021665014</v>
      </c>
      <c r="R13" s="207">
        <v>36555.133103162225</v>
      </c>
      <c r="S13" s="207">
        <v>945698.2762835758</v>
      </c>
      <c r="T13" s="207">
        <f>SUM(Q13:S13)</f>
        <v>8238433.1115532396</v>
      </c>
      <c r="U13" s="207">
        <f>SUM(Q13:R13)</f>
        <v>7292734.8352696635</v>
      </c>
      <c r="V13" s="200"/>
      <c r="W13" s="200"/>
      <c r="X13" s="200"/>
      <c r="Y13" s="200"/>
    </row>
    <row r="14" spans="1:25" s="205" customFormat="1" x14ac:dyDescent="0.2">
      <c r="A14" s="208">
        <f>+A13+1</f>
        <v>8</v>
      </c>
      <c r="B14" s="209"/>
      <c r="C14" s="208" t="s">
        <v>202</v>
      </c>
      <c r="D14" s="210"/>
      <c r="E14" s="211">
        <f t="shared" ref="E14:U14" si="1">SUM(E11:E13)</f>
        <v>249690577</v>
      </c>
      <c r="F14" s="211">
        <f t="shared" si="1"/>
        <v>146894587.85084552</v>
      </c>
      <c r="G14" s="211">
        <f t="shared" si="1"/>
        <v>31364744.690265849</v>
      </c>
      <c r="H14" s="211">
        <f t="shared" si="1"/>
        <v>27913925.707762592</v>
      </c>
      <c r="I14" s="211">
        <f t="shared" si="1"/>
        <v>16690511.608832007</v>
      </c>
      <c r="J14" s="211">
        <f t="shared" si="1"/>
        <v>12623688.975120295</v>
      </c>
      <c r="K14" s="211">
        <f t="shared" si="1"/>
        <v>5241947.2963820407</v>
      </c>
      <c r="L14" s="211">
        <f t="shared" si="1"/>
        <v>4570907.8450773954</v>
      </c>
      <c r="M14" s="211">
        <f t="shared" si="1"/>
        <v>1932950.0570126709</v>
      </c>
      <c r="N14" s="211">
        <f t="shared" si="1"/>
        <v>2379139.9858395518</v>
      </c>
      <c r="O14" s="211">
        <f t="shared" si="1"/>
        <v>78172.982862079545</v>
      </c>
      <c r="P14" s="212"/>
      <c r="Q14" s="211">
        <f t="shared" si="1"/>
        <v>11327571.300565472</v>
      </c>
      <c r="R14" s="211">
        <f t="shared" si="1"/>
        <v>47702.251887030194</v>
      </c>
      <c r="S14" s="211">
        <f t="shared" si="1"/>
        <v>1248415.4226677942</v>
      </c>
      <c r="T14" s="211">
        <f t="shared" si="1"/>
        <v>12623688.975120295</v>
      </c>
      <c r="U14" s="211">
        <f t="shared" si="1"/>
        <v>11375273.552452501</v>
      </c>
      <c r="V14" s="212"/>
      <c r="W14" s="212"/>
      <c r="X14" s="212"/>
      <c r="Y14" s="212"/>
    </row>
    <row r="15" spans="1:25" s="199" customFormat="1" ht="15" x14ac:dyDescent="0.25">
      <c r="A15" s="199">
        <f t="shared" si="0"/>
        <v>9</v>
      </c>
      <c r="B15" s="206"/>
      <c r="D15" s="200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0"/>
      <c r="Q15" s="207"/>
      <c r="R15" s="207"/>
      <c r="S15" s="207"/>
      <c r="T15" s="207"/>
      <c r="U15" s="207"/>
      <c r="V15" s="200"/>
      <c r="W15" s="200"/>
      <c r="X15" s="200"/>
      <c r="Y15" s="200"/>
    </row>
    <row r="16" spans="1:25" s="199" customFormat="1" ht="15" x14ac:dyDescent="0.25">
      <c r="A16" s="199">
        <f t="shared" si="0"/>
        <v>10</v>
      </c>
      <c r="B16" s="206"/>
      <c r="C16" s="205" t="s">
        <v>196</v>
      </c>
      <c r="D16" s="200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0"/>
      <c r="Q16" s="207"/>
      <c r="R16" s="207"/>
      <c r="S16" s="207"/>
      <c r="T16" s="207"/>
      <c r="U16" s="207"/>
      <c r="V16" s="200"/>
      <c r="W16" s="200"/>
      <c r="X16" s="200"/>
      <c r="Y16" s="200"/>
    </row>
    <row r="17" spans="1:25" s="199" customFormat="1" ht="15" x14ac:dyDescent="0.25">
      <c r="A17" s="199">
        <f t="shared" si="0"/>
        <v>11</v>
      </c>
      <c r="B17" s="206">
        <v>310</v>
      </c>
      <c r="C17" s="199" t="s">
        <v>203</v>
      </c>
      <c r="D17" s="200" t="s">
        <v>199</v>
      </c>
      <c r="E17" s="207">
        <v>1304541451.6862471</v>
      </c>
      <c r="F17" s="207">
        <v>696993895.34595108</v>
      </c>
      <c r="G17" s="207">
        <v>170875151.40032265</v>
      </c>
      <c r="H17" s="207">
        <v>172525995.63177592</v>
      </c>
      <c r="I17" s="207">
        <v>111582194.43257986</v>
      </c>
      <c r="J17" s="207">
        <v>79392744.494672075</v>
      </c>
      <c r="K17" s="207">
        <v>34701414.282803535</v>
      </c>
      <c r="L17" s="207">
        <v>33311542.248619255</v>
      </c>
      <c r="M17" s="207">
        <v>0</v>
      </c>
      <c r="N17" s="207">
        <v>4714937.1993295588</v>
      </c>
      <c r="O17" s="207">
        <v>443576.65019341314</v>
      </c>
      <c r="P17" s="200"/>
      <c r="Q17" s="207">
        <v>73710397.515212446</v>
      </c>
      <c r="R17" s="207">
        <v>201812.70625780823</v>
      </c>
      <c r="S17" s="207">
        <v>5480534.2732018176</v>
      </c>
      <c r="T17" s="207">
        <f>SUM(Q17:S17)</f>
        <v>79392744.494672075</v>
      </c>
      <c r="U17" s="207">
        <f>SUM(Q17:R17)</f>
        <v>73912210.221470252</v>
      </c>
      <c r="V17" s="200"/>
      <c r="W17" s="200"/>
      <c r="X17" s="200"/>
      <c r="Y17" s="200"/>
    </row>
    <row r="18" spans="1:25" s="199" customFormat="1" ht="15" x14ac:dyDescent="0.25">
      <c r="A18" s="199">
        <f t="shared" si="0"/>
        <v>12</v>
      </c>
      <c r="B18" s="206">
        <v>330</v>
      </c>
      <c r="C18" s="199" t="s">
        <v>204</v>
      </c>
      <c r="D18" s="200" t="s">
        <v>199</v>
      </c>
      <c r="E18" s="207">
        <v>710256219.2691648</v>
      </c>
      <c r="F18" s="207">
        <v>379477592.16252589</v>
      </c>
      <c r="G18" s="207">
        <v>93032796.193454027</v>
      </c>
      <c r="H18" s="207">
        <v>93931596.596399218</v>
      </c>
      <c r="I18" s="207">
        <v>60750808.226906195</v>
      </c>
      <c r="J18" s="207">
        <v>43225296.114048392</v>
      </c>
      <c r="K18" s="207">
        <v>18893148.45453053</v>
      </c>
      <c r="L18" s="207">
        <v>18136434.089500837</v>
      </c>
      <c r="M18" s="207">
        <v>0</v>
      </c>
      <c r="N18" s="207">
        <v>2567042.5918307835</v>
      </c>
      <c r="O18" s="207">
        <v>241504.83996903096</v>
      </c>
      <c r="P18" s="200"/>
      <c r="Q18" s="207">
        <v>40131548.286419205</v>
      </c>
      <c r="R18" s="207">
        <v>109876.71534842384</v>
      </c>
      <c r="S18" s="207">
        <v>2983871.1122807628</v>
      </c>
      <c r="T18" s="207">
        <f>SUM(Q18:S18)</f>
        <v>43225296.114048392</v>
      </c>
      <c r="U18" s="207">
        <f>SUM(Q18:R18)</f>
        <v>40241425.001767628</v>
      </c>
      <c r="V18" s="200"/>
      <c r="W18" s="200"/>
      <c r="X18" s="200"/>
      <c r="Y18" s="200"/>
    </row>
    <row r="19" spans="1:25" s="199" customFormat="1" ht="15" x14ac:dyDescent="0.25">
      <c r="A19" s="199">
        <f t="shared" si="0"/>
        <v>13</v>
      </c>
      <c r="B19" s="206">
        <v>340</v>
      </c>
      <c r="C19" s="199" t="s">
        <v>205</v>
      </c>
      <c r="D19" s="200" t="s">
        <v>199</v>
      </c>
      <c r="E19" s="207">
        <v>1974152231.1274989</v>
      </c>
      <c r="F19" s="207">
        <v>1054755333.2252322</v>
      </c>
      <c r="G19" s="207">
        <v>258584011.22107661</v>
      </c>
      <c r="H19" s="207">
        <v>261082220.70192894</v>
      </c>
      <c r="I19" s="207">
        <v>168856449.75745782</v>
      </c>
      <c r="J19" s="207">
        <v>120144410.49527338</v>
      </c>
      <c r="K19" s="207">
        <v>52513374.980247445</v>
      </c>
      <c r="L19" s="207">
        <v>50410092.655473515</v>
      </c>
      <c r="M19" s="207">
        <v>0</v>
      </c>
      <c r="N19" s="207">
        <v>7135077.0645509092</v>
      </c>
      <c r="O19" s="207">
        <v>671261.02625828923</v>
      </c>
      <c r="P19" s="200"/>
      <c r="Q19" s="207">
        <v>111545359.88401017</v>
      </c>
      <c r="R19" s="207">
        <v>305401.56758817297</v>
      </c>
      <c r="S19" s="207">
        <v>8293649.0436750418</v>
      </c>
      <c r="T19" s="207">
        <f>SUM(Q19:S19)</f>
        <v>120144410.49527338</v>
      </c>
      <c r="U19" s="207">
        <f>SUM(Q19:R19)</f>
        <v>111850761.45159835</v>
      </c>
      <c r="V19" s="200"/>
      <c r="W19" s="200"/>
      <c r="X19" s="200"/>
      <c r="Y19" s="200"/>
    </row>
    <row r="20" spans="1:25" s="199" customFormat="1" x14ac:dyDescent="0.2">
      <c r="A20" s="208">
        <f t="shared" si="0"/>
        <v>14</v>
      </c>
      <c r="B20" s="209"/>
      <c r="C20" s="208" t="s">
        <v>202</v>
      </c>
      <c r="D20" s="210"/>
      <c r="E20" s="211">
        <f>SUM(E17:E19)</f>
        <v>3988949902.0829105</v>
      </c>
      <c r="F20" s="211">
        <f t="shared" ref="F20:U20" si="2">SUM(F17:F19)</f>
        <v>2131226820.7337093</v>
      </c>
      <c r="G20" s="211">
        <f t="shared" si="2"/>
        <v>522491958.81485331</v>
      </c>
      <c r="H20" s="211">
        <f t="shared" si="2"/>
        <v>527539812.93010408</v>
      </c>
      <c r="I20" s="211">
        <f t="shared" si="2"/>
        <v>341189452.41694391</v>
      </c>
      <c r="J20" s="211">
        <f t="shared" si="2"/>
        <v>242762451.10399383</v>
      </c>
      <c r="K20" s="211">
        <f t="shared" si="2"/>
        <v>106107937.71758151</v>
      </c>
      <c r="L20" s="211">
        <f t="shared" si="2"/>
        <v>101858068.9935936</v>
      </c>
      <c r="M20" s="211">
        <f t="shared" si="2"/>
        <v>0</v>
      </c>
      <c r="N20" s="211">
        <f t="shared" si="2"/>
        <v>14417056.855711251</v>
      </c>
      <c r="O20" s="211">
        <f t="shared" si="2"/>
        <v>1356342.5164207332</v>
      </c>
      <c r="P20" s="200"/>
      <c r="Q20" s="211">
        <f t="shared" si="2"/>
        <v>225387305.68564183</v>
      </c>
      <c r="R20" s="211">
        <f t="shared" si="2"/>
        <v>617090.98919440503</v>
      </c>
      <c r="S20" s="211">
        <f t="shared" si="2"/>
        <v>16758054.429157622</v>
      </c>
      <c r="T20" s="211">
        <f t="shared" si="2"/>
        <v>242762451.10399383</v>
      </c>
      <c r="U20" s="211">
        <f t="shared" si="2"/>
        <v>226004396.67483622</v>
      </c>
      <c r="V20" s="200"/>
      <c r="W20" s="200"/>
      <c r="X20" s="200"/>
      <c r="Y20" s="200"/>
    </row>
    <row r="21" spans="1:25" s="199" customFormat="1" ht="15" x14ac:dyDescent="0.25">
      <c r="A21" s="199">
        <f t="shared" si="0"/>
        <v>15</v>
      </c>
      <c r="B21" s="206"/>
      <c r="D21" s="200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0"/>
      <c r="Q21" s="207"/>
      <c r="R21" s="207"/>
      <c r="S21" s="207"/>
      <c r="T21" s="207"/>
      <c r="U21" s="207"/>
      <c r="V21" s="200"/>
      <c r="W21" s="200"/>
      <c r="X21" s="200"/>
      <c r="Y21" s="200"/>
    </row>
    <row r="22" spans="1:25" s="199" customFormat="1" ht="15" x14ac:dyDescent="0.25">
      <c r="A22" s="199">
        <f t="shared" si="0"/>
        <v>16</v>
      </c>
      <c r="B22" s="206"/>
      <c r="C22" s="205" t="s">
        <v>198</v>
      </c>
      <c r="D22" s="200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0"/>
      <c r="Q22" s="207"/>
      <c r="R22" s="207"/>
      <c r="S22" s="207"/>
      <c r="T22" s="207"/>
      <c r="U22" s="207"/>
      <c r="V22" s="200"/>
      <c r="W22" s="200"/>
      <c r="X22" s="200"/>
      <c r="Y22" s="200"/>
    </row>
    <row r="23" spans="1:25" s="199" customFormat="1" ht="15" x14ac:dyDescent="0.25">
      <c r="A23" s="199">
        <f t="shared" si="0"/>
        <v>17</v>
      </c>
      <c r="B23" s="206">
        <v>350</v>
      </c>
      <c r="C23" s="199" t="s">
        <v>206</v>
      </c>
      <c r="D23" s="200" t="s">
        <v>199</v>
      </c>
      <c r="E23" s="207">
        <v>174349685</v>
      </c>
      <c r="F23" s="207">
        <v>93152015.938943297</v>
      </c>
      <c r="G23" s="207">
        <v>22837165.336880982</v>
      </c>
      <c r="H23" s="207">
        <v>23057797.78314469</v>
      </c>
      <c r="I23" s="207">
        <v>14912765.267659716</v>
      </c>
      <c r="J23" s="207">
        <v>10610701.542706287</v>
      </c>
      <c r="K23" s="207">
        <v>4637783.3693523863</v>
      </c>
      <c r="L23" s="207">
        <v>4452029.4011384128</v>
      </c>
      <c r="M23" s="207">
        <v>0</v>
      </c>
      <c r="N23" s="207">
        <v>630143.11613886536</v>
      </c>
      <c r="O23" s="207">
        <v>59283.244035373937</v>
      </c>
      <c r="P23" s="200"/>
      <c r="Q23" s="207">
        <v>9851265.8002475929</v>
      </c>
      <c r="R23" s="207">
        <v>26971.915472340934</v>
      </c>
      <c r="S23" s="207">
        <v>732463.8269863528</v>
      </c>
      <c r="T23" s="207">
        <f>SUM(Q23:S23)</f>
        <v>10610701.542706287</v>
      </c>
      <c r="U23" s="207">
        <f>SUM(Q23:R23)</f>
        <v>9878237.7157199346</v>
      </c>
      <c r="V23" s="200"/>
      <c r="W23" s="200"/>
      <c r="X23" s="200"/>
      <c r="Y23" s="200"/>
    </row>
    <row r="24" spans="1:25" s="199" customFormat="1" ht="15" x14ac:dyDescent="0.25">
      <c r="A24" s="199">
        <f t="shared" si="0"/>
        <v>18</v>
      </c>
      <c r="B24" s="206">
        <v>350.01</v>
      </c>
      <c r="C24" s="199" t="s">
        <v>207</v>
      </c>
      <c r="D24" s="200" t="s">
        <v>208</v>
      </c>
      <c r="E24" s="207">
        <v>1214311299</v>
      </c>
      <c r="F24" s="207">
        <v>597433388.70555854</v>
      </c>
      <c r="G24" s="207">
        <v>146229019.88115436</v>
      </c>
      <c r="H24" s="207">
        <v>147560220.47328535</v>
      </c>
      <c r="I24" s="207">
        <v>95365048.061260626</v>
      </c>
      <c r="J24" s="207">
        <v>67838221.009173229</v>
      </c>
      <c r="K24" s="207">
        <v>29655883.23777055</v>
      </c>
      <c r="L24" s="207">
        <v>28445402.264599342</v>
      </c>
      <c r="M24" s="207">
        <v>97368058.384898379</v>
      </c>
      <c r="N24" s="207">
        <v>4035837.6076959856</v>
      </c>
      <c r="O24" s="207">
        <v>380219.37460385484</v>
      </c>
      <c r="P24" s="200"/>
      <c r="Q24" s="207">
        <v>63011895.608862832</v>
      </c>
      <c r="R24" s="207">
        <v>171419.30377560804</v>
      </c>
      <c r="S24" s="207">
        <v>4654906.096534783</v>
      </c>
      <c r="T24" s="207">
        <f>SUM(Q24:S24)</f>
        <v>67838221.009173229</v>
      </c>
      <c r="U24" s="207">
        <f>SUM(Q24:R24)</f>
        <v>63183314.912638441</v>
      </c>
      <c r="V24" s="200"/>
      <c r="W24" s="200"/>
      <c r="X24" s="200"/>
      <c r="Y24" s="200"/>
    </row>
    <row r="25" spans="1:25" s="199" customFormat="1" ht="15" x14ac:dyDescent="0.25">
      <c r="A25" s="199">
        <f t="shared" si="0"/>
        <v>19</v>
      </c>
      <c r="B25" s="206">
        <v>350.02</v>
      </c>
      <c r="C25" s="199" t="s">
        <v>209</v>
      </c>
      <c r="D25" s="200" t="s">
        <v>210</v>
      </c>
      <c r="E25" s="207">
        <v>389231</v>
      </c>
      <c r="F25" s="207">
        <v>0</v>
      </c>
      <c r="G25" s="207">
        <v>0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389231</v>
      </c>
      <c r="N25" s="207">
        <v>0</v>
      </c>
      <c r="O25" s="207">
        <v>0</v>
      </c>
      <c r="P25" s="200"/>
      <c r="Q25" s="207">
        <v>0</v>
      </c>
      <c r="R25" s="207">
        <v>0</v>
      </c>
      <c r="S25" s="207">
        <v>0</v>
      </c>
      <c r="T25" s="207">
        <f>SUM(Q25:S25)</f>
        <v>0</v>
      </c>
      <c r="U25" s="207">
        <f>SUM(Q25:R25)</f>
        <v>0</v>
      </c>
      <c r="V25" s="200"/>
      <c r="W25" s="200"/>
      <c r="X25" s="200"/>
      <c r="Y25" s="200"/>
    </row>
    <row r="26" spans="1:25" s="199" customFormat="1" x14ac:dyDescent="0.2">
      <c r="A26" s="208">
        <f>+A25+1</f>
        <v>20</v>
      </c>
      <c r="B26" s="209"/>
      <c r="C26" s="208" t="s">
        <v>202</v>
      </c>
      <c r="D26" s="210"/>
      <c r="E26" s="211">
        <f t="shared" ref="E26:U26" si="3">SUM(E23:E25)</f>
        <v>1389050215</v>
      </c>
      <c r="F26" s="211">
        <f t="shared" si="3"/>
        <v>690585404.64450181</v>
      </c>
      <c r="G26" s="211">
        <f t="shared" si="3"/>
        <v>169066185.21803534</v>
      </c>
      <c r="H26" s="211">
        <f t="shared" si="3"/>
        <v>170618018.25643003</v>
      </c>
      <c r="I26" s="211">
        <f t="shared" si="3"/>
        <v>110277813.32892033</v>
      </c>
      <c r="J26" s="211">
        <f t="shared" si="3"/>
        <v>78448922.55187951</v>
      </c>
      <c r="K26" s="211">
        <f t="shared" si="3"/>
        <v>34293666.607122935</v>
      </c>
      <c r="L26" s="211">
        <f t="shared" si="3"/>
        <v>32897431.665737756</v>
      </c>
      <c r="M26" s="211">
        <f t="shared" si="3"/>
        <v>97757289.384898379</v>
      </c>
      <c r="N26" s="211">
        <f t="shared" si="3"/>
        <v>4665980.7238348508</v>
      </c>
      <c r="O26" s="211">
        <f t="shared" si="3"/>
        <v>439502.61863922875</v>
      </c>
      <c r="P26" s="200"/>
      <c r="Q26" s="211">
        <f t="shared" si="3"/>
        <v>72863161.409110427</v>
      </c>
      <c r="R26" s="211">
        <f t="shared" si="3"/>
        <v>198391.21924794899</v>
      </c>
      <c r="S26" s="211">
        <f t="shared" si="3"/>
        <v>5387369.9235211359</v>
      </c>
      <c r="T26" s="211">
        <f t="shared" si="3"/>
        <v>78448922.55187951</v>
      </c>
      <c r="U26" s="211">
        <f t="shared" si="3"/>
        <v>73061552.628358379</v>
      </c>
      <c r="V26" s="200"/>
      <c r="W26" s="200"/>
      <c r="X26" s="200"/>
      <c r="Y26" s="200"/>
    </row>
    <row r="27" spans="1:25" s="199" customFormat="1" ht="15" x14ac:dyDescent="0.25">
      <c r="A27" s="199">
        <f t="shared" si="0"/>
        <v>21</v>
      </c>
      <c r="B27" s="206"/>
      <c r="D27" s="200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0"/>
      <c r="Q27" s="207"/>
      <c r="R27" s="207"/>
      <c r="S27" s="207"/>
      <c r="T27" s="207"/>
      <c r="U27" s="207"/>
      <c r="V27" s="200"/>
      <c r="W27" s="200"/>
      <c r="X27" s="200"/>
      <c r="Y27" s="200"/>
    </row>
    <row r="28" spans="1:25" s="199" customFormat="1" ht="15" x14ac:dyDescent="0.25">
      <c r="A28" s="199">
        <f t="shared" si="0"/>
        <v>22</v>
      </c>
      <c r="B28" s="206"/>
      <c r="C28" s="205" t="s">
        <v>211</v>
      </c>
      <c r="D28" s="200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0"/>
      <c r="Q28" s="207"/>
      <c r="R28" s="207"/>
      <c r="S28" s="207"/>
      <c r="T28" s="207"/>
      <c r="U28" s="207"/>
      <c r="V28" s="200"/>
      <c r="W28" s="200"/>
      <c r="X28" s="200"/>
      <c r="Y28" s="200"/>
    </row>
    <row r="29" spans="1:25" s="199" customFormat="1" ht="15" x14ac:dyDescent="0.25">
      <c r="A29" s="199">
        <f t="shared" si="0"/>
        <v>23</v>
      </c>
      <c r="B29" s="206">
        <v>360.01</v>
      </c>
      <c r="C29" s="199" t="s">
        <v>212</v>
      </c>
      <c r="D29" s="200" t="s">
        <v>213</v>
      </c>
      <c r="E29" s="207">
        <v>5368160.9644597787</v>
      </c>
      <c r="F29" s="207">
        <v>0</v>
      </c>
      <c r="G29" s="207">
        <v>0</v>
      </c>
      <c r="H29" s="207">
        <v>0</v>
      </c>
      <c r="I29" s="207">
        <v>0</v>
      </c>
      <c r="J29" s="207">
        <v>0</v>
      </c>
      <c r="K29" s="207">
        <v>4625429.5874469783</v>
      </c>
      <c r="L29" s="207">
        <v>742731.37701280008</v>
      </c>
      <c r="M29" s="207">
        <v>0</v>
      </c>
      <c r="N29" s="207">
        <v>0</v>
      </c>
      <c r="O29" s="207">
        <v>0</v>
      </c>
      <c r="P29" s="200"/>
      <c r="Q29" s="207">
        <v>0</v>
      </c>
      <c r="R29" s="207">
        <v>0</v>
      </c>
      <c r="S29" s="207">
        <v>0</v>
      </c>
      <c r="T29" s="207">
        <f t="shared" ref="T29:T49" si="4">SUM(Q29:S29)</f>
        <v>0</v>
      </c>
      <c r="U29" s="207">
        <f t="shared" ref="U29:U49" si="5">SUM(Q29:R29)</f>
        <v>0</v>
      </c>
      <c r="V29" s="200"/>
      <c r="W29" s="200"/>
      <c r="X29" s="200"/>
      <c r="Y29" s="200"/>
    </row>
    <row r="30" spans="1:25" s="199" customFormat="1" ht="15" x14ac:dyDescent="0.25">
      <c r="A30" s="199">
        <f t="shared" si="0"/>
        <v>24</v>
      </c>
      <c r="B30" s="206">
        <v>360.02</v>
      </c>
      <c r="C30" s="199" t="s">
        <v>214</v>
      </c>
      <c r="D30" s="200" t="s">
        <v>215</v>
      </c>
      <c r="E30" s="207">
        <v>40674420.272206821</v>
      </c>
      <c r="F30" s="207">
        <v>16652330.246595021</v>
      </c>
      <c r="G30" s="207">
        <v>6511045.5482309116</v>
      </c>
      <c r="H30" s="207">
        <v>8190746.9767189138</v>
      </c>
      <c r="I30" s="207">
        <v>4650678.3549073739</v>
      </c>
      <c r="J30" s="207">
        <v>4633325.1997884614</v>
      </c>
      <c r="K30" s="207">
        <v>0</v>
      </c>
      <c r="L30" s="207">
        <v>0</v>
      </c>
      <c r="M30" s="207">
        <v>0</v>
      </c>
      <c r="N30" s="207">
        <v>33605.73679784494</v>
      </c>
      <c r="O30" s="207">
        <v>2688.2091682951168</v>
      </c>
      <c r="P30" s="200"/>
      <c r="Q30" s="207">
        <v>4411162.3524258509</v>
      </c>
      <c r="R30" s="207">
        <v>825.82035425558468</v>
      </c>
      <c r="S30" s="207">
        <v>221337.02700835458</v>
      </c>
      <c r="T30" s="207">
        <f t="shared" si="4"/>
        <v>4633325.1997884614</v>
      </c>
      <c r="U30" s="207">
        <f t="shared" si="5"/>
        <v>4411988.1727801068</v>
      </c>
      <c r="V30" s="200"/>
      <c r="W30" s="200"/>
      <c r="X30" s="200"/>
      <c r="Y30" s="200"/>
    </row>
    <row r="31" spans="1:25" s="199" customFormat="1" ht="15" x14ac:dyDescent="0.25">
      <c r="A31" s="199">
        <f t="shared" si="0"/>
        <v>25</v>
      </c>
      <c r="B31" s="206">
        <v>361.01</v>
      </c>
      <c r="C31" s="199" t="s">
        <v>216</v>
      </c>
      <c r="D31" s="200" t="s">
        <v>217</v>
      </c>
      <c r="E31" s="207">
        <v>696660.6761493294</v>
      </c>
      <c r="F31" s="207">
        <v>0</v>
      </c>
      <c r="G31" s="207">
        <v>0</v>
      </c>
      <c r="H31" s="207">
        <v>0</v>
      </c>
      <c r="I31" s="207">
        <v>0</v>
      </c>
      <c r="J31" s="207">
        <v>0</v>
      </c>
      <c r="K31" s="207">
        <v>340751.24407252943</v>
      </c>
      <c r="L31" s="207">
        <v>162866.1520768</v>
      </c>
      <c r="M31" s="207">
        <v>193043.28000000003</v>
      </c>
      <c r="N31" s="207">
        <v>0</v>
      </c>
      <c r="O31" s="207">
        <v>0</v>
      </c>
      <c r="P31" s="200"/>
      <c r="Q31" s="207">
        <v>0</v>
      </c>
      <c r="R31" s="207">
        <v>0</v>
      </c>
      <c r="S31" s="207">
        <v>0</v>
      </c>
      <c r="T31" s="207">
        <f t="shared" si="4"/>
        <v>0</v>
      </c>
      <c r="U31" s="207">
        <f t="shared" si="5"/>
        <v>0</v>
      </c>
      <c r="V31" s="200"/>
      <c r="W31" s="200"/>
      <c r="X31" s="200"/>
      <c r="Y31" s="200"/>
    </row>
    <row r="32" spans="1:25" s="199" customFormat="1" ht="15" x14ac:dyDescent="0.25">
      <c r="A32" s="199">
        <f t="shared" si="0"/>
        <v>26</v>
      </c>
      <c r="B32" s="206">
        <v>361.02</v>
      </c>
      <c r="C32" s="199" t="s">
        <v>218</v>
      </c>
      <c r="D32" s="200" t="s">
        <v>219</v>
      </c>
      <c r="E32" s="207">
        <v>7274465.1559340004</v>
      </c>
      <c r="F32" s="207">
        <v>3608216.6419459647</v>
      </c>
      <c r="G32" s="207">
        <v>1062478.7889036175</v>
      </c>
      <c r="H32" s="207">
        <v>1276230.6404620162</v>
      </c>
      <c r="I32" s="207">
        <v>795970.25599712576</v>
      </c>
      <c r="J32" s="207">
        <v>524416.23448540224</v>
      </c>
      <c r="K32" s="207">
        <v>0</v>
      </c>
      <c r="L32" s="207">
        <v>0</v>
      </c>
      <c r="M32" s="207">
        <v>0</v>
      </c>
      <c r="N32" s="207">
        <v>6370.6521564746727</v>
      </c>
      <c r="O32" s="207">
        <v>781.94198339942272</v>
      </c>
      <c r="P32" s="200"/>
      <c r="Q32" s="207">
        <v>460324.0468270792</v>
      </c>
      <c r="R32" s="207">
        <v>0</v>
      </c>
      <c r="S32" s="207">
        <v>64092.187658322975</v>
      </c>
      <c r="T32" s="207">
        <f t="shared" si="4"/>
        <v>524416.23448540224</v>
      </c>
      <c r="U32" s="207">
        <f t="shared" si="5"/>
        <v>460324.0468270792</v>
      </c>
      <c r="V32" s="200"/>
      <c r="W32" s="200"/>
      <c r="X32" s="200"/>
      <c r="Y32" s="200"/>
    </row>
    <row r="33" spans="1:25" s="199" customFormat="1" ht="15" x14ac:dyDescent="0.25">
      <c r="A33" s="199">
        <f t="shared" si="0"/>
        <v>27</v>
      </c>
      <c r="B33" s="206">
        <v>362.01</v>
      </c>
      <c r="C33" s="199" t="s">
        <v>220</v>
      </c>
      <c r="D33" s="200" t="s">
        <v>221</v>
      </c>
      <c r="E33" s="207">
        <v>35097708.251315653</v>
      </c>
      <c r="F33" s="207">
        <v>0</v>
      </c>
      <c r="G33" s="207">
        <v>0</v>
      </c>
      <c r="H33" s="207">
        <v>0</v>
      </c>
      <c r="I33" s="207">
        <v>0</v>
      </c>
      <c r="J33" s="207">
        <v>761541.00886707939</v>
      </c>
      <c r="K33" s="207">
        <v>13560393.247539967</v>
      </c>
      <c r="L33" s="207">
        <v>14201762.606173621</v>
      </c>
      <c r="M33" s="207">
        <v>6574011.3887349814</v>
      </c>
      <c r="N33" s="207">
        <v>0</v>
      </c>
      <c r="O33" s="207">
        <v>0</v>
      </c>
      <c r="P33" s="200"/>
      <c r="Q33" s="207">
        <v>761541.00886707939</v>
      </c>
      <c r="R33" s="207">
        <v>0</v>
      </c>
      <c r="S33" s="207">
        <v>0</v>
      </c>
      <c r="T33" s="207">
        <f t="shared" si="4"/>
        <v>761541.00886707939</v>
      </c>
      <c r="U33" s="207">
        <f t="shared" si="5"/>
        <v>761541.00886707939</v>
      </c>
      <c r="V33" s="200"/>
      <c r="W33" s="200"/>
      <c r="X33" s="200"/>
      <c r="Y33" s="200"/>
    </row>
    <row r="34" spans="1:25" s="199" customFormat="1" ht="15" x14ac:dyDescent="0.25">
      <c r="A34" s="199">
        <f t="shared" si="0"/>
        <v>28</v>
      </c>
      <c r="B34" s="206">
        <v>362.02</v>
      </c>
      <c r="C34" s="199" t="s">
        <v>222</v>
      </c>
      <c r="D34" s="200" t="s">
        <v>223</v>
      </c>
      <c r="E34" s="207">
        <v>382771525.11910033</v>
      </c>
      <c r="F34" s="207">
        <v>208447896.19434407</v>
      </c>
      <c r="G34" s="207">
        <v>53924614.375055522</v>
      </c>
      <c r="H34" s="207">
        <v>58078548.225764371</v>
      </c>
      <c r="I34" s="207">
        <v>32918182.582390293</v>
      </c>
      <c r="J34" s="207">
        <v>28923531.712034073</v>
      </c>
      <c r="K34" s="207">
        <v>0</v>
      </c>
      <c r="L34" s="207">
        <v>0</v>
      </c>
      <c r="M34" s="207">
        <v>0</v>
      </c>
      <c r="N34" s="207">
        <v>369107.23564576328</v>
      </c>
      <c r="O34" s="207">
        <v>109644.79386626516</v>
      </c>
      <c r="P34" s="200"/>
      <c r="Q34" s="207">
        <v>25531157.873123337</v>
      </c>
      <c r="R34" s="207">
        <v>93281.092550123896</v>
      </c>
      <c r="S34" s="207">
        <v>3299092.7463606107</v>
      </c>
      <c r="T34" s="207">
        <f t="shared" si="4"/>
        <v>28923531.712034073</v>
      </c>
      <c r="U34" s="207">
        <f t="shared" si="5"/>
        <v>25624438.965673462</v>
      </c>
      <c r="V34" s="200"/>
      <c r="W34" s="200"/>
      <c r="X34" s="200"/>
      <c r="Y34" s="200"/>
    </row>
    <row r="35" spans="1:25" s="199" customFormat="1" ht="15" x14ac:dyDescent="0.25">
      <c r="A35" s="199">
        <f t="shared" si="0"/>
        <v>29</v>
      </c>
      <c r="B35" s="206">
        <v>363.01</v>
      </c>
      <c r="C35" s="199" t="s">
        <v>224</v>
      </c>
      <c r="D35" s="200" t="s">
        <v>225</v>
      </c>
      <c r="E35" s="207">
        <v>2897295.0557666672</v>
      </c>
      <c r="F35" s="207">
        <v>1577795.1581976237</v>
      </c>
      <c r="G35" s="207">
        <v>408169.12534013449</v>
      </c>
      <c r="H35" s="207">
        <v>439611.30747187947</v>
      </c>
      <c r="I35" s="207">
        <v>249166.09878728064</v>
      </c>
      <c r="J35" s="207">
        <v>218929.57005752227</v>
      </c>
      <c r="K35" s="207">
        <v>0</v>
      </c>
      <c r="L35" s="207">
        <v>0</v>
      </c>
      <c r="M35" s="207">
        <v>0</v>
      </c>
      <c r="N35" s="207">
        <v>2793.8665723669537</v>
      </c>
      <c r="O35" s="207">
        <v>829.92933985996103</v>
      </c>
      <c r="P35" s="200"/>
      <c r="Q35" s="207">
        <v>193251.82940601997</v>
      </c>
      <c r="R35" s="207">
        <v>706.06832145597537</v>
      </c>
      <c r="S35" s="207">
        <v>24971.672330046335</v>
      </c>
      <c r="T35" s="207">
        <f t="shared" si="4"/>
        <v>218929.57005752227</v>
      </c>
      <c r="U35" s="207">
        <f t="shared" si="5"/>
        <v>193957.89772747594</v>
      </c>
      <c r="V35" s="200"/>
      <c r="W35" s="200"/>
      <c r="X35" s="200"/>
      <c r="Y35" s="200"/>
    </row>
    <row r="36" spans="1:25" s="199" customFormat="1" ht="15" x14ac:dyDescent="0.25">
      <c r="A36" s="199">
        <f t="shared" si="0"/>
        <v>30</v>
      </c>
      <c r="B36" s="206">
        <v>364.01</v>
      </c>
      <c r="C36" s="199" t="s">
        <v>226</v>
      </c>
      <c r="D36" s="200" t="s">
        <v>227</v>
      </c>
      <c r="E36" s="207">
        <v>332822112.07291597</v>
      </c>
      <c r="F36" s="207">
        <v>226091887.13043806</v>
      </c>
      <c r="G36" s="207">
        <v>43352567.342443854</v>
      </c>
      <c r="H36" s="207">
        <v>33490237.154935446</v>
      </c>
      <c r="I36" s="207">
        <v>13954934.590092976</v>
      </c>
      <c r="J36" s="207">
        <v>15478495.486796165</v>
      </c>
      <c r="K36" s="207">
        <v>0</v>
      </c>
      <c r="L36" s="207">
        <v>0</v>
      </c>
      <c r="M36" s="207">
        <v>0</v>
      </c>
      <c r="N36" s="207">
        <v>217794.93714399997</v>
      </c>
      <c r="O36" s="207">
        <v>236195.43106553608</v>
      </c>
      <c r="P36" s="200"/>
      <c r="Q36" s="207">
        <v>11887388.182182193</v>
      </c>
      <c r="R36" s="207">
        <v>266305.33020986785</v>
      </c>
      <c r="S36" s="207">
        <v>3324801.9744041041</v>
      </c>
      <c r="T36" s="207">
        <f t="shared" si="4"/>
        <v>15478495.486796165</v>
      </c>
      <c r="U36" s="207">
        <f t="shared" si="5"/>
        <v>12153693.512392061</v>
      </c>
      <c r="V36" s="200"/>
      <c r="W36" s="200"/>
      <c r="X36" s="200"/>
      <c r="Y36" s="200"/>
    </row>
    <row r="37" spans="1:25" s="199" customFormat="1" ht="15" x14ac:dyDescent="0.25">
      <c r="A37" s="199">
        <f t="shared" si="0"/>
        <v>31</v>
      </c>
      <c r="B37" s="206">
        <v>365.01</v>
      </c>
      <c r="C37" s="199" t="s">
        <v>228</v>
      </c>
      <c r="D37" s="200" t="s">
        <v>229</v>
      </c>
      <c r="E37" s="207">
        <v>1570594.1159978251</v>
      </c>
      <c r="F37" s="207">
        <v>0</v>
      </c>
      <c r="G37" s="207">
        <v>0</v>
      </c>
      <c r="H37" s="207">
        <v>0</v>
      </c>
      <c r="I37" s="207">
        <v>0</v>
      </c>
      <c r="J37" s="207">
        <v>0</v>
      </c>
      <c r="K37" s="207">
        <v>1570594.1159978251</v>
      </c>
      <c r="L37" s="207">
        <v>0</v>
      </c>
      <c r="M37" s="207">
        <v>0</v>
      </c>
      <c r="N37" s="207">
        <v>0</v>
      </c>
      <c r="O37" s="207">
        <v>0</v>
      </c>
      <c r="P37" s="200"/>
      <c r="Q37" s="207">
        <v>0</v>
      </c>
      <c r="R37" s="207">
        <v>0</v>
      </c>
      <c r="S37" s="207">
        <v>0</v>
      </c>
      <c r="T37" s="207">
        <f t="shared" si="4"/>
        <v>0</v>
      </c>
      <c r="U37" s="207">
        <f t="shared" si="5"/>
        <v>0</v>
      </c>
      <c r="V37" s="200"/>
      <c r="W37" s="200"/>
      <c r="X37" s="200"/>
      <c r="Y37" s="200"/>
    </row>
    <row r="38" spans="1:25" s="199" customFormat="1" ht="15" x14ac:dyDescent="0.25">
      <c r="A38" s="199">
        <f t="shared" si="0"/>
        <v>32</v>
      </c>
      <c r="B38" s="206">
        <v>365.02</v>
      </c>
      <c r="C38" s="199" t="s">
        <v>230</v>
      </c>
      <c r="D38" s="200" t="s">
        <v>227</v>
      </c>
      <c r="E38" s="207">
        <v>390472823.71608514</v>
      </c>
      <c r="F38" s="207">
        <v>265255024.78567058</v>
      </c>
      <c r="G38" s="207">
        <v>50862003.369046398</v>
      </c>
      <c r="H38" s="207">
        <v>39291342.114745148</v>
      </c>
      <c r="I38" s="207">
        <v>16372177.558241922</v>
      </c>
      <c r="J38" s="207">
        <v>18159646.310644921</v>
      </c>
      <c r="K38" s="207">
        <v>0</v>
      </c>
      <c r="L38" s="207">
        <v>0</v>
      </c>
      <c r="M38" s="207">
        <v>0</v>
      </c>
      <c r="N38" s="207">
        <v>255520.89543573774</v>
      </c>
      <c r="O38" s="207">
        <v>277108.6823005082</v>
      </c>
      <c r="P38" s="200"/>
      <c r="Q38" s="207">
        <v>13946495.32507317</v>
      </c>
      <c r="R38" s="207">
        <v>312434.15171558713</v>
      </c>
      <c r="S38" s="207">
        <v>3900716.8338561621</v>
      </c>
      <c r="T38" s="207">
        <f t="shared" si="4"/>
        <v>18159646.310644921</v>
      </c>
      <c r="U38" s="207">
        <f t="shared" si="5"/>
        <v>14258929.476788757</v>
      </c>
      <c r="V38" s="200"/>
      <c r="W38" s="200"/>
      <c r="X38" s="200"/>
      <c r="Y38" s="200"/>
    </row>
    <row r="39" spans="1:25" s="199" customFormat="1" ht="15" x14ac:dyDescent="0.25">
      <c r="A39" s="199">
        <f>+A37+1</f>
        <v>32</v>
      </c>
      <c r="B39" s="206">
        <v>366.01</v>
      </c>
      <c r="C39" s="199" t="s">
        <v>231</v>
      </c>
      <c r="D39" s="200" t="s">
        <v>232</v>
      </c>
      <c r="E39" s="207">
        <v>32721604.036191806</v>
      </c>
      <c r="F39" s="207">
        <v>0</v>
      </c>
      <c r="G39" s="207">
        <v>0</v>
      </c>
      <c r="H39" s="207">
        <v>0</v>
      </c>
      <c r="I39" s="207">
        <v>0</v>
      </c>
      <c r="J39" s="207">
        <v>0</v>
      </c>
      <c r="K39" s="207">
        <v>26065398.946191806</v>
      </c>
      <c r="L39" s="207">
        <v>6656205.0899999999</v>
      </c>
      <c r="M39" s="207">
        <v>0</v>
      </c>
      <c r="N39" s="207">
        <v>0</v>
      </c>
      <c r="O39" s="207">
        <v>0</v>
      </c>
      <c r="P39" s="200"/>
      <c r="Q39" s="207">
        <v>0</v>
      </c>
      <c r="R39" s="207">
        <v>0</v>
      </c>
      <c r="S39" s="207">
        <v>0</v>
      </c>
      <c r="T39" s="207">
        <f t="shared" si="4"/>
        <v>0</v>
      </c>
      <c r="U39" s="207">
        <f t="shared" si="5"/>
        <v>0</v>
      </c>
      <c r="V39" s="200"/>
      <c r="W39" s="200"/>
      <c r="X39" s="200"/>
      <c r="Y39" s="200"/>
    </row>
    <row r="40" spans="1:25" s="199" customFormat="1" ht="15" x14ac:dyDescent="0.25">
      <c r="A40" s="199">
        <f t="shared" si="0"/>
        <v>33</v>
      </c>
      <c r="B40" s="206">
        <v>366.02</v>
      </c>
      <c r="C40" s="199" t="s">
        <v>233</v>
      </c>
      <c r="D40" s="200" t="s">
        <v>234</v>
      </c>
      <c r="E40" s="207">
        <v>626101392.58839118</v>
      </c>
      <c r="F40" s="207">
        <v>418008234.76924467</v>
      </c>
      <c r="G40" s="207">
        <v>77352113.352016091</v>
      </c>
      <c r="H40" s="207">
        <v>71386684.267556116</v>
      </c>
      <c r="I40" s="207">
        <v>30653550.071890745</v>
      </c>
      <c r="J40" s="207">
        <v>28229217.049654607</v>
      </c>
      <c r="K40" s="207">
        <v>0</v>
      </c>
      <c r="L40" s="207">
        <v>0</v>
      </c>
      <c r="M40" s="207">
        <v>0</v>
      </c>
      <c r="N40" s="207">
        <v>306312.14811090985</v>
      </c>
      <c r="O40" s="207">
        <v>165280.92991817844</v>
      </c>
      <c r="P40" s="200"/>
      <c r="Q40" s="207">
        <v>20866238.789438609</v>
      </c>
      <c r="R40" s="207">
        <v>232286.71231744002</v>
      </c>
      <c r="S40" s="207">
        <v>7130691.547898557</v>
      </c>
      <c r="T40" s="207">
        <f t="shared" si="4"/>
        <v>28229217.049654607</v>
      </c>
      <c r="U40" s="207">
        <f t="shared" si="5"/>
        <v>21098525.50175605</v>
      </c>
      <c r="V40" s="200"/>
      <c r="W40" s="200"/>
      <c r="X40" s="200"/>
      <c r="Y40" s="200"/>
    </row>
    <row r="41" spans="1:25" s="199" customFormat="1" ht="15" x14ac:dyDescent="0.25">
      <c r="A41" s="199">
        <f t="shared" si="0"/>
        <v>34</v>
      </c>
      <c r="B41" s="206">
        <v>367.01</v>
      </c>
      <c r="C41" s="199" t="s">
        <v>235</v>
      </c>
      <c r="D41" s="200" t="s">
        <v>234</v>
      </c>
      <c r="E41" s="207">
        <v>839507907.99583304</v>
      </c>
      <c r="F41" s="207">
        <v>560486245.27954161</v>
      </c>
      <c r="G41" s="207">
        <v>103717563.36580877</v>
      </c>
      <c r="H41" s="207">
        <v>95718819.152369767</v>
      </c>
      <c r="I41" s="207">
        <v>41101805.551191904</v>
      </c>
      <c r="J41" s="207">
        <v>37851139.176902786</v>
      </c>
      <c r="K41" s="207">
        <v>0</v>
      </c>
      <c r="L41" s="207">
        <v>0</v>
      </c>
      <c r="M41" s="207">
        <v>0</v>
      </c>
      <c r="N41" s="207">
        <v>410718.57321894681</v>
      </c>
      <c r="O41" s="207">
        <v>221616.89679939006</v>
      </c>
      <c r="P41" s="200"/>
      <c r="Q41" s="207">
        <v>27978491.473152347</v>
      </c>
      <c r="R41" s="207">
        <v>311461.58469103469</v>
      </c>
      <c r="S41" s="207">
        <v>9561186.1190594006</v>
      </c>
      <c r="T41" s="207">
        <f t="shared" si="4"/>
        <v>37851139.176902786</v>
      </c>
      <c r="U41" s="207">
        <f t="shared" si="5"/>
        <v>28289953.057843383</v>
      </c>
      <c r="V41" s="200"/>
      <c r="W41" s="200"/>
      <c r="X41" s="200"/>
      <c r="Y41" s="200"/>
    </row>
    <row r="42" spans="1:25" s="199" customFormat="1" ht="15" x14ac:dyDescent="0.25">
      <c r="A42" s="199">
        <f t="shared" si="0"/>
        <v>35</v>
      </c>
      <c r="B42" s="206" t="s">
        <v>236</v>
      </c>
      <c r="C42" s="199" t="s">
        <v>237</v>
      </c>
      <c r="D42" s="200" t="s">
        <v>238</v>
      </c>
      <c r="E42" s="207">
        <v>158181415.66</v>
      </c>
      <c r="F42" s="207">
        <v>115526683.12460129</v>
      </c>
      <c r="G42" s="207">
        <v>18108248.172830954</v>
      </c>
      <c r="H42" s="207">
        <v>2322391.4985946612</v>
      </c>
      <c r="I42" s="207">
        <v>29481.619275960766</v>
      </c>
      <c r="J42" s="207">
        <v>0</v>
      </c>
      <c r="K42" s="207">
        <v>0</v>
      </c>
      <c r="L42" s="207">
        <v>0</v>
      </c>
      <c r="M42" s="207">
        <v>0</v>
      </c>
      <c r="N42" s="207">
        <v>22194611.244697127</v>
      </c>
      <c r="O42" s="207">
        <v>0</v>
      </c>
      <c r="P42" s="200"/>
      <c r="Q42" s="207">
        <v>0</v>
      </c>
      <c r="R42" s="207">
        <v>0</v>
      </c>
      <c r="S42" s="207">
        <v>0</v>
      </c>
      <c r="T42" s="207">
        <f t="shared" si="4"/>
        <v>0</v>
      </c>
      <c r="U42" s="207">
        <f t="shared" si="5"/>
        <v>0</v>
      </c>
      <c r="V42" s="200"/>
      <c r="W42" s="200"/>
      <c r="X42" s="200"/>
      <c r="Y42" s="200"/>
    </row>
    <row r="43" spans="1:25" s="199" customFormat="1" ht="15" x14ac:dyDescent="0.25">
      <c r="A43" s="199">
        <f t="shared" si="0"/>
        <v>36</v>
      </c>
      <c r="B43" s="206" t="s">
        <v>239</v>
      </c>
      <c r="C43" s="199" t="s">
        <v>240</v>
      </c>
      <c r="D43" s="200" t="s">
        <v>241</v>
      </c>
      <c r="E43" s="207">
        <v>296187610.29000002</v>
      </c>
      <c r="F43" s="207">
        <v>217855494.88272569</v>
      </c>
      <c r="G43" s="207">
        <v>42928899.365865998</v>
      </c>
      <c r="H43" s="207">
        <v>25988517.945842933</v>
      </c>
      <c r="I43" s="207">
        <v>8714606.3912499603</v>
      </c>
      <c r="J43" s="207">
        <v>0</v>
      </c>
      <c r="K43" s="207">
        <v>0</v>
      </c>
      <c r="L43" s="207">
        <v>0</v>
      </c>
      <c r="M43" s="207">
        <v>0</v>
      </c>
      <c r="N43" s="207">
        <v>682591.23001439066</v>
      </c>
      <c r="O43" s="207">
        <v>17500.474301096579</v>
      </c>
      <c r="P43" s="200"/>
      <c r="Q43" s="207">
        <v>0</v>
      </c>
      <c r="R43" s="207">
        <v>0</v>
      </c>
      <c r="S43" s="207">
        <v>0</v>
      </c>
      <c r="T43" s="207">
        <f t="shared" si="4"/>
        <v>0</v>
      </c>
      <c r="U43" s="207">
        <f t="shared" si="5"/>
        <v>0</v>
      </c>
      <c r="V43" s="200"/>
      <c r="W43" s="200"/>
      <c r="X43" s="200"/>
      <c r="Y43" s="200"/>
    </row>
    <row r="44" spans="1:25" s="199" customFormat="1" ht="15" x14ac:dyDescent="0.25">
      <c r="A44" s="199">
        <f t="shared" si="0"/>
        <v>37</v>
      </c>
      <c r="B44" s="206">
        <v>368.03</v>
      </c>
      <c r="C44" s="199" t="s">
        <v>242</v>
      </c>
      <c r="D44" s="200" t="s">
        <v>243</v>
      </c>
      <c r="E44" s="207">
        <v>2959610.05</v>
      </c>
      <c r="F44" s="207">
        <v>0</v>
      </c>
      <c r="G44" s="207">
        <v>0</v>
      </c>
      <c r="H44" s="207">
        <v>0</v>
      </c>
      <c r="I44" s="207">
        <v>0</v>
      </c>
      <c r="J44" s="207">
        <v>860858.16999999993</v>
      </c>
      <c r="K44" s="207">
        <v>2079354.69</v>
      </c>
      <c r="L44" s="207">
        <v>0</v>
      </c>
      <c r="M44" s="207">
        <v>0</v>
      </c>
      <c r="N44" s="207">
        <v>0</v>
      </c>
      <c r="O44" s="207">
        <v>19397.189999999995</v>
      </c>
      <c r="P44" s="200"/>
      <c r="Q44" s="207">
        <v>813608.53999999992</v>
      </c>
      <c r="R44" s="207">
        <v>0</v>
      </c>
      <c r="S44" s="207">
        <v>47249.63</v>
      </c>
      <c r="T44" s="207">
        <f t="shared" si="4"/>
        <v>860858.16999999993</v>
      </c>
      <c r="U44" s="207">
        <f t="shared" si="5"/>
        <v>813608.53999999992</v>
      </c>
      <c r="V44" s="200"/>
      <c r="W44" s="200"/>
      <c r="X44" s="200"/>
      <c r="Y44" s="200"/>
    </row>
    <row r="45" spans="1:25" s="199" customFormat="1" ht="15" x14ac:dyDescent="0.25">
      <c r="A45" s="199">
        <f t="shared" si="0"/>
        <v>38</v>
      </c>
      <c r="B45" s="206" t="s">
        <v>244</v>
      </c>
      <c r="C45" s="199" t="s">
        <v>245</v>
      </c>
      <c r="D45" s="200" t="s">
        <v>246</v>
      </c>
      <c r="E45" s="207">
        <v>39681227</v>
      </c>
      <c r="F45" s="207">
        <v>34421864.686668307</v>
      </c>
      <c r="G45" s="207">
        <v>5076816.6766513577</v>
      </c>
      <c r="H45" s="207">
        <v>179788.74464848876</v>
      </c>
      <c r="I45" s="207">
        <v>2756.892031849773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0"/>
      <c r="Q45" s="207">
        <v>0</v>
      </c>
      <c r="R45" s="207">
        <v>0</v>
      </c>
      <c r="S45" s="207">
        <v>0</v>
      </c>
      <c r="T45" s="207">
        <f t="shared" si="4"/>
        <v>0</v>
      </c>
      <c r="U45" s="207">
        <f t="shared" si="5"/>
        <v>0</v>
      </c>
      <c r="V45" s="200"/>
      <c r="W45" s="200"/>
      <c r="X45" s="200"/>
      <c r="Y45" s="200"/>
    </row>
    <row r="46" spans="1:25" s="199" customFormat="1" ht="15" x14ac:dyDescent="0.25">
      <c r="A46" s="199">
        <f t="shared" si="0"/>
        <v>39</v>
      </c>
      <c r="B46" s="206" t="s">
        <v>247</v>
      </c>
      <c r="C46" s="199" t="s">
        <v>248</v>
      </c>
      <c r="D46" s="200" t="s">
        <v>249</v>
      </c>
      <c r="E46" s="207">
        <v>141200591</v>
      </c>
      <c r="F46" s="207">
        <v>141200591</v>
      </c>
      <c r="G46" s="207">
        <v>0</v>
      </c>
      <c r="H46" s="207">
        <v>0</v>
      </c>
      <c r="I46" s="207">
        <v>0</v>
      </c>
      <c r="J46" s="207">
        <v>0</v>
      </c>
      <c r="K46" s="207">
        <v>0</v>
      </c>
      <c r="L46" s="207">
        <v>0</v>
      </c>
      <c r="M46" s="207">
        <v>0</v>
      </c>
      <c r="N46" s="207">
        <v>0</v>
      </c>
      <c r="O46" s="207">
        <v>0</v>
      </c>
      <c r="P46" s="200"/>
      <c r="Q46" s="207">
        <v>0</v>
      </c>
      <c r="R46" s="207">
        <v>0</v>
      </c>
      <c r="S46" s="207">
        <v>0</v>
      </c>
      <c r="T46" s="207">
        <f t="shared" si="4"/>
        <v>0</v>
      </c>
      <c r="U46" s="207">
        <f t="shared" si="5"/>
        <v>0</v>
      </c>
      <c r="V46" s="200"/>
      <c r="W46" s="200"/>
      <c r="X46" s="200"/>
      <c r="Y46" s="200"/>
    </row>
    <row r="47" spans="1:25" s="199" customFormat="1" ht="15" x14ac:dyDescent="0.25">
      <c r="A47" s="199">
        <f t="shared" si="0"/>
        <v>40</v>
      </c>
      <c r="B47" s="206">
        <v>370.01</v>
      </c>
      <c r="C47" s="199" t="s">
        <v>250</v>
      </c>
      <c r="D47" s="200" t="s">
        <v>251</v>
      </c>
      <c r="E47" s="207">
        <v>136044280.14375001</v>
      </c>
      <c r="F47" s="207">
        <v>88452023.525747895</v>
      </c>
      <c r="G47" s="207">
        <v>25069993.600194659</v>
      </c>
      <c r="H47" s="207">
        <v>6816310.6654023929</v>
      </c>
      <c r="I47" s="207">
        <v>777623.28688800591</v>
      </c>
      <c r="J47" s="207">
        <v>12956708.119440977</v>
      </c>
      <c r="K47" s="207">
        <v>766009.46925425529</v>
      </c>
      <c r="L47" s="207">
        <v>418776.31203883816</v>
      </c>
      <c r="M47" s="207">
        <v>588094.24947242113</v>
      </c>
      <c r="N47" s="207">
        <v>0</v>
      </c>
      <c r="O47" s="207">
        <v>198740.91531056986</v>
      </c>
      <c r="P47" s="200"/>
      <c r="Q47" s="207">
        <v>9590070.5189442951</v>
      </c>
      <c r="R47" s="207">
        <v>22484.476366603812</v>
      </c>
      <c r="S47" s="207">
        <v>3344153.1241300781</v>
      </c>
      <c r="T47" s="207">
        <f t="shared" si="4"/>
        <v>12956708.119440977</v>
      </c>
      <c r="U47" s="207">
        <f t="shared" si="5"/>
        <v>9612554.9953108989</v>
      </c>
      <c r="V47" s="200"/>
      <c r="W47" s="200"/>
      <c r="X47" s="200"/>
      <c r="Y47" s="200"/>
    </row>
    <row r="48" spans="1:25" s="199" customFormat="1" ht="15" x14ac:dyDescent="0.25">
      <c r="A48" s="199">
        <f t="shared" si="0"/>
        <v>41</v>
      </c>
      <c r="B48" s="206">
        <v>373</v>
      </c>
      <c r="C48" s="199" t="s">
        <v>252</v>
      </c>
      <c r="D48" s="200" t="s">
        <v>253</v>
      </c>
      <c r="E48" s="207">
        <v>52258330.571666598</v>
      </c>
      <c r="F48" s="207">
        <v>0</v>
      </c>
      <c r="G48" s="207">
        <v>0</v>
      </c>
      <c r="H48" s="207">
        <v>0</v>
      </c>
      <c r="I48" s="207">
        <v>0</v>
      </c>
      <c r="J48" s="207">
        <v>0</v>
      </c>
      <c r="K48" s="207">
        <v>0</v>
      </c>
      <c r="L48" s="207">
        <v>0</v>
      </c>
      <c r="M48" s="207">
        <v>0</v>
      </c>
      <c r="N48" s="207">
        <v>52258330.571666598</v>
      </c>
      <c r="O48" s="207">
        <v>0</v>
      </c>
      <c r="P48" s="200"/>
      <c r="Q48" s="207">
        <v>0</v>
      </c>
      <c r="R48" s="207">
        <v>0</v>
      </c>
      <c r="S48" s="207">
        <v>0</v>
      </c>
      <c r="T48" s="207">
        <f t="shared" si="4"/>
        <v>0</v>
      </c>
      <c r="U48" s="207">
        <f t="shared" si="5"/>
        <v>0</v>
      </c>
      <c r="V48" s="200"/>
      <c r="W48" s="200"/>
      <c r="X48" s="200"/>
      <c r="Y48" s="200"/>
    </row>
    <row r="49" spans="1:25" s="199" customFormat="1" ht="15" x14ac:dyDescent="0.25">
      <c r="A49" s="199">
        <f t="shared" si="0"/>
        <v>42</v>
      </c>
      <c r="B49" s="206">
        <v>374</v>
      </c>
      <c r="C49" s="199" t="s">
        <v>254</v>
      </c>
      <c r="D49" s="200" t="s">
        <v>255</v>
      </c>
      <c r="E49" s="207">
        <v>2659127.9012499899</v>
      </c>
      <c r="F49" s="207">
        <v>1758052.5926942304</v>
      </c>
      <c r="G49" s="207">
        <v>329262.86303178634</v>
      </c>
      <c r="H49" s="207">
        <v>286924.90902881743</v>
      </c>
      <c r="I49" s="207">
        <v>122099.12451455314</v>
      </c>
      <c r="J49" s="207">
        <v>119271.62001902043</v>
      </c>
      <c r="K49" s="207">
        <v>33054.946962483315</v>
      </c>
      <c r="L49" s="207">
        <v>7961.3750707726149</v>
      </c>
      <c r="M49" s="207">
        <v>0</v>
      </c>
      <c r="N49" s="207">
        <v>1423.7535129609316</v>
      </c>
      <c r="O49" s="207">
        <v>1076.7164153655633</v>
      </c>
      <c r="P49" s="200"/>
      <c r="Q49" s="207">
        <v>89321.835182081355</v>
      </c>
      <c r="R49" s="207">
        <v>1342.5887723738256</v>
      </c>
      <c r="S49" s="207">
        <v>28607.196064565243</v>
      </c>
      <c r="T49" s="207">
        <f t="shared" si="4"/>
        <v>119271.62001902043</v>
      </c>
      <c r="U49" s="207">
        <f t="shared" si="5"/>
        <v>90664.423954455182</v>
      </c>
      <c r="V49" s="200"/>
      <c r="W49" s="200"/>
      <c r="X49" s="200"/>
      <c r="Y49" s="200"/>
    </row>
    <row r="50" spans="1:25" s="199" customFormat="1" x14ac:dyDescent="0.2">
      <c r="A50" s="208">
        <f>+A49+1</f>
        <v>43</v>
      </c>
      <c r="B50" s="209"/>
      <c r="C50" s="208" t="s">
        <v>202</v>
      </c>
      <c r="D50" s="210"/>
      <c r="E50" s="211">
        <f t="shared" ref="E50:U50" si="6">SUM(E29:E49)</f>
        <v>3527148862.6370139</v>
      </c>
      <c r="F50" s="211">
        <f t="shared" si="6"/>
        <v>2299342340.018415</v>
      </c>
      <c r="G50" s="211">
        <f t="shared" si="6"/>
        <v>428703775.94542003</v>
      </c>
      <c r="H50" s="211">
        <f t="shared" si="6"/>
        <v>343466153.60354096</v>
      </c>
      <c r="I50" s="211">
        <f t="shared" si="6"/>
        <v>150343032.37745991</v>
      </c>
      <c r="J50" s="211">
        <f t="shared" si="6"/>
        <v>148717079.65869099</v>
      </c>
      <c r="K50" s="211">
        <f t="shared" si="6"/>
        <v>49040986.247465841</v>
      </c>
      <c r="L50" s="211">
        <f t="shared" si="6"/>
        <v>22190302.912372835</v>
      </c>
      <c r="M50" s="211">
        <f t="shared" si="6"/>
        <v>7355148.9182074033</v>
      </c>
      <c r="N50" s="211">
        <f t="shared" si="6"/>
        <v>76739180.844973132</v>
      </c>
      <c r="O50" s="211">
        <f t="shared" si="6"/>
        <v>1250862.1104684644</v>
      </c>
      <c r="P50" s="200"/>
      <c r="Q50" s="211">
        <f t="shared" si="6"/>
        <v>116529051.77462205</v>
      </c>
      <c r="R50" s="211">
        <f t="shared" si="6"/>
        <v>1241127.8252987426</v>
      </c>
      <c r="S50" s="211">
        <f t="shared" si="6"/>
        <v>30946900.058770202</v>
      </c>
      <c r="T50" s="211">
        <f t="shared" si="6"/>
        <v>148717079.65869099</v>
      </c>
      <c r="U50" s="211">
        <f t="shared" si="6"/>
        <v>117770179.59992082</v>
      </c>
      <c r="V50" s="200"/>
      <c r="W50" s="200"/>
      <c r="X50" s="200"/>
      <c r="Y50" s="200"/>
    </row>
    <row r="51" spans="1:25" s="199" customFormat="1" ht="15" x14ac:dyDescent="0.25">
      <c r="A51" s="199">
        <f t="shared" si="0"/>
        <v>44</v>
      </c>
      <c r="B51" s="206"/>
      <c r="D51" s="200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0"/>
      <c r="Q51" s="207"/>
      <c r="R51" s="207"/>
      <c r="S51" s="207"/>
      <c r="T51" s="207"/>
      <c r="U51" s="207"/>
      <c r="V51" s="200"/>
      <c r="W51" s="200"/>
      <c r="X51" s="200"/>
      <c r="Y51" s="200"/>
    </row>
    <row r="52" spans="1:25" s="199" customFormat="1" ht="15" x14ac:dyDescent="0.25">
      <c r="A52" s="199">
        <f t="shared" si="0"/>
        <v>45</v>
      </c>
      <c r="B52" s="206"/>
      <c r="C52" s="205" t="s">
        <v>200</v>
      </c>
      <c r="D52" s="200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0"/>
      <c r="Q52" s="207"/>
      <c r="R52" s="207"/>
      <c r="S52" s="207"/>
      <c r="T52" s="207"/>
      <c r="U52" s="207"/>
      <c r="V52" s="200"/>
      <c r="W52" s="200"/>
      <c r="X52" s="200"/>
      <c r="Y52" s="200"/>
    </row>
    <row r="53" spans="1:25" s="199" customFormat="1" ht="15" x14ac:dyDescent="0.25">
      <c r="A53" s="199">
        <f t="shared" si="0"/>
        <v>46</v>
      </c>
      <c r="B53" s="206">
        <v>389</v>
      </c>
      <c r="C53" s="199" t="s">
        <v>256</v>
      </c>
      <c r="D53" s="200" t="s">
        <v>257</v>
      </c>
      <c r="E53" s="207">
        <v>34591566.081577167</v>
      </c>
      <c r="F53" s="207">
        <v>21196251.456623383</v>
      </c>
      <c r="G53" s="207">
        <v>4264016.5237157997</v>
      </c>
      <c r="H53" s="207">
        <v>3545951.8268920393</v>
      </c>
      <c r="I53" s="207">
        <v>2029993.6710878559</v>
      </c>
      <c r="J53" s="207">
        <v>1588216.6084786507</v>
      </c>
      <c r="K53" s="207">
        <v>641359.77412514307</v>
      </c>
      <c r="L53" s="207">
        <v>526761.90552403813</v>
      </c>
      <c r="M53" s="207">
        <v>373862.6239287486</v>
      </c>
      <c r="N53" s="207">
        <v>414806.94783389103</v>
      </c>
      <c r="O53" s="207">
        <v>10344.743367623774</v>
      </c>
      <c r="P53" s="200"/>
      <c r="Q53" s="207">
        <v>1398934.7289931579</v>
      </c>
      <c r="R53" s="207">
        <v>7042.0194862059434</v>
      </c>
      <c r="S53" s="207">
        <v>182239.859999287</v>
      </c>
      <c r="T53" s="207">
        <f t="shared" ref="T53:T63" si="7">SUM(Q53:S53)</f>
        <v>1588216.6084786507</v>
      </c>
      <c r="U53" s="207">
        <f t="shared" ref="U53:U63" si="8">SUM(Q53:R53)</f>
        <v>1405976.7484793637</v>
      </c>
      <c r="V53" s="200"/>
      <c r="W53" s="200"/>
      <c r="X53" s="200"/>
      <c r="Y53" s="200"/>
    </row>
    <row r="54" spans="1:25" s="199" customFormat="1" ht="15" x14ac:dyDescent="0.25">
      <c r="A54" s="199">
        <f t="shared" si="0"/>
        <v>47</v>
      </c>
      <c r="B54" s="206">
        <v>390</v>
      </c>
      <c r="C54" s="199" t="s">
        <v>258</v>
      </c>
      <c r="D54" s="200" t="s">
        <v>257</v>
      </c>
      <c r="E54" s="207">
        <v>140669439.09722066</v>
      </c>
      <c r="F54" s="207">
        <v>86196294.100567997</v>
      </c>
      <c r="G54" s="207">
        <v>17339972.734331727</v>
      </c>
      <c r="H54" s="207">
        <v>14419903.781700231</v>
      </c>
      <c r="I54" s="207">
        <v>8255135.6712039579</v>
      </c>
      <c r="J54" s="207">
        <v>6458613.0316478452</v>
      </c>
      <c r="K54" s="207">
        <v>2608142.0966295404</v>
      </c>
      <c r="L54" s="207">
        <v>2142120.4698596606</v>
      </c>
      <c r="M54" s="207">
        <v>1520343.0074095784</v>
      </c>
      <c r="N54" s="207">
        <v>1686846.4569605018</v>
      </c>
      <c r="O54" s="207">
        <v>42067.746909653135</v>
      </c>
      <c r="P54" s="200"/>
      <c r="Q54" s="207">
        <v>5688882.7524318192</v>
      </c>
      <c r="R54" s="207">
        <v>28636.94950671406</v>
      </c>
      <c r="S54" s="207">
        <v>741093.32970931206</v>
      </c>
      <c r="T54" s="207">
        <f t="shared" si="7"/>
        <v>6458613.0316478452</v>
      </c>
      <c r="U54" s="207">
        <f t="shared" si="8"/>
        <v>5717519.7019385332</v>
      </c>
      <c r="V54" s="200"/>
      <c r="W54" s="200"/>
      <c r="X54" s="200"/>
      <c r="Y54" s="200"/>
    </row>
    <row r="55" spans="1:25" s="199" customFormat="1" ht="15" x14ac:dyDescent="0.25">
      <c r="A55" s="199">
        <f t="shared" si="0"/>
        <v>48</v>
      </c>
      <c r="B55" s="206">
        <v>391</v>
      </c>
      <c r="C55" s="199" t="s">
        <v>259</v>
      </c>
      <c r="D55" s="200" t="s">
        <v>257</v>
      </c>
      <c r="E55" s="207">
        <v>83991254.610513493</v>
      </c>
      <c r="F55" s="207">
        <v>51466295.243275419</v>
      </c>
      <c r="G55" s="207">
        <v>10353393.560217826</v>
      </c>
      <c r="H55" s="207">
        <v>8609871.6093609575</v>
      </c>
      <c r="I55" s="207">
        <v>4928996.7064219499</v>
      </c>
      <c r="J55" s="207">
        <v>3856324.5510419663</v>
      </c>
      <c r="K55" s="207">
        <v>1557275.8966289109</v>
      </c>
      <c r="L55" s="207">
        <v>1279022.5577428238</v>
      </c>
      <c r="M55" s="207">
        <v>907770.14147612895</v>
      </c>
      <c r="N55" s="207">
        <v>1007186.4305756759</v>
      </c>
      <c r="O55" s="207">
        <v>25117.913771855863</v>
      </c>
      <c r="P55" s="200"/>
      <c r="Q55" s="207">
        <v>3396732.1031160662</v>
      </c>
      <c r="R55" s="207">
        <v>17098.620231395824</v>
      </c>
      <c r="S55" s="207">
        <v>442493.82769450382</v>
      </c>
      <c r="T55" s="207">
        <f t="shared" si="7"/>
        <v>3856324.5510419663</v>
      </c>
      <c r="U55" s="207">
        <f t="shared" si="8"/>
        <v>3413830.7233474622</v>
      </c>
      <c r="V55" s="200"/>
      <c r="W55" s="200"/>
      <c r="X55" s="200"/>
      <c r="Y55" s="200"/>
    </row>
    <row r="56" spans="1:25" s="199" customFormat="1" ht="15" x14ac:dyDescent="0.25">
      <c r="A56" s="199">
        <f t="shared" si="0"/>
        <v>49</v>
      </c>
      <c r="B56" s="206">
        <v>392</v>
      </c>
      <c r="C56" s="199" t="s">
        <v>260</v>
      </c>
      <c r="D56" s="200" t="s">
        <v>257</v>
      </c>
      <c r="E56" s="207">
        <v>13379543.047083501</v>
      </c>
      <c r="F56" s="207">
        <v>8198419.1791691398</v>
      </c>
      <c r="G56" s="207">
        <v>1649263.0746462501</v>
      </c>
      <c r="H56" s="207">
        <v>1371525.5041908557</v>
      </c>
      <c r="I56" s="207">
        <v>785173.69359845668</v>
      </c>
      <c r="J56" s="207">
        <v>614300.38845654414</v>
      </c>
      <c r="K56" s="207">
        <v>248069.15900651395</v>
      </c>
      <c r="L56" s="207">
        <v>203744.27610191802</v>
      </c>
      <c r="M56" s="207">
        <v>144604.93227608775</v>
      </c>
      <c r="N56" s="207">
        <v>160441.63486800482</v>
      </c>
      <c r="O56" s="207">
        <v>4001.2047697333765</v>
      </c>
      <c r="P56" s="200"/>
      <c r="Q56" s="207">
        <v>541088.75505906716</v>
      </c>
      <c r="R56" s="207">
        <v>2723.7564969419691</v>
      </c>
      <c r="S56" s="207">
        <v>70487.876900534931</v>
      </c>
      <c r="T56" s="207">
        <f t="shared" si="7"/>
        <v>614300.38845654414</v>
      </c>
      <c r="U56" s="207">
        <f t="shared" si="8"/>
        <v>543812.51155600918</v>
      </c>
      <c r="V56" s="200"/>
      <c r="W56" s="200"/>
      <c r="X56" s="200"/>
      <c r="Y56" s="200"/>
    </row>
    <row r="57" spans="1:25" s="199" customFormat="1" ht="15" x14ac:dyDescent="0.25">
      <c r="A57" s="199">
        <f t="shared" si="0"/>
        <v>50</v>
      </c>
      <c r="B57" s="206">
        <v>393</v>
      </c>
      <c r="C57" s="199" t="s">
        <v>261</v>
      </c>
      <c r="D57" s="200" t="s">
        <v>262</v>
      </c>
      <c r="E57" s="207">
        <v>798002.50228599901</v>
      </c>
      <c r="F57" s="207">
        <v>458913.62032085907</v>
      </c>
      <c r="G57" s="207">
        <v>100388.19309977721</v>
      </c>
      <c r="H57" s="207">
        <v>93341.340857582807</v>
      </c>
      <c r="I57" s="207">
        <v>53929.03868285424</v>
      </c>
      <c r="J57" s="207">
        <v>42110.927340398739</v>
      </c>
      <c r="K57" s="207">
        <v>16976.207996116926</v>
      </c>
      <c r="L57" s="207">
        <v>14064.126749448929</v>
      </c>
      <c r="M57" s="207">
        <v>9419.2684455122089</v>
      </c>
      <c r="N57" s="207">
        <v>8586.759216662409</v>
      </c>
      <c r="O57" s="207">
        <v>273.0195767865788</v>
      </c>
      <c r="P57" s="200"/>
      <c r="Q57" s="207">
        <v>37168.956376645998</v>
      </c>
      <c r="R57" s="207">
        <v>184.29562008332675</v>
      </c>
      <c r="S57" s="207">
        <v>4757.6753436694107</v>
      </c>
      <c r="T57" s="207">
        <f t="shared" si="7"/>
        <v>42110.927340398739</v>
      </c>
      <c r="U57" s="207">
        <f t="shared" si="8"/>
        <v>37353.251996729326</v>
      </c>
      <c r="V57" s="200"/>
      <c r="W57" s="200"/>
      <c r="X57" s="200"/>
      <c r="Y57" s="200"/>
    </row>
    <row r="58" spans="1:25" s="199" customFormat="1" ht="15" x14ac:dyDescent="0.25">
      <c r="A58" s="199">
        <f t="shared" si="0"/>
        <v>51</v>
      </c>
      <c r="B58" s="206">
        <v>394</v>
      </c>
      <c r="C58" s="199" t="s">
        <v>263</v>
      </c>
      <c r="D58" s="200" t="s">
        <v>264</v>
      </c>
      <c r="E58" s="207">
        <v>13311690.639508801</v>
      </c>
      <c r="F58" s="207">
        <v>7684679.3125205422</v>
      </c>
      <c r="G58" s="207">
        <v>1672244.2690796752</v>
      </c>
      <c r="H58" s="207">
        <v>1548335.022258976</v>
      </c>
      <c r="I58" s="207">
        <v>888877.50079457683</v>
      </c>
      <c r="J58" s="207">
        <v>697790.33896758722</v>
      </c>
      <c r="K58" s="207">
        <v>280010.5591834127</v>
      </c>
      <c r="L58" s="207">
        <v>229796.29916874715</v>
      </c>
      <c r="M58" s="207">
        <v>157624.9663305858</v>
      </c>
      <c r="N58" s="207">
        <v>147774.39828772505</v>
      </c>
      <c r="O58" s="207">
        <v>4557.9729169743132</v>
      </c>
      <c r="P58" s="200"/>
      <c r="Q58" s="207">
        <v>614159.23396979517</v>
      </c>
      <c r="R58" s="207">
        <v>3123.589844132503</v>
      </c>
      <c r="S58" s="207">
        <v>80507.515153659537</v>
      </c>
      <c r="T58" s="207">
        <f t="shared" si="7"/>
        <v>697790.33896758722</v>
      </c>
      <c r="U58" s="207">
        <f t="shared" si="8"/>
        <v>617282.82381392771</v>
      </c>
      <c r="V58" s="200"/>
      <c r="W58" s="200"/>
      <c r="X58" s="200"/>
      <c r="Y58" s="200"/>
    </row>
    <row r="59" spans="1:25" s="199" customFormat="1" ht="15" x14ac:dyDescent="0.25">
      <c r="A59" s="199">
        <f t="shared" si="0"/>
        <v>52</v>
      </c>
      <c r="B59" s="206">
        <v>395</v>
      </c>
      <c r="C59" s="199" t="s">
        <v>265</v>
      </c>
      <c r="D59" s="200" t="s">
        <v>264</v>
      </c>
      <c r="E59" s="207">
        <v>12031126.7299999</v>
      </c>
      <c r="F59" s="207">
        <v>6945425.1298432155</v>
      </c>
      <c r="G59" s="207">
        <v>1511376.9745445356</v>
      </c>
      <c r="H59" s="207">
        <v>1399387.6043067609</v>
      </c>
      <c r="I59" s="207">
        <v>803368.86944810743</v>
      </c>
      <c r="J59" s="207">
        <v>630663.9950129136</v>
      </c>
      <c r="K59" s="207">
        <v>253073.97944443856</v>
      </c>
      <c r="L59" s="207">
        <v>207690.25304558798</v>
      </c>
      <c r="M59" s="207">
        <v>142461.69003558077</v>
      </c>
      <c r="N59" s="207">
        <v>133558.73129836377</v>
      </c>
      <c r="O59" s="207">
        <v>4119.5030203953702</v>
      </c>
      <c r="P59" s="200"/>
      <c r="Q59" s="207">
        <v>555078.07207897352</v>
      </c>
      <c r="R59" s="207">
        <v>2823.105365426783</v>
      </c>
      <c r="S59" s="207">
        <v>72762.817568513332</v>
      </c>
      <c r="T59" s="207">
        <f t="shared" si="7"/>
        <v>630663.9950129136</v>
      </c>
      <c r="U59" s="207">
        <f t="shared" si="8"/>
        <v>557901.17744440027</v>
      </c>
      <c r="V59" s="200"/>
      <c r="W59" s="200"/>
      <c r="X59" s="200"/>
      <c r="Y59" s="200"/>
    </row>
    <row r="60" spans="1:25" s="199" customFormat="1" ht="15" x14ac:dyDescent="0.25">
      <c r="A60" s="199">
        <f t="shared" si="0"/>
        <v>53</v>
      </c>
      <c r="B60" s="206">
        <v>396</v>
      </c>
      <c r="C60" s="199" t="s">
        <v>266</v>
      </c>
      <c r="D60" s="200" t="s">
        <v>264</v>
      </c>
      <c r="E60" s="207">
        <v>6323256.5831426596</v>
      </c>
      <c r="F60" s="207">
        <v>3650340.1685143705</v>
      </c>
      <c r="G60" s="207">
        <v>794341.59562701662</v>
      </c>
      <c r="H60" s="207">
        <v>735482.8088741306</v>
      </c>
      <c r="I60" s="207">
        <v>422230.40338879923</v>
      </c>
      <c r="J60" s="207">
        <v>331461.07988977106</v>
      </c>
      <c r="K60" s="207">
        <v>133009.29683949641</v>
      </c>
      <c r="L60" s="207">
        <v>109156.75558053823</v>
      </c>
      <c r="M60" s="207">
        <v>74874.269017289524</v>
      </c>
      <c r="N60" s="207">
        <v>70195.098586461943</v>
      </c>
      <c r="O60" s="207">
        <v>2165.1068247862527</v>
      </c>
      <c r="P60" s="200"/>
      <c r="Q60" s="207">
        <v>291735.02633626864</v>
      </c>
      <c r="R60" s="207">
        <v>1483.7529341560194</v>
      </c>
      <c r="S60" s="207">
        <v>38242.300619346403</v>
      </c>
      <c r="T60" s="207">
        <f t="shared" si="7"/>
        <v>331461.07988977106</v>
      </c>
      <c r="U60" s="207">
        <f t="shared" si="8"/>
        <v>293218.77927042468</v>
      </c>
      <c r="V60" s="200"/>
      <c r="W60" s="200"/>
      <c r="X60" s="200"/>
      <c r="Y60" s="200"/>
    </row>
    <row r="61" spans="1:25" s="199" customFormat="1" ht="15" x14ac:dyDescent="0.25">
      <c r="A61" s="199">
        <f t="shared" si="0"/>
        <v>54</v>
      </c>
      <c r="B61" s="206">
        <v>397</v>
      </c>
      <c r="C61" s="199" t="s">
        <v>267</v>
      </c>
      <c r="D61" s="200" t="s">
        <v>257</v>
      </c>
      <c r="E61" s="207">
        <v>147993975.31044</v>
      </c>
      <c r="F61" s="207">
        <v>90684460.696217626</v>
      </c>
      <c r="G61" s="207">
        <v>18242850.139999568</v>
      </c>
      <c r="H61" s="207">
        <v>15170735.718743825</v>
      </c>
      <c r="I61" s="207">
        <v>8684973.4565596152</v>
      </c>
      <c r="J61" s="207">
        <v>6794907.4346189154</v>
      </c>
      <c r="K61" s="207">
        <v>2743945.8032383518</v>
      </c>
      <c r="L61" s="207">
        <v>2253658.83281369</v>
      </c>
      <c r="M61" s="207">
        <v>1599505.9548539768</v>
      </c>
      <c r="N61" s="207">
        <v>1774679.0952324779</v>
      </c>
      <c r="O61" s="207">
        <v>44258.178161997472</v>
      </c>
      <c r="P61" s="200"/>
      <c r="Q61" s="207">
        <v>5985097.9644946726</v>
      </c>
      <c r="R61" s="207">
        <v>30128.050736975561</v>
      </c>
      <c r="S61" s="207">
        <v>779681.41938726674</v>
      </c>
      <c r="T61" s="207">
        <f t="shared" si="7"/>
        <v>6794907.4346189154</v>
      </c>
      <c r="U61" s="207">
        <f t="shared" si="8"/>
        <v>6015226.0152316485</v>
      </c>
      <c r="V61" s="200"/>
      <c r="W61" s="200"/>
      <c r="X61" s="200"/>
      <c r="Y61" s="200"/>
    </row>
    <row r="62" spans="1:25" s="199" customFormat="1" ht="15" x14ac:dyDescent="0.25">
      <c r="A62" s="199">
        <f t="shared" si="0"/>
        <v>55</v>
      </c>
      <c r="B62" s="206">
        <v>398</v>
      </c>
      <c r="C62" s="199" t="s">
        <v>268</v>
      </c>
      <c r="D62" s="200" t="s">
        <v>257</v>
      </c>
      <c r="E62" s="207">
        <v>967417.93570825004</v>
      </c>
      <c r="F62" s="207">
        <v>592792.87270663679</v>
      </c>
      <c r="G62" s="207">
        <v>119251.20861746566</v>
      </c>
      <c r="H62" s="207">
        <v>99169.18443076135</v>
      </c>
      <c r="I62" s="207">
        <v>56772.5752038309</v>
      </c>
      <c r="J62" s="207">
        <v>44417.452196541912</v>
      </c>
      <c r="K62" s="207">
        <v>17936.827354599085</v>
      </c>
      <c r="L62" s="207">
        <v>14731.883316587167</v>
      </c>
      <c r="M62" s="207">
        <v>10455.768525387595</v>
      </c>
      <c r="N62" s="207">
        <v>11600.853232390167</v>
      </c>
      <c r="O62" s="207">
        <v>289.31012404980754</v>
      </c>
      <c r="P62" s="200"/>
      <c r="Q62" s="207">
        <v>39123.829910491186</v>
      </c>
      <c r="R62" s="207">
        <v>196.94326468181731</v>
      </c>
      <c r="S62" s="207">
        <v>5096.679021368911</v>
      </c>
      <c r="T62" s="207">
        <f t="shared" si="7"/>
        <v>44417.452196541912</v>
      </c>
      <c r="U62" s="207">
        <f t="shared" si="8"/>
        <v>39320.773175173003</v>
      </c>
      <c r="V62" s="200"/>
      <c r="W62" s="200"/>
      <c r="X62" s="200"/>
      <c r="Y62" s="200"/>
    </row>
    <row r="63" spans="1:25" s="199" customFormat="1" ht="15" x14ac:dyDescent="0.25">
      <c r="A63" s="199">
        <f t="shared" si="0"/>
        <v>56</v>
      </c>
      <c r="B63" s="206">
        <v>399</v>
      </c>
      <c r="C63" s="199" t="s">
        <v>269</v>
      </c>
      <c r="D63" s="200" t="s">
        <v>257</v>
      </c>
      <c r="E63" s="207">
        <v>545833.37664433336</v>
      </c>
      <c r="F63" s="207">
        <v>334463.65155849012</v>
      </c>
      <c r="G63" s="207">
        <v>67283.526039793287</v>
      </c>
      <c r="H63" s="207">
        <v>55952.912178828337</v>
      </c>
      <c r="I63" s="207">
        <v>32032.036290101118</v>
      </c>
      <c r="J63" s="207">
        <v>25061.069285041965</v>
      </c>
      <c r="K63" s="207">
        <v>10120.257935966001</v>
      </c>
      <c r="L63" s="207">
        <v>8311.9749161319178</v>
      </c>
      <c r="M63" s="207">
        <v>5899.3194450603823</v>
      </c>
      <c r="N63" s="207">
        <v>6545.3953850411908</v>
      </c>
      <c r="O63" s="207">
        <v>163.23360987915441</v>
      </c>
      <c r="P63" s="200"/>
      <c r="Q63" s="207">
        <v>22074.319070452035</v>
      </c>
      <c r="R63" s="207">
        <v>111.11868325031125</v>
      </c>
      <c r="S63" s="207">
        <v>2875.6315313396199</v>
      </c>
      <c r="T63" s="207">
        <f t="shared" si="7"/>
        <v>25061.069285041965</v>
      </c>
      <c r="U63" s="207">
        <f t="shared" si="8"/>
        <v>22185.437753702347</v>
      </c>
      <c r="V63" s="200"/>
      <c r="W63" s="200"/>
      <c r="X63" s="200"/>
      <c r="Y63" s="200"/>
    </row>
    <row r="64" spans="1:25" s="199" customFormat="1" x14ac:dyDescent="0.2">
      <c r="A64" s="208">
        <f t="shared" si="0"/>
        <v>57</v>
      </c>
      <c r="B64" s="209"/>
      <c r="C64" s="208" t="s">
        <v>202</v>
      </c>
      <c r="D64" s="210"/>
      <c r="E64" s="211">
        <f t="shared" ref="E64:N64" si="9">SUM(E53:E63)</f>
        <v>454603105.91412473</v>
      </c>
      <c r="F64" s="211">
        <f t="shared" si="9"/>
        <v>277408335.43131769</v>
      </c>
      <c r="G64" s="211">
        <f t="shared" si="9"/>
        <v>56114381.799919434</v>
      </c>
      <c r="H64" s="211">
        <f t="shared" si="9"/>
        <v>47049657.313794948</v>
      </c>
      <c r="I64" s="211">
        <f t="shared" si="9"/>
        <v>26941483.622680102</v>
      </c>
      <c r="J64" s="211">
        <f t="shared" si="9"/>
        <v>21083866.876936175</v>
      </c>
      <c r="K64" s="211">
        <f t="shared" si="9"/>
        <v>8509919.8583824877</v>
      </c>
      <c r="L64" s="211">
        <f t="shared" si="9"/>
        <v>6989059.3348191706</v>
      </c>
      <c r="M64" s="211">
        <f t="shared" si="9"/>
        <v>4946821.9417439364</v>
      </c>
      <c r="N64" s="211">
        <f t="shared" si="9"/>
        <v>5422221.8014771957</v>
      </c>
      <c r="O64" s="211">
        <f>SUM(O53:O63)</f>
        <v>137357.93305373509</v>
      </c>
      <c r="P64" s="200"/>
      <c r="Q64" s="211">
        <f>SUM(Q53:Q63)</f>
        <v>18570075.741837408</v>
      </c>
      <c r="R64" s="211">
        <f>SUM(R53:R63)</f>
        <v>93552.202169964134</v>
      </c>
      <c r="S64" s="211">
        <f>SUM(S53:S63)</f>
        <v>2420238.9329288015</v>
      </c>
      <c r="T64" s="211">
        <f>SUM(T53:T63)</f>
        <v>21083866.876936175</v>
      </c>
      <c r="U64" s="211">
        <f>SUM(U53:U63)</f>
        <v>18663627.944007378</v>
      </c>
      <c r="V64" s="200"/>
      <c r="W64" s="200"/>
      <c r="X64" s="200"/>
      <c r="Y64" s="200"/>
    </row>
    <row r="65" spans="1:25" s="199" customFormat="1" ht="15" x14ac:dyDescent="0.25">
      <c r="A65" s="199">
        <f t="shared" si="0"/>
        <v>58</v>
      </c>
      <c r="B65" s="206"/>
      <c r="D65" s="200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0"/>
      <c r="Q65" s="207"/>
      <c r="R65" s="207"/>
      <c r="S65" s="207"/>
      <c r="T65" s="207"/>
      <c r="U65" s="207"/>
      <c r="V65" s="200"/>
      <c r="W65" s="200"/>
      <c r="X65" s="200"/>
      <c r="Y65" s="200"/>
    </row>
    <row r="66" spans="1:25" s="199" customFormat="1" x14ac:dyDescent="0.2">
      <c r="A66" s="208">
        <f t="shared" si="0"/>
        <v>59</v>
      </c>
      <c r="B66" s="209"/>
      <c r="C66" s="208" t="s">
        <v>270</v>
      </c>
      <c r="D66" s="210"/>
      <c r="E66" s="211">
        <f t="shared" ref="E66:N66" si="10">SUM(E64,E50,E26,E20,E14)</f>
        <v>9609442662.6340485</v>
      </c>
      <c r="F66" s="211">
        <f t="shared" si="10"/>
        <v>5545457488.6787891</v>
      </c>
      <c r="G66" s="211">
        <f t="shared" si="10"/>
        <v>1207741046.4684942</v>
      </c>
      <c r="H66" s="211">
        <f t="shared" si="10"/>
        <v>1116587567.8116324</v>
      </c>
      <c r="I66" s="211">
        <f t="shared" si="10"/>
        <v>645442293.35483623</v>
      </c>
      <c r="J66" s="211">
        <f t="shared" si="10"/>
        <v>503636009.16662079</v>
      </c>
      <c r="K66" s="211">
        <f t="shared" si="10"/>
        <v>203194457.72693482</v>
      </c>
      <c r="L66" s="211">
        <f t="shared" si="10"/>
        <v>168505770.75160074</v>
      </c>
      <c r="M66" s="211">
        <f t="shared" si="10"/>
        <v>111992210.30186239</v>
      </c>
      <c r="N66" s="211">
        <f t="shared" si="10"/>
        <v>103623580.21183598</v>
      </c>
      <c r="O66" s="211">
        <f>SUM(O64,O50,O26,O20,O14)</f>
        <v>3262238.1614442412</v>
      </c>
      <c r="P66" s="200"/>
      <c r="Q66" s="211">
        <f>SUM(Q64,Q50,Q26,Q20,Q14)</f>
        <v>444677165.9117772</v>
      </c>
      <c r="R66" s="211">
        <f>SUM(R64,R50,R26,R20,R14)</f>
        <v>2197864.487798091</v>
      </c>
      <c r="S66" s="211">
        <f>SUM(S64,S50,S26,S20,S14)</f>
        <v>56760978.767045557</v>
      </c>
      <c r="T66" s="211">
        <f>SUM(T64,T50,T26,T20,T14)</f>
        <v>503636009.16662079</v>
      </c>
      <c r="U66" s="211">
        <f>SUM(U64,U50,U26,U20,U14)</f>
        <v>446875030.39957529</v>
      </c>
      <c r="V66" s="200"/>
      <c r="W66" s="200"/>
      <c r="X66" s="200"/>
      <c r="Y66" s="200"/>
    </row>
    <row r="67" spans="1:25" s="199" customFormat="1" ht="15" x14ac:dyDescent="0.25">
      <c r="A67" s="199">
        <f t="shared" si="0"/>
        <v>60</v>
      </c>
      <c r="B67" s="206"/>
      <c r="D67" s="200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0"/>
      <c r="Q67" s="207"/>
      <c r="R67" s="207"/>
      <c r="S67" s="207"/>
      <c r="T67" s="207"/>
      <c r="U67" s="207"/>
      <c r="V67" s="200"/>
      <c r="W67" s="200"/>
      <c r="X67" s="200"/>
      <c r="Y67" s="200"/>
    </row>
    <row r="68" spans="1:25" s="199" customFormat="1" ht="15" x14ac:dyDescent="0.25">
      <c r="A68" s="199">
        <f t="shared" si="0"/>
        <v>61</v>
      </c>
      <c r="B68" s="206"/>
      <c r="C68" s="205" t="s">
        <v>353</v>
      </c>
      <c r="D68" s="200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0"/>
      <c r="Q68" s="207"/>
      <c r="R68" s="207"/>
      <c r="S68" s="207"/>
      <c r="T68" s="207"/>
      <c r="U68" s="207"/>
      <c r="V68" s="200"/>
      <c r="W68" s="200"/>
      <c r="X68" s="200"/>
      <c r="Y68" s="200"/>
    </row>
    <row r="69" spans="1:25" s="199" customFormat="1" ht="15" x14ac:dyDescent="0.25">
      <c r="A69" s="199">
        <f t="shared" si="0"/>
        <v>62</v>
      </c>
      <c r="B69" s="206"/>
      <c r="C69" s="205" t="s">
        <v>195</v>
      </c>
      <c r="D69" s="200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0"/>
      <c r="Q69" s="207"/>
      <c r="R69" s="207"/>
      <c r="S69" s="207"/>
      <c r="T69" s="207"/>
      <c r="U69" s="207"/>
      <c r="V69" s="200"/>
      <c r="W69" s="200"/>
      <c r="X69" s="200"/>
      <c r="Y69" s="200"/>
    </row>
    <row r="70" spans="1:25" s="199" customFormat="1" ht="15" x14ac:dyDescent="0.25">
      <c r="A70" s="199">
        <f t="shared" si="0"/>
        <v>63</v>
      </c>
      <c r="B70" s="206">
        <v>111</v>
      </c>
      <c r="C70" s="199" t="s">
        <v>354</v>
      </c>
      <c r="D70" s="200" t="s">
        <v>197</v>
      </c>
      <c r="E70" s="207">
        <v>-10020486</v>
      </c>
      <c r="F70" s="207">
        <v>-5353772.0563587956</v>
      </c>
      <c r="G70" s="207">
        <v>-1312531.7406676195</v>
      </c>
      <c r="H70" s="207">
        <v>-1325212.2587822995</v>
      </c>
      <c r="I70" s="207">
        <v>-857088.76150748669</v>
      </c>
      <c r="J70" s="207">
        <v>-609834.11733073532</v>
      </c>
      <c r="K70" s="207">
        <v>-266549.62596363976</v>
      </c>
      <c r="L70" s="207">
        <v>-255873.69593295135</v>
      </c>
      <c r="M70" s="207">
        <v>0</v>
      </c>
      <c r="N70" s="207">
        <v>-36216.528141509829</v>
      </c>
      <c r="O70" s="207">
        <v>-3407.2153149634196</v>
      </c>
      <c r="P70" s="200"/>
      <c r="Q70" s="207">
        <v>-566186.6898908352</v>
      </c>
      <c r="R70" s="207">
        <v>-1550.1702878544099</v>
      </c>
      <c r="S70" s="207">
        <v>-42097.257152045735</v>
      </c>
      <c r="T70" s="207">
        <f>SUM(Q70:S70)</f>
        <v>-609834.11733073532</v>
      </c>
      <c r="U70" s="207">
        <f>SUM(Q70:R70)</f>
        <v>-567736.86017868959</v>
      </c>
      <c r="V70" s="200"/>
      <c r="W70" s="200"/>
      <c r="X70" s="200"/>
      <c r="Y70" s="200"/>
    </row>
    <row r="71" spans="1:25" s="199" customFormat="1" ht="15" x14ac:dyDescent="0.25">
      <c r="A71" s="199">
        <f t="shared" si="0"/>
        <v>64</v>
      </c>
      <c r="B71" s="206">
        <v>111.01</v>
      </c>
      <c r="C71" s="199" t="s">
        <v>355</v>
      </c>
      <c r="D71" s="200" t="s">
        <v>199</v>
      </c>
      <c r="E71" s="207">
        <v>-30632</v>
      </c>
      <c r="F71" s="207">
        <v>-16366.146874551057</v>
      </c>
      <c r="G71" s="207">
        <v>-4012.3275737454774</v>
      </c>
      <c r="H71" s="207">
        <v>-4051.091125821582</v>
      </c>
      <c r="I71" s="207">
        <v>-2620.0668253513181</v>
      </c>
      <c r="J71" s="207">
        <v>-1864.2248172468965</v>
      </c>
      <c r="K71" s="207">
        <v>-814.82556260427032</v>
      </c>
      <c r="L71" s="207">
        <v>-782.18991112987601</v>
      </c>
      <c r="M71" s="207">
        <v>0</v>
      </c>
      <c r="N71" s="207">
        <v>-110.71166508597777</v>
      </c>
      <c r="O71" s="207">
        <v>-10.415644463547924</v>
      </c>
      <c r="P71" s="200"/>
      <c r="Q71" s="207">
        <v>-1730.7973570080396</v>
      </c>
      <c r="R71" s="207">
        <v>-4.7387737738026168</v>
      </c>
      <c r="S71" s="207">
        <v>-128.68868646505419</v>
      </c>
      <c r="T71" s="207">
        <f>SUM(Q71:S71)</f>
        <v>-1864.2248172468965</v>
      </c>
      <c r="U71" s="207">
        <f>SUM(Q71:R71)</f>
        <v>-1735.5361307818423</v>
      </c>
      <c r="V71" s="200"/>
      <c r="W71" s="200"/>
      <c r="X71" s="200"/>
      <c r="Y71" s="200"/>
    </row>
    <row r="72" spans="1:25" s="199" customFormat="1" ht="15" x14ac:dyDescent="0.25">
      <c r="A72" s="199">
        <f t="shared" ref="A72:A135" si="11">+A71+1</f>
        <v>65</v>
      </c>
      <c r="B72" s="206">
        <v>111.02</v>
      </c>
      <c r="C72" s="199" t="s">
        <v>356</v>
      </c>
      <c r="D72" s="200" t="s">
        <v>201</v>
      </c>
      <c r="E72" s="207">
        <v>-57900107</v>
      </c>
      <c r="F72" s="207">
        <v>-35331857.823248819</v>
      </c>
      <c r="G72" s="207">
        <v>-7146956.6929618251</v>
      </c>
      <c r="H72" s="207">
        <v>-5992436.3853701008</v>
      </c>
      <c r="I72" s="207">
        <v>-3431377.3139653732</v>
      </c>
      <c r="J72" s="207">
        <v>-2685327.3377744216</v>
      </c>
      <c r="K72" s="207">
        <v>-1083858.1258062224</v>
      </c>
      <c r="L72" s="207">
        <v>-890155.12223935628</v>
      </c>
      <c r="M72" s="207">
        <v>-630047.43260823004</v>
      </c>
      <c r="N72" s="207">
        <v>-690596.29905513115</v>
      </c>
      <c r="O72" s="207">
        <v>-17494.466970519203</v>
      </c>
      <c r="P72" s="200"/>
      <c r="Q72" s="207">
        <v>-2365160.638945566</v>
      </c>
      <c r="R72" s="207">
        <v>-11915.190295135761</v>
      </c>
      <c r="S72" s="207">
        <v>-308251.50853371993</v>
      </c>
      <c r="T72" s="207">
        <f>SUM(Q72:S72)</f>
        <v>-2685327.3377744216</v>
      </c>
      <c r="U72" s="207">
        <f>SUM(Q72:R72)</f>
        <v>-2377075.8292407016</v>
      </c>
      <c r="V72" s="200"/>
      <c r="W72" s="200"/>
      <c r="X72" s="200"/>
      <c r="Y72" s="200"/>
    </row>
    <row r="73" spans="1:25" s="199" customFormat="1" x14ac:dyDescent="0.2">
      <c r="A73" s="208">
        <f>+A72+1</f>
        <v>66</v>
      </c>
      <c r="B73" s="209"/>
      <c r="C73" s="208" t="s">
        <v>202</v>
      </c>
      <c r="D73" s="210"/>
      <c r="E73" s="211">
        <f t="shared" ref="E73:U73" si="12">SUM(E70:E72)</f>
        <v>-67951225</v>
      </c>
      <c r="F73" s="211">
        <f t="shared" si="12"/>
        <v>-40701996.026482165</v>
      </c>
      <c r="G73" s="211">
        <f t="shared" si="12"/>
        <v>-8463500.7612031903</v>
      </c>
      <c r="H73" s="211">
        <f t="shared" si="12"/>
        <v>-7321699.7352782218</v>
      </c>
      <c r="I73" s="211">
        <f t="shared" si="12"/>
        <v>-4291086.1422982113</v>
      </c>
      <c r="J73" s="211">
        <f t="shared" si="12"/>
        <v>-3297025.6799224038</v>
      </c>
      <c r="K73" s="211">
        <f t="shared" si="12"/>
        <v>-1351222.5773324664</v>
      </c>
      <c r="L73" s="211">
        <f t="shared" si="12"/>
        <v>-1146811.0080834376</v>
      </c>
      <c r="M73" s="211">
        <f t="shared" si="12"/>
        <v>-630047.43260823004</v>
      </c>
      <c r="N73" s="211">
        <f t="shared" si="12"/>
        <v>-726923.53886172699</v>
      </c>
      <c r="O73" s="211">
        <f t="shared" si="12"/>
        <v>-20912.097929946169</v>
      </c>
      <c r="P73" s="200"/>
      <c r="Q73" s="211">
        <f t="shared" si="12"/>
        <v>-2933078.1261934093</v>
      </c>
      <c r="R73" s="211">
        <f t="shared" si="12"/>
        <v>-13470.099356763973</v>
      </c>
      <c r="S73" s="211">
        <f t="shared" si="12"/>
        <v>-350477.45437223068</v>
      </c>
      <c r="T73" s="211">
        <f t="shared" si="12"/>
        <v>-3297025.6799224038</v>
      </c>
      <c r="U73" s="211">
        <f t="shared" si="12"/>
        <v>-2946548.2255501729</v>
      </c>
      <c r="V73" s="200"/>
      <c r="W73" s="200"/>
      <c r="X73" s="200"/>
      <c r="Y73" s="200"/>
    </row>
    <row r="74" spans="1:25" s="199" customFormat="1" ht="15" x14ac:dyDescent="0.25">
      <c r="A74" s="199">
        <f t="shared" si="11"/>
        <v>67</v>
      </c>
      <c r="B74" s="206"/>
      <c r="D74" s="200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0"/>
      <c r="Q74" s="207"/>
      <c r="R74" s="207"/>
      <c r="S74" s="207"/>
      <c r="T74" s="207"/>
      <c r="U74" s="207"/>
      <c r="V74" s="200"/>
      <c r="W74" s="200"/>
      <c r="X74" s="200"/>
      <c r="Y74" s="200"/>
    </row>
    <row r="75" spans="1:25" s="199" customFormat="1" ht="15" x14ac:dyDescent="0.25">
      <c r="A75" s="199">
        <f t="shared" si="11"/>
        <v>68</v>
      </c>
      <c r="B75" s="206"/>
      <c r="C75" s="205" t="s">
        <v>196</v>
      </c>
      <c r="D75" s="200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0"/>
      <c r="Q75" s="207"/>
      <c r="R75" s="207"/>
      <c r="S75" s="207"/>
      <c r="T75" s="207"/>
      <c r="U75" s="207"/>
      <c r="V75" s="200"/>
      <c r="W75" s="200"/>
      <c r="X75" s="200"/>
      <c r="Y75" s="200"/>
    </row>
    <row r="76" spans="1:25" s="199" customFormat="1" ht="15" x14ac:dyDescent="0.25">
      <c r="A76" s="199">
        <f t="shared" si="11"/>
        <v>69</v>
      </c>
      <c r="B76" s="206">
        <v>108.01</v>
      </c>
      <c r="C76" s="199" t="s">
        <v>357</v>
      </c>
      <c r="D76" s="200" t="s">
        <v>197</v>
      </c>
      <c r="E76" s="207">
        <v>-871773274.86631811</v>
      </c>
      <c r="F76" s="207">
        <v>-465773356.54774523</v>
      </c>
      <c r="G76" s="207">
        <v>-114189081.64013198</v>
      </c>
      <c r="H76" s="207">
        <v>-115292275.31794724</v>
      </c>
      <c r="I76" s="207">
        <v>-74565951.838114262</v>
      </c>
      <c r="J76" s="207">
        <v>-53055020.044998378</v>
      </c>
      <c r="K76" s="207">
        <v>-23189577.864857495</v>
      </c>
      <c r="L76" s="207">
        <v>-22260781.548481531</v>
      </c>
      <c r="M76" s="207">
        <v>0</v>
      </c>
      <c r="N76" s="207">
        <v>-3150805.3942904756</v>
      </c>
      <c r="O76" s="207">
        <v>-296424.66975158034</v>
      </c>
      <c r="P76" s="200"/>
      <c r="Q76" s="207">
        <v>-49257733.091174804</v>
      </c>
      <c r="R76" s="207">
        <v>-134863.42163876104</v>
      </c>
      <c r="S76" s="207">
        <v>-3662423.5321848099</v>
      </c>
      <c r="T76" s="207">
        <f>SUM(Q76:S76)</f>
        <v>-53055020.044998378</v>
      </c>
      <c r="U76" s="207">
        <f>SUM(Q76:R76)</f>
        <v>-49392596.512813568</v>
      </c>
      <c r="V76" s="200"/>
      <c r="W76" s="200"/>
      <c r="X76" s="200"/>
      <c r="Y76" s="200"/>
    </row>
    <row r="77" spans="1:25" s="199" customFormat="1" ht="15" x14ac:dyDescent="0.25">
      <c r="A77" s="199">
        <f t="shared" si="11"/>
        <v>70</v>
      </c>
      <c r="B77" s="206">
        <v>108.02</v>
      </c>
      <c r="C77" s="199" t="s">
        <v>358</v>
      </c>
      <c r="D77" s="200" t="s">
        <v>197</v>
      </c>
      <c r="E77" s="207">
        <v>-145768922.11056733</v>
      </c>
      <c r="F77" s="207">
        <v>-77881809.513141096</v>
      </c>
      <c r="G77" s="207">
        <v>-19093518.724842846</v>
      </c>
      <c r="H77" s="207">
        <v>-19277983.376295924</v>
      </c>
      <c r="I77" s="207">
        <v>-12468148.243311496</v>
      </c>
      <c r="J77" s="207">
        <v>-8871312.4243225846</v>
      </c>
      <c r="K77" s="207">
        <v>-3877521.6756646996</v>
      </c>
      <c r="L77" s="207">
        <v>-3722217.9495678525</v>
      </c>
      <c r="M77" s="207">
        <v>0</v>
      </c>
      <c r="N77" s="207">
        <v>-526845.13203999447</v>
      </c>
      <c r="O77" s="207">
        <v>-49565.071380852671</v>
      </c>
      <c r="P77" s="200"/>
      <c r="Q77" s="207">
        <v>-8236369.3236772232</v>
      </c>
      <c r="R77" s="207">
        <v>-22550.468305465947</v>
      </c>
      <c r="S77" s="207">
        <v>-612392.63233989628</v>
      </c>
      <c r="T77" s="207">
        <f>SUM(Q77:S77)</f>
        <v>-8871312.4243225846</v>
      </c>
      <c r="U77" s="207">
        <f>SUM(Q77:R77)</f>
        <v>-8258919.7919826889</v>
      </c>
      <c r="V77" s="200"/>
      <c r="W77" s="200"/>
      <c r="X77" s="200"/>
      <c r="Y77" s="200"/>
    </row>
    <row r="78" spans="1:25" s="199" customFormat="1" ht="15" x14ac:dyDescent="0.25">
      <c r="A78" s="199">
        <f t="shared" si="11"/>
        <v>71</v>
      </c>
      <c r="B78" s="206">
        <v>108.03</v>
      </c>
      <c r="C78" s="199" t="s">
        <v>359</v>
      </c>
      <c r="D78" s="200" t="s">
        <v>197</v>
      </c>
      <c r="E78" s="207">
        <v>-693250920.49401391</v>
      </c>
      <c r="F78" s="207">
        <v>-370391955.65822506</v>
      </c>
      <c r="G78" s="207">
        <v>-90805359.879295036</v>
      </c>
      <c r="H78" s="207">
        <v>-91682640.767202362</v>
      </c>
      <c r="I78" s="207">
        <v>-59296282.920822352</v>
      </c>
      <c r="J78" s="207">
        <v>-42190375.116355307</v>
      </c>
      <c r="K78" s="207">
        <v>-18440799.533738025</v>
      </c>
      <c r="L78" s="207">
        <v>-17702202.790934887</v>
      </c>
      <c r="M78" s="207">
        <v>0</v>
      </c>
      <c r="N78" s="207">
        <v>-2505581.2134460392</v>
      </c>
      <c r="O78" s="207">
        <v>-235722.61399493919</v>
      </c>
      <c r="P78" s="200"/>
      <c r="Q78" s="207">
        <v>-39170699.299243599</v>
      </c>
      <c r="R78" s="207">
        <v>-107245.99375494765</v>
      </c>
      <c r="S78" s="207">
        <v>-2912429.823356763</v>
      </c>
      <c r="T78" s="207">
        <f>SUM(Q78:S78)</f>
        <v>-42190375.116355307</v>
      </c>
      <c r="U78" s="207">
        <f>SUM(Q78:R78)</f>
        <v>-39277945.292998545</v>
      </c>
      <c r="V78" s="200"/>
      <c r="W78" s="200"/>
      <c r="X78" s="200"/>
      <c r="Y78" s="200"/>
    </row>
    <row r="79" spans="1:25" s="199" customFormat="1" x14ac:dyDescent="0.2">
      <c r="A79" s="208">
        <f t="shared" si="11"/>
        <v>72</v>
      </c>
      <c r="B79" s="209"/>
      <c r="C79" s="208" t="s">
        <v>202</v>
      </c>
      <c r="D79" s="210"/>
      <c r="E79" s="211">
        <f>SUM(E76:E78)</f>
        <v>-1710793117.4708993</v>
      </c>
      <c r="F79" s="211">
        <f t="shared" ref="F79:U79" si="13">SUM(F76:F78)</f>
        <v>-914047121.71911144</v>
      </c>
      <c r="G79" s="211">
        <f t="shared" si="13"/>
        <v>-224087960.24426985</v>
      </c>
      <c r="H79" s="211">
        <f t="shared" si="13"/>
        <v>-226252899.46144551</v>
      </c>
      <c r="I79" s="211">
        <f t="shared" si="13"/>
        <v>-146330383.00224811</v>
      </c>
      <c r="J79" s="211">
        <f t="shared" si="13"/>
        <v>-104116707.58567627</v>
      </c>
      <c r="K79" s="211">
        <f t="shared" si="13"/>
        <v>-45507899.07426022</v>
      </c>
      <c r="L79" s="211">
        <f t="shared" si="13"/>
        <v>-43685202.288984269</v>
      </c>
      <c r="M79" s="211">
        <f t="shared" si="13"/>
        <v>0</v>
      </c>
      <c r="N79" s="211">
        <f t="shared" si="13"/>
        <v>-6183231.7397765089</v>
      </c>
      <c r="O79" s="211">
        <f t="shared" si="13"/>
        <v>-581712.3551273722</v>
      </c>
      <c r="P79" s="200"/>
      <c r="Q79" s="211">
        <f t="shared" si="13"/>
        <v>-96664801.714095622</v>
      </c>
      <c r="R79" s="211">
        <f t="shared" si="13"/>
        <v>-264659.88369917462</v>
      </c>
      <c r="S79" s="211">
        <f t="shared" si="13"/>
        <v>-7187245.9878814686</v>
      </c>
      <c r="T79" s="211">
        <f t="shared" si="13"/>
        <v>-104116707.58567627</v>
      </c>
      <c r="U79" s="211">
        <f t="shared" si="13"/>
        <v>-96929461.597794801</v>
      </c>
      <c r="V79" s="200"/>
      <c r="W79" s="200"/>
      <c r="X79" s="200"/>
      <c r="Y79" s="200"/>
    </row>
    <row r="80" spans="1:25" s="199" customFormat="1" ht="15" x14ac:dyDescent="0.25">
      <c r="A80" s="199">
        <f t="shared" si="11"/>
        <v>73</v>
      </c>
      <c r="B80" s="206"/>
      <c r="D80" s="200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0"/>
      <c r="Q80" s="207"/>
      <c r="R80" s="207"/>
      <c r="S80" s="207"/>
      <c r="T80" s="207"/>
      <c r="U80" s="207"/>
      <c r="V80" s="200"/>
      <c r="W80" s="200"/>
      <c r="X80" s="200"/>
      <c r="Y80" s="200"/>
    </row>
    <row r="81" spans="1:25" s="199" customFormat="1" ht="15" x14ac:dyDescent="0.25">
      <c r="A81" s="199">
        <f t="shared" si="11"/>
        <v>74</v>
      </c>
      <c r="B81" s="206"/>
      <c r="C81" s="205" t="s">
        <v>360</v>
      </c>
      <c r="D81" s="200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0"/>
      <c r="Q81" s="207"/>
      <c r="R81" s="207"/>
      <c r="S81" s="207"/>
      <c r="T81" s="207"/>
      <c r="U81" s="207"/>
      <c r="V81" s="200"/>
      <c r="W81" s="200"/>
      <c r="X81" s="200"/>
      <c r="Y81" s="200"/>
    </row>
    <row r="82" spans="1:25" s="199" customFormat="1" ht="15" x14ac:dyDescent="0.25">
      <c r="A82" s="199">
        <f t="shared" si="11"/>
        <v>75</v>
      </c>
      <c r="B82" s="206" t="s">
        <v>361</v>
      </c>
      <c r="C82" s="199" t="s">
        <v>362</v>
      </c>
      <c r="D82" s="200" t="s">
        <v>199</v>
      </c>
      <c r="E82" s="207">
        <v>-48274493</v>
      </c>
      <c r="F82" s="207">
        <v>-25792225.213256951</v>
      </c>
      <c r="G82" s="207">
        <v>-6323226.6705563795</v>
      </c>
      <c r="H82" s="207">
        <v>-6384316.0810863171</v>
      </c>
      <c r="I82" s="207">
        <v>-4129093.6804633858</v>
      </c>
      <c r="J82" s="207">
        <v>-2937924.6503855963</v>
      </c>
      <c r="K82" s="207">
        <v>-1284124.1485427301</v>
      </c>
      <c r="L82" s="207">
        <v>-1232692.0014856954</v>
      </c>
      <c r="M82" s="207">
        <v>0</v>
      </c>
      <c r="N82" s="207">
        <v>-174476.02184680657</v>
      </c>
      <c r="O82" s="207">
        <v>-16414.532376143674</v>
      </c>
      <c r="P82" s="200"/>
      <c r="Q82" s="207">
        <v>-2727649.6766552334</v>
      </c>
      <c r="R82" s="207">
        <v>-7468.0693840434187</v>
      </c>
      <c r="S82" s="207">
        <v>-202806.90434631929</v>
      </c>
      <c r="T82" s="207">
        <f>SUM(Q82:S82)</f>
        <v>-2937924.6503855963</v>
      </c>
      <c r="U82" s="207">
        <f>SUM(Q82:R82)</f>
        <v>-2735117.7460392769</v>
      </c>
      <c r="V82" s="200"/>
      <c r="W82" s="200"/>
      <c r="X82" s="200"/>
      <c r="Y82" s="200"/>
    </row>
    <row r="83" spans="1:25" s="199" customFormat="1" ht="15" x14ac:dyDescent="0.25">
      <c r="A83" s="199">
        <f t="shared" si="11"/>
        <v>76</v>
      </c>
      <c r="B83" s="206" t="s">
        <v>363</v>
      </c>
      <c r="C83" s="199" t="s">
        <v>364</v>
      </c>
      <c r="D83" s="200" t="s">
        <v>208</v>
      </c>
      <c r="E83" s="207">
        <v>-383876104.99806446</v>
      </c>
      <c r="F83" s="207">
        <v>-188864587.22812593</v>
      </c>
      <c r="G83" s="207">
        <v>-46226883.201934256</v>
      </c>
      <c r="H83" s="207">
        <v>-46647711.122006468</v>
      </c>
      <c r="I83" s="207">
        <v>-30147428.614769027</v>
      </c>
      <c r="J83" s="207">
        <v>-21445466.308717337</v>
      </c>
      <c r="K83" s="207">
        <v>-9375013.6039809231</v>
      </c>
      <c r="L83" s="207">
        <v>-8992348.366872536</v>
      </c>
      <c r="M83" s="207">
        <v>-30780633.462605145</v>
      </c>
      <c r="N83" s="207">
        <v>-1275835.6300586821</v>
      </c>
      <c r="O83" s="207">
        <v>-120197.4589941848</v>
      </c>
      <c r="P83" s="200"/>
      <c r="Q83" s="207">
        <v>-19919736.45867797</v>
      </c>
      <c r="R83" s="207">
        <v>-54190.202058607727</v>
      </c>
      <c r="S83" s="207">
        <v>-1471539.6479807578</v>
      </c>
      <c r="T83" s="207">
        <f>SUM(Q83:S83)</f>
        <v>-21445466.308717337</v>
      </c>
      <c r="U83" s="207">
        <f>SUM(Q83:R83)</f>
        <v>-19973926.660736579</v>
      </c>
      <c r="V83" s="200"/>
      <c r="W83" s="200"/>
      <c r="X83" s="200"/>
      <c r="Y83" s="200"/>
    </row>
    <row r="84" spans="1:25" s="199" customFormat="1" ht="15" x14ac:dyDescent="0.25">
      <c r="A84" s="199">
        <f t="shared" si="11"/>
        <v>77</v>
      </c>
      <c r="B84" s="206" t="s">
        <v>365</v>
      </c>
      <c r="C84" s="199" t="s">
        <v>366</v>
      </c>
      <c r="D84" s="200" t="s">
        <v>210</v>
      </c>
      <c r="E84" s="207">
        <v>-184422</v>
      </c>
      <c r="F84" s="207">
        <v>0</v>
      </c>
      <c r="G84" s="207">
        <v>0</v>
      </c>
      <c r="H84" s="207">
        <v>0</v>
      </c>
      <c r="I84" s="207">
        <v>0</v>
      </c>
      <c r="J84" s="207">
        <v>0</v>
      </c>
      <c r="K84" s="207">
        <v>0</v>
      </c>
      <c r="L84" s="207">
        <v>0</v>
      </c>
      <c r="M84" s="207">
        <v>-184422</v>
      </c>
      <c r="N84" s="207">
        <v>0</v>
      </c>
      <c r="O84" s="207">
        <v>0</v>
      </c>
      <c r="P84" s="200"/>
      <c r="Q84" s="207">
        <v>0</v>
      </c>
      <c r="R84" s="207">
        <v>0</v>
      </c>
      <c r="S84" s="207">
        <v>0</v>
      </c>
      <c r="T84" s="207">
        <f>SUM(Q84:S84)</f>
        <v>0</v>
      </c>
      <c r="U84" s="207">
        <f>SUM(Q84:R84)</f>
        <v>0</v>
      </c>
      <c r="V84" s="200"/>
      <c r="W84" s="200"/>
      <c r="X84" s="200"/>
      <c r="Y84" s="200"/>
    </row>
    <row r="85" spans="1:25" s="199" customFormat="1" x14ac:dyDescent="0.2">
      <c r="A85" s="208">
        <f>+A84+1</f>
        <v>78</v>
      </c>
      <c r="B85" s="209"/>
      <c r="C85" s="208" t="s">
        <v>202</v>
      </c>
      <c r="D85" s="210"/>
      <c r="E85" s="211">
        <f t="shared" ref="E85:U85" si="14">SUM(E82:E84)</f>
        <v>-432335019.99806446</v>
      </c>
      <c r="F85" s="211">
        <f t="shared" si="14"/>
        <v>-214656812.44138288</v>
      </c>
      <c r="G85" s="211">
        <f t="shared" si="14"/>
        <v>-52550109.872490637</v>
      </c>
      <c r="H85" s="211">
        <f t="shared" si="14"/>
        <v>-53032027.203092784</v>
      </c>
      <c r="I85" s="211">
        <f t="shared" si="14"/>
        <v>-34276522.295232415</v>
      </c>
      <c r="J85" s="211">
        <f t="shared" si="14"/>
        <v>-24383390.959102932</v>
      </c>
      <c r="K85" s="211">
        <f t="shared" si="14"/>
        <v>-10659137.752523653</v>
      </c>
      <c r="L85" s="211">
        <f t="shared" si="14"/>
        <v>-10225040.368358232</v>
      </c>
      <c r="M85" s="211">
        <f t="shared" si="14"/>
        <v>-30965055.462605145</v>
      </c>
      <c r="N85" s="211">
        <f t="shared" si="14"/>
        <v>-1450311.6519054887</v>
      </c>
      <c r="O85" s="211">
        <f t="shared" si="14"/>
        <v>-136611.99137032847</v>
      </c>
      <c r="P85" s="200"/>
      <c r="Q85" s="211">
        <f t="shared" si="14"/>
        <v>-22647386.135333203</v>
      </c>
      <c r="R85" s="211">
        <f t="shared" si="14"/>
        <v>-61658.271442651145</v>
      </c>
      <c r="S85" s="211">
        <f t="shared" si="14"/>
        <v>-1674346.5523270771</v>
      </c>
      <c r="T85" s="211">
        <f t="shared" si="14"/>
        <v>-24383390.959102932</v>
      </c>
      <c r="U85" s="211">
        <f t="shared" si="14"/>
        <v>-22709044.406775855</v>
      </c>
      <c r="V85" s="200"/>
      <c r="W85" s="200"/>
      <c r="X85" s="200"/>
      <c r="Y85" s="200"/>
    </row>
    <row r="86" spans="1:25" s="199" customFormat="1" ht="15" x14ac:dyDescent="0.25">
      <c r="A86" s="199">
        <f t="shared" si="11"/>
        <v>79</v>
      </c>
      <c r="B86" s="206"/>
      <c r="D86" s="200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0"/>
      <c r="Q86" s="207"/>
      <c r="R86" s="207"/>
      <c r="S86" s="207"/>
      <c r="T86" s="207"/>
      <c r="U86" s="207"/>
      <c r="V86" s="200"/>
      <c r="W86" s="200"/>
      <c r="X86" s="200"/>
      <c r="Y86" s="200"/>
    </row>
    <row r="87" spans="1:25" s="199" customFormat="1" ht="15" x14ac:dyDescent="0.25">
      <c r="A87" s="199">
        <f t="shared" si="11"/>
        <v>80</v>
      </c>
      <c r="B87" s="206"/>
      <c r="C87" s="205" t="s">
        <v>211</v>
      </c>
      <c r="D87" s="200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0"/>
      <c r="Q87" s="207"/>
      <c r="R87" s="207"/>
      <c r="S87" s="207"/>
      <c r="T87" s="207"/>
      <c r="U87" s="207"/>
      <c r="V87" s="200"/>
      <c r="W87" s="200"/>
      <c r="X87" s="200"/>
      <c r="Y87" s="200"/>
    </row>
    <row r="88" spans="1:25" s="199" customFormat="1" ht="15" x14ac:dyDescent="0.25">
      <c r="A88" s="199">
        <f t="shared" si="11"/>
        <v>81</v>
      </c>
      <c r="B88" s="206" t="s">
        <v>367</v>
      </c>
      <c r="C88" s="199" t="s">
        <v>368</v>
      </c>
      <c r="D88" s="200" t="s">
        <v>369</v>
      </c>
      <c r="E88" s="207">
        <v>-10855.815574864511</v>
      </c>
      <c r="F88" s="207">
        <v>0</v>
      </c>
      <c r="G88" s="207">
        <v>0</v>
      </c>
      <c r="H88" s="207">
        <v>0</v>
      </c>
      <c r="I88" s="207">
        <v>0</v>
      </c>
      <c r="J88" s="207">
        <v>0</v>
      </c>
      <c r="K88" s="207">
        <v>0</v>
      </c>
      <c r="L88" s="207">
        <v>-10855.815574864511</v>
      </c>
      <c r="M88" s="207">
        <v>0</v>
      </c>
      <c r="N88" s="207">
        <v>0</v>
      </c>
      <c r="O88" s="207">
        <v>0</v>
      </c>
      <c r="P88" s="200"/>
      <c r="Q88" s="207">
        <v>0</v>
      </c>
      <c r="R88" s="207">
        <v>0</v>
      </c>
      <c r="S88" s="207">
        <v>0</v>
      </c>
      <c r="T88" s="207">
        <f t="shared" ref="T88:T108" si="15">SUM(Q88:S88)</f>
        <v>0</v>
      </c>
      <c r="U88" s="207">
        <f t="shared" ref="U88:U108" si="16">SUM(Q88:R88)</f>
        <v>0</v>
      </c>
      <c r="V88" s="200"/>
      <c r="W88" s="200"/>
      <c r="X88" s="200"/>
      <c r="Y88" s="200"/>
    </row>
    <row r="89" spans="1:25" s="199" customFormat="1" ht="15" x14ac:dyDescent="0.25">
      <c r="A89" s="199">
        <f t="shared" si="11"/>
        <v>82</v>
      </c>
      <c r="B89" s="206" t="s">
        <v>370</v>
      </c>
      <c r="C89" s="199" t="s">
        <v>371</v>
      </c>
      <c r="D89" s="200" t="s">
        <v>215</v>
      </c>
      <c r="E89" s="207">
        <v>-3040502.8237297074</v>
      </c>
      <c r="F89" s="207">
        <v>-1244798.4949166856</v>
      </c>
      <c r="G89" s="207">
        <v>-486715.04700845573</v>
      </c>
      <c r="H89" s="207">
        <v>-612276.4416678492</v>
      </c>
      <c r="I89" s="207">
        <v>-347648.48707669863</v>
      </c>
      <c r="J89" s="207">
        <v>-346351.30037344451</v>
      </c>
      <c r="K89" s="207">
        <v>0</v>
      </c>
      <c r="L89" s="207">
        <v>0</v>
      </c>
      <c r="M89" s="207">
        <v>0</v>
      </c>
      <c r="N89" s="207">
        <v>-2512.1031091175555</v>
      </c>
      <c r="O89" s="207">
        <v>-200.94957745623773</v>
      </c>
      <c r="P89" s="200"/>
      <c r="Q89" s="207">
        <v>-329744.13645535387</v>
      </c>
      <c r="R89" s="207">
        <v>-61.731896907287904</v>
      </c>
      <c r="S89" s="207">
        <v>-16545.432021183369</v>
      </c>
      <c r="T89" s="207">
        <f t="shared" si="15"/>
        <v>-346351.30037344451</v>
      </c>
      <c r="U89" s="207">
        <f t="shared" si="16"/>
        <v>-329805.86835226114</v>
      </c>
      <c r="V89" s="200"/>
      <c r="W89" s="200"/>
      <c r="X89" s="200"/>
      <c r="Y89" s="200"/>
    </row>
    <row r="90" spans="1:25" s="199" customFormat="1" ht="15" x14ac:dyDescent="0.25">
      <c r="A90" s="199">
        <f t="shared" si="11"/>
        <v>83</v>
      </c>
      <c r="B90" s="206" t="s">
        <v>372</v>
      </c>
      <c r="C90" s="199" t="s">
        <v>216</v>
      </c>
      <c r="D90" s="200" t="s">
        <v>373</v>
      </c>
      <c r="E90" s="207">
        <v>-217582.35384405742</v>
      </c>
      <c r="F90" s="207">
        <v>0</v>
      </c>
      <c r="G90" s="207">
        <v>0</v>
      </c>
      <c r="H90" s="207">
        <v>0</v>
      </c>
      <c r="I90" s="207">
        <v>0</v>
      </c>
      <c r="J90" s="207">
        <v>-9600.18</v>
      </c>
      <c r="K90" s="207">
        <v>-70878.129150457404</v>
      </c>
      <c r="L90" s="207">
        <v>-51224.674693600005</v>
      </c>
      <c r="M90" s="207">
        <v>-85879.37</v>
      </c>
      <c r="N90" s="207">
        <v>0</v>
      </c>
      <c r="O90" s="207">
        <v>0</v>
      </c>
      <c r="P90" s="200"/>
      <c r="Q90" s="207">
        <v>-9600.18</v>
      </c>
      <c r="R90" s="207">
        <v>0</v>
      </c>
      <c r="S90" s="207">
        <v>0</v>
      </c>
      <c r="T90" s="207">
        <f t="shared" si="15"/>
        <v>-9600.18</v>
      </c>
      <c r="U90" s="207">
        <f t="shared" si="16"/>
        <v>-9600.18</v>
      </c>
      <c r="V90" s="200"/>
      <c r="W90" s="200"/>
      <c r="X90" s="200"/>
      <c r="Y90" s="200"/>
    </row>
    <row r="91" spans="1:25" s="199" customFormat="1" ht="15" x14ac:dyDescent="0.25">
      <c r="A91" s="199">
        <f t="shared" si="11"/>
        <v>84</v>
      </c>
      <c r="B91" s="206" t="s">
        <v>374</v>
      </c>
      <c r="C91" s="199" t="s">
        <v>218</v>
      </c>
      <c r="D91" s="200" t="s">
        <v>219</v>
      </c>
      <c r="E91" s="207">
        <v>-2040036.9785256782</v>
      </c>
      <c r="F91" s="207">
        <v>-1011881.3161263148</v>
      </c>
      <c r="G91" s="207">
        <v>-297959.50242396386</v>
      </c>
      <c r="H91" s="207">
        <v>-357903.65942521865</v>
      </c>
      <c r="I91" s="207">
        <v>-223220.36345395062</v>
      </c>
      <c r="J91" s="207">
        <v>-147066.27739040335</v>
      </c>
      <c r="K91" s="207">
        <v>0</v>
      </c>
      <c r="L91" s="207">
        <v>0</v>
      </c>
      <c r="M91" s="207">
        <v>0</v>
      </c>
      <c r="N91" s="207">
        <v>-1786.5734040847194</v>
      </c>
      <c r="O91" s="207">
        <v>-219.28630174209979</v>
      </c>
      <c r="P91" s="200"/>
      <c r="Q91" s="207">
        <v>-129092.38789408363</v>
      </c>
      <c r="R91" s="207">
        <v>0</v>
      </c>
      <c r="S91" s="207">
        <v>-17973.889496319724</v>
      </c>
      <c r="T91" s="207">
        <f t="shared" si="15"/>
        <v>-147066.27739040335</v>
      </c>
      <c r="U91" s="207">
        <f t="shared" si="16"/>
        <v>-129092.38789408363</v>
      </c>
      <c r="V91" s="200"/>
      <c r="W91" s="200"/>
      <c r="X91" s="200"/>
      <c r="Y91" s="200"/>
    </row>
    <row r="92" spans="1:25" s="199" customFormat="1" ht="15" x14ac:dyDescent="0.25">
      <c r="A92" s="199">
        <f t="shared" si="11"/>
        <v>85</v>
      </c>
      <c r="B92" s="206" t="s">
        <v>375</v>
      </c>
      <c r="C92" s="199" t="s">
        <v>220</v>
      </c>
      <c r="D92" s="200" t="s">
        <v>376</v>
      </c>
      <c r="E92" s="207">
        <v>-11333149.728808075</v>
      </c>
      <c r="F92" s="207">
        <v>0</v>
      </c>
      <c r="G92" s="207">
        <v>0</v>
      </c>
      <c r="H92" s="207">
        <v>0</v>
      </c>
      <c r="I92" s="207">
        <v>0</v>
      </c>
      <c r="J92" s="207">
        <v>-638813.49372105312</v>
      </c>
      <c r="K92" s="207">
        <v>-3466089.8366098646</v>
      </c>
      <c r="L92" s="207">
        <v>-3880379.2749589193</v>
      </c>
      <c r="M92" s="207">
        <v>-3347867.1235182378</v>
      </c>
      <c r="N92" s="207">
        <v>0</v>
      </c>
      <c r="O92" s="207">
        <v>0</v>
      </c>
      <c r="P92" s="200"/>
      <c r="Q92" s="207">
        <v>-638813.49372105312</v>
      </c>
      <c r="R92" s="207">
        <v>0</v>
      </c>
      <c r="S92" s="207">
        <v>0</v>
      </c>
      <c r="T92" s="207">
        <f t="shared" si="15"/>
        <v>-638813.49372105312</v>
      </c>
      <c r="U92" s="207">
        <f t="shared" si="16"/>
        <v>-638813.49372105312</v>
      </c>
      <c r="V92" s="200"/>
      <c r="W92" s="200"/>
      <c r="X92" s="200"/>
      <c r="Y92" s="200"/>
    </row>
    <row r="93" spans="1:25" s="199" customFormat="1" ht="15" x14ac:dyDescent="0.25">
      <c r="A93" s="199">
        <f t="shared" si="11"/>
        <v>86</v>
      </c>
      <c r="B93" s="206" t="s">
        <v>377</v>
      </c>
      <c r="C93" s="199" t="s">
        <v>222</v>
      </c>
      <c r="D93" s="200" t="s">
        <v>223</v>
      </c>
      <c r="E93" s="207">
        <v>-111573268.02555588</v>
      </c>
      <c r="F93" s="207">
        <v>-60760039.515003785</v>
      </c>
      <c r="G93" s="207">
        <v>-15718372.60091578</v>
      </c>
      <c r="H93" s="207">
        <v>-16929194.055676185</v>
      </c>
      <c r="I93" s="207">
        <v>-9595251.9117936473</v>
      </c>
      <c r="J93" s="207">
        <v>-8430859.5184773076</v>
      </c>
      <c r="K93" s="207">
        <v>0</v>
      </c>
      <c r="L93" s="207">
        <v>0</v>
      </c>
      <c r="M93" s="207">
        <v>0</v>
      </c>
      <c r="N93" s="207">
        <v>-107590.29298238087</v>
      </c>
      <c r="O93" s="207">
        <v>-31960.130706800002</v>
      </c>
      <c r="P93" s="200"/>
      <c r="Q93" s="207">
        <v>-7442023.5922576105</v>
      </c>
      <c r="R93" s="207">
        <v>-27190.309774409896</v>
      </c>
      <c r="S93" s="207">
        <v>-961645.61644528643</v>
      </c>
      <c r="T93" s="207">
        <f t="shared" si="15"/>
        <v>-8430859.5184773076</v>
      </c>
      <c r="U93" s="207">
        <f t="shared" si="16"/>
        <v>-7469213.9020320205</v>
      </c>
      <c r="V93" s="200"/>
      <c r="W93" s="200"/>
      <c r="X93" s="200"/>
      <c r="Y93" s="200"/>
    </row>
    <row r="94" spans="1:25" s="199" customFormat="1" ht="15" x14ac:dyDescent="0.25">
      <c r="A94" s="199">
        <f t="shared" si="11"/>
        <v>87</v>
      </c>
      <c r="B94" s="206" t="s">
        <v>378</v>
      </c>
      <c r="C94" s="199" t="s">
        <v>224</v>
      </c>
      <c r="D94" s="200" t="s">
        <v>223</v>
      </c>
      <c r="E94" s="207">
        <v>-227790.68922477314</v>
      </c>
      <c r="F94" s="207">
        <v>-124049.16987173825</v>
      </c>
      <c r="G94" s="207">
        <v>-32091.010612275706</v>
      </c>
      <c r="H94" s="207">
        <v>-34563.053052090589</v>
      </c>
      <c r="I94" s="207">
        <v>-19589.898951173142</v>
      </c>
      <c r="J94" s="207">
        <v>-17212.647208929116</v>
      </c>
      <c r="K94" s="207">
        <v>0</v>
      </c>
      <c r="L94" s="207">
        <v>0</v>
      </c>
      <c r="M94" s="207">
        <v>0</v>
      </c>
      <c r="N94" s="207">
        <v>-219.65895080475937</v>
      </c>
      <c r="O94" s="207">
        <v>-65.250577761585987</v>
      </c>
      <c r="P94" s="200"/>
      <c r="Q94" s="207">
        <v>-15193.815806480561</v>
      </c>
      <c r="R94" s="207">
        <v>-55.512395696155899</v>
      </c>
      <c r="S94" s="207">
        <v>-1963.3190067523997</v>
      </c>
      <c r="T94" s="207">
        <f t="shared" si="15"/>
        <v>-17212.647208929116</v>
      </c>
      <c r="U94" s="207">
        <f t="shared" si="16"/>
        <v>-15249.328202176717</v>
      </c>
      <c r="V94" s="200"/>
      <c r="W94" s="200"/>
      <c r="X94" s="200"/>
      <c r="Y94" s="200"/>
    </row>
    <row r="95" spans="1:25" s="199" customFormat="1" ht="15" x14ac:dyDescent="0.25">
      <c r="A95" s="199">
        <f t="shared" si="11"/>
        <v>88</v>
      </c>
      <c r="B95" s="206" t="s">
        <v>379</v>
      </c>
      <c r="C95" s="199" t="s">
        <v>226</v>
      </c>
      <c r="D95" s="200" t="s">
        <v>227</v>
      </c>
      <c r="E95" s="207">
        <v>-144225615.37689239</v>
      </c>
      <c r="F95" s="207">
        <v>-97974985.345824569</v>
      </c>
      <c r="G95" s="207">
        <v>-18786464.229162455</v>
      </c>
      <c r="H95" s="207">
        <v>-14512707.802690772</v>
      </c>
      <c r="I95" s="207">
        <v>-6047251.5370598324</v>
      </c>
      <c r="J95" s="207">
        <v>-6707473.6194287073</v>
      </c>
      <c r="K95" s="207">
        <v>0</v>
      </c>
      <c r="L95" s="207">
        <v>0</v>
      </c>
      <c r="M95" s="207">
        <v>0</v>
      </c>
      <c r="N95" s="207">
        <v>-94379.573039555791</v>
      </c>
      <c r="O95" s="207">
        <v>-102353.26968652286</v>
      </c>
      <c r="P95" s="200"/>
      <c r="Q95" s="207">
        <v>-5151297.9865460778</v>
      </c>
      <c r="R95" s="207">
        <v>-115401.13692701445</v>
      </c>
      <c r="S95" s="207">
        <v>-1440774.4959556151</v>
      </c>
      <c r="T95" s="207">
        <f t="shared" si="15"/>
        <v>-6707473.6194287073</v>
      </c>
      <c r="U95" s="207">
        <f t="shared" si="16"/>
        <v>-5266699.123473092</v>
      </c>
      <c r="V95" s="200"/>
      <c r="W95" s="200"/>
      <c r="X95" s="200"/>
      <c r="Y95" s="200"/>
    </row>
    <row r="96" spans="1:25" s="199" customFormat="1" ht="15" x14ac:dyDescent="0.25">
      <c r="A96" s="199">
        <f t="shared" si="11"/>
        <v>89</v>
      </c>
      <c r="B96" s="206" t="s">
        <v>380</v>
      </c>
      <c r="C96" s="199" t="s">
        <v>381</v>
      </c>
      <c r="D96" s="200" t="s">
        <v>382</v>
      </c>
      <c r="E96" s="207">
        <v>-1425400.0629863495</v>
      </c>
      <c r="F96" s="207">
        <v>0</v>
      </c>
      <c r="G96" s="207">
        <v>0</v>
      </c>
      <c r="H96" s="207">
        <v>0</v>
      </c>
      <c r="I96" s="207">
        <v>0</v>
      </c>
      <c r="J96" s="207">
        <v>0</v>
      </c>
      <c r="K96" s="207">
        <v>-1425400.0629863495</v>
      </c>
      <c r="L96" s="207">
        <v>0</v>
      </c>
      <c r="M96" s="207">
        <v>0</v>
      </c>
      <c r="N96" s="207">
        <v>0</v>
      </c>
      <c r="O96" s="207">
        <v>0</v>
      </c>
      <c r="P96" s="200"/>
      <c r="Q96" s="207">
        <v>0</v>
      </c>
      <c r="R96" s="207">
        <v>0</v>
      </c>
      <c r="S96" s="207">
        <v>0</v>
      </c>
      <c r="T96" s="207">
        <f t="shared" si="15"/>
        <v>0</v>
      </c>
      <c r="U96" s="207">
        <f t="shared" si="16"/>
        <v>0</v>
      </c>
      <c r="V96" s="200"/>
      <c r="W96" s="200"/>
      <c r="X96" s="200"/>
      <c r="Y96" s="200"/>
    </row>
    <row r="97" spans="1:25" s="199" customFormat="1" ht="15" x14ac:dyDescent="0.25">
      <c r="A97" s="199">
        <f t="shared" si="11"/>
        <v>90</v>
      </c>
      <c r="B97" s="206" t="s">
        <v>383</v>
      </c>
      <c r="C97" s="199" t="s">
        <v>230</v>
      </c>
      <c r="D97" s="200" t="s">
        <v>227</v>
      </c>
      <c r="E97" s="207">
        <v>-118834570.91214804</v>
      </c>
      <c r="F97" s="207">
        <v>-80726404.344123542</v>
      </c>
      <c r="G97" s="207">
        <v>-15479090.935372241</v>
      </c>
      <c r="H97" s="207">
        <v>-11957733.02820974</v>
      </c>
      <c r="I97" s="207">
        <v>-4982627.6679521762</v>
      </c>
      <c r="J97" s="207">
        <v>-5526617.0810672082</v>
      </c>
      <c r="K97" s="207">
        <v>0</v>
      </c>
      <c r="L97" s="207">
        <v>0</v>
      </c>
      <c r="M97" s="207">
        <v>0</v>
      </c>
      <c r="N97" s="207">
        <v>-77763.967487458445</v>
      </c>
      <c r="O97" s="207">
        <v>-84333.887935707637</v>
      </c>
      <c r="P97" s="200"/>
      <c r="Q97" s="207">
        <v>-4244407.5157670872</v>
      </c>
      <c r="R97" s="207">
        <v>-95084.666851024464</v>
      </c>
      <c r="S97" s="207">
        <v>-1187124.8984490968</v>
      </c>
      <c r="T97" s="207">
        <f t="shared" si="15"/>
        <v>-5526617.0810672082</v>
      </c>
      <c r="U97" s="207">
        <f t="shared" si="16"/>
        <v>-4339492.1826181114</v>
      </c>
      <c r="V97" s="200"/>
      <c r="W97" s="200"/>
      <c r="X97" s="200"/>
      <c r="Y97" s="200"/>
    </row>
    <row r="98" spans="1:25" s="199" customFormat="1" ht="15" x14ac:dyDescent="0.25">
      <c r="A98" s="199">
        <f t="shared" si="11"/>
        <v>91</v>
      </c>
      <c r="B98" s="206" t="s">
        <v>384</v>
      </c>
      <c r="C98" s="199" t="s">
        <v>385</v>
      </c>
      <c r="D98" s="200" t="s">
        <v>386</v>
      </c>
      <c r="E98" s="207">
        <v>-17302931.116034426</v>
      </c>
      <c r="F98" s="207">
        <v>0</v>
      </c>
      <c r="G98" s="207">
        <v>0</v>
      </c>
      <c r="H98" s="207">
        <v>0</v>
      </c>
      <c r="I98" s="207">
        <v>0</v>
      </c>
      <c r="J98" s="207">
        <v>0</v>
      </c>
      <c r="K98" s="207">
        <v>-15728319.098034427</v>
      </c>
      <c r="L98" s="207">
        <v>-1574612.0180000002</v>
      </c>
      <c r="M98" s="207">
        <v>0</v>
      </c>
      <c r="N98" s="207">
        <v>0</v>
      </c>
      <c r="O98" s="207">
        <v>0</v>
      </c>
      <c r="P98" s="200"/>
      <c r="Q98" s="207">
        <v>0</v>
      </c>
      <c r="R98" s="207">
        <v>0</v>
      </c>
      <c r="S98" s="207">
        <v>0</v>
      </c>
      <c r="T98" s="207">
        <f t="shared" si="15"/>
        <v>0</v>
      </c>
      <c r="U98" s="207">
        <f t="shared" si="16"/>
        <v>0</v>
      </c>
      <c r="V98" s="200"/>
      <c r="W98" s="200"/>
      <c r="X98" s="200"/>
      <c r="Y98" s="200"/>
    </row>
    <row r="99" spans="1:25" s="199" customFormat="1" ht="15" x14ac:dyDescent="0.25">
      <c r="A99" s="199">
        <f t="shared" si="11"/>
        <v>92</v>
      </c>
      <c r="B99" s="206" t="s">
        <v>387</v>
      </c>
      <c r="C99" s="199" t="s">
        <v>388</v>
      </c>
      <c r="D99" s="200" t="s">
        <v>234</v>
      </c>
      <c r="E99" s="207">
        <v>-235450144.24281502</v>
      </c>
      <c r="F99" s="207">
        <v>-157195144.9656111</v>
      </c>
      <c r="G99" s="207">
        <v>-29088844.813018952</v>
      </c>
      <c r="H99" s="207">
        <v>-26845500.276442006</v>
      </c>
      <c r="I99" s="207">
        <v>-11527498.375532042</v>
      </c>
      <c r="J99" s="207">
        <v>-10615809.683356624</v>
      </c>
      <c r="K99" s="207">
        <v>0</v>
      </c>
      <c r="L99" s="207">
        <v>0</v>
      </c>
      <c r="M99" s="207">
        <v>0</v>
      </c>
      <c r="N99" s="207">
        <v>-115190.99032487518</v>
      </c>
      <c r="O99" s="207">
        <v>-62155.138529463904</v>
      </c>
      <c r="P99" s="200"/>
      <c r="Q99" s="207">
        <v>-7846906.2534224363</v>
      </c>
      <c r="R99" s="207">
        <v>-87353.167663030355</v>
      </c>
      <c r="S99" s="207">
        <v>-2681550.262271157</v>
      </c>
      <c r="T99" s="207">
        <f t="shared" si="15"/>
        <v>-10615809.683356624</v>
      </c>
      <c r="U99" s="207">
        <f t="shared" si="16"/>
        <v>-7934259.4210854666</v>
      </c>
      <c r="V99" s="200"/>
      <c r="W99" s="200"/>
      <c r="X99" s="200"/>
      <c r="Y99" s="200"/>
    </row>
    <row r="100" spans="1:25" s="199" customFormat="1" ht="15" x14ac:dyDescent="0.25">
      <c r="A100" s="199">
        <f t="shared" si="11"/>
        <v>93</v>
      </c>
      <c r="B100" s="206" t="s">
        <v>389</v>
      </c>
      <c r="C100" s="199" t="s">
        <v>390</v>
      </c>
      <c r="D100" s="200" t="s">
        <v>234</v>
      </c>
      <c r="E100" s="207">
        <v>-339678468.295748</v>
      </c>
      <c r="F100" s="207">
        <v>-226781793.81525803</v>
      </c>
      <c r="G100" s="207">
        <v>-41965802.494429842</v>
      </c>
      <c r="H100" s="207">
        <v>-38729381.304310538</v>
      </c>
      <c r="I100" s="207">
        <v>-16630454.842466876</v>
      </c>
      <c r="J100" s="207">
        <v>-15315182.6878602</v>
      </c>
      <c r="K100" s="207">
        <v>0</v>
      </c>
      <c r="L100" s="207">
        <v>0</v>
      </c>
      <c r="M100" s="207">
        <v>0</v>
      </c>
      <c r="N100" s="207">
        <v>-166183.37304848753</v>
      </c>
      <c r="O100" s="207">
        <v>-89669.778374079731</v>
      </c>
      <c r="P100" s="200"/>
      <c r="Q100" s="207">
        <v>-11320549.858207181</v>
      </c>
      <c r="R100" s="207">
        <v>-126022.39122843639</v>
      </c>
      <c r="S100" s="207">
        <v>-3868610.4384245831</v>
      </c>
      <c r="T100" s="207">
        <f t="shared" si="15"/>
        <v>-15315182.6878602</v>
      </c>
      <c r="U100" s="207">
        <f t="shared" si="16"/>
        <v>-11446572.249435617</v>
      </c>
      <c r="V100" s="200"/>
      <c r="W100" s="200"/>
      <c r="X100" s="200"/>
      <c r="Y100" s="200"/>
    </row>
    <row r="101" spans="1:25" s="199" customFormat="1" ht="15" x14ac:dyDescent="0.25">
      <c r="A101" s="199">
        <f t="shared" si="11"/>
        <v>94</v>
      </c>
      <c r="B101" s="206" t="s">
        <v>391</v>
      </c>
      <c r="C101" s="199" t="s">
        <v>392</v>
      </c>
      <c r="D101" s="200" t="s">
        <v>243</v>
      </c>
      <c r="E101" s="207">
        <v>-1583893</v>
      </c>
      <c r="F101" s="207">
        <v>0</v>
      </c>
      <c r="G101" s="207">
        <v>0</v>
      </c>
      <c r="H101" s="207">
        <v>0</v>
      </c>
      <c r="I101" s="207">
        <v>0</v>
      </c>
      <c r="J101" s="207">
        <v>-460705.027493676</v>
      </c>
      <c r="K101" s="207">
        <v>-1112807.1882335208</v>
      </c>
      <c r="L101" s="207">
        <v>0</v>
      </c>
      <c r="M101" s="207">
        <v>0</v>
      </c>
      <c r="N101" s="207">
        <v>0</v>
      </c>
      <c r="O101" s="207">
        <v>-10380.784272803099</v>
      </c>
      <c r="P101" s="200"/>
      <c r="Q101" s="207">
        <v>-435418.46712076809</v>
      </c>
      <c r="R101" s="207">
        <v>0</v>
      </c>
      <c r="S101" s="207">
        <v>-25286.560372907912</v>
      </c>
      <c r="T101" s="207">
        <f t="shared" si="15"/>
        <v>-460705.027493676</v>
      </c>
      <c r="U101" s="207">
        <f t="shared" si="16"/>
        <v>-435418.46712076809</v>
      </c>
      <c r="V101" s="200"/>
      <c r="W101" s="200"/>
      <c r="X101" s="200"/>
      <c r="Y101" s="200"/>
    </row>
    <row r="102" spans="1:25" s="199" customFormat="1" ht="15" x14ac:dyDescent="0.25">
      <c r="A102" s="199">
        <f t="shared" si="11"/>
        <v>95</v>
      </c>
      <c r="B102" s="206" t="s">
        <v>393</v>
      </c>
      <c r="C102" s="199" t="s">
        <v>394</v>
      </c>
      <c r="D102" s="200" t="s">
        <v>238</v>
      </c>
      <c r="E102" s="207">
        <v>-61577305</v>
      </c>
      <c r="F102" s="207">
        <v>-44972551.122519948</v>
      </c>
      <c r="G102" s="207">
        <v>-7049229.6209489135</v>
      </c>
      <c r="H102" s="207">
        <v>-904067.07413564518</v>
      </c>
      <c r="I102" s="207">
        <v>-11476.687412836089</v>
      </c>
      <c r="J102" s="207">
        <v>0</v>
      </c>
      <c r="K102" s="207">
        <v>0</v>
      </c>
      <c r="L102" s="207">
        <v>0</v>
      </c>
      <c r="M102" s="207">
        <v>0</v>
      </c>
      <c r="N102" s="207">
        <v>-8639980.4949826598</v>
      </c>
      <c r="O102" s="207">
        <v>0</v>
      </c>
      <c r="P102" s="200"/>
      <c r="Q102" s="207">
        <v>0</v>
      </c>
      <c r="R102" s="207">
        <v>0</v>
      </c>
      <c r="S102" s="207">
        <v>0</v>
      </c>
      <c r="T102" s="207">
        <f t="shared" si="15"/>
        <v>0</v>
      </c>
      <c r="U102" s="207">
        <f t="shared" si="16"/>
        <v>0</v>
      </c>
      <c r="V102" s="200"/>
      <c r="W102" s="200"/>
      <c r="X102" s="200"/>
      <c r="Y102" s="200"/>
    </row>
    <row r="103" spans="1:25" s="199" customFormat="1" ht="15" x14ac:dyDescent="0.25">
      <c r="A103" s="199">
        <f t="shared" si="11"/>
        <v>96</v>
      </c>
      <c r="B103" s="206" t="s">
        <v>395</v>
      </c>
      <c r="C103" s="199" t="s">
        <v>396</v>
      </c>
      <c r="D103" s="200" t="s">
        <v>241</v>
      </c>
      <c r="E103" s="207">
        <v>-116562996.72550035</v>
      </c>
      <c r="F103" s="207">
        <v>-85735825.721352816</v>
      </c>
      <c r="G103" s="207">
        <v>-16894431.037521746</v>
      </c>
      <c r="H103" s="207">
        <v>-10227637.574900184</v>
      </c>
      <c r="I103" s="207">
        <v>-3429585.1715495922</v>
      </c>
      <c r="J103" s="207">
        <v>0</v>
      </c>
      <c r="K103" s="207">
        <v>0</v>
      </c>
      <c r="L103" s="207">
        <v>0</v>
      </c>
      <c r="M103" s="207">
        <v>0</v>
      </c>
      <c r="N103" s="207">
        <v>-268630.00525619544</v>
      </c>
      <c r="O103" s="207">
        <v>-6887.2149198142733</v>
      </c>
      <c r="P103" s="200"/>
      <c r="Q103" s="207">
        <v>0</v>
      </c>
      <c r="R103" s="207">
        <v>0</v>
      </c>
      <c r="S103" s="207">
        <v>0</v>
      </c>
      <c r="T103" s="207">
        <f t="shared" si="15"/>
        <v>0</v>
      </c>
      <c r="U103" s="207">
        <f t="shared" si="16"/>
        <v>0</v>
      </c>
      <c r="V103" s="200"/>
      <c r="W103" s="200"/>
      <c r="X103" s="200"/>
      <c r="Y103" s="200"/>
    </row>
    <row r="104" spans="1:25" s="199" customFormat="1" ht="15" x14ac:dyDescent="0.25">
      <c r="A104" s="199">
        <f t="shared" si="11"/>
        <v>97</v>
      </c>
      <c r="B104" s="206" t="s">
        <v>397</v>
      </c>
      <c r="C104" s="199" t="s">
        <v>398</v>
      </c>
      <c r="D104" s="200" t="s">
        <v>246</v>
      </c>
      <c r="E104" s="207">
        <v>-29187822</v>
      </c>
      <c r="F104" s="207">
        <v>-25319258.887396809</v>
      </c>
      <c r="G104" s="207">
        <v>-3734290.3102449775</v>
      </c>
      <c r="H104" s="207">
        <v>-132244.94989541383</v>
      </c>
      <c r="I104" s="207">
        <v>-2027.8524627993361</v>
      </c>
      <c r="J104" s="207">
        <v>0</v>
      </c>
      <c r="K104" s="207">
        <v>0</v>
      </c>
      <c r="L104" s="207">
        <v>0</v>
      </c>
      <c r="M104" s="207">
        <v>0</v>
      </c>
      <c r="N104" s="207">
        <v>0</v>
      </c>
      <c r="O104" s="207">
        <v>0</v>
      </c>
      <c r="P104" s="200"/>
      <c r="Q104" s="207">
        <v>0</v>
      </c>
      <c r="R104" s="207">
        <v>0</v>
      </c>
      <c r="S104" s="207">
        <v>0</v>
      </c>
      <c r="T104" s="207">
        <f t="shared" si="15"/>
        <v>0</v>
      </c>
      <c r="U104" s="207">
        <f t="shared" si="16"/>
        <v>0</v>
      </c>
      <c r="V104" s="200"/>
      <c r="W104" s="200"/>
      <c r="X104" s="200"/>
      <c r="Y104" s="200"/>
    </row>
    <row r="105" spans="1:25" s="199" customFormat="1" ht="15" x14ac:dyDescent="0.25">
      <c r="A105" s="199">
        <f t="shared" si="11"/>
        <v>98</v>
      </c>
      <c r="B105" s="206" t="s">
        <v>399</v>
      </c>
      <c r="C105" s="199" t="s">
        <v>400</v>
      </c>
      <c r="D105" s="200" t="s">
        <v>249</v>
      </c>
      <c r="E105" s="207">
        <v>-86306645.845380351</v>
      </c>
      <c r="F105" s="207">
        <v>-86306645.845380351</v>
      </c>
      <c r="G105" s="207">
        <v>0</v>
      </c>
      <c r="H105" s="207">
        <v>0</v>
      </c>
      <c r="I105" s="207">
        <v>0</v>
      </c>
      <c r="J105" s="207">
        <v>0</v>
      </c>
      <c r="K105" s="207">
        <v>0</v>
      </c>
      <c r="L105" s="207">
        <v>0</v>
      </c>
      <c r="M105" s="207">
        <v>0</v>
      </c>
      <c r="N105" s="207">
        <v>0</v>
      </c>
      <c r="O105" s="207">
        <v>0</v>
      </c>
      <c r="P105" s="200"/>
      <c r="Q105" s="207">
        <v>0</v>
      </c>
      <c r="R105" s="207">
        <v>0</v>
      </c>
      <c r="S105" s="207">
        <v>0</v>
      </c>
      <c r="T105" s="207">
        <f t="shared" si="15"/>
        <v>0</v>
      </c>
      <c r="U105" s="207">
        <f t="shared" si="16"/>
        <v>0</v>
      </c>
      <c r="V105" s="200"/>
      <c r="W105" s="200"/>
      <c r="X105" s="200"/>
      <c r="Y105" s="200"/>
    </row>
    <row r="106" spans="1:25" s="199" customFormat="1" ht="15" x14ac:dyDescent="0.25">
      <c r="A106" s="199">
        <f t="shared" si="11"/>
        <v>99</v>
      </c>
      <c r="B106" s="206" t="s">
        <v>401</v>
      </c>
      <c r="C106" s="199" t="s">
        <v>250</v>
      </c>
      <c r="D106" s="200" t="s">
        <v>402</v>
      </c>
      <c r="E106" s="207">
        <v>-42422979.190129757</v>
      </c>
      <c r="F106" s="207">
        <v>-27582183.899188787</v>
      </c>
      <c r="G106" s="207">
        <v>-7817629.7869631844</v>
      </c>
      <c r="H106" s="207">
        <v>-2125544.7506229454</v>
      </c>
      <c r="I106" s="207">
        <v>-242487.93468238821</v>
      </c>
      <c r="J106" s="207">
        <v>-4040318.0372069599</v>
      </c>
      <c r="K106" s="207">
        <v>-238866.37306087816</v>
      </c>
      <c r="L106" s="207">
        <v>-130587.91411274993</v>
      </c>
      <c r="M106" s="207">
        <v>-183386.68910476545</v>
      </c>
      <c r="N106" s="207">
        <v>0</v>
      </c>
      <c r="O106" s="207">
        <v>-61973.805187097249</v>
      </c>
      <c r="P106" s="200"/>
      <c r="Q106" s="207">
        <v>-2990492.2252311334</v>
      </c>
      <c r="R106" s="207">
        <v>-7011.3824116200367</v>
      </c>
      <c r="S106" s="207">
        <v>-1042814.4295642062</v>
      </c>
      <c r="T106" s="207">
        <f t="shared" si="15"/>
        <v>-4040318.0372069599</v>
      </c>
      <c r="U106" s="207">
        <f t="shared" si="16"/>
        <v>-2997503.6076427535</v>
      </c>
      <c r="V106" s="200"/>
      <c r="W106" s="200"/>
      <c r="X106" s="200"/>
      <c r="Y106" s="200"/>
    </row>
    <row r="107" spans="1:25" s="199" customFormat="1" ht="15" x14ac:dyDescent="0.25">
      <c r="A107" s="199">
        <f>+A106+1</f>
        <v>100</v>
      </c>
      <c r="B107" s="206" t="s">
        <v>403</v>
      </c>
      <c r="C107" s="199" t="s">
        <v>252</v>
      </c>
      <c r="D107" s="200" t="s">
        <v>253</v>
      </c>
      <c r="E107" s="207">
        <v>-20159019.939354461</v>
      </c>
      <c r="F107" s="207">
        <v>0</v>
      </c>
      <c r="G107" s="207">
        <v>0</v>
      </c>
      <c r="H107" s="207">
        <v>0</v>
      </c>
      <c r="I107" s="207">
        <v>0</v>
      </c>
      <c r="J107" s="207">
        <v>0</v>
      </c>
      <c r="K107" s="207">
        <v>0</v>
      </c>
      <c r="L107" s="207">
        <v>0</v>
      </c>
      <c r="M107" s="207">
        <v>0</v>
      </c>
      <c r="N107" s="207">
        <v>-20159019.939354461</v>
      </c>
      <c r="O107" s="207">
        <v>0</v>
      </c>
      <c r="P107" s="200"/>
      <c r="Q107" s="207">
        <v>0</v>
      </c>
      <c r="R107" s="207">
        <v>0</v>
      </c>
      <c r="S107" s="207">
        <v>0</v>
      </c>
      <c r="T107" s="207">
        <f t="shared" si="15"/>
        <v>0</v>
      </c>
      <c r="U107" s="207">
        <f t="shared" si="16"/>
        <v>0</v>
      </c>
      <c r="V107" s="200"/>
      <c r="W107" s="200"/>
      <c r="X107" s="200"/>
      <c r="Y107" s="200"/>
    </row>
    <row r="108" spans="1:25" s="199" customFormat="1" ht="15" x14ac:dyDescent="0.25">
      <c r="A108" s="199">
        <f>+A107+1</f>
        <v>101</v>
      </c>
      <c r="B108" s="206" t="s">
        <v>404</v>
      </c>
      <c r="C108" s="199" t="s">
        <v>254</v>
      </c>
      <c r="D108" s="200" t="s">
        <v>255</v>
      </c>
      <c r="E108" s="207">
        <v>-288060.25499999902</v>
      </c>
      <c r="F108" s="207">
        <v>-190447.80731188282</v>
      </c>
      <c r="G108" s="207">
        <v>-35668.665746533166</v>
      </c>
      <c r="H108" s="207">
        <v>-31082.24407778211</v>
      </c>
      <c r="I108" s="207">
        <v>-13226.857168624862</v>
      </c>
      <c r="J108" s="207">
        <v>-12920.556871593672</v>
      </c>
      <c r="K108" s="207">
        <v>-3580.8042353090336</v>
      </c>
      <c r="L108" s="207">
        <v>-862.44656827501422</v>
      </c>
      <c r="M108" s="207">
        <v>0</v>
      </c>
      <c r="N108" s="207">
        <v>-154.23357402548407</v>
      </c>
      <c r="O108" s="207">
        <v>-116.63944597290372</v>
      </c>
      <c r="P108" s="200"/>
      <c r="Q108" s="207">
        <v>-9676.131263758758</v>
      </c>
      <c r="R108" s="207">
        <v>-145.44109140005637</v>
      </c>
      <c r="S108" s="207">
        <v>-3098.9845164348562</v>
      </c>
      <c r="T108" s="207">
        <f t="shared" si="15"/>
        <v>-12920.556871593672</v>
      </c>
      <c r="U108" s="207">
        <f t="shared" si="16"/>
        <v>-9821.5723551588144</v>
      </c>
      <c r="V108" s="200"/>
      <c r="W108" s="200"/>
      <c r="X108" s="200"/>
      <c r="Y108" s="200"/>
    </row>
    <row r="109" spans="1:25" s="199" customFormat="1" x14ac:dyDescent="0.2">
      <c r="A109" s="208">
        <f>+A108+1</f>
        <v>102</v>
      </c>
      <c r="B109" s="209"/>
      <c r="C109" s="208" t="s">
        <v>202</v>
      </c>
      <c r="D109" s="210"/>
      <c r="E109" s="211">
        <f t="shared" ref="E109:U109" si="17">SUM(E88:E108)</f>
        <v>-1343449038.3772523</v>
      </c>
      <c r="F109" s="211">
        <f t="shared" si="17"/>
        <v>-895926010.24988639</v>
      </c>
      <c r="G109" s="211">
        <f t="shared" si="17"/>
        <v>-157386590.05436933</v>
      </c>
      <c r="H109" s="211">
        <f t="shared" si="17"/>
        <v>-123399836.21510635</v>
      </c>
      <c r="I109" s="211">
        <f t="shared" si="17"/>
        <v>-53072347.587562636</v>
      </c>
      <c r="J109" s="211">
        <f t="shared" si="17"/>
        <v>-52268930.110456109</v>
      </c>
      <c r="K109" s="211">
        <f t="shared" si="17"/>
        <v>-22045941.492310807</v>
      </c>
      <c r="L109" s="211">
        <f t="shared" si="17"/>
        <v>-5648522.1439084085</v>
      </c>
      <c r="M109" s="211">
        <f t="shared" si="17"/>
        <v>-3617133.1826230036</v>
      </c>
      <c r="N109" s="211">
        <f t="shared" si="17"/>
        <v>-29633411.205514103</v>
      </c>
      <c r="O109" s="211">
        <f t="shared" si="17"/>
        <v>-450316.13551522157</v>
      </c>
      <c r="P109" s="200"/>
      <c r="Q109" s="211">
        <f t="shared" si="17"/>
        <v>-40563216.043693021</v>
      </c>
      <c r="R109" s="211">
        <f t="shared" si="17"/>
        <v>-458325.74023953907</v>
      </c>
      <c r="S109" s="211">
        <f t="shared" si="17"/>
        <v>-11247388.326523542</v>
      </c>
      <c r="T109" s="211">
        <f t="shared" si="17"/>
        <v>-52268930.110456109</v>
      </c>
      <c r="U109" s="211">
        <f t="shared" si="17"/>
        <v>-41021541.783932559</v>
      </c>
      <c r="V109" s="200"/>
      <c r="W109" s="200"/>
      <c r="X109" s="200"/>
      <c r="Y109" s="200"/>
    </row>
    <row r="110" spans="1:25" s="199" customFormat="1" ht="15" x14ac:dyDescent="0.25">
      <c r="A110" s="199">
        <f t="shared" si="11"/>
        <v>103</v>
      </c>
      <c r="B110" s="206"/>
      <c r="D110" s="200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0"/>
      <c r="Q110" s="207"/>
      <c r="R110" s="207"/>
      <c r="S110" s="207"/>
      <c r="T110" s="207"/>
      <c r="U110" s="207"/>
      <c r="V110" s="200"/>
      <c r="W110" s="200"/>
      <c r="X110" s="200"/>
      <c r="Y110" s="200"/>
    </row>
    <row r="111" spans="1:25" s="199" customFormat="1" ht="15" x14ac:dyDescent="0.25">
      <c r="A111" s="199">
        <f t="shared" si="11"/>
        <v>104</v>
      </c>
      <c r="B111" s="206"/>
      <c r="C111" s="205" t="s">
        <v>200</v>
      </c>
      <c r="D111" s="200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0"/>
      <c r="Q111" s="207"/>
      <c r="R111" s="207"/>
      <c r="S111" s="207"/>
      <c r="T111" s="207"/>
      <c r="U111" s="207"/>
      <c r="V111" s="200"/>
      <c r="W111" s="200"/>
      <c r="X111" s="200"/>
      <c r="Y111" s="200"/>
    </row>
    <row r="112" spans="1:25" s="199" customFormat="1" ht="15" x14ac:dyDescent="0.25">
      <c r="A112" s="199">
        <f t="shared" si="11"/>
        <v>105</v>
      </c>
      <c r="B112" s="206">
        <v>108.06</v>
      </c>
      <c r="C112" s="199" t="s">
        <v>405</v>
      </c>
      <c r="D112" s="200" t="s">
        <v>201</v>
      </c>
      <c r="E112" s="207">
        <v>-186855242.66914111</v>
      </c>
      <c r="F112" s="207">
        <v>-114022982.15985596</v>
      </c>
      <c r="G112" s="207">
        <v>-23064660.782219697</v>
      </c>
      <c r="H112" s="207">
        <v>-19338792.499428734</v>
      </c>
      <c r="I112" s="207">
        <v>-11073741.896373101</v>
      </c>
      <c r="J112" s="207">
        <v>-8666089.1895401534</v>
      </c>
      <c r="K112" s="207">
        <v>-3497827.2685479182</v>
      </c>
      <c r="L112" s="207">
        <v>-2872708.8773638001</v>
      </c>
      <c r="M112" s="207">
        <v>-2033289.2634046462</v>
      </c>
      <c r="N112" s="207">
        <v>-2228692.5833549369</v>
      </c>
      <c r="O112" s="207">
        <v>-56458.149052188099</v>
      </c>
      <c r="P112" s="200"/>
      <c r="Q112" s="207">
        <v>-7632847.1230920963</v>
      </c>
      <c r="R112" s="207">
        <v>-38452.705692695665</v>
      </c>
      <c r="S112" s="207">
        <v>-994789.36075536208</v>
      </c>
      <c r="T112" s="207">
        <f>SUM(Q112:S112)</f>
        <v>-8666089.1895401534</v>
      </c>
      <c r="U112" s="207">
        <f>SUM(Q112:R112)</f>
        <v>-7671299.8287847918</v>
      </c>
      <c r="V112" s="200"/>
      <c r="W112" s="200"/>
      <c r="X112" s="200"/>
      <c r="Y112" s="200"/>
    </row>
    <row r="113" spans="1:25" s="199" customFormat="1" ht="15" x14ac:dyDescent="0.25">
      <c r="A113" s="199">
        <f t="shared" si="11"/>
        <v>106</v>
      </c>
      <c r="B113" s="206">
        <v>108.07</v>
      </c>
      <c r="C113" s="199" t="s">
        <v>406</v>
      </c>
      <c r="D113" s="200" t="s">
        <v>407</v>
      </c>
      <c r="E113" s="207">
        <v>9889632.4909608345</v>
      </c>
      <c r="F113" s="207">
        <v>5704189.8738397062</v>
      </c>
      <c r="G113" s="207">
        <v>1242974.0861960237</v>
      </c>
      <c r="H113" s="207">
        <v>1150306.3462042271</v>
      </c>
      <c r="I113" s="207">
        <v>664347.08874915354</v>
      </c>
      <c r="J113" s="207">
        <v>518809.83073057292</v>
      </c>
      <c r="K113" s="207">
        <v>209159.12739035339</v>
      </c>
      <c r="L113" s="207">
        <v>173215.65056087018</v>
      </c>
      <c r="M113" s="207">
        <v>116290.00705255818</v>
      </c>
      <c r="N113" s="207">
        <v>106976.15667886871</v>
      </c>
      <c r="O113" s="207">
        <v>3364.3235585026723</v>
      </c>
      <c r="P113" s="200"/>
      <c r="Q113" s="207">
        <v>457882.66522461263</v>
      </c>
      <c r="R113" s="207">
        <v>2271.8886263815534</v>
      </c>
      <c r="S113" s="207">
        <v>58655.276879578727</v>
      </c>
      <c r="T113" s="207">
        <f>SUM(Q113:S113)</f>
        <v>518809.83073057292</v>
      </c>
      <c r="U113" s="207">
        <f>SUM(Q113:R113)</f>
        <v>460154.55385099421</v>
      </c>
      <c r="V113" s="200"/>
      <c r="W113" s="200"/>
      <c r="X113" s="200"/>
      <c r="Y113" s="200"/>
    </row>
    <row r="114" spans="1:25" s="199" customFormat="1" x14ac:dyDescent="0.2">
      <c r="A114" s="208">
        <f>+A113+1</f>
        <v>107</v>
      </c>
      <c r="B114" s="209"/>
      <c r="C114" s="208" t="s">
        <v>202</v>
      </c>
      <c r="D114" s="210"/>
      <c r="E114" s="211">
        <f t="shared" ref="E114:U114" si="18">SUM(E112:E113)</f>
        <v>-176965610.17818028</v>
      </c>
      <c r="F114" s="211">
        <f t="shared" si="18"/>
        <v>-108318792.28601626</v>
      </c>
      <c r="G114" s="211">
        <f t="shared" si="18"/>
        <v>-21821686.696023673</v>
      </c>
      <c r="H114" s="211">
        <f t="shared" si="18"/>
        <v>-18188486.153224505</v>
      </c>
      <c r="I114" s="211">
        <f t="shared" si="18"/>
        <v>-10409394.807623947</v>
      </c>
      <c r="J114" s="211">
        <f t="shared" si="18"/>
        <v>-8147279.3588095801</v>
      </c>
      <c r="K114" s="211">
        <f t="shared" si="18"/>
        <v>-3288668.1411575647</v>
      </c>
      <c r="L114" s="211">
        <f t="shared" si="18"/>
        <v>-2699493.2268029298</v>
      </c>
      <c r="M114" s="211">
        <f t="shared" si="18"/>
        <v>-1916999.2563520879</v>
      </c>
      <c r="N114" s="211">
        <f t="shared" si="18"/>
        <v>-2121716.426676068</v>
      </c>
      <c r="O114" s="211">
        <f t="shared" si="18"/>
        <v>-53093.825493685428</v>
      </c>
      <c r="P114" s="200"/>
      <c r="Q114" s="211">
        <f t="shared" si="18"/>
        <v>-7174964.4578674836</v>
      </c>
      <c r="R114" s="211">
        <f t="shared" si="18"/>
        <v>-36180.817066314114</v>
      </c>
      <c r="S114" s="211">
        <f t="shared" si="18"/>
        <v>-936134.08387578337</v>
      </c>
      <c r="T114" s="211">
        <f t="shared" si="18"/>
        <v>-8147279.3588095801</v>
      </c>
      <c r="U114" s="211">
        <f t="shared" si="18"/>
        <v>-7211145.2749337973</v>
      </c>
      <c r="V114" s="200"/>
      <c r="W114" s="200"/>
      <c r="X114" s="200"/>
      <c r="Y114" s="200"/>
    </row>
    <row r="115" spans="1:25" s="199" customFormat="1" ht="15" x14ac:dyDescent="0.25">
      <c r="A115" s="199">
        <f t="shared" si="11"/>
        <v>108</v>
      </c>
      <c r="B115" s="206"/>
      <c r="D115" s="200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0"/>
      <c r="Q115" s="207"/>
      <c r="R115" s="207"/>
      <c r="S115" s="207"/>
      <c r="T115" s="207"/>
      <c r="U115" s="207"/>
      <c r="V115" s="200"/>
      <c r="W115" s="200"/>
      <c r="X115" s="200"/>
      <c r="Y115" s="200"/>
    </row>
    <row r="116" spans="1:25" s="199" customFormat="1" ht="15" x14ac:dyDescent="0.25">
      <c r="A116" s="199">
        <f t="shared" si="11"/>
        <v>109</v>
      </c>
      <c r="B116" s="206"/>
      <c r="C116" s="205" t="s">
        <v>408</v>
      </c>
      <c r="D116" s="200"/>
      <c r="E116" s="207">
        <v>-3731494011.0243964</v>
      </c>
      <c r="F116" s="207">
        <v>-2173650732.7228794</v>
      </c>
      <c r="G116" s="207">
        <v>-464309847.62835675</v>
      </c>
      <c r="H116" s="207">
        <v>-428194948.76814747</v>
      </c>
      <c r="I116" s="207">
        <v>-248379733.83496538</v>
      </c>
      <c r="J116" s="207">
        <v>-192213333.69396728</v>
      </c>
      <c r="K116" s="207">
        <v>-82852869.037584707</v>
      </c>
      <c r="L116" s="207">
        <v>-63405069.036137275</v>
      </c>
      <c r="M116" s="207">
        <v>-37129235.334188461</v>
      </c>
      <c r="N116" s="207">
        <v>-40115594.562733904</v>
      </c>
      <c r="O116" s="207">
        <v>-1242646.4054365538</v>
      </c>
      <c r="P116" s="200"/>
      <c r="Q116" s="207">
        <v>-169983446.47718275</v>
      </c>
      <c r="R116" s="207">
        <v>-834294.81180444302</v>
      </c>
      <c r="S116" s="207">
        <v>-21395592.404980104</v>
      </c>
      <c r="T116" s="207">
        <f>SUM(Q116:S116)</f>
        <v>-192213333.69396728</v>
      </c>
      <c r="U116" s="207">
        <f>SUM(Q116:R116)</f>
        <v>-170817741.28898719</v>
      </c>
      <c r="V116" s="200"/>
      <c r="W116" s="200"/>
      <c r="X116" s="200"/>
      <c r="Y116" s="200"/>
    </row>
    <row r="117" spans="1:25" s="199" customFormat="1" ht="15" x14ac:dyDescent="0.25">
      <c r="A117" s="199">
        <f t="shared" si="11"/>
        <v>110</v>
      </c>
      <c r="B117" s="206"/>
      <c r="C117" s="205"/>
      <c r="D117" s="200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0"/>
      <c r="Q117" s="207"/>
      <c r="R117" s="207"/>
      <c r="S117" s="207"/>
      <c r="T117" s="207"/>
      <c r="U117" s="207"/>
      <c r="V117" s="200"/>
      <c r="W117" s="200"/>
      <c r="X117" s="200"/>
      <c r="Y117" s="200"/>
    </row>
    <row r="118" spans="1:25" s="199" customFormat="1" ht="15" x14ac:dyDescent="0.25">
      <c r="A118" s="199">
        <f t="shared" si="11"/>
        <v>111</v>
      </c>
      <c r="B118" s="206"/>
      <c r="C118" s="205" t="s">
        <v>409</v>
      </c>
      <c r="D118" s="200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0"/>
      <c r="Q118" s="207"/>
      <c r="R118" s="207"/>
      <c r="S118" s="207"/>
      <c r="T118" s="207"/>
      <c r="U118" s="207"/>
      <c r="V118" s="200"/>
      <c r="W118" s="200"/>
      <c r="X118" s="200"/>
      <c r="Y118" s="200"/>
    </row>
    <row r="119" spans="1:25" s="199" customFormat="1" ht="15" x14ac:dyDescent="0.25">
      <c r="A119" s="199">
        <f t="shared" si="11"/>
        <v>112</v>
      </c>
      <c r="B119" s="206"/>
      <c r="C119" s="199" t="s">
        <v>410</v>
      </c>
      <c r="D119" s="200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0"/>
      <c r="Q119" s="207"/>
      <c r="R119" s="207"/>
      <c r="S119" s="207"/>
      <c r="T119" s="207"/>
      <c r="U119" s="207"/>
      <c r="V119" s="200"/>
      <c r="W119" s="200"/>
      <c r="X119" s="200"/>
      <c r="Y119" s="200"/>
    </row>
    <row r="120" spans="1:25" s="199" customFormat="1" ht="15" x14ac:dyDescent="0.25">
      <c r="A120" s="199">
        <f t="shared" si="11"/>
        <v>113</v>
      </c>
      <c r="B120" s="206" t="s">
        <v>411</v>
      </c>
      <c r="C120" s="199" t="s">
        <v>412</v>
      </c>
      <c r="D120" s="200" t="s">
        <v>413</v>
      </c>
      <c r="E120" s="207">
        <v>246011331.39146316</v>
      </c>
      <c r="F120" s="207">
        <v>141969251.27296346</v>
      </c>
      <c r="G120" s="207">
        <v>30919377.246837121</v>
      </c>
      <c r="H120" s="207">
        <v>28585757.136637002</v>
      </c>
      <c r="I120" s="207">
        <v>16523967.46608587</v>
      </c>
      <c r="J120" s="207">
        <v>12893584.935320398</v>
      </c>
      <c r="K120" s="207">
        <v>5201981.0962759135</v>
      </c>
      <c r="L120" s="207">
        <v>4313916.0578937158</v>
      </c>
      <c r="M120" s="207">
        <v>2867112.456892665</v>
      </c>
      <c r="N120" s="207">
        <v>2652867.1668535727</v>
      </c>
      <c r="O120" s="207">
        <v>83516.555703444916</v>
      </c>
      <c r="P120" s="200"/>
      <c r="Q120" s="207">
        <v>11384179.65182513</v>
      </c>
      <c r="R120" s="207">
        <v>56267.526415836182</v>
      </c>
      <c r="S120" s="207">
        <v>1453137.7570794318</v>
      </c>
      <c r="T120" s="207">
        <f>SUM(Q120:S120)</f>
        <v>12893584.935320398</v>
      </c>
      <c r="U120" s="207">
        <f>SUM(Q120:R120)</f>
        <v>11440447.178240966</v>
      </c>
      <c r="V120" s="200"/>
      <c r="W120" s="200"/>
      <c r="X120" s="200"/>
      <c r="Y120" s="200"/>
    </row>
    <row r="121" spans="1:25" s="199" customFormat="1" x14ac:dyDescent="0.2">
      <c r="A121" s="208">
        <f t="shared" si="11"/>
        <v>114</v>
      </c>
      <c r="B121" s="209"/>
      <c r="C121" s="208" t="s">
        <v>202</v>
      </c>
      <c r="D121" s="210"/>
      <c r="E121" s="211">
        <f>SUM(E120)</f>
        <v>246011331.39146316</v>
      </c>
      <c r="F121" s="211">
        <f t="shared" ref="F121:U121" si="19">SUM(F120)</f>
        <v>141969251.27296346</v>
      </c>
      <c r="G121" s="211">
        <f t="shared" si="19"/>
        <v>30919377.246837121</v>
      </c>
      <c r="H121" s="211">
        <f t="shared" si="19"/>
        <v>28585757.136637002</v>
      </c>
      <c r="I121" s="211">
        <f t="shared" si="19"/>
        <v>16523967.46608587</v>
      </c>
      <c r="J121" s="211">
        <f t="shared" si="19"/>
        <v>12893584.935320398</v>
      </c>
      <c r="K121" s="211">
        <f t="shared" si="19"/>
        <v>5201981.0962759135</v>
      </c>
      <c r="L121" s="211">
        <f t="shared" si="19"/>
        <v>4313916.0578937158</v>
      </c>
      <c r="M121" s="211">
        <f t="shared" si="19"/>
        <v>2867112.456892665</v>
      </c>
      <c r="N121" s="211">
        <f t="shared" si="19"/>
        <v>2652867.1668535727</v>
      </c>
      <c r="O121" s="211">
        <f t="shared" si="19"/>
        <v>83516.555703444916</v>
      </c>
      <c r="P121" s="200"/>
      <c r="Q121" s="211">
        <f t="shared" si="19"/>
        <v>11384179.65182513</v>
      </c>
      <c r="R121" s="211">
        <f t="shared" si="19"/>
        <v>56267.526415836182</v>
      </c>
      <c r="S121" s="211">
        <f t="shared" si="19"/>
        <v>1453137.7570794318</v>
      </c>
      <c r="T121" s="211">
        <f t="shared" si="19"/>
        <v>12893584.935320398</v>
      </c>
      <c r="U121" s="211">
        <f t="shared" si="19"/>
        <v>11440447.178240966</v>
      </c>
      <c r="V121" s="200"/>
      <c r="W121" s="200"/>
      <c r="X121" s="200"/>
      <c r="Y121" s="200"/>
    </row>
    <row r="122" spans="1:25" s="199" customFormat="1" ht="15" x14ac:dyDescent="0.25">
      <c r="A122" s="199">
        <f t="shared" si="11"/>
        <v>115</v>
      </c>
      <c r="B122" s="206"/>
      <c r="D122" s="200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0"/>
      <c r="Q122" s="207"/>
      <c r="R122" s="207"/>
      <c r="S122" s="207"/>
      <c r="T122" s="207"/>
      <c r="U122" s="207"/>
      <c r="V122" s="200"/>
      <c r="W122" s="200"/>
      <c r="X122" s="200"/>
      <c r="Y122" s="200"/>
    </row>
    <row r="123" spans="1:25" s="199" customFormat="1" ht="15" x14ac:dyDescent="0.25">
      <c r="A123" s="199">
        <f t="shared" si="11"/>
        <v>116</v>
      </c>
      <c r="B123" s="206"/>
      <c r="C123" s="205" t="s">
        <v>414</v>
      </c>
      <c r="D123" s="200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0"/>
      <c r="Q123" s="207"/>
      <c r="R123" s="207"/>
      <c r="S123" s="207"/>
      <c r="T123" s="207"/>
      <c r="U123" s="207"/>
      <c r="V123" s="200"/>
      <c r="W123" s="200"/>
      <c r="X123" s="200"/>
      <c r="Y123" s="200"/>
    </row>
    <row r="124" spans="1:25" s="199" customFormat="1" ht="15" x14ac:dyDescent="0.25">
      <c r="A124" s="199">
        <f t="shared" si="11"/>
        <v>117</v>
      </c>
      <c r="B124" s="206">
        <v>182.01</v>
      </c>
      <c r="C124" s="199" t="s">
        <v>415</v>
      </c>
      <c r="D124" s="200" t="s">
        <v>199</v>
      </c>
      <c r="E124" s="207">
        <v>237318147.37700513</v>
      </c>
      <c r="F124" s="207">
        <v>126794974.40481915</v>
      </c>
      <c r="G124" s="207">
        <v>31085079.213598546</v>
      </c>
      <c r="H124" s="207">
        <v>31385395.691936664</v>
      </c>
      <c r="I124" s="207">
        <v>20298687.810013261</v>
      </c>
      <c r="J124" s="207">
        <v>14442882.603919739</v>
      </c>
      <c r="K124" s="207">
        <v>6312773.9929704666</v>
      </c>
      <c r="L124" s="207">
        <v>6059932.7698591808</v>
      </c>
      <c r="M124" s="207">
        <v>0</v>
      </c>
      <c r="N124" s="207">
        <v>857726.79718032479</v>
      </c>
      <c r="O124" s="207">
        <v>80694.092707846488</v>
      </c>
      <c r="P124" s="200"/>
      <c r="Q124" s="207">
        <v>13409167.610673966</v>
      </c>
      <c r="R124" s="207">
        <v>36713.14353739802</v>
      </c>
      <c r="S124" s="207">
        <v>997001.84970837471</v>
      </c>
      <c r="T124" s="207">
        <f t="shared" ref="T124:T143" si="20">SUM(Q124:S124)</f>
        <v>14442882.603919739</v>
      </c>
      <c r="U124" s="207">
        <f t="shared" ref="U124:U143" si="21">SUM(Q124:R124)</f>
        <v>13445880.754211364</v>
      </c>
      <c r="V124" s="200"/>
      <c r="W124" s="200"/>
      <c r="X124" s="200"/>
      <c r="Y124" s="200"/>
    </row>
    <row r="125" spans="1:25" s="199" customFormat="1" ht="15" x14ac:dyDescent="0.25">
      <c r="A125" s="199">
        <f t="shared" si="11"/>
        <v>118</v>
      </c>
      <c r="B125" s="206">
        <v>182.02</v>
      </c>
      <c r="C125" s="199" t="s">
        <v>416</v>
      </c>
      <c r="D125" s="200" t="s">
        <v>199</v>
      </c>
      <c r="E125" s="207">
        <v>776259.08333333337</v>
      </c>
      <c r="F125" s="207">
        <v>414741.77887626347</v>
      </c>
      <c r="G125" s="207">
        <v>101678.1706851894</v>
      </c>
      <c r="H125" s="207">
        <v>102660.49503232118</v>
      </c>
      <c r="I125" s="207">
        <v>66396.274226929061</v>
      </c>
      <c r="J125" s="207">
        <v>47242.147028053238</v>
      </c>
      <c r="K125" s="207">
        <v>20648.855585784753</v>
      </c>
      <c r="L125" s="207">
        <v>19821.821082732404</v>
      </c>
      <c r="M125" s="207">
        <v>0</v>
      </c>
      <c r="N125" s="207">
        <v>2805.5933551171361</v>
      </c>
      <c r="O125" s="207">
        <v>263.94746094279247</v>
      </c>
      <c r="P125" s="200"/>
      <c r="Q125" s="207">
        <v>43860.902643863184</v>
      </c>
      <c r="R125" s="207">
        <v>120.08736568869352</v>
      </c>
      <c r="S125" s="207">
        <v>3261.1570185013611</v>
      </c>
      <c r="T125" s="207">
        <f t="shared" si="20"/>
        <v>47242.147028053238</v>
      </c>
      <c r="U125" s="207">
        <f t="shared" si="21"/>
        <v>43980.990009551875</v>
      </c>
      <c r="V125" s="200"/>
      <c r="W125" s="200"/>
      <c r="X125" s="200"/>
      <c r="Y125" s="200"/>
    </row>
    <row r="126" spans="1:25" s="199" customFormat="1" ht="15" x14ac:dyDescent="0.25">
      <c r="A126" s="199">
        <f t="shared" si="11"/>
        <v>119</v>
      </c>
      <c r="B126" s="206">
        <v>182.03</v>
      </c>
      <c r="C126" s="199" t="s">
        <v>417</v>
      </c>
      <c r="D126" s="200" t="s">
        <v>418</v>
      </c>
      <c r="E126" s="207">
        <v>51386936.710416667</v>
      </c>
      <c r="F126" s="207">
        <v>33499056.576186065</v>
      </c>
      <c r="G126" s="207">
        <v>6245773.7566408673</v>
      </c>
      <c r="H126" s="207">
        <v>5003949.1342023825</v>
      </c>
      <c r="I126" s="207">
        <v>2190343.5864220061</v>
      </c>
      <c r="J126" s="207">
        <v>2166655.1250875322</v>
      </c>
      <c r="K126" s="207">
        <v>714476.80680844758</v>
      </c>
      <c r="L126" s="207">
        <v>323289.92502192181</v>
      </c>
      <c r="M126" s="207">
        <v>107156.96634165844</v>
      </c>
      <c r="N126" s="207">
        <v>1118011.0573336114</v>
      </c>
      <c r="O126" s="207">
        <v>18223.776372184315</v>
      </c>
      <c r="P126" s="200"/>
      <c r="Q126" s="207">
        <v>1697708.6144275998</v>
      </c>
      <c r="R126" s="207">
        <v>18081.957833920624</v>
      </c>
      <c r="S126" s="207">
        <v>450864.55282601196</v>
      </c>
      <c r="T126" s="207">
        <f t="shared" si="20"/>
        <v>2166655.1250875322</v>
      </c>
      <c r="U126" s="207">
        <f t="shared" si="21"/>
        <v>1715790.5722615204</v>
      </c>
      <c r="V126" s="200"/>
      <c r="W126" s="200"/>
      <c r="X126" s="200"/>
      <c r="Y126" s="200"/>
    </row>
    <row r="127" spans="1:25" s="199" customFormat="1" ht="15" x14ac:dyDescent="0.25">
      <c r="A127" s="199">
        <f t="shared" si="11"/>
        <v>120</v>
      </c>
      <c r="B127" s="206">
        <v>282</v>
      </c>
      <c r="C127" s="199" t="s">
        <v>419</v>
      </c>
      <c r="D127" s="200" t="s">
        <v>197</v>
      </c>
      <c r="E127" s="207">
        <v>-33375829.255674981</v>
      </c>
      <c r="F127" s="207">
        <v>-17832127.306683037</v>
      </c>
      <c r="G127" s="207">
        <v>-4371727.6057445062</v>
      </c>
      <c r="H127" s="207">
        <v>-4413963.3623204893</v>
      </c>
      <c r="I127" s="207">
        <v>-2854756.5618106555</v>
      </c>
      <c r="J127" s="207">
        <v>-2031210.7989887798</v>
      </c>
      <c r="K127" s="207">
        <v>-887812.70732043055</v>
      </c>
      <c r="L127" s="207">
        <v>-852253.75161211553</v>
      </c>
      <c r="M127" s="207">
        <v>0</v>
      </c>
      <c r="N127" s="207">
        <v>-120628.54630847047</v>
      </c>
      <c r="O127" s="207">
        <v>-11348.614886497515</v>
      </c>
      <c r="P127" s="200"/>
      <c r="Q127" s="207">
        <v>-1885831.7140139025</v>
      </c>
      <c r="R127" s="207">
        <v>-5163.2444618603649</v>
      </c>
      <c r="S127" s="207">
        <v>-140215.84051301709</v>
      </c>
      <c r="T127" s="207">
        <f t="shared" si="20"/>
        <v>-2031210.7989887798</v>
      </c>
      <c r="U127" s="207">
        <f t="shared" si="21"/>
        <v>-1890994.9584757627</v>
      </c>
      <c r="V127" s="200"/>
      <c r="W127" s="200"/>
      <c r="X127" s="200"/>
      <c r="Y127" s="200"/>
    </row>
    <row r="128" spans="1:25" s="199" customFormat="1" ht="15" x14ac:dyDescent="0.25">
      <c r="A128" s="199">
        <f t="shared" si="11"/>
        <v>121</v>
      </c>
      <c r="B128" s="206">
        <v>282.01</v>
      </c>
      <c r="C128" s="199" t="s">
        <v>420</v>
      </c>
      <c r="D128" s="200" t="s">
        <v>199</v>
      </c>
      <c r="E128" s="207">
        <v>0</v>
      </c>
      <c r="F128" s="207">
        <v>0</v>
      </c>
      <c r="G128" s="207">
        <v>0</v>
      </c>
      <c r="H128" s="207">
        <v>0</v>
      </c>
      <c r="I128" s="207">
        <v>0</v>
      </c>
      <c r="J128" s="207">
        <v>0</v>
      </c>
      <c r="K128" s="207">
        <v>0</v>
      </c>
      <c r="L128" s="207">
        <v>0</v>
      </c>
      <c r="M128" s="207">
        <v>0</v>
      </c>
      <c r="N128" s="207">
        <v>0</v>
      </c>
      <c r="O128" s="207">
        <v>0</v>
      </c>
      <c r="P128" s="200"/>
      <c r="Q128" s="207">
        <v>0</v>
      </c>
      <c r="R128" s="207">
        <v>0</v>
      </c>
      <c r="S128" s="207">
        <v>0</v>
      </c>
      <c r="T128" s="207">
        <f t="shared" si="20"/>
        <v>0</v>
      </c>
      <c r="U128" s="207">
        <f t="shared" si="21"/>
        <v>0</v>
      </c>
      <c r="V128" s="200"/>
      <c r="W128" s="200"/>
      <c r="X128" s="200"/>
      <c r="Y128" s="200"/>
    </row>
    <row r="129" spans="1:25" s="199" customFormat="1" ht="15" x14ac:dyDescent="0.25">
      <c r="A129" s="199">
        <f t="shared" si="11"/>
        <v>122</v>
      </c>
      <c r="B129" s="206">
        <v>282.02</v>
      </c>
      <c r="C129" s="199" t="s">
        <v>421</v>
      </c>
      <c r="D129" s="200" t="s">
        <v>262</v>
      </c>
      <c r="E129" s="207">
        <v>-1211796278.4365394</v>
      </c>
      <c r="F129" s="207">
        <v>-696877285.01551723</v>
      </c>
      <c r="G129" s="207">
        <v>-152443179.62511867</v>
      </c>
      <c r="H129" s="207">
        <v>-141742274.18018445</v>
      </c>
      <c r="I129" s="207">
        <v>-81893237.412583381</v>
      </c>
      <c r="J129" s="207">
        <v>-63946998.770585217</v>
      </c>
      <c r="K129" s="207">
        <v>-25778998.953923516</v>
      </c>
      <c r="L129" s="207">
        <v>-21356896.006742023</v>
      </c>
      <c r="M129" s="207">
        <v>-14303507.088221673</v>
      </c>
      <c r="N129" s="207">
        <v>-13039311.070797782</v>
      </c>
      <c r="O129" s="207">
        <v>-414590.31286561402</v>
      </c>
      <c r="P129" s="200"/>
      <c r="Q129" s="207">
        <v>-56442433.302605383</v>
      </c>
      <c r="R129" s="207">
        <v>-279859.70709286083</v>
      </c>
      <c r="S129" s="207">
        <v>-7224705.7608869728</v>
      </c>
      <c r="T129" s="207">
        <f t="shared" si="20"/>
        <v>-63946998.770585217</v>
      </c>
      <c r="U129" s="207">
        <f t="shared" si="21"/>
        <v>-56722293.009698242</v>
      </c>
      <c r="V129" s="200"/>
      <c r="W129" s="200"/>
      <c r="X129" s="200"/>
      <c r="Y129" s="200"/>
    </row>
    <row r="130" spans="1:25" s="199" customFormat="1" ht="15" x14ac:dyDescent="0.25">
      <c r="A130" s="199">
        <f t="shared" si="11"/>
        <v>123</v>
      </c>
      <c r="B130" s="206">
        <v>235</v>
      </c>
      <c r="C130" s="199" t="s">
        <v>422</v>
      </c>
      <c r="D130" s="200" t="s">
        <v>423</v>
      </c>
      <c r="E130" s="207">
        <v>-19040678.756270085</v>
      </c>
      <c r="F130" s="207">
        <v>-16610349.668784555</v>
      </c>
      <c r="G130" s="207">
        <v>-1460866.5554359197</v>
      </c>
      <c r="H130" s="207">
        <v>-639730.12994348397</v>
      </c>
      <c r="I130" s="207">
        <v>-282350.82301629806</v>
      </c>
      <c r="J130" s="207">
        <v>-23480.248927736589</v>
      </c>
      <c r="K130" s="207">
        <v>-236.1038863637726</v>
      </c>
      <c r="L130" s="207">
        <v>0</v>
      </c>
      <c r="M130" s="207">
        <v>0</v>
      </c>
      <c r="N130" s="207">
        <v>-23665.226275728721</v>
      </c>
      <c r="O130" s="207">
        <v>0</v>
      </c>
      <c r="P130" s="200"/>
      <c r="Q130" s="207">
        <v>-23480.248927736589</v>
      </c>
      <c r="R130" s="207">
        <v>0</v>
      </c>
      <c r="S130" s="207">
        <v>0</v>
      </c>
      <c r="T130" s="207">
        <f t="shared" si="20"/>
        <v>-23480.248927736589</v>
      </c>
      <c r="U130" s="207">
        <f t="shared" si="21"/>
        <v>-23480.248927736589</v>
      </c>
      <c r="V130" s="200"/>
      <c r="W130" s="200"/>
      <c r="X130" s="200"/>
      <c r="Y130" s="200"/>
    </row>
    <row r="131" spans="1:25" s="199" customFormat="1" ht="15" x14ac:dyDescent="0.25">
      <c r="A131" s="199">
        <f t="shared" si="11"/>
        <v>124</v>
      </c>
      <c r="B131" s="206">
        <v>235.01</v>
      </c>
      <c r="C131" s="199" t="s">
        <v>424</v>
      </c>
      <c r="D131" s="200" t="s">
        <v>199</v>
      </c>
      <c r="E131" s="207">
        <v>-5962277.1433333335</v>
      </c>
      <c r="F131" s="207">
        <v>-3185541.3761612703</v>
      </c>
      <c r="G131" s="207">
        <v>-780967.90887009504</v>
      </c>
      <c r="H131" s="207">
        <v>-788512.92847501044</v>
      </c>
      <c r="I131" s="207">
        <v>-509975.33777742542</v>
      </c>
      <c r="J131" s="207">
        <v>-362856.65375770209</v>
      </c>
      <c r="K131" s="207">
        <v>-158599.3675802809</v>
      </c>
      <c r="L131" s="207">
        <v>-152247.09548431676</v>
      </c>
      <c r="M131" s="207">
        <v>0</v>
      </c>
      <c r="N131" s="207">
        <v>-21549.152201700846</v>
      </c>
      <c r="O131" s="207">
        <v>-2027.3230255320634</v>
      </c>
      <c r="P131" s="200"/>
      <c r="Q131" s="207">
        <v>-336886.0512350084</v>
      </c>
      <c r="R131" s="207">
        <v>-922.36493075773001</v>
      </c>
      <c r="S131" s="207">
        <v>-25048.237591935955</v>
      </c>
      <c r="T131" s="207">
        <f t="shared" si="20"/>
        <v>-362856.65375770209</v>
      </c>
      <c r="U131" s="207">
        <f t="shared" si="21"/>
        <v>-337808.41616576613</v>
      </c>
      <c r="V131" s="200"/>
      <c r="W131" s="200"/>
      <c r="X131" s="200"/>
      <c r="Y131" s="200"/>
    </row>
    <row r="132" spans="1:25" s="199" customFormat="1" ht="15" x14ac:dyDescent="0.25">
      <c r="A132" s="199">
        <f t="shared" si="11"/>
        <v>125</v>
      </c>
      <c r="B132" s="206">
        <v>252</v>
      </c>
      <c r="C132" s="199" t="s">
        <v>425</v>
      </c>
      <c r="D132" s="200" t="s">
        <v>426</v>
      </c>
      <c r="E132" s="207">
        <v>-54720677.887500003</v>
      </c>
      <c r="F132" s="207">
        <v>-21173102.935833331</v>
      </c>
      <c r="G132" s="207">
        <v>-31313866.958082631</v>
      </c>
      <c r="H132" s="207">
        <v>-2025260.4454428731</v>
      </c>
      <c r="I132" s="207">
        <v>-208447.54814116366</v>
      </c>
      <c r="J132" s="207">
        <v>0</v>
      </c>
      <c r="K132" s="207">
        <v>0</v>
      </c>
      <c r="L132" s="207">
        <v>0</v>
      </c>
      <c r="M132" s="207">
        <v>0</v>
      </c>
      <c r="N132" s="207">
        <v>0</v>
      </c>
      <c r="O132" s="207">
        <v>0</v>
      </c>
      <c r="P132" s="200"/>
      <c r="Q132" s="207">
        <v>0</v>
      </c>
      <c r="R132" s="207">
        <v>0</v>
      </c>
      <c r="S132" s="207">
        <v>0</v>
      </c>
      <c r="T132" s="207">
        <f t="shared" si="20"/>
        <v>0</v>
      </c>
      <c r="U132" s="207">
        <f t="shared" si="21"/>
        <v>0</v>
      </c>
      <c r="V132" s="200"/>
      <c r="W132" s="200"/>
      <c r="X132" s="200"/>
      <c r="Y132" s="200"/>
    </row>
    <row r="133" spans="1:25" s="199" customFormat="1" ht="15" x14ac:dyDescent="0.25">
      <c r="A133" s="199">
        <f t="shared" si="11"/>
        <v>126</v>
      </c>
      <c r="B133" s="206">
        <v>253</v>
      </c>
      <c r="C133" s="199" t="s">
        <v>427</v>
      </c>
      <c r="D133" s="200" t="s">
        <v>257</v>
      </c>
      <c r="E133" s="207">
        <v>-6362920.1743808333</v>
      </c>
      <c r="F133" s="207">
        <v>-3898928.8804252027</v>
      </c>
      <c r="G133" s="207">
        <v>-784341.38248208095</v>
      </c>
      <c r="H133" s="207">
        <v>-652257.50009423133</v>
      </c>
      <c r="I133" s="207">
        <v>-373405.69239244476</v>
      </c>
      <c r="J133" s="207">
        <v>-292143.33561953472</v>
      </c>
      <c r="K133" s="207">
        <v>-117974.45181271021</v>
      </c>
      <c r="L133" s="207">
        <v>-96894.831180808265</v>
      </c>
      <c r="M133" s="207">
        <v>-68769.885313464445</v>
      </c>
      <c r="N133" s="207">
        <v>-76301.358852072619</v>
      </c>
      <c r="O133" s="207">
        <v>-1902.8562082854539</v>
      </c>
      <c r="P133" s="200"/>
      <c r="Q133" s="207">
        <v>-257326.01954940747</v>
      </c>
      <c r="R133" s="207">
        <v>-1295.3390936823344</v>
      </c>
      <c r="S133" s="207">
        <v>-33521.976976444894</v>
      </c>
      <c r="T133" s="207">
        <f t="shared" si="20"/>
        <v>-292143.33561953472</v>
      </c>
      <c r="U133" s="207">
        <f t="shared" si="21"/>
        <v>-258621.3586430898</v>
      </c>
      <c r="V133" s="200"/>
      <c r="W133" s="200"/>
      <c r="X133" s="200"/>
      <c r="Y133" s="200"/>
    </row>
    <row r="134" spans="1:25" s="199" customFormat="1" ht="15" x14ac:dyDescent="0.25">
      <c r="A134" s="199">
        <f t="shared" si="11"/>
        <v>127</v>
      </c>
      <c r="B134" s="206">
        <v>114.01</v>
      </c>
      <c r="C134" s="199" t="s">
        <v>428</v>
      </c>
      <c r="D134" s="200" t="s">
        <v>197</v>
      </c>
      <c r="E134" s="207">
        <v>281543144.61000001</v>
      </c>
      <c r="F134" s="207">
        <v>150423624.19072303</v>
      </c>
      <c r="G134" s="207">
        <v>36877883.334999785</v>
      </c>
      <c r="H134" s="207">
        <v>37234164.751419216</v>
      </c>
      <c r="I134" s="207">
        <v>24081413.329124767</v>
      </c>
      <c r="J134" s="207">
        <v>17134360.058360334</v>
      </c>
      <c r="K134" s="207">
        <v>7489179.6554001914</v>
      </c>
      <c r="L134" s="207">
        <v>7189220.6601502262</v>
      </c>
      <c r="M134" s="207">
        <v>0</v>
      </c>
      <c r="N134" s="207">
        <v>1017566.9343599938</v>
      </c>
      <c r="O134" s="207">
        <v>95731.695462490825</v>
      </c>
      <c r="P134" s="200"/>
      <c r="Q134" s="207">
        <v>15908008.963656317</v>
      </c>
      <c r="R134" s="207">
        <v>43554.755480275053</v>
      </c>
      <c r="S134" s="207">
        <v>1182796.3392237432</v>
      </c>
      <c r="T134" s="207">
        <f t="shared" si="20"/>
        <v>17134360.058360334</v>
      </c>
      <c r="U134" s="207">
        <f t="shared" si="21"/>
        <v>15951563.719136592</v>
      </c>
      <c r="V134" s="200"/>
      <c r="W134" s="200"/>
      <c r="X134" s="200"/>
      <c r="Y134" s="200"/>
    </row>
    <row r="135" spans="1:25" s="199" customFormat="1" ht="15" x14ac:dyDescent="0.25">
      <c r="A135" s="199">
        <f t="shared" si="11"/>
        <v>128</v>
      </c>
      <c r="B135" s="206">
        <v>114.02</v>
      </c>
      <c r="C135" s="199" t="s">
        <v>429</v>
      </c>
      <c r="D135" s="200" t="s">
        <v>199</v>
      </c>
      <c r="E135" s="207">
        <v>946172.25</v>
      </c>
      <c r="F135" s="207">
        <v>505523.43993615964</v>
      </c>
      <c r="G135" s="207">
        <v>123934.21938455862</v>
      </c>
      <c r="H135" s="207">
        <v>125131.56194416425</v>
      </c>
      <c r="I135" s="207">
        <v>80929.567879766721</v>
      </c>
      <c r="J135" s="207">
        <v>57582.847670420968</v>
      </c>
      <c r="K135" s="207">
        <v>25168.625487294277</v>
      </c>
      <c r="L135" s="207">
        <v>24160.563728814792</v>
      </c>
      <c r="M135" s="207">
        <v>0</v>
      </c>
      <c r="N135" s="207">
        <v>3419.7017907954437</v>
      </c>
      <c r="O135" s="207">
        <v>321.72217802543685</v>
      </c>
      <c r="P135" s="200"/>
      <c r="Q135" s="207">
        <v>53461.492216451763</v>
      </c>
      <c r="R135" s="207">
        <v>146.37295128623052</v>
      </c>
      <c r="S135" s="207">
        <v>3974.982502682974</v>
      </c>
      <c r="T135" s="207">
        <f t="shared" si="20"/>
        <v>57582.847670420968</v>
      </c>
      <c r="U135" s="207">
        <f t="shared" si="21"/>
        <v>53607.865167737997</v>
      </c>
      <c r="V135" s="200"/>
      <c r="W135" s="200"/>
      <c r="X135" s="200"/>
      <c r="Y135" s="200"/>
    </row>
    <row r="136" spans="1:25" s="199" customFormat="1" ht="15" x14ac:dyDescent="0.25">
      <c r="A136" s="199">
        <f t="shared" ref="A136:A148" si="22">+A135+1</f>
        <v>129</v>
      </c>
      <c r="B136" s="206">
        <v>114.03</v>
      </c>
      <c r="C136" s="199" t="s">
        <v>430</v>
      </c>
      <c r="D136" s="200" t="s">
        <v>418</v>
      </c>
      <c r="E136" s="207">
        <v>302358.00999999995</v>
      </c>
      <c r="F136" s="207">
        <v>197106.67207761056</v>
      </c>
      <c r="G136" s="207">
        <v>36749.801503255323</v>
      </c>
      <c r="H136" s="207">
        <v>29442.971292195311</v>
      </c>
      <c r="I136" s="207">
        <v>12887.865484936994</v>
      </c>
      <c r="J136" s="207">
        <v>12748.483834899824</v>
      </c>
      <c r="K136" s="207">
        <v>4203.9436348414511</v>
      </c>
      <c r="L136" s="207">
        <v>1902.2207712736199</v>
      </c>
      <c r="M136" s="207">
        <v>630.50590626339181</v>
      </c>
      <c r="N136" s="207">
        <v>6578.3177611531464</v>
      </c>
      <c r="O136" s="207">
        <v>107.22773357030468</v>
      </c>
      <c r="P136" s="200"/>
      <c r="Q136" s="207">
        <v>9989.2274394735778</v>
      </c>
      <c r="R136" s="207">
        <v>106.39328081332944</v>
      </c>
      <c r="S136" s="207">
        <v>2652.8631146129173</v>
      </c>
      <c r="T136" s="207">
        <f t="shared" si="20"/>
        <v>12748.483834899824</v>
      </c>
      <c r="U136" s="207">
        <f t="shared" si="21"/>
        <v>10095.620720286906</v>
      </c>
      <c r="V136" s="200"/>
      <c r="W136" s="200"/>
      <c r="X136" s="200"/>
      <c r="Y136" s="200"/>
    </row>
    <row r="137" spans="1:25" s="199" customFormat="1" ht="15" x14ac:dyDescent="0.25">
      <c r="A137" s="199">
        <f t="shared" si="22"/>
        <v>130</v>
      </c>
      <c r="B137" s="206">
        <v>115.01</v>
      </c>
      <c r="C137" s="199" t="s">
        <v>431</v>
      </c>
      <c r="D137" s="200" t="s">
        <v>197</v>
      </c>
      <c r="E137" s="207">
        <v>-113037112.00124998</v>
      </c>
      <c r="F137" s="207">
        <v>-60393770.478177562</v>
      </c>
      <c r="G137" s="207">
        <v>-14806147.862992005</v>
      </c>
      <c r="H137" s="207">
        <v>-14949191.737946073</v>
      </c>
      <c r="I137" s="207">
        <v>-9668476.9909897</v>
      </c>
      <c r="J137" s="207">
        <v>-6879295.8168793162</v>
      </c>
      <c r="K137" s="207">
        <v>-3006840.1796023906</v>
      </c>
      <c r="L137" s="207">
        <v>-2886409.2645153943</v>
      </c>
      <c r="M137" s="207">
        <v>0</v>
      </c>
      <c r="N137" s="207">
        <v>-408544.2310710547</v>
      </c>
      <c r="O137" s="207">
        <v>-38435.439076497321</v>
      </c>
      <c r="P137" s="200"/>
      <c r="Q137" s="207">
        <v>-6386926.5701092072</v>
      </c>
      <c r="R137" s="207">
        <v>-17486.853676479252</v>
      </c>
      <c r="S137" s="207">
        <v>-474882.39309362997</v>
      </c>
      <c r="T137" s="207">
        <f t="shared" si="20"/>
        <v>-6879295.8168793162</v>
      </c>
      <c r="U137" s="207">
        <f t="shared" si="21"/>
        <v>-6404413.4237856865</v>
      </c>
      <c r="V137" s="200"/>
      <c r="W137" s="200"/>
      <c r="X137" s="200"/>
      <c r="Y137" s="200"/>
    </row>
    <row r="138" spans="1:25" s="199" customFormat="1" ht="15" x14ac:dyDescent="0.25">
      <c r="A138" s="199">
        <f t="shared" si="22"/>
        <v>131</v>
      </c>
      <c r="B138" s="206">
        <v>115.02</v>
      </c>
      <c r="C138" s="199" t="s">
        <v>432</v>
      </c>
      <c r="D138" s="200" t="s">
        <v>199</v>
      </c>
      <c r="E138" s="207">
        <v>-880239</v>
      </c>
      <c r="F138" s="207">
        <v>-470296.4468107844</v>
      </c>
      <c r="G138" s="207">
        <v>-115297.96327977753</v>
      </c>
      <c r="H138" s="207">
        <v>-116411.86998896785</v>
      </c>
      <c r="I138" s="207">
        <v>-75290.056224876578</v>
      </c>
      <c r="J138" s="207">
        <v>-53570.233380405807</v>
      </c>
      <c r="K138" s="207">
        <v>-23414.770122787289</v>
      </c>
      <c r="L138" s="207">
        <v>-22476.95433478228</v>
      </c>
      <c r="M138" s="207">
        <v>0</v>
      </c>
      <c r="N138" s="207">
        <v>-3181.4026300475316</v>
      </c>
      <c r="O138" s="207">
        <v>-299.30322757080705</v>
      </c>
      <c r="P138" s="200"/>
      <c r="Q138" s="207">
        <v>-49736.0712567054</v>
      </c>
      <c r="R138" s="207">
        <v>-136.17307024935496</v>
      </c>
      <c r="S138" s="207">
        <v>-3697.9890534510587</v>
      </c>
      <c r="T138" s="207">
        <f t="shared" si="20"/>
        <v>-53570.233380405807</v>
      </c>
      <c r="U138" s="207">
        <f t="shared" si="21"/>
        <v>-49872.244326954751</v>
      </c>
      <c r="V138" s="200"/>
      <c r="W138" s="200"/>
      <c r="X138" s="200"/>
      <c r="Y138" s="200"/>
    </row>
    <row r="139" spans="1:25" s="199" customFormat="1" ht="15" x14ac:dyDescent="0.25">
      <c r="A139" s="199">
        <f t="shared" si="22"/>
        <v>132</v>
      </c>
      <c r="B139" s="206">
        <v>115.03</v>
      </c>
      <c r="C139" s="199" t="s">
        <v>433</v>
      </c>
      <c r="D139" s="200" t="s">
        <v>418</v>
      </c>
      <c r="E139" s="207">
        <v>-302358.00999999995</v>
      </c>
      <c r="F139" s="207">
        <v>-197106.67207761056</v>
      </c>
      <c r="G139" s="207">
        <v>-36749.801503255323</v>
      </c>
      <c r="H139" s="207">
        <v>-29442.971292195311</v>
      </c>
      <c r="I139" s="207">
        <v>-12887.865484936994</v>
      </c>
      <c r="J139" s="207">
        <v>-12748.483834899824</v>
      </c>
      <c r="K139" s="207">
        <v>-4203.9436348414511</v>
      </c>
      <c r="L139" s="207">
        <v>-1902.2207712736199</v>
      </c>
      <c r="M139" s="207">
        <v>-630.50590626339181</v>
      </c>
      <c r="N139" s="207">
        <v>-6578.3177611531464</v>
      </c>
      <c r="O139" s="207">
        <v>-107.22773357030468</v>
      </c>
      <c r="P139" s="200"/>
      <c r="Q139" s="207">
        <v>-9989.2274394735778</v>
      </c>
      <c r="R139" s="207">
        <v>-106.39328081332944</v>
      </c>
      <c r="S139" s="207">
        <v>-2652.8631146129173</v>
      </c>
      <c r="T139" s="207">
        <f t="shared" si="20"/>
        <v>-12748.483834899824</v>
      </c>
      <c r="U139" s="207">
        <f t="shared" si="21"/>
        <v>-10095.620720286906</v>
      </c>
      <c r="V139" s="200"/>
      <c r="W139" s="200"/>
      <c r="X139" s="200"/>
      <c r="Y139" s="200"/>
    </row>
    <row r="140" spans="1:25" s="199" customFormat="1" ht="15" x14ac:dyDescent="0.25">
      <c r="A140" s="199">
        <f t="shared" si="22"/>
        <v>133</v>
      </c>
      <c r="B140" s="206">
        <v>230</v>
      </c>
      <c r="C140" s="199" t="s">
        <v>434</v>
      </c>
      <c r="D140" s="200" t="s">
        <v>197</v>
      </c>
      <c r="E140" s="207">
        <v>-68284233.78791666</v>
      </c>
      <c r="F140" s="207">
        <v>-36483083.030465722</v>
      </c>
      <c r="G140" s="207">
        <v>-8944199.3366198931</v>
      </c>
      <c r="H140" s="207">
        <v>-9030610.2615485564</v>
      </c>
      <c r="I140" s="207">
        <v>-5840599.8838552507</v>
      </c>
      <c r="J140" s="207">
        <v>-4155692.1929395171</v>
      </c>
      <c r="K140" s="207">
        <v>-1816392.6355850324</v>
      </c>
      <c r="L140" s="207">
        <v>-1743641.9025248827</v>
      </c>
      <c r="M140" s="207">
        <v>0</v>
      </c>
      <c r="N140" s="207">
        <v>-246796.20076326834</v>
      </c>
      <c r="O140" s="207">
        <v>-23218.343614544468</v>
      </c>
      <c r="P140" s="200"/>
      <c r="Q140" s="207">
        <v>-3858258.4018492177</v>
      </c>
      <c r="R140" s="207">
        <v>-10563.578487803146</v>
      </c>
      <c r="S140" s="207">
        <v>-286870.21260249626</v>
      </c>
      <c r="T140" s="207">
        <f t="shared" si="20"/>
        <v>-4155692.1929395171</v>
      </c>
      <c r="U140" s="207">
        <f t="shared" si="21"/>
        <v>-3868821.9803370209</v>
      </c>
      <c r="V140" s="200"/>
      <c r="W140" s="200"/>
      <c r="X140" s="200"/>
      <c r="Y140" s="200"/>
    </row>
    <row r="141" spans="1:25" s="199" customFormat="1" ht="15" x14ac:dyDescent="0.25">
      <c r="A141" s="199">
        <f t="shared" si="22"/>
        <v>134</v>
      </c>
      <c r="B141" s="206">
        <v>230.01</v>
      </c>
      <c r="C141" s="199" t="s">
        <v>435</v>
      </c>
      <c r="D141" s="200" t="s">
        <v>199</v>
      </c>
      <c r="E141" s="207">
        <v>-6071941.4970833324</v>
      </c>
      <c r="F141" s="207">
        <v>-3244133.1403417094</v>
      </c>
      <c r="G141" s="207">
        <v>-795332.27653815784</v>
      </c>
      <c r="H141" s="207">
        <v>-803016.07192942349</v>
      </c>
      <c r="I141" s="207">
        <v>-519355.33043817116</v>
      </c>
      <c r="J141" s="207">
        <v>-369530.68776880461</v>
      </c>
      <c r="K141" s="207">
        <v>-161516.49080899521</v>
      </c>
      <c r="L141" s="207">
        <v>-155047.38116967282</v>
      </c>
      <c r="M141" s="207">
        <v>0</v>
      </c>
      <c r="N141" s="207">
        <v>-21945.506445767183</v>
      </c>
      <c r="O141" s="207">
        <v>-2064.6116426313301</v>
      </c>
      <c r="P141" s="200"/>
      <c r="Q141" s="207">
        <v>-343082.40712520474</v>
      </c>
      <c r="R141" s="207">
        <v>-939.33001836126584</v>
      </c>
      <c r="S141" s="207">
        <v>-25508.950625238595</v>
      </c>
      <c r="T141" s="207">
        <f t="shared" si="20"/>
        <v>-369530.68776880461</v>
      </c>
      <c r="U141" s="207">
        <f t="shared" si="21"/>
        <v>-344021.73714356602</v>
      </c>
      <c r="V141" s="200"/>
      <c r="W141" s="200"/>
      <c r="X141" s="200"/>
      <c r="Y141" s="200"/>
    </row>
    <row r="142" spans="1:25" s="199" customFormat="1" ht="15" x14ac:dyDescent="0.25">
      <c r="A142" s="199">
        <f t="shared" si="22"/>
        <v>135</v>
      </c>
      <c r="B142" s="206">
        <v>230.02</v>
      </c>
      <c r="C142" s="199" t="s">
        <v>436</v>
      </c>
      <c r="D142" s="200" t="s">
        <v>418</v>
      </c>
      <c r="E142" s="207">
        <v>-8827087.1591666676</v>
      </c>
      <c r="F142" s="207">
        <v>-5754363.0945393257</v>
      </c>
      <c r="G142" s="207">
        <v>-1072879.4681222735</v>
      </c>
      <c r="H142" s="207">
        <v>-859562.72109692113</v>
      </c>
      <c r="I142" s="207">
        <v>-376250.36601859715</v>
      </c>
      <c r="J142" s="207">
        <v>-372181.23626983829</v>
      </c>
      <c r="K142" s="207">
        <v>-122730.58973026519</v>
      </c>
      <c r="L142" s="207">
        <v>-55533.731499322566</v>
      </c>
      <c r="M142" s="207">
        <v>-18407.088302229298</v>
      </c>
      <c r="N142" s="207">
        <v>-192048.44031878951</v>
      </c>
      <c r="O142" s="207">
        <v>-3130.4232691073125</v>
      </c>
      <c r="P142" s="200"/>
      <c r="Q142" s="207">
        <v>-291627.07236025459</v>
      </c>
      <c r="R142" s="207">
        <v>-3106.0621244628314</v>
      </c>
      <c r="S142" s="207">
        <v>-77448.101785120831</v>
      </c>
      <c r="T142" s="207">
        <f t="shared" si="20"/>
        <v>-372181.23626983829</v>
      </c>
      <c r="U142" s="207">
        <f t="shared" si="21"/>
        <v>-294733.13448471745</v>
      </c>
      <c r="V142" s="200"/>
      <c r="W142" s="200"/>
      <c r="X142" s="200"/>
      <c r="Y142" s="200"/>
    </row>
    <row r="143" spans="1:25" s="199" customFormat="1" ht="15" x14ac:dyDescent="0.25">
      <c r="A143" s="199">
        <f t="shared" si="22"/>
        <v>136</v>
      </c>
      <c r="B143" s="206">
        <v>230.03</v>
      </c>
      <c r="C143" s="199" t="s">
        <v>437</v>
      </c>
      <c r="D143" s="200" t="s">
        <v>201</v>
      </c>
      <c r="E143" s="207">
        <v>-1037096.4044746666</v>
      </c>
      <c r="F143" s="207">
        <v>-632857.94466496375</v>
      </c>
      <c r="G143" s="207">
        <v>-128015.01539896743</v>
      </c>
      <c r="H143" s="207">
        <v>-107335.45327145078</v>
      </c>
      <c r="I143" s="207">
        <v>-61462.219313505368</v>
      </c>
      <c r="J143" s="207">
        <v>-48099.105012765889</v>
      </c>
      <c r="K143" s="207">
        <v>-19413.873712431727</v>
      </c>
      <c r="L143" s="207">
        <v>-15944.300011382427</v>
      </c>
      <c r="M143" s="207">
        <v>-11285.297400339698</v>
      </c>
      <c r="N143" s="207">
        <v>-12369.837912278608</v>
      </c>
      <c r="O143" s="207">
        <v>-313.35777658107389</v>
      </c>
      <c r="P143" s="200"/>
      <c r="Q143" s="207">
        <v>-42364.336125586982</v>
      </c>
      <c r="R143" s="207">
        <v>-213.42276645044436</v>
      </c>
      <c r="S143" s="207">
        <v>-5521.3461207284636</v>
      </c>
      <c r="T143" s="207">
        <f t="shared" si="20"/>
        <v>-48099.105012765889</v>
      </c>
      <c r="U143" s="207">
        <f t="shared" si="21"/>
        <v>-42577.758892037426</v>
      </c>
      <c r="V143" s="200"/>
      <c r="W143" s="200"/>
      <c r="X143" s="200"/>
      <c r="Y143" s="200"/>
    </row>
    <row r="144" spans="1:25" s="199" customFormat="1" x14ac:dyDescent="0.2">
      <c r="A144" s="208">
        <f>+A143+1</f>
        <v>137</v>
      </c>
      <c r="B144" s="209"/>
      <c r="C144" s="208" t="s">
        <v>202</v>
      </c>
      <c r="D144" s="210"/>
      <c r="E144" s="211">
        <f t="shared" ref="E144:N144" si="23">SUM(E124:E143)</f>
        <v>-957425711.47283471</v>
      </c>
      <c r="F144" s="211">
        <f t="shared" si="23"/>
        <v>-554917918.92786396</v>
      </c>
      <c r="G144" s="211">
        <f t="shared" si="23"/>
        <v>-142582473.26337609</v>
      </c>
      <c r="H144" s="211">
        <f t="shared" si="23"/>
        <v>-102276825.0277072</v>
      </c>
      <c r="I144" s="211">
        <f t="shared" si="23"/>
        <v>-55945837.654894747</v>
      </c>
      <c r="J144" s="211">
        <f t="shared" si="23"/>
        <v>-44686336.298063532</v>
      </c>
      <c r="K144" s="211">
        <f t="shared" si="23"/>
        <v>-17531682.187833015</v>
      </c>
      <c r="L144" s="211">
        <f t="shared" si="23"/>
        <v>-13720919.479231823</v>
      </c>
      <c r="M144" s="211">
        <f t="shared" si="23"/>
        <v>-14294812.392896049</v>
      </c>
      <c r="N144" s="211">
        <f t="shared" si="23"/>
        <v>-11166810.889557119</v>
      </c>
      <c r="O144" s="211">
        <f>SUM(O124:O143)</f>
        <v>-302095.35141137155</v>
      </c>
      <c r="P144" s="200"/>
      <c r="Q144" s="211">
        <f>SUM(Q124:Q143)</f>
        <v>-38805744.611539416</v>
      </c>
      <c r="R144" s="211">
        <f>SUM(R124:R143)</f>
        <v>-221069.7585543989</v>
      </c>
      <c r="S144" s="211">
        <f>SUM(S124:S143)</f>
        <v>-5659521.9279697221</v>
      </c>
      <c r="T144" s="211">
        <f>SUM(T124:T143)</f>
        <v>-44686336.298063532</v>
      </c>
      <c r="U144" s="211">
        <f>SUM(U124:U143)</f>
        <v>-39026814.37009383</v>
      </c>
      <c r="V144" s="200"/>
      <c r="W144" s="200"/>
      <c r="X144" s="200"/>
      <c r="Y144" s="200"/>
    </row>
    <row r="145" spans="1:25" s="199" customFormat="1" ht="15" x14ac:dyDescent="0.25">
      <c r="A145" s="199">
        <f>+A144+1</f>
        <v>138</v>
      </c>
      <c r="B145" s="206"/>
      <c r="D145" s="200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0"/>
      <c r="Q145" s="207"/>
      <c r="R145" s="207"/>
      <c r="S145" s="207"/>
      <c r="T145" s="207"/>
      <c r="U145" s="207"/>
      <c r="V145" s="200"/>
      <c r="W145" s="200"/>
      <c r="X145" s="200"/>
      <c r="Y145" s="200"/>
    </row>
    <row r="146" spans="1:25" s="199" customFormat="1" x14ac:dyDescent="0.2">
      <c r="A146" s="208">
        <f t="shared" si="22"/>
        <v>139</v>
      </c>
      <c r="B146" s="209"/>
      <c r="C146" s="208" t="s">
        <v>438</v>
      </c>
      <c r="D146" s="210"/>
      <c r="E146" s="211">
        <f t="shared" ref="E146:N146" si="24">SUM(E144,E121)</f>
        <v>-711414380.08137155</v>
      </c>
      <c r="F146" s="211">
        <f t="shared" si="24"/>
        <v>-412948667.65490049</v>
      </c>
      <c r="G146" s="211">
        <f t="shared" si="24"/>
        <v>-111663096.01653896</v>
      </c>
      <c r="H146" s="211">
        <f t="shared" si="24"/>
        <v>-73691067.891070202</v>
      </c>
      <c r="I146" s="211">
        <f t="shared" si="24"/>
        <v>-39421870.188808873</v>
      </c>
      <c r="J146" s="211">
        <f t="shared" si="24"/>
        <v>-31792751.362743132</v>
      </c>
      <c r="K146" s="211">
        <f t="shared" si="24"/>
        <v>-12329701.0915571</v>
      </c>
      <c r="L146" s="211">
        <f t="shared" si="24"/>
        <v>-9407003.4213381074</v>
      </c>
      <c r="M146" s="211">
        <f t="shared" si="24"/>
        <v>-11427699.936003383</v>
      </c>
      <c r="N146" s="211">
        <f t="shared" si="24"/>
        <v>-8513943.7227035463</v>
      </c>
      <c r="O146" s="211">
        <f>SUM(O144,O121)</f>
        <v>-218578.79570792662</v>
      </c>
      <c r="P146" s="200"/>
      <c r="Q146" s="211">
        <f>SUM(Q144,Q121)</f>
        <v>-27421564.959714286</v>
      </c>
      <c r="R146" s="211">
        <f>SUM(R144,R121)</f>
        <v>-164802.23213856271</v>
      </c>
      <c r="S146" s="211">
        <f>SUM(S144,S121)</f>
        <v>-4206384.1708902903</v>
      </c>
      <c r="T146" s="211">
        <f>SUM(T144,T121)</f>
        <v>-31792751.362743132</v>
      </c>
      <c r="U146" s="211">
        <f>SUM(U144,U121)</f>
        <v>-27586367.191852864</v>
      </c>
      <c r="V146" s="200"/>
      <c r="W146" s="200"/>
      <c r="X146" s="200"/>
      <c r="Y146" s="200"/>
    </row>
    <row r="147" spans="1:25" s="199" customFormat="1" ht="15" x14ac:dyDescent="0.25">
      <c r="A147" s="199">
        <f t="shared" si="22"/>
        <v>140</v>
      </c>
      <c r="B147" s="206"/>
      <c r="D147" s="200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0"/>
      <c r="Q147" s="207"/>
      <c r="R147" s="207"/>
      <c r="S147" s="207"/>
      <c r="T147" s="207"/>
      <c r="U147" s="207"/>
      <c r="V147" s="200"/>
      <c r="W147" s="200"/>
      <c r="X147" s="200"/>
      <c r="Y147" s="200"/>
    </row>
    <row r="148" spans="1:25" s="199" customFormat="1" ht="13.5" thickBot="1" x14ac:dyDescent="0.25">
      <c r="A148" s="213">
        <f t="shared" si="22"/>
        <v>141</v>
      </c>
      <c r="B148" s="214"/>
      <c r="C148" s="213" t="s">
        <v>439</v>
      </c>
      <c r="D148" s="215"/>
      <c r="E148" s="216">
        <f t="shared" ref="E148:N148" si="25">SUM(E146,E116,E66)</f>
        <v>5166534271.5282803</v>
      </c>
      <c r="F148" s="216">
        <f t="shared" si="25"/>
        <v>2958858088.3010092</v>
      </c>
      <c r="G148" s="216">
        <f t="shared" si="25"/>
        <v>631768102.8235985</v>
      </c>
      <c r="H148" s="216">
        <f t="shared" si="25"/>
        <v>614701551.1524148</v>
      </c>
      <c r="I148" s="216">
        <f t="shared" si="25"/>
        <v>357640689.33106196</v>
      </c>
      <c r="J148" s="216">
        <f t="shared" si="25"/>
        <v>279629924.10991037</v>
      </c>
      <c r="K148" s="216">
        <f t="shared" si="25"/>
        <v>108011887.59779301</v>
      </c>
      <c r="L148" s="216">
        <f t="shared" si="25"/>
        <v>95693698.294125363</v>
      </c>
      <c r="M148" s="216">
        <f t="shared" si="25"/>
        <v>63435275.031670541</v>
      </c>
      <c r="N148" s="216">
        <f t="shared" si="25"/>
        <v>54994041.926398531</v>
      </c>
      <c r="O148" s="216">
        <f>SUM(O146,O116,O66)</f>
        <v>1801012.9602997608</v>
      </c>
      <c r="P148" s="200"/>
      <c r="Q148" s="216">
        <f>SUM(Q146,Q116,Q66)</f>
        <v>247272154.47488016</v>
      </c>
      <c r="R148" s="216">
        <f>SUM(R146,R116,R66)</f>
        <v>1198767.4438550854</v>
      </c>
      <c r="S148" s="216">
        <f>SUM(S146,S116,S66)</f>
        <v>31159002.191175163</v>
      </c>
      <c r="T148" s="216">
        <f>SUM(T146,T116,T66)</f>
        <v>279629924.10991037</v>
      </c>
      <c r="U148" s="216">
        <f>SUM(U146,U116,U66)</f>
        <v>248470921.91873524</v>
      </c>
      <c r="V148" s="200"/>
      <c r="W148" s="200"/>
      <c r="X148" s="200"/>
      <c r="Y148" s="200"/>
    </row>
    <row r="149" spans="1:25" s="199" customFormat="1" ht="15.75" thickTop="1" x14ac:dyDescent="0.25">
      <c r="B149" s="206"/>
      <c r="D149" s="200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0"/>
      <c r="Q149" s="207"/>
      <c r="R149" s="207"/>
      <c r="S149" s="207"/>
      <c r="T149" s="207"/>
      <c r="U149" s="207"/>
      <c r="V149" s="200"/>
      <c r="W149" s="200"/>
      <c r="X149" s="200"/>
      <c r="Y149" s="200"/>
    </row>
    <row r="150" spans="1:25" s="199" customFormat="1" ht="15" x14ac:dyDescent="0.25">
      <c r="B150" s="206"/>
      <c r="D150" s="200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0"/>
      <c r="Q150" s="207"/>
      <c r="R150" s="200"/>
      <c r="S150" s="200"/>
      <c r="T150" s="200"/>
      <c r="U150" s="200"/>
      <c r="V150" s="200"/>
      <c r="W150" s="200"/>
      <c r="X150" s="200"/>
      <c r="Y150" s="200"/>
    </row>
    <row r="151" spans="1:25" s="199" customFormat="1" ht="15" x14ac:dyDescent="0.25">
      <c r="B151" s="206"/>
      <c r="D151" s="200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0"/>
      <c r="Q151" s="207"/>
      <c r="R151" s="200"/>
      <c r="S151" s="200"/>
      <c r="T151" s="200"/>
      <c r="U151" s="200"/>
      <c r="V151" s="200"/>
      <c r="W151" s="200"/>
      <c r="X151" s="200"/>
      <c r="Y151" s="200"/>
    </row>
    <row r="152" spans="1:25" s="199" customFormat="1" ht="15" x14ac:dyDescent="0.25">
      <c r="B152" s="206"/>
      <c r="D152" s="200"/>
      <c r="E152" s="207">
        <v>5166534271.5282803</v>
      </c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0"/>
      <c r="Q152" s="207"/>
      <c r="R152" s="200"/>
      <c r="S152" s="200"/>
      <c r="T152" s="200"/>
      <c r="U152" s="200"/>
      <c r="V152" s="200"/>
      <c r="W152" s="200"/>
      <c r="X152" s="200"/>
      <c r="Y152" s="200"/>
    </row>
    <row r="153" spans="1:25" x14ac:dyDescent="0.2">
      <c r="Q153" s="200"/>
    </row>
    <row r="154" spans="1:25" x14ac:dyDescent="0.2">
      <c r="Q154" s="200"/>
    </row>
    <row r="155" spans="1:25" x14ac:dyDescent="0.2">
      <c r="Q155" s="200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3" fitToHeight="3" pageOrder="overThenDown" orientation="landscape" r:id="rId1"/>
  <headerFooter alignWithMargins="0">
    <oddFooter>&amp;L&amp;F
&amp;A&amp;R&amp;D</oddFooter>
  </headerFooter>
  <rowBreaks count="2" manualBreakCount="2">
    <brk id="50" max="16383" man="1"/>
    <brk id="1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K37" sqref="K37"/>
    </sheetView>
  </sheetViews>
  <sheetFormatPr defaultColWidth="9.140625" defaultRowHeight="11.25" x14ac:dyDescent="0.2"/>
  <cols>
    <col min="1" max="1" width="21" style="219" customWidth="1"/>
    <col min="2" max="14" width="10.7109375" style="218" customWidth="1"/>
    <col min="15" max="16384" width="9.140625" style="218"/>
  </cols>
  <sheetData>
    <row r="1" spans="1:14" ht="18.75" x14ac:dyDescent="0.3">
      <c r="A1" s="217" t="s">
        <v>318</v>
      </c>
    </row>
    <row r="2" spans="1:14" ht="18.75" x14ac:dyDescent="0.3">
      <c r="A2" s="217" t="s">
        <v>319</v>
      </c>
    </row>
    <row r="4" spans="1:14" s="221" customFormat="1" ht="12" thickBot="1" x14ac:dyDescent="0.25">
      <c r="A4" s="220"/>
    </row>
    <row r="5" spans="1:14" x14ac:dyDescent="0.2">
      <c r="A5" s="222"/>
      <c r="B5" s="223"/>
      <c r="C5" s="223"/>
      <c r="D5" s="224"/>
    </row>
    <row r="6" spans="1:14" x14ac:dyDescent="0.2">
      <c r="A6" s="225"/>
      <c r="B6" s="226" t="s">
        <v>320</v>
      </c>
      <c r="C6" s="226" t="s">
        <v>321</v>
      </c>
      <c r="D6" s="227" t="s">
        <v>322</v>
      </c>
    </row>
    <row r="7" spans="1:14" x14ac:dyDescent="0.2">
      <c r="A7" s="228" t="s">
        <v>323</v>
      </c>
      <c r="B7" s="229">
        <v>-72897267</v>
      </c>
      <c r="C7" s="229">
        <v>-23589054</v>
      </c>
      <c r="D7" s="230">
        <f>SUM(B7:C7)</f>
        <v>-96486321</v>
      </c>
    </row>
    <row r="8" spans="1:14" x14ac:dyDescent="0.2">
      <c r="A8" s="228" t="s">
        <v>324</v>
      </c>
      <c r="B8" s="229">
        <v>8126789</v>
      </c>
      <c r="C8" s="229"/>
      <c r="D8" s="230">
        <f>SUM(B8:C8)</f>
        <v>8126789</v>
      </c>
    </row>
    <row r="9" spans="1:14" ht="12" thickBot="1" x14ac:dyDescent="0.25">
      <c r="A9" s="231" t="s">
        <v>325</v>
      </c>
      <c r="B9" s="232">
        <f>SUM(B7:B8)</f>
        <v>-64770478</v>
      </c>
      <c r="C9" s="232">
        <f>SUM(C7:C8)</f>
        <v>-23589054</v>
      </c>
      <c r="D9" s="233">
        <f>SUM(D7:D8)</f>
        <v>-88359532</v>
      </c>
    </row>
    <row r="10" spans="1:14" ht="12.75" thickTop="1" thickBot="1" x14ac:dyDescent="0.25">
      <c r="A10" s="234"/>
      <c r="B10" s="235"/>
      <c r="C10" s="235"/>
      <c r="D10" s="236"/>
    </row>
    <row r="12" spans="1:14" x14ac:dyDescent="0.2">
      <c r="A12" s="237" t="s">
        <v>326</v>
      </c>
    </row>
    <row r="13" spans="1:14" x14ac:dyDescent="0.2">
      <c r="B13" s="238" t="s">
        <v>327</v>
      </c>
      <c r="C13" s="238" t="s">
        <v>328</v>
      </c>
      <c r="D13" s="238" t="s">
        <v>329</v>
      </c>
      <c r="E13" s="238" t="s">
        <v>330</v>
      </c>
      <c r="F13" s="238" t="s">
        <v>331</v>
      </c>
      <c r="G13" s="238" t="s">
        <v>332</v>
      </c>
      <c r="H13" s="238" t="s">
        <v>333</v>
      </c>
      <c r="I13" s="238" t="s">
        <v>334</v>
      </c>
      <c r="J13" s="238" t="s">
        <v>335</v>
      </c>
      <c r="K13" s="238" t="s">
        <v>336</v>
      </c>
      <c r="L13" s="238" t="s">
        <v>337</v>
      </c>
      <c r="M13" s="238" t="s">
        <v>338</v>
      </c>
      <c r="N13" s="238" t="s">
        <v>339</v>
      </c>
    </row>
    <row r="14" spans="1:14" x14ac:dyDescent="0.2">
      <c r="A14" s="239" t="s">
        <v>340</v>
      </c>
    </row>
    <row r="15" spans="1:14" x14ac:dyDescent="0.2">
      <c r="A15" s="240" t="s">
        <v>341</v>
      </c>
      <c r="B15" s="218">
        <v>251408.07044000001</v>
      </c>
      <c r="C15" s="218">
        <v>226548.05015999899</v>
      </c>
      <c r="D15" s="218">
        <v>215985.94151</v>
      </c>
      <c r="E15" s="218">
        <v>188227.03513362299</v>
      </c>
      <c r="F15" s="218">
        <v>162744.870512886</v>
      </c>
      <c r="G15" s="218">
        <v>152397.892912182</v>
      </c>
      <c r="H15" s="218">
        <v>166340.333603148</v>
      </c>
      <c r="I15" s="218">
        <v>167905.764894441</v>
      </c>
      <c r="J15" s="218">
        <v>164467.54621114599</v>
      </c>
      <c r="K15" s="218">
        <v>187165.990348316</v>
      </c>
      <c r="L15" s="218">
        <v>221556.59069047001</v>
      </c>
      <c r="M15" s="218">
        <v>270622.47811806097</v>
      </c>
      <c r="N15" s="218">
        <f>+SUM(B15:M15)</f>
        <v>2375370.5645342721</v>
      </c>
    </row>
    <row r="16" spans="1:14" x14ac:dyDescent="0.2">
      <c r="A16" s="240" t="s">
        <v>342</v>
      </c>
      <c r="B16" s="218">
        <v>118556.43161</v>
      </c>
      <c r="C16" s="218">
        <v>109933.75255999999</v>
      </c>
      <c r="D16" s="218">
        <v>101793.98384</v>
      </c>
      <c r="E16" s="218">
        <v>75701.712309762501</v>
      </c>
      <c r="F16" s="218">
        <v>53386.190805262202</v>
      </c>
      <c r="G16" s="218">
        <v>41956.954061902899</v>
      </c>
      <c r="H16" s="218">
        <v>35918.467487487098</v>
      </c>
      <c r="I16" s="218">
        <v>35035.696191786403</v>
      </c>
      <c r="J16" s="218">
        <v>41040.965211722403</v>
      </c>
      <c r="K16" s="218">
        <v>68599.774399606002</v>
      </c>
      <c r="L16" s="218">
        <v>96242.618341745896</v>
      </c>
      <c r="M16" s="218">
        <v>131837.805979722</v>
      </c>
      <c r="N16" s="218">
        <f>+SUM(B16:M16)</f>
        <v>910004.35279899742</v>
      </c>
    </row>
    <row r="18" spans="1:14" x14ac:dyDescent="0.2">
      <c r="A18" s="219" t="s">
        <v>343</v>
      </c>
      <c r="B18" s="241">
        <f t="shared" ref="B18:M18" si="0">B15/$N$15</f>
        <v>0.10583951581857394</v>
      </c>
      <c r="C18" s="241">
        <f t="shared" si="0"/>
        <v>9.5373771799019166E-2</v>
      </c>
      <c r="D18" s="241">
        <f t="shared" si="0"/>
        <v>9.0927261933275397E-2</v>
      </c>
      <c r="E18" s="241">
        <f>E15/$N$15</f>
        <v>7.9241124708694793E-2</v>
      </c>
      <c r="F18" s="241">
        <f t="shared" si="0"/>
        <v>6.8513466043052793E-2</v>
      </c>
      <c r="G18" s="241">
        <f t="shared" si="0"/>
        <v>6.4157523540779388E-2</v>
      </c>
      <c r="H18" s="241">
        <f t="shared" si="0"/>
        <v>7.0027109069511262E-2</v>
      </c>
      <c r="I18" s="241">
        <f t="shared" si="0"/>
        <v>7.0686135208281292E-2</v>
      </c>
      <c r="J18" s="241">
        <f t="shared" si="0"/>
        <v>6.9238690024515132E-2</v>
      </c>
      <c r="K18" s="241">
        <f t="shared" si="0"/>
        <v>7.8794438704772263E-2</v>
      </c>
      <c r="L18" s="241">
        <f t="shared" si="0"/>
        <v>9.3272432519980131E-2</v>
      </c>
      <c r="M18" s="241">
        <f t="shared" si="0"/>
        <v>0.11392853062954439</v>
      </c>
      <c r="N18" s="241">
        <f>SUM(B18:M18)</f>
        <v>0.99999999999999978</v>
      </c>
    </row>
    <row r="19" spans="1:14" x14ac:dyDescent="0.2">
      <c r="A19" s="219" t="s">
        <v>344</v>
      </c>
      <c r="B19" s="241">
        <f t="shared" ref="B19:M19" si="1">B16/$N$16</f>
        <v>0.1302811698046755</v>
      </c>
      <c r="C19" s="241">
        <f t="shared" si="1"/>
        <v>0.12080574364492326</v>
      </c>
      <c r="D19" s="241">
        <f t="shared" si="1"/>
        <v>0.11186098563913612</v>
      </c>
      <c r="E19" s="241">
        <f>E16/$N$16</f>
        <v>8.3188296931678049E-2</v>
      </c>
      <c r="F19" s="241">
        <f t="shared" si="1"/>
        <v>5.8665863125881325E-2</v>
      </c>
      <c r="G19" s="241">
        <f t="shared" si="1"/>
        <v>4.6106322384998955E-2</v>
      </c>
      <c r="H19" s="241">
        <f t="shared" si="1"/>
        <v>3.9470654593034456E-2</v>
      </c>
      <c r="I19" s="241">
        <f t="shared" si="1"/>
        <v>3.8500580886259912E-2</v>
      </c>
      <c r="J19" s="241">
        <f t="shared" si="1"/>
        <v>4.5099746045706629E-2</v>
      </c>
      <c r="K19" s="241">
        <f t="shared" si="1"/>
        <v>7.5384006888105926E-2</v>
      </c>
      <c r="L19" s="241">
        <f t="shared" si="1"/>
        <v>0.10576061317258781</v>
      </c>
      <c r="M19" s="241">
        <f t="shared" si="1"/>
        <v>0.14487601688301205</v>
      </c>
      <c r="N19" s="241">
        <f>SUM(B19:M19)</f>
        <v>1</v>
      </c>
    </row>
    <row r="23" spans="1:14" x14ac:dyDescent="0.2">
      <c r="A23" s="237" t="s">
        <v>345</v>
      </c>
      <c r="F23" s="242" t="s">
        <v>346</v>
      </c>
      <c r="G23" s="243"/>
      <c r="H23" s="243"/>
      <c r="I23" s="243"/>
      <c r="J23" s="243"/>
      <c r="K23" s="243"/>
      <c r="L23" s="243"/>
      <c r="M23" s="243"/>
      <c r="N23" s="244"/>
    </row>
    <row r="24" spans="1:14" x14ac:dyDescent="0.2">
      <c r="A24" s="218" t="s">
        <v>347</v>
      </c>
      <c r="B24" s="218">
        <f t="shared" ref="B24:M24" si="2">$B$9*B18</f>
        <v>-6855276.0308575956</v>
      </c>
      <c r="C24" s="218">
        <f t="shared" si="2"/>
        <v>-6177404.7880853917</v>
      </c>
      <c r="D24" s="245">
        <f t="shared" si="2"/>
        <v>-5889402.2186494516</v>
      </c>
      <c r="E24" s="218">
        <f>$B$9*E18</f>
        <v>-5132485.5246397723</v>
      </c>
      <c r="F24" s="246">
        <f t="shared" si="2"/>
        <v>-4437649.945045298</v>
      </c>
      <c r="G24" s="247">
        <f t="shared" si="2"/>
        <v>-4155513.4670325336</v>
      </c>
      <c r="H24" s="247">
        <f t="shared" si="2"/>
        <v>-4535689.3273903793</v>
      </c>
      <c r="I24" s="247">
        <f t="shared" si="2"/>
        <v>-4578374.7654130086</v>
      </c>
      <c r="J24" s="247">
        <f t="shared" si="2"/>
        <v>-4484623.0489816768</v>
      </c>
      <c r="K24" s="247">
        <f t="shared" si="2"/>
        <v>-5103553.4586498002</v>
      </c>
      <c r="L24" s="247">
        <f t="shared" si="2"/>
        <v>-6041300.0385418572</v>
      </c>
      <c r="M24" s="247">
        <f t="shared" si="2"/>
        <v>-7379205.386713231</v>
      </c>
      <c r="N24" s="248">
        <f>SUM(B24:M24)</f>
        <v>-64770477.999999993</v>
      </c>
    </row>
    <row r="25" spans="1:14" x14ac:dyDescent="0.2">
      <c r="A25" s="218" t="s">
        <v>348</v>
      </c>
      <c r="B25" s="218">
        <f>$C$7*B19</f>
        <v>-3073209.5497056595</v>
      </c>
      <c r="C25" s="218">
        <f t="shared" ref="C25:M25" si="3">$C$7*C19</f>
        <v>-2849693.2103502518</v>
      </c>
      <c r="D25" s="245">
        <f t="shared" si="3"/>
        <v>-2638694.8307348061</v>
      </c>
      <c r="E25" s="218">
        <f>$C$7*E19</f>
        <v>-1962333.2284893878</v>
      </c>
      <c r="F25" s="246">
        <f t="shared" si="3"/>
        <v>-1383872.2132330234</v>
      </c>
      <c r="G25" s="247">
        <f t="shared" si="3"/>
        <v>-1087604.5284811491</v>
      </c>
      <c r="H25" s="247">
        <f t="shared" si="3"/>
        <v>-931075.40261043783</v>
      </c>
      <c r="I25" s="247">
        <f t="shared" si="3"/>
        <v>-908192.28155735298</v>
      </c>
      <c r="J25" s="247">
        <f t="shared" si="3"/>
        <v>-1063860.3448584601</v>
      </c>
      <c r="K25" s="247">
        <f t="shared" si="3"/>
        <v>-1778237.4092199027</v>
      </c>
      <c r="L25" s="247">
        <f t="shared" si="3"/>
        <v>-2494792.8152012853</v>
      </c>
      <c r="M25" s="247">
        <f t="shared" si="3"/>
        <v>-3417488.1855582828</v>
      </c>
      <c r="N25" s="248">
        <f>SUM(B25:M25)</f>
        <v>-23589054</v>
      </c>
    </row>
    <row r="26" spans="1:14" ht="12" thickBot="1" x14ac:dyDescent="0.25">
      <c r="A26" s="218" t="s">
        <v>345</v>
      </c>
      <c r="B26" s="249">
        <f>SUM(B24:B25)</f>
        <v>-9928485.5805632547</v>
      </c>
      <c r="C26" s="249">
        <f t="shared" ref="C26:M26" si="4">SUM(C24:C25)</f>
        <v>-9027097.9984356426</v>
      </c>
      <c r="D26" s="232">
        <f t="shared" si="4"/>
        <v>-8528097.0493842587</v>
      </c>
      <c r="E26" s="249">
        <f t="shared" si="4"/>
        <v>-7094818.75312916</v>
      </c>
      <c r="F26" s="250">
        <f t="shared" si="4"/>
        <v>-5821522.1582783218</v>
      </c>
      <c r="G26" s="232">
        <f t="shared" si="4"/>
        <v>-5243117.9955136832</v>
      </c>
      <c r="H26" s="232">
        <f t="shared" si="4"/>
        <v>-5466764.7300008172</v>
      </c>
      <c r="I26" s="232">
        <f t="shared" si="4"/>
        <v>-5486567.0469703618</v>
      </c>
      <c r="J26" s="232">
        <f t="shared" si="4"/>
        <v>-5548483.3938401369</v>
      </c>
      <c r="K26" s="232">
        <f t="shared" si="4"/>
        <v>-6881790.8678697031</v>
      </c>
      <c r="L26" s="232">
        <f t="shared" si="4"/>
        <v>-8536092.8537431434</v>
      </c>
      <c r="M26" s="232">
        <f t="shared" si="4"/>
        <v>-10796693.572271515</v>
      </c>
      <c r="N26" s="251">
        <f>SUM(N24:N25)</f>
        <v>-88359532</v>
      </c>
    </row>
    <row r="27" spans="1:14" ht="12" thickTop="1" x14ac:dyDescent="0.2">
      <c r="F27" s="246"/>
      <c r="G27" s="247"/>
      <c r="H27" s="247"/>
      <c r="I27" s="247"/>
      <c r="J27" s="247"/>
      <c r="K27" s="247"/>
      <c r="L27" s="247"/>
      <c r="M27" s="247"/>
      <c r="N27" s="248"/>
    </row>
    <row r="28" spans="1:14" x14ac:dyDescent="0.2">
      <c r="F28" s="246"/>
      <c r="G28" s="247"/>
      <c r="H28" s="247"/>
      <c r="I28" s="247"/>
      <c r="J28" s="247"/>
      <c r="K28" s="247"/>
      <c r="L28" s="247"/>
      <c r="M28" s="247"/>
      <c r="N28" s="248"/>
    </row>
    <row r="29" spans="1:14" x14ac:dyDescent="0.2">
      <c r="E29" s="252" t="s">
        <v>349</v>
      </c>
      <c r="F29" s="246"/>
      <c r="G29" s="247"/>
      <c r="H29" s="247"/>
      <c r="I29" s="247"/>
      <c r="J29" s="247"/>
      <c r="K29" s="247"/>
      <c r="L29" s="247"/>
      <c r="M29" s="247"/>
      <c r="N29" s="248"/>
    </row>
    <row r="30" spans="1:14" x14ac:dyDescent="0.2">
      <c r="A30" s="237" t="s">
        <v>350</v>
      </c>
      <c r="E30" s="252" t="s">
        <v>351</v>
      </c>
      <c r="F30" s="246"/>
      <c r="G30" s="247"/>
      <c r="H30" s="247"/>
      <c r="I30" s="247"/>
      <c r="J30" s="247"/>
      <c r="K30" s="247"/>
      <c r="L30" s="247"/>
      <c r="M30" s="247"/>
      <c r="N30" s="248"/>
    </row>
    <row r="31" spans="1:14" x14ac:dyDescent="0.2">
      <c r="A31" s="218" t="s">
        <v>347</v>
      </c>
      <c r="B31" s="218">
        <f>B24</f>
        <v>-6855276.0308575956</v>
      </c>
      <c r="C31" s="245">
        <f>B24+C24</f>
        <v>-13032680.818942986</v>
      </c>
      <c r="D31" s="245">
        <f t="shared" ref="D31:M32" si="5">C31+D24</f>
        <v>-18922083.037592437</v>
      </c>
      <c r="E31" s="245">
        <f t="shared" si="5"/>
        <v>-24054568.562232211</v>
      </c>
      <c r="F31" s="246">
        <f t="shared" si="5"/>
        <v>-28492218.507277511</v>
      </c>
      <c r="G31" s="247">
        <f t="shared" si="5"/>
        <v>-32647731.974310044</v>
      </c>
      <c r="H31" s="247">
        <f t="shared" si="5"/>
        <v>-37183421.301700421</v>
      </c>
      <c r="I31" s="247">
        <f t="shared" si="5"/>
        <v>-41761796.067113429</v>
      </c>
      <c r="J31" s="247">
        <f t="shared" si="5"/>
        <v>-46246419.116095103</v>
      </c>
      <c r="K31" s="247">
        <f t="shared" si="5"/>
        <v>-51349972.574744903</v>
      </c>
      <c r="L31" s="247">
        <f t="shared" si="5"/>
        <v>-57391272.613286763</v>
      </c>
      <c r="M31" s="247">
        <f t="shared" si="5"/>
        <v>-64770477.999999993</v>
      </c>
      <c r="N31" s="248"/>
    </row>
    <row r="32" spans="1:14" x14ac:dyDescent="0.2">
      <c r="A32" s="218" t="s">
        <v>348</v>
      </c>
      <c r="B32" s="218">
        <f>B25</f>
        <v>-3073209.5497056595</v>
      </c>
      <c r="C32" s="245">
        <f>B25+C25</f>
        <v>-5922902.7600559108</v>
      </c>
      <c r="D32" s="245">
        <f t="shared" si="5"/>
        <v>-8561597.5907907169</v>
      </c>
      <c r="E32" s="245">
        <f t="shared" si="5"/>
        <v>-10523930.819280105</v>
      </c>
      <c r="F32" s="246">
        <f t="shared" si="5"/>
        <v>-11907803.032513129</v>
      </c>
      <c r="G32" s="247">
        <f t="shared" si="5"/>
        <v>-12995407.560994279</v>
      </c>
      <c r="H32" s="247">
        <f t="shared" si="5"/>
        <v>-13926482.963604717</v>
      </c>
      <c r="I32" s="247">
        <f t="shared" si="5"/>
        <v>-14834675.24516207</v>
      </c>
      <c r="J32" s="247">
        <f t="shared" si="5"/>
        <v>-15898535.59002053</v>
      </c>
      <c r="K32" s="247">
        <f t="shared" si="5"/>
        <v>-17676772.999240432</v>
      </c>
      <c r="L32" s="247">
        <f t="shared" si="5"/>
        <v>-20171565.814441718</v>
      </c>
      <c r="M32" s="247">
        <f t="shared" si="5"/>
        <v>-23589054</v>
      </c>
      <c r="N32" s="248"/>
    </row>
    <row r="33" spans="1:14" ht="12" thickBot="1" x14ac:dyDescent="0.25">
      <c r="A33" s="218" t="s">
        <v>352</v>
      </c>
      <c r="B33" s="249">
        <f>SUM(B31:B32)</f>
        <v>-9928485.5805632547</v>
      </c>
      <c r="C33" s="232">
        <f t="shared" ref="C33:M33" si="6">SUM(C31:C32)</f>
        <v>-18955583.578998897</v>
      </c>
      <c r="D33" s="232">
        <f t="shared" si="6"/>
        <v>-27483680.628383152</v>
      </c>
      <c r="E33" s="232">
        <f t="shared" si="6"/>
        <v>-34578499.381512314</v>
      </c>
      <c r="F33" s="250">
        <f t="shared" si="6"/>
        <v>-40400021.539790638</v>
      </c>
      <c r="G33" s="232">
        <f t="shared" si="6"/>
        <v>-45643139.535304323</v>
      </c>
      <c r="H33" s="232">
        <f t="shared" si="6"/>
        <v>-51109904.265305139</v>
      </c>
      <c r="I33" s="232">
        <f t="shared" si="6"/>
        <v>-56596471.312275499</v>
      </c>
      <c r="J33" s="232">
        <f t="shared" si="6"/>
        <v>-62144954.706115633</v>
      </c>
      <c r="K33" s="232">
        <f t="shared" si="6"/>
        <v>-69026745.573985338</v>
      </c>
      <c r="L33" s="232">
        <f t="shared" si="6"/>
        <v>-77562838.427728474</v>
      </c>
      <c r="M33" s="232">
        <f t="shared" si="6"/>
        <v>-88359532</v>
      </c>
      <c r="N33" s="248"/>
    </row>
    <row r="34" spans="1:14" ht="12" thickTop="1" x14ac:dyDescent="0.2">
      <c r="F34" s="253"/>
      <c r="G34" s="254"/>
      <c r="H34" s="254"/>
      <c r="I34" s="254"/>
      <c r="J34" s="254"/>
      <c r="K34" s="254"/>
      <c r="L34" s="254"/>
      <c r="M34" s="254"/>
      <c r="N34" s="255"/>
    </row>
  </sheetData>
  <pageMargins left="0.75" right="0.75" top="1" bottom="1" header="0.5" footer="0.5"/>
  <pageSetup scale="75" fitToHeight="0" orientation="landscape" r:id="rId1"/>
  <headerFooter>
    <oddFooter>&amp;L&amp;F
&amp;A&amp;R&amp;D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workbookViewId="0">
      <pane xSplit="4" ySplit="8" topLeftCell="E168" activePane="bottomRight" state="frozen"/>
      <selection activeCell="E8" sqref="E8"/>
      <selection pane="topRight" activeCell="E8" sqref="E8"/>
      <selection pane="bottomLeft" activeCell="E8" sqref="E8"/>
      <selection pane="bottomRight" activeCell="L184" sqref="L184"/>
    </sheetView>
  </sheetViews>
  <sheetFormatPr defaultRowHeight="15" x14ac:dyDescent="0.25"/>
  <cols>
    <col min="1" max="1" width="4.42578125" bestFit="1" customWidth="1"/>
    <col min="2" max="2" width="29.7109375" bestFit="1" customWidth="1"/>
    <col min="3" max="3" width="18.7109375" bestFit="1" customWidth="1"/>
    <col min="4" max="4" width="12.28515625" bestFit="1" customWidth="1"/>
    <col min="5" max="5" width="12.85546875" customWidth="1"/>
    <col min="6" max="7" width="11.28515625" bestFit="1" customWidth="1"/>
  </cols>
  <sheetData>
    <row r="1" spans="1:7" x14ac:dyDescent="0.25">
      <c r="A1" s="272" t="s">
        <v>0</v>
      </c>
      <c r="B1" s="272"/>
      <c r="C1" s="272"/>
      <c r="D1" s="272"/>
      <c r="E1" s="272"/>
      <c r="F1" s="272"/>
      <c r="G1" s="272"/>
    </row>
    <row r="2" spans="1:7" x14ac:dyDescent="0.25">
      <c r="A2" s="272" t="s">
        <v>138</v>
      </c>
      <c r="B2" s="272"/>
      <c r="C2" s="272"/>
      <c r="D2" s="272"/>
      <c r="E2" s="272"/>
      <c r="F2" s="272"/>
      <c r="G2" s="272"/>
    </row>
    <row r="3" spans="1:7" x14ac:dyDescent="0.25">
      <c r="A3" s="273" t="s">
        <v>457</v>
      </c>
      <c r="B3" s="272"/>
      <c r="C3" s="272"/>
      <c r="D3" s="272"/>
      <c r="E3" s="272"/>
      <c r="F3" s="272"/>
      <c r="G3" s="272"/>
    </row>
    <row r="4" spans="1:7" x14ac:dyDescent="0.25">
      <c r="A4" s="273" t="s">
        <v>292</v>
      </c>
      <c r="B4" s="272"/>
      <c r="C4" s="272"/>
      <c r="D4" s="272"/>
      <c r="E4" s="272"/>
      <c r="F4" s="272"/>
      <c r="G4" s="272"/>
    </row>
    <row r="5" spans="1:7" x14ac:dyDescent="0.25">
      <c r="A5" s="136"/>
      <c r="B5" s="260"/>
      <c r="C5" s="260"/>
      <c r="D5" s="260"/>
      <c r="E5" s="260"/>
      <c r="F5" s="137"/>
      <c r="G5" s="137"/>
    </row>
    <row r="6" spans="1:7" ht="64.5" x14ac:dyDescent="0.25">
      <c r="A6" s="27" t="s">
        <v>1</v>
      </c>
      <c r="B6" s="27" t="s">
        <v>3</v>
      </c>
      <c r="C6" s="27" t="s">
        <v>74</v>
      </c>
      <c r="D6" s="27" t="s">
        <v>139</v>
      </c>
      <c r="E6" s="26" t="s">
        <v>445</v>
      </c>
      <c r="F6" s="26" t="s">
        <v>293</v>
      </c>
      <c r="G6" s="26" t="s">
        <v>444</v>
      </c>
    </row>
    <row r="7" spans="1:7" x14ac:dyDescent="0.25">
      <c r="A7" s="136"/>
      <c r="B7" s="138"/>
      <c r="C7" s="138"/>
      <c r="D7" s="139"/>
      <c r="E7" s="138" t="s">
        <v>31</v>
      </c>
      <c r="F7" s="259" t="s">
        <v>30</v>
      </c>
      <c r="G7" s="259" t="s">
        <v>29</v>
      </c>
    </row>
    <row r="8" spans="1:7" ht="26.25" x14ac:dyDescent="0.25">
      <c r="A8" s="136"/>
      <c r="B8" s="138"/>
      <c r="C8" s="138"/>
      <c r="D8" s="139"/>
      <c r="E8" s="139"/>
      <c r="F8" s="137"/>
      <c r="G8" s="140" t="s">
        <v>442</v>
      </c>
    </row>
    <row r="9" spans="1:7" x14ac:dyDescent="0.25">
      <c r="A9" s="136">
        <v>1</v>
      </c>
      <c r="B9" s="141" t="s">
        <v>140</v>
      </c>
      <c r="C9" s="141"/>
      <c r="D9" s="141"/>
      <c r="E9" s="141"/>
      <c r="F9" s="137"/>
      <c r="G9" s="137"/>
    </row>
    <row r="10" spans="1:7" x14ac:dyDescent="0.25">
      <c r="A10" s="136">
        <f>A9+1</f>
        <v>2</v>
      </c>
      <c r="B10" s="143" t="s">
        <v>141</v>
      </c>
      <c r="C10" s="144" t="s">
        <v>142</v>
      </c>
      <c r="D10" s="145">
        <v>22</v>
      </c>
      <c r="E10" s="146">
        <f>+'[2]Sch 141Y Rates'!O24</f>
        <v>-0.01</v>
      </c>
      <c r="F10" s="147">
        <f>+'[2]Sch 141Y Rates'!L24</f>
        <v>708</v>
      </c>
      <c r="G10" s="148">
        <f>ROUND($F10*E10,0)</f>
        <v>-7</v>
      </c>
    </row>
    <row r="11" spans="1:7" x14ac:dyDescent="0.25">
      <c r="A11" s="136">
        <f t="shared" ref="A11:A74" si="0">A10+1</f>
        <v>3</v>
      </c>
      <c r="B11" s="24"/>
      <c r="C11" s="139"/>
      <c r="D11" s="23"/>
      <c r="E11" s="142"/>
      <c r="F11" s="147"/>
      <c r="G11" s="147"/>
    </row>
    <row r="12" spans="1:7" x14ac:dyDescent="0.25">
      <c r="A12" s="136">
        <f t="shared" si="0"/>
        <v>4</v>
      </c>
      <c r="B12" s="143" t="s">
        <v>143</v>
      </c>
      <c r="C12" s="149" t="s">
        <v>75</v>
      </c>
      <c r="D12" s="150">
        <v>100</v>
      </c>
      <c r="E12" s="146">
        <f>+'[2]Sch 141Y Rates'!O26</f>
        <v>-0.02</v>
      </c>
      <c r="F12" s="147">
        <f>+'[2]Sch 141Y Rates'!L26</f>
        <v>36</v>
      </c>
      <c r="G12" s="148">
        <f t="shared" ref="G12:G18" si="1">ROUND($F12*E12,0)</f>
        <v>-1</v>
      </c>
    </row>
    <row r="13" spans="1:7" x14ac:dyDescent="0.25">
      <c r="A13" s="136">
        <f t="shared" si="0"/>
        <v>5</v>
      </c>
      <c r="B13" s="143" t="str">
        <f>+B12</f>
        <v>50E-A</v>
      </c>
      <c r="C13" s="149" t="str">
        <f>+C12</f>
        <v>Mercury Vapor</v>
      </c>
      <c r="D13" s="150">
        <v>175</v>
      </c>
      <c r="E13" s="146">
        <f>+'[2]Sch 141Y Rates'!O27</f>
        <v>-0.04</v>
      </c>
      <c r="F13" s="147">
        <f>+'[2]Sch 141Y Rates'!L27</f>
        <v>228</v>
      </c>
      <c r="G13" s="148">
        <f t="shared" si="1"/>
        <v>-9</v>
      </c>
    </row>
    <row r="14" spans="1:7" x14ac:dyDescent="0.25">
      <c r="A14" s="136">
        <f t="shared" si="0"/>
        <v>6</v>
      </c>
      <c r="B14" s="143" t="str">
        <f>+B13</f>
        <v>50E-A</v>
      </c>
      <c r="C14" s="149" t="str">
        <f>+C13</f>
        <v>Mercury Vapor</v>
      </c>
      <c r="D14" s="150">
        <v>400</v>
      </c>
      <c r="E14" s="146">
        <f>+'[2]Sch 141Y Rates'!O28</f>
        <v>-0.1</v>
      </c>
      <c r="F14" s="147">
        <f>+'[2]Sch 141Y Rates'!L28</f>
        <v>240</v>
      </c>
      <c r="G14" s="148">
        <f t="shared" si="1"/>
        <v>-24</v>
      </c>
    </row>
    <row r="15" spans="1:7" x14ac:dyDescent="0.25">
      <c r="A15" s="136">
        <f t="shared" si="0"/>
        <v>7</v>
      </c>
      <c r="B15" s="143" t="s">
        <v>144</v>
      </c>
      <c r="C15" s="149" t="str">
        <f>+C14</f>
        <v>Mercury Vapor</v>
      </c>
      <c r="D15" s="150">
        <v>100</v>
      </c>
      <c r="E15" s="146">
        <f>+'[2]Sch 141Y Rates'!O29</f>
        <v>-0.02</v>
      </c>
      <c r="F15" s="147">
        <f>+'[2]Sch 141Y Rates'!L29</f>
        <v>0</v>
      </c>
      <c r="G15" s="148">
        <f t="shared" si="1"/>
        <v>0</v>
      </c>
    </row>
    <row r="16" spans="1:7" x14ac:dyDescent="0.25">
      <c r="A16" s="136">
        <f t="shared" si="0"/>
        <v>8</v>
      </c>
      <c r="B16" s="143" t="str">
        <f t="shared" ref="B16:C18" si="2">+B15</f>
        <v>50E-B</v>
      </c>
      <c r="C16" s="149" t="str">
        <f t="shared" si="2"/>
        <v>Mercury Vapor</v>
      </c>
      <c r="D16" s="150">
        <v>175</v>
      </c>
      <c r="E16" s="146">
        <f>+'[2]Sch 141Y Rates'!O30</f>
        <v>-0.04</v>
      </c>
      <c r="F16" s="147">
        <f>+'[2]Sch 141Y Rates'!L30</f>
        <v>12</v>
      </c>
      <c r="G16" s="148">
        <f t="shared" si="1"/>
        <v>0</v>
      </c>
    </row>
    <row r="17" spans="1:7" x14ac:dyDescent="0.25">
      <c r="A17" s="136">
        <f t="shared" si="0"/>
        <v>9</v>
      </c>
      <c r="B17" s="143" t="str">
        <f t="shared" si="2"/>
        <v>50E-B</v>
      </c>
      <c r="C17" s="149" t="str">
        <f t="shared" si="2"/>
        <v>Mercury Vapor</v>
      </c>
      <c r="D17" s="150">
        <v>400</v>
      </c>
      <c r="E17" s="146">
        <f>+'[2]Sch 141Y Rates'!O31</f>
        <v>-0.1</v>
      </c>
      <c r="F17" s="147">
        <f>+'[2]Sch 141Y Rates'!L31</f>
        <v>0</v>
      </c>
      <c r="G17" s="148">
        <f t="shared" si="1"/>
        <v>0</v>
      </c>
    </row>
    <row r="18" spans="1:7" x14ac:dyDescent="0.25">
      <c r="A18" s="136">
        <f t="shared" si="0"/>
        <v>10</v>
      </c>
      <c r="B18" s="143" t="str">
        <f t="shared" si="2"/>
        <v>50E-B</v>
      </c>
      <c r="C18" s="149" t="str">
        <f t="shared" si="2"/>
        <v>Mercury Vapor</v>
      </c>
      <c r="D18" s="150">
        <v>700</v>
      </c>
      <c r="E18" s="146">
        <f>+'[2]Sch 141Y Rates'!O32</f>
        <v>-0.17</v>
      </c>
      <c r="F18" s="147">
        <f>+'[2]Sch 141Y Rates'!L32</f>
        <v>0</v>
      </c>
      <c r="G18" s="148">
        <f t="shared" si="1"/>
        <v>0</v>
      </c>
    </row>
    <row r="19" spans="1:7" x14ac:dyDescent="0.25">
      <c r="A19" s="136">
        <f t="shared" si="0"/>
        <v>11</v>
      </c>
      <c r="B19" s="151"/>
      <c r="C19" s="152"/>
      <c r="D19" s="141"/>
      <c r="E19" s="142"/>
      <c r="F19" s="147"/>
      <c r="G19" s="147"/>
    </row>
    <row r="20" spans="1:7" x14ac:dyDescent="0.25">
      <c r="A20" s="136">
        <f t="shared" si="0"/>
        <v>12</v>
      </c>
      <c r="B20" s="151" t="s">
        <v>145</v>
      </c>
      <c r="C20" s="152"/>
      <c r="D20" s="141"/>
      <c r="E20" s="142"/>
      <c r="F20" s="147"/>
      <c r="G20" s="147"/>
    </row>
    <row r="21" spans="1:7" x14ac:dyDescent="0.25">
      <c r="A21" s="136">
        <f t="shared" si="0"/>
        <v>13</v>
      </c>
      <c r="B21" s="143" t="s">
        <v>146</v>
      </c>
      <c r="C21" s="149" t="s">
        <v>147</v>
      </c>
      <c r="D21" s="150" t="s">
        <v>148</v>
      </c>
      <c r="E21" s="146">
        <f>+'[2]Sch 141Y Rates'!O35</f>
        <v>-0.01</v>
      </c>
      <c r="F21" s="147">
        <f>+'[2]Sch 141Y Rates'!L35</f>
        <v>24817</v>
      </c>
      <c r="G21" s="148">
        <f t="shared" ref="G21:G29" si="3">ROUND($F21*E21,0)</f>
        <v>-248</v>
      </c>
    </row>
    <row r="22" spans="1:7" x14ac:dyDescent="0.25">
      <c r="A22" s="136">
        <f t="shared" si="0"/>
        <v>14</v>
      </c>
      <c r="B22" s="143" t="s">
        <v>146</v>
      </c>
      <c r="C22" s="149" t="s">
        <v>147</v>
      </c>
      <c r="D22" s="150" t="s">
        <v>149</v>
      </c>
      <c r="E22" s="146">
        <f>+'[2]Sch 141Y Rates'!O36</f>
        <v>-0.02</v>
      </c>
      <c r="F22" s="147">
        <f>+'[2]Sch 141Y Rates'!L36</f>
        <v>13647</v>
      </c>
      <c r="G22" s="148">
        <f t="shared" si="3"/>
        <v>-273</v>
      </c>
    </row>
    <row r="23" spans="1:7" x14ac:dyDescent="0.25">
      <c r="A23" s="136">
        <f t="shared" si="0"/>
        <v>15</v>
      </c>
      <c r="B23" s="143" t="s">
        <v>146</v>
      </c>
      <c r="C23" s="149" t="s">
        <v>147</v>
      </c>
      <c r="D23" s="150" t="s">
        <v>150</v>
      </c>
      <c r="E23" s="146">
        <f>+'[2]Sch 141Y Rates'!O37</f>
        <v>-0.03</v>
      </c>
      <c r="F23" s="147">
        <f>+'[2]Sch 141Y Rates'!L37</f>
        <v>7663</v>
      </c>
      <c r="G23" s="148">
        <f t="shared" si="3"/>
        <v>-230</v>
      </c>
    </row>
    <row r="24" spans="1:7" x14ac:dyDescent="0.25">
      <c r="A24" s="136">
        <f t="shared" si="0"/>
        <v>16</v>
      </c>
      <c r="B24" s="143" t="s">
        <v>146</v>
      </c>
      <c r="C24" s="149" t="s">
        <v>147</v>
      </c>
      <c r="D24" s="150" t="s">
        <v>151</v>
      </c>
      <c r="E24" s="146">
        <f>+'[2]Sch 141Y Rates'!O38</f>
        <v>-0.03</v>
      </c>
      <c r="F24" s="147">
        <f>+'[2]Sch 141Y Rates'!L38</f>
        <v>3502</v>
      </c>
      <c r="G24" s="148">
        <f t="shared" si="3"/>
        <v>-105</v>
      </c>
    </row>
    <row r="25" spans="1:7" x14ac:dyDescent="0.25">
      <c r="A25" s="136">
        <f t="shared" si="0"/>
        <v>17</v>
      </c>
      <c r="B25" s="143" t="s">
        <v>146</v>
      </c>
      <c r="C25" s="149" t="s">
        <v>147</v>
      </c>
      <c r="D25" s="150" t="s">
        <v>152</v>
      </c>
      <c r="E25" s="146">
        <f>+'[2]Sch 141Y Rates'!O39</f>
        <v>-0.04</v>
      </c>
      <c r="F25" s="147">
        <f>+'[2]Sch 141Y Rates'!L39</f>
        <v>606</v>
      </c>
      <c r="G25" s="148">
        <f t="shared" si="3"/>
        <v>-24</v>
      </c>
    </row>
    <row r="26" spans="1:7" x14ac:dyDescent="0.25">
      <c r="A26" s="136">
        <f t="shared" si="0"/>
        <v>18</v>
      </c>
      <c r="B26" s="143" t="s">
        <v>146</v>
      </c>
      <c r="C26" s="149" t="s">
        <v>147</v>
      </c>
      <c r="D26" s="150" t="s">
        <v>153</v>
      </c>
      <c r="E26" s="146">
        <f>+'[2]Sch 141Y Rates'!O40</f>
        <v>-0.05</v>
      </c>
      <c r="F26" s="147">
        <f>+'[2]Sch 141Y Rates'!L40</f>
        <v>2271</v>
      </c>
      <c r="G26" s="148">
        <f t="shared" si="3"/>
        <v>-114</v>
      </c>
    </row>
    <row r="27" spans="1:7" x14ac:dyDescent="0.25">
      <c r="A27" s="136">
        <f t="shared" si="0"/>
        <v>19</v>
      </c>
      <c r="B27" s="143" t="s">
        <v>146</v>
      </c>
      <c r="C27" s="149" t="s">
        <v>147</v>
      </c>
      <c r="D27" s="150" t="s">
        <v>154</v>
      </c>
      <c r="E27" s="146">
        <f>+'[2]Sch 141Y Rates'!O41</f>
        <v>-0.06</v>
      </c>
      <c r="F27" s="147">
        <f>+'[2]Sch 141Y Rates'!L41</f>
        <v>0</v>
      </c>
      <c r="G27" s="148">
        <f t="shared" si="3"/>
        <v>0</v>
      </c>
    </row>
    <row r="28" spans="1:7" x14ac:dyDescent="0.25">
      <c r="A28" s="136">
        <f t="shared" si="0"/>
        <v>20</v>
      </c>
      <c r="B28" s="143" t="s">
        <v>146</v>
      </c>
      <c r="C28" s="149" t="s">
        <v>147</v>
      </c>
      <c r="D28" s="150" t="s">
        <v>155</v>
      </c>
      <c r="E28" s="146">
        <f>+'[2]Sch 141Y Rates'!O42</f>
        <v>-0.06</v>
      </c>
      <c r="F28" s="147">
        <f>+'[2]Sch 141Y Rates'!L42</f>
        <v>120</v>
      </c>
      <c r="G28" s="148">
        <f t="shared" si="3"/>
        <v>-7</v>
      </c>
    </row>
    <row r="29" spans="1:7" x14ac:dyDescent="0.25">
      <c r="A29" s="136">
        <f t="shared" si="0"/>
        <v>21</v>
      </c>
      <c r="B29" s="143" t="s">
        <v>146</v>
      </c>
      <c r="C29" s="149" t="s">
        <v>147</v>
      </c>
      <c r="D29" s="150" t="s">
        <v>156</v>
      </c>
      <c r="E29" s="146">
        <f>+'[2]Sch 141Y Rates'!O43</f>
        <v>-7.0000000000000007E-2</v>
      </c>
      <c r="F29" s="147">
        <f>+'[2]Sch 141Y Rates'!L43</f>
        <v>911</v>
      </c>
      <c r="G29" s="148">
        <f t="shared" si="3"/>
        <v>-64</v>
      </c>
    </row>
    <row r="30" spans="1:7" x14ac:dyDescent="0.25">
      <c r="A30" s="136">
        <f t="shared" si="0"/>
        <v>22</v>
      </c>
      <c r="B30" s="151"/>
      <c r="C30" s="141"/>
      <c r="D30" s="141"/>
      <c r="E30" s="142"/>
      <c r="F30" s="147"/>
      <c r="G30" s="147"/>
    </row>
    <row r="31" spans="1:7" x14ac:dyDescent="0.25">
      <c r="A31" s="136">
        <f t="shared" si="0"/>
        <v>23</v>
      </c>
      <c r="B31" s="151" t="s">
        <v>157</v>
      </c>
      <c r="C31" s="141"/>
      <c r="D31" s="141"/>
      <c r="E31" s="142"/>
      <c r="F31" s="147"/>
      <c r="G31" s="147"/>
    </row>
    <row r="32" spans="1:7" x14ac:dyDescent="0.25">
      <c r="A32" s="136">
        <f t="shared" si="0"/>
        <v>24</v>
      </c>
      <c r="B32" s="143" t="s">
        <v>158</v>
      </c>
      <c r="C32" s="7" t="s">
        <v>76</v>
      </c>
      <c r="D32" s="7">
        <v>50</v>
      </c>
      <c r="E32" s="146">
        <f>+'[2]Sch 141Y Rates'!O46</f>
        <v>-0.01</v>
      </c>
      <c r="F32" s="147">
        <f>+'[2]Sch 141Y Rates'!L46</f>
        <v>0</v>
      </c>
      <c r="G32" s="148">
        <f t="shared" ref="G32:G39" si="4">ROUND($F32*E32,0)</f>
        <v>0</v>
      </c>
    </row>
    <row r="33" spans="1:7" x14ac:dyDescent="0.25">
      <c r="A33" s="136">
        <f t="shared" si="0"/>
        <v>25</v>
      </c>
      <c r="B33" s="143" t="str">
        <f t="shared" ref="B33:B39" si="5">+B32</f>
        <v xml:space="preserve">52E </v>
      </c>
      <c r="C33" s="7" t="s">
        <v>76</v>
      </c>
      <c r="D33" s="7">
        <v>70</v>
      </c>
      <c r="E33" s="146">
        <f>+'[2]Sch 141Y Rates'!O47</f>
        <v>-0.02</v>
      </c>
      <c r="F33" s="147">
        <f>+'[2]Sch 141Y Rates'!L47</f>
        <v>8520</v>
      </c>
      <c r="G33" s="148">
        <f t="shared" si="4"/>
        <v>-170</v>
      </c>
    </row>
    <row r="34" spans="1:7" x14ac:dyDescent="0.25">
      <c r="A34" s="136">
        <f t="shared" si="0"/>
        <v>26</v>
      </c>
      <c r="B34" s="143" t="str">
        <f t="shared" si="5"/>
        <v xml:space="preserve">52E </v>
      </c>
      <c r="C34" s="7" t="s">
        <v>76</v>
      </c>
      <c r="D34" s="7">
        <v>100</v>
      </c>
      <c r="E34" s="146">
        <f>+'[2]Sch 141Y Rates'!O48</f>
        <v>-0.02</v>
      </c>
      <c r="F34" s="147">
        <f>+'[2]Sch 141Y Rates'!L48</f>
        <v>123704</v>
      </c>
      <c r="G34" s="148">
        <f t="shared" si="4"/>
        <v>-2474</v>
      </c>
    </row>
    <row r="35" spans="1:7" x14ac:dyDescent="0.25">
      <c r="A35" s="136">
        <f t="shared" si="0"/>
        <v>27</v>
      </c>
      <c r="B35" s="143" t="str">
        <f t="shared" si="5"/>
        <v xml:space="preserve">52E </v>
      </c>
      <c r="C35" s="7" t="s">
        <v>76</v>
      </c>
      <c r="D35" s="7">
        <v>150</v>
      </c>
      <c r="E35" s="146">
        <f>+'[2]Sch 141Y Rates'!O49</f>
        <v>-0.04</v>
      </c>
      <c r="F35" s="147">
        <f>+'[2]Sch 141Y Rates'!L49</f>
        <v>55078</v>
      </c>
      <c r="G35" s="148">
        <f t="shared" si="4"/>
        <v>-2203</v>
      </c>
    </row>
    <row r="36" spans="1:7" x14ac:dyDescent="0.25">
      <c r="A36" s="136">
        <f t="shared" si="0"/>
        <v>28</v>
      </c>
      <c r="B36" s="143" t="str">
        <f t="shared" si="5"/>
        <v xml:space="preserve">52E </v>
      </c>
      <c r="C36" s="7" t="s">
        <v>76</v>
      </c>
      <c r="D36" s="7">
        <v>200</v>
      </c>
      <c r="E36" s="146">
        <f>+'[2]Sch 141Y Rates'!O50</f>
        <v>-0.05</v>
      </c>
      <c r="F36" s="147">
        <f>+'[2]Sch 141Y Rates'!L50</f>
        <v>11934</v>
      </c>
      <c r="G36" s="148">
        <f t="shared" si="4"/>
        <v>-597</v>
      </c>
    </row>
    <row r="37" spans="1:7" x14ac:dyDescent="0.25">
      <c r="A37" s="136">
        <f t="shared" si="0"/>
        <v>29</v>
      </c>
      <c r="B37" s="143" t="str">
        <f t="shared" si="5"/>
        <v xml:space="preserve">52E </v>
      </c>
      <c r="C37" s="7" t="s">
        <v>76</v>
      </c>
      <c r="D37" s="7">
        <v>250</v>
      </c>
      <c r="E37" s="146">
        <f>+'[2]Sch 141Y Rates'!O51</f>
        <v>-0.06</v>
      </c>
      <c r="F37" s="147">
        <f>+'[2]Sch 141Y Rates'!L51</f>
        <v>17568</v>
      </c>
      <c r="G37" s="148">
        <f t="shared" si="4"/>
        <v>-1054</v>
      </c>
    </row>
    <row r="38" spans="1:7" x14ac:dyDescent="0.25">
      <c r="A38" s="136">
        <f t="shared" si="0"/>
        <v>30</v>
      </c>
      <c r="B38" s="143" t="str">
        <f t="shared" si="5"/>
        <v xml:space="preserve">52E </v>
      </c>
      <c r="C38" s="7" t="s">
        <v>76</v>
      </c>
      <c r="D38" s="7">
        <v>310</v>
      </c>
      <c r="E38" s="146">
        <f>+'[2]Sch 141Y Rates'!O52</f>
        <v>-0.08</v>
      </c>
      <c r="F38" s="147">
        <f>+'[2]Sch 141Y Rates'!L52</f>
        <v>1788</v>
      </c>
      <c r="G38" s="148">
        <f t="shared" si="4"/>
        <v>-143</v>
      </c>
    </row>
    <row r="39" spans="1:7" x14ac:dyDescent="0.25">
      <c r="A39" s="136">
        <f t="shared" si="0"/>
        <v>31</v>
      </c>
      <c r="B39" s="143" t="str">
        <f t="shared" si="5"/>
        <v xml:space="preserve">52E </v>
      </c>
      <c r="C39" s="7" t="s">
        <v>76</v>
      </c>
      <c r="D39" s="7">
        <v>400</v>
      </c>
      <c r="E39" s="146">
        <f>+'[2]Sch 141Y Rates'!O53</f>
        <v>-0.1</v>
      </c>
      <c r="F39" s="147">
        <f>+'[2]Sch 141Y Rates'!L53</f>
        <v>7293</v>
      </c>
      <c r="G39" s="148">
        <f t="shared" si="4"/>
        <v>-729</v>
      </c>
    </row>
    <row r="40" spans="1:7" x14ac:dyDescent="0.25">
      <c r="A40" s="136">
        <f t="shared" si="0"/>
        <v>32</v>
      </c>
      <c r="B40" s="153"/>
      <c r="C40" s="7"/>
      <c r="D40" s="7"/>
      <c r="E40" s="142"/>
      <c r="F40" s="147"/>
      <c r="G40" s="147"/>
    </row>
    <row r="41" spans="1:7" x14ac:dyDescent="0.25">
      <c r="A41" s="136">
        <f t="shared" si="0"/>
        <v>33</v>
      </c>
      <c r="B41" s="143" t="str">
        <f>+B36</f>
        <v xml:space="preserve">52E </v>
      </c>
      <c r="C41" s="7" t="s">
        <v>159</v>
      </c>
      <c r="D41" s="7">
        <v>70</v>
      </c>
      <c r="E41" s="146">
        <f>+'[2]Sch 141Y Rates'!O55</f>
        <v>-0.02</v>
      </c>
      <c r="F41" s="147">
        <f>+'[2]Sch 141Y Rates'!L55</f>
        <v>816</v>
      </c>
      <c r="G41" s="148">
        <f t="shared" ref="G41:G47" si="6">ROUND($F41*E41,0)</f>
        <v>-16</v>
      </c>
    </row>
    <row r="42" spans="1:7" x14ac:dyDescent="0.25">
      <c r="A42" s="136">
        <f t="shared" si="0"/>
        <v>34</v>
      </c>
      <c r="B42" s="143" t="str">
        <f>+B37</f>
        <v xml:space="preserve">52E </v>
      </c>
      <c r="C42" s="7" t="s">
        <v>159</v>
      </c>
      <c r="D42" s="7">
        <v>100</v>
      </c>
      <c r="E42" s="146">
        <f>+'[2]Sch 141Y Rates'!O56</f>
        <v>-0.02</v>
      </c>
      <c r="F42" s="147">
        <f>+'[2]Sch 141Y Rates'!L56</f>
        <v>49</v>
      </c>
      <c r="G42" s="148">
        <f t="shared" si="6"/>
        <v>-1</v>
      </c>
    </row>
    <row r="43" spans="1:7" x14ac:dyDescent="0.25">
      <c r="A43" s="136">
        <f t="shared" si="0"/>
        <v>35</v>
      </c>
      <c r="B43" s="143" t="str">
        <f>+B38</f>
        <v xml:space="preserve">52E </v>
      </c>
      <c r="C43" s="7" t="s">
        <v>159</v>
      </c>
      <c r="D43" s="7">
        <v>150</v>
      </c>
      <c r="E43" s="146">
        <f>+'[2]Sch 141Y Rates'!O57</f>
        <v>-0.04</v>
      </c>
      <c r="F43" s="147">
        <f>+'[2]Sch 141Y Rates'!L57</f>
        <v>2460</v>
      </c>
      <c r="G43" s="148">
        <f t="shared" si="6"/>
        <v>-98</v>
      </c>
    </row>
    <row r="44" spans="1:7" x14ac:dyDescent="0.25">
      <c r="A44" s="136">
        <f t="shared" si="0"/>
        <v>36</v>
      </c>
      <c r="B44" s="143" t="str">
        <f>+B39</f>
        <v xml:space="preserve">52E </v>
      </c>
      <c r="C44" s="7" t="s">
        <v>159</v>
      </c>
      <c r="D44" s="7">
        <v>175</v>
      </c>
      <c r="E44" s="146">
        <f>+'[2]Sch 141Y Rates'!O58</f>
        <v>-0.04</v>
      </c>
      <c r="F44" s="147">
        <f>+'[2]Sch 141Y Rates'!L58</f>
        <v>2664</v>
      </c>
      <c r="G44" s="148">
        <f t="shared" si="6"/>
        <v>-107</v>
      </c>
    </row>
    <row r="45" spans="1:7" x14ac:dyDescent="0.25">
      <c r="A45" s="136">
        <f t="shared" si="0"/>
        <v>37</v>
      </c>
      <c r="B45" s="143" t="str">
        <f t="shared" ref="B45:C47" si="7">+B44</f>
        <v xml:space="preserve">52E </v>
      </c>
      <c r="C45" s="7" t="str">
        <f t="shared" si="7"/>
        <v>Metal Halide</v>
      </c>
      <c r="D45" s="7">
        <v>250</v>
      </c>
      <c r="E45" s="146">
        <f>+'[2]Sch 141Y Rates'!O59</f>
        <v>-0.06</v>
      </c>
      <c r="F45" s="147">
        <f>+'[2]Sch 141Y Rates'!L59</f>
        <v>732</v>
      </c>
      <c r="G45" s="148">
        <f t="shared" si="6"/>
        <v>-44</v>
      </c>
    </row>
    <row r="46" spans="1:7" x14ac:dyDescent="0.25">
      <c r="A46" s="136">
        <f t="shared" si="0"/>
        <v>38</v>
      </c>
      <c r="B46" s="143" t="str">
        <f t="shared" si="7"/>
        <v xml:space="preserve">52E </v>
      </c>
      <c r="C46" s="7" t="str">
        <f t="shared" si="7"/>
        <v>Metal Halide</v>
      </c>
      <c r="D46" s="7">
        <v>400</v>
      </c>
      <c r="E46" s="146">
        <f>+'[2]Sch 141Y Rates'!O60</f>
        <v>-0.1</v>
      </c>
      <c r="F46" s="147">
        <f>+'[2]Sch 141Y Rates'!L60</f>
        <v>684</v>
      </c>
      <c r="G46" s="148">
        <f t="shared" si="6"/>
        <v>-68</v>
      </c>
    </row>
    <row r="47" spans="1:7" x14ac:dyDescent="0.25">
      <c r="A47" s="136">
        <f t="shared" si="0"/>
        <v>39</v>
      </c>
      <c r="B47" s="143" t="str">
        <f t="shared" si="7"/>
        <v xml:space="preserve">52E </v>
      </c>
      <c r="C47" s="7" t="str">
        <f t="shared" si="7"/>
        <v>Metal Halide</v>
      </c>
      <c r="D47" s="7">
        <v>1000</v>
      </c>
      <c r="E47" s="146">
        <f>+'[2]Sch 141Y Rates'!O61</f>
        <v>-0.25</v>
      </c>
      <c r="F47" s="147">
        <f>+'[2]Sch 141Y Rates'!L61</f>
        <v>216</v>
      </c>
      <c r="G47" s="148">
        <f t="shared" si="6"/>
        <v>-54</v>
      </c>
    </row>
    <row r="48" spans="1:7" x14ac:dyDescent="0.25">
      <c r="A48" s="136">
        <f t="shared" si="0"/>
        <v>40</v>
      </c>
      <c r="B48" s="151"/>
      <c r="C48" s="141"/>
      <c r="D48" s="141"/>
      <c r="E48" s="142"/>
      <c r="F48" s="147"/>
      <c r="G48" s="147"/>
    </row>
    <row r="49" spans="1:7" x14ac:dyDescent="0.25">
      <c r="A49" s="136">
        <f t="shared" si="0"/>
        <v>41</v>
      </c>
      <c r="B49" s="151" t="s">
        <v>160</v>
      </c>
      <c r="C49" s="141"/>
      <c r="D49" s="141"/>
      <c r="E49" s="142"/>
      <c r="F49" s="147"/>
      <c r="G49" s="147"/>
    </row>
    <row r="50" spans="1:7" x14ac:dyDescent="0.25">
      <c r="A50" s="136">
        <f t="shared" si="0"/>
        <v>42</v>
      </c>
      <c r="B50" s="143" t="s">
        <v>161</v>
      </c>
      <c r="C50" s="7" t="s">
        <v>76</v>
      </c>
      <c r="D50" s="7">
        <v>50</v>
      </c>
      <c r="E50" s="146">
        <f>+'[2]Sch 141Y Rates'!O64</f>
        <v>-0.21</v>
      </c>
      <c r="F50" s="147">
        <f>+'[2]Sch 141Y Rates'!L64</f>
        <v>0</v>
      </c>
      <c r="G50" s="148">
        <f t="shared" ref="G50:G58" si="8">ROUND($F50*E50,0)</f>
        <v>0</v>
      </c>
    </row>
    <row r="51" spans="1:7" x14ac:dyDescent="0.25">
      <c r="A51" s="136">
        <f t="shared" si="0"/>
        <v>43</v>
      </c>
      <c r="B51" s="143" t="str">
        <f t="shared" ref="B51:B58" si="9">+B50</f>
        <v>53E - Company Owned</v>
      </c>
      <c r="C51" s="7" t="s">
        <v>76</v>
      </c>
      <c r="D51" s="7">
        <v>70</v>
      </c>
      <c r="E51" s="146">
        <f>+'[2]Sch 141Y Rates'!O65</f>
        <v>-0.22</v>
      </c>
      <c r="F51" s="147">
        <f>+'[2]Sch 141Y Rates'!L65</f>
        <v>54637</v>
      </c>
      <c r="G51" s="148">
        <f t="shared" si="8"/>
        <v>-12020</v>
      </c>
    </row>
    <row r="52" spans="1:7" x14ac:dyDescent="0.25">
      <c r="A52" s="136">
        <f t="shared" si="0"/>
        <v>44</v>
      </c>
      <c r="B52" s="143" t="str">
        <f t="shared" si="9"/>
        <v>53E - Company Owned</v>
      </c>
      <c r="C52" s="7" t="s">
        <v>76</v>
      </c>
      <c r="D52" s="7">
        <v>100</v>
      </c>
      <c r="E52" s="146">
        <f>+'[2]Sch 141Y Rates'!O66</f>
        <v>-0.23</v>
      </c>
      <c r="F52" s="147">
        <f>+'[2]Sch 141Y Rates'!L66</f>
        <v>382985</v>
      </c>
      <c r="G52" s="148">
        <f t="shared" si="8"/>
        <v>-88087</v>
      </c>
    </row>
    <row r="53" spans="1:7" x14ac:dyDescent="0.25">
      <c r="A53" s="136">
        <f t="shared" si="0"/>
        <v>45</v>
      </c>
      <c r="B53" s="143" t="str">
        <f t="shared" si="9"/>
        <v>53E - Company Owned</v>
      </c>
      <c r="C53" s="7" t="s">
        <v>76</v>
      </c>
      <c r="D53" s="7">
        <v>150</v>
      </c>
      <c r="E53" s="146">
        <f>+'[2]Sch 141Y Rates'!O67</f>
        <v>-0.25</v>
      </c>
      <c r="F53" s="147">
        <f>+'[2]Sch 141Y Rates'!L67</f>
        <v>45980</v>
      </c>
      <c r="G53" s="148">
        <f t="shared" si="8"/>
        <v>-11495</v>
      </c>
    </row>
    <row r="54" spans="1:7" x14ac:dyDescent="0.25">
      <c r="A54" s="136">
        <f t="shared" si="0"/>
        <v>46</v>
      </c>
      <c r="B54" s="143" t="str">
        <f t="shared" si="9"/>
        <v>53E - Company Owned</v>
      </c>
      <c r="C54" s="7" t="s">
        <v>76</v>
      </c>
      <c r="D54" s="7">
        <v>200</v>
      </c>
      <c r="E54" s="146">
        <f>+'[2]Sch 141Y Rates'!O68</f>
        <v>-0.28000000000000003</v>
      </c>
      <c r="F54" s="147">
        <f>+'[2]Sch 141Y Rates'!L68</f>
        <v>60631</v>
      </c>
      <c r="G54" s="148">
        <f t="shared" si="8"/>
        <v>-16977</v>
      </c>
    </row>
    <row r="55" spans="1:7" x14ac:dyDescent="0.25">
      <c r="A55" s="136">
        <f t="shared" si="0"/>
        <v>47</v>
      </c>
      <c r="B55" s="143" t="str">
        <f t="shared" si="9"/>
        <v>53E - Company Owned</v>
      </c>
      <c r="C55" s="7" t="s">
        <v>76</v>
      </c>
      <c r="D55" s="7">
        <v>250</v>
      </c>
      <c r="E55" s="146">
        <f>+'[2]Sch 141Y Rates'!O69</f>
        <v>-0.3</v>
      </c>
      <c r="F55" s="147">
        <f>+'[2]Sch 141Y Rates'!L69</f>
        <v>20854</v>
      </c>
      <c r="G55" s="148">
        <f t="shared" si="8"/>
        <v>-6256</v>
      </c>
    </row>
    <row r="56" spans="1:7" x14ac:dyDescent="0.25">
      <c r="A56" s="136">
        <f t="shared" si="0"/>
        <v>48</v>
      </c>
      <c r="B56" s="143" t="str">
        <f t="shared" si="9"/>
        <v>53E - Company Owned</v>
      </c>
      <c r="C56" s="7" t="s">
        <v>76</v>
      </c>
      <c r="D56" s="7">
        <v>310</v>
      </c>
      <c r="E56" s="146">
        <f>+'[2]Sch 141Y Rates'!O70</f>
        <v>-0.33</v>
      </c>
      <c r="F56" s="147">
        <f>+'[2]Sch 141Y Rates'!L70</f>
        <v>199</v>
      </c>
      <c r="G56" s="148">
        <f t="shared" si="8"/>
        <v>-66</v>
      </c>
    </row>
    <row r="57" spans="1:7" x14ac:dyDescent="0.25">
      <c r="A57" s="136">
        <f t="shared" si="0"/>
        <v>49</v>
      </c>
      <c r="B57" s="143" t="str">
        <f t="shared" si="9"/>
        <v>53E - Company Owned</v>
      </c>
      <c r="C57" s="7" t="s">
        <v>76</v>
      </c>
      <c r="D57" s="7">
        <v>400</v>
      </c>
      <c r="E57" s="146">
        <f>+'[2]Sch 141Y Rates'!O71</f>
        <v>-0.37</v>
      </c>
      <c r="F57" s="147">
        <f>+'[2]Sch 141Y Rates'!L71</f>
        <v>12055</v>
      </c>
      <c r="G57" s="148">
        <f t="shared" si="8"/>
        <v>-4460</v>
      </c>
    </row>
    <row r="58" spans="1:7" x14ac:dyDescent="0.25">
      <c r="A58" s="136">
        <f t="shared" si="0"/>
        <v>50</v>
      </c>
      <c r="B58" s="143" t="str">
        <f t="shared" si="9"/>
        <v>53E - Company Owned</v>
      </c>
      <c r="C58" s="7" t="s">
        <v>76</v>
      </c>
      <c r="D58" s="7">
        <v>1000</v>
      </c>
      <c r="E58" s="146">
        <f>+'[2]Sch 141Y Rates'!O72</f>
        <v>-0.66</v>
      </c>
      <c r="F58" s="147">
        <f>+'[2]Sch 141Y Rates'!L72</f>
        <v>0</v>
      </c>
      <c r="G58" s="148">
        <f t="shared" si="8"/>
        <v>0</v>
      </c>
    </row>
    <row r="59" spans="1:7" x14ac:dyDescent="0.25">
      <c r="A59" s="136">
        <f t="shared" si="0"/>
        <v>51</v>
      </c>
      <c r="B59" s="143"/>
      <c r="C59" s="7"/>
      <c r="D59" s="7"/>
      <c r="E59" s="142"/>
      <c r="F59" s="147"/>
      <c r="G59" s="147"/>
    </row>
    <row r="60" spans="1:7" x14ac:dyDescent="0.25">
      <c r="A60" s="136">
        <f t="shared" si="0"/>
        <v>52</v>
      </c>
      <c r="B60" s="143" t="str">
        <f>+B58</f>
        <v>53E - Company Owned</v>
      </c>
      <c r="C60" s="7" t="s">
        <v>159</v>
      </c>
      <c r="D60" s="7">
        <v>70</v>
      </c>
      <c r="E60" s="146">
        <f>+'[2]Sch 141Y Rates'!O74</f>
        <v>-0.23</v>
      </c>
      <c r="F60" s="147">
        <f>+'[2]Sch 141Y Rates'!L74</f>
        <v>0</v>
      </c>
      <c r="G60" s="148">
        <f>ROUND($F60*E60,0)</f>
        <v>0</v>
      </c>
    </row>
    <row r="61" spans="1:7" x14ac:dyDescent="0.25">
      <c r="A61" s="136">
        <f t="shared" si="0"/>
        <v>53</v>
      </c>
      <c r="B61" s="143" t="str">
        <f>+B60</f>
        <v>53E - Company Owned</v>
      </c>
      <c r="C61" s="7" t="s">
        <v>159</v>
      </c>
      <c r="D61" s="7">
        <v>100</v>
      </c>
      <c r="E61" s="146">
        <f>+'[2]Sch 141Y Rates'!O75</f>
        <v>-0.25</v>
      </c>
      <c r="F61" s="147">
        <f>+'[2]Sch 141Y Rates'!L75</f>
        <v>0</v>
      </c>
      <c r="G61" s="148">
        <f>ROUND($F61*E61,0)</f>
        <v>0</v>
      </c>
    </row>
    <row r="62" spans="1:7" x14ac:dyDescent="0.25">
      <c r="A62" s="136">
        <f t="shared" si="0"/>
        <v>54</v>
      </c>
      <c r="B62" s="143" t="str">
        <f>+B61</f>
        <v>53E - Company Owned</v>
      </c>
      <c r="C62" s="7" t="s">
        <v>159</v>
      </c>
      <c r="D62" s="7">
        <v>150</v>
      </c>
      <c r="E62" s="146">
        <f>+'[2]Sch 141Y Rates'!O76</f>
        <v>-0.28000000000000003</v>
      </c>
      <c r="F62" s="147">
        <f>+'[2]Sch 141Y Rates'!L76</f>
        <v>0</v>
      </c>
      <c r="G62" s="148">
        <f>ROUND($F62*E62,0)</f>
        <v>0</v>
      </c>
    </row>
    <row r="63" spans="1:7" x14ac:dyDescent="0.25">
      <c r="A63" s="136">
        <f t="shared" si="0"/>
        <v>55</v>
      </c>
      <c r="B63" s="143" t="str">
        <f>B62</f>
        <v>53E - Company Owned</v>
      </c>
      <c r="C63" s="7" t="s">
        <v>159</v>
      </c>
      <c r="D63" s="7">
        <v>250</v>
      </c>
      <c r="E63" s="146">
        <f>+'[2]Sch 141Y Rates'!O77</f>
        <v>-0.33</v>
      </c>
      <c r="F63" s="147">
        <f>+'[2]Sch 141Y Rates'!L77</f>
        <v>0</v>
      </c>
      <c r="G63" s="148">
        <f>ROUND($F63*E63,0)</f>
        <v>0</v>
      </c>
    </row>
    <row r="64" spans="1:7" x14ac:dyDescent="0.25">
      <c r="A64" s="136">
        <f t="shared" si="0"/>
        <v>56</v>
      </c>
      <c r="B64" s="143" t="str">
        <f>B63</f>
        <v>53E - Company Owned</v>
      </c>
      <c r="C64" s="7" t="s">
        <v>159</v>
      </c>
      <c r="D64" s="7">
        <v>400</v>
      </c>
      <c r="E64" s="146">
        <f>+'[2]Sch 141Y Rates'!O78</f>
        <v>-0.41</v>
      </c>
      <c r="F64" s="147">
        <f>+'[2]Sch 141Y Rates'!L78</f>
        <v>0</v>
      </c>
      <c r="G64" s="148">
        <f>ROUND($F64*E64,0)</f>
        <v>0</v>
      </c>
    </row>
    <row r="65" spans="1:7" x14ac:dyDescent="0.25">
      <c r="A65" s="136">
        <f t="shared" si="0"/>
        <v>57</v>
      </c>
      <c r="B65" s="143"/>
      <c r="C65" s="7"/>
      <c r="D65" s="7"/>
      <c r="E65" s="142"/>
      <c r="F65" s="147"/>
      <c r="G65" s="147"/>
    </row>
    <row r="66" spans="1:7" x14ac:dyDescent="0.25">
      <c r="A66" s="136">
        <f t="shared" si="0"/>
        <v>58</v>
      </c>
      <c r="B66" s="143" t="str">
        <f>+B64</f>
        <v>53E - Company Owned</v>
      </c>
      <c r="C66" s="7" t="s">
        <v>147</v>
      </c>
      <c r="D66" s="150" t="s">
        <v>148</v>
      </c>
      <c r="E66" s="146">
        <f>+'[2]Sch 141Y Rates'!O80</f>
        <v>-0.24</v>
      </c>
      <c r="F66" s="147">
        <f>+'[2]Sch 141Y Rates'!L80</f>
        <v>211377</v>
      </c>
      <c r="G66" s="148">
        <f t="shared" ref="G66:G74" si="10">ROUND($F66*E66,0)</f>
        <v>-50730</v>
      </c>
    </row>
    <row r="67" spans="1:7" x14ac:dyDescent="0.25">
      <c r="A67" s="136">
        <f t="shared" si="0"/>
        <v>59</v>
      </c>
      <c r="B67" s="143" t="str">
        <f>B66</f>
        <v>53E - Company Owned</v>
      </c>
      <c r="C67" s="7" t="s">
        <v>147</v>
      </c>
      <c r="D67" s="150" t="s">
        <v>149</v>
      </c>
      <c r="E67" s="146">
        <f>+'[2]Sch 141Y Rates'!O81</f>
        <v>-0.25</v>
      </c>
      <c r="F67" s="147">
        <f>+'[2]Sch 141Y Rates'!L81</f>
        <v>481</v>
      </c>
      <c r="G67" s="148">
        <f t="shared" si="10"/>
        <v>-120</v>
      </c>
    </row>
    <row r="68" spans="1:7" x14ac:dyDescent="0.25">
      <c r="A68" s="136">
        <f t="shared" si="0"/>
        <v>60</v>
      </c>
      <c r="B68" s="143" t="str">
        <f t="shared" ref="B68:B74" si="11">B67</f>
        <v>53E - Company Owned</v>
      </c>
      <c r="C68" s="7" t="s">
        <v>147</v>
      </c>
      <c r="D68" s="150" t="s">
        <v>150</v>
      </c>
      <c r="E68" s="146">
        <f>+'[2]Sch 141Y Rates'!O82</f>
        <v>-0.26</v>
      </c>
      <c r="F68" s="147">
        <f>+'[2]Sch 141Y Rates'!L82</f>
        <v>23471</v>
      </c>
      <c r="G68" s="148">
        <f t="shared" si="10"/>
        <v>-6102</v>
      </c>
    </row>
    <row r="69" spans="1:7" x14ac:dyDescent="0.25">
      <c r="A69" s="136">
        <f t="shared" si="0"/>
        <v>61</v>
      </c>
      <c r="B69" s="143" t="str">
        <f t="shared" si="11"/>
        <v>53E - Company Owned</v>
      </c>
      <c r="C69" s="7" t="s">
        <v>147</v>
      </c>
      <c r="D69" s="150" t="s">
        <v>151</v>
      </c>
      <c r="E69" s="146">
        <f>+'[2]Sch 141Y Rates'!O83</f>
        <v>-0.27</v>
      </c>
      <c r="F69" s="147">
        <f>+'[2]Sch 141Y Rates'!L83</f>
        <v>21149</v>
      </c>
      <c r="G69" s="148">
        <f t="shared" si="10"/>
        <v>-5710</v>
      </c>
    </row>
    <row r="70" spans="1:7" x14ac:dyDescent="0.25">
      <c r="A70" s="136">
        <f t="shared" si="0"/>
        <v>62</v>
      </c>
      <c r="B70" s="143" t="str">
        <f t="shared" si="11"/>
        <v>53E - Company Owned</v>
      </c>
      <c r="C70" s="7" t="s">
        <v>147</v>
      </c>
      <c r="D70" s="150" t="s">
        <v>152</v>
      </c>
      <c r="E70" s="146">
        <f>+'[2]Sch 141Y Rates'!O84</f>
        <v>-0.28000000000000003</v>
      </c>
      <c r="F70" s="147">
        <f>+'[2]Sch 141Y Rates'!L84</f>
        <v>896</v>
      </c>
      <c r="G70" s="148">
        <f t="shared" si="10"/>
        <v>-251</v>
      </c>
    </row>
    <row r="71" spans="1:7" x14ac:dyDescent="0.25">
      <c r="A71" s="136">
        <f t="shared" si="0"/>
        <v>63</v>
      </c>
      <c r="B71" s="143" t="str">
        <f t="shared" si="11"/>
        <v>53E - Company Owned</v>
      </c>
      <c r="C71" s="7" t="s">
        <v>147</v>
      </c>
      <c r="D71" s="150" t="s">
        <v>153</v>
      </c>
      <c r="E71" s="146">
        <f>+'[2]Sch 141Y Rates'!O85</f>
        <v>-0.28999999999999998</v>
      </c>
      <c r="F71" s="147">
        <f>+'[2]Sch 141Y Rates'!L85</f>
        <v>4956</v>
      </c>
      <c r="G71" s="148">
        <f t="shared" si="10"/>
        <v>-1437</v>
      </c>
    </row>
    <row r="72" spans="1:7" x14ac:dyDescent="0.25">
      <c r="A72" s="136">
        <f t="shared" si="0"/>
        <v>64</v>
      </c>
      <c r="B72" s="143" t="str">
        <f t="shared" si="11"/>
        <v>53E - Company Owned</v>
      </c>
      <c r="C72" s="7" t="s">
        <v>147</v>
      </c>
      <c r="D72" s="150" t="s">
        <v>154</v>
      </c>
      <c r="E72" s="146">
        <f>+'[2]Sch 141Y Rates'!O86</f>
        <v>-0.3</v>
      </c>
      <c r="F72" s="147">
        <f>+'[2]Sch 141Y Rates'!L86</f>
        <v>0</v>
      </c>
      <c r="G72" s="148">
        <f t="shared" si="10"/>
        <v>0</v>
      </c>
    </row>
    <row r="73" spans="1:7" x14ac:dyDescent="0.25">
      <c r="A73" s="136">
        <f t="shared" si="0"/>
        <v>65</v>
      </c>
      <c r="B73" s="143" t="str">
        <f t="shared" si="11"/>
        <v>53E - Company Owned</v>
      </c>
      <c r="C73" s="7" t="s">
        <v>147</v>
      </c>
      <c r="D73" s="150" t="s">
        <v>155</v>
      </c>
      <c r="E73" s="146">
        <f>+'[2]Sch 141Y Rates'!O87</f>
        <v>-0.31</v>
      </c>
      <c r="F73" s="147">
        <f>+'[2]Sch 141Y Rates'!L87</f>
        <v>288</v>
      </c>
      <c r="G73" s="148">
        <f t="shared" si="10"/>
        <v>-89</v>
      </c>
    </row>
    <row r="74" spans="1:7" x14ac:dyDescent="0.25">
      <c r="A74" s="136">
        <f t="shared" si="0"/>
        <v>66</v>
      </c>
      <c r="B74" s="143" t="str">
        <f t="shared" si="11"/>
        <v>53E - Company Owned</v>
      </c>
      <c r="C74" s="7" t="s">
        <v>147</v>
      </c>
      <c r="D74" s="150" t="s">
        <v>156</v>
      </c>
      <c r="E74" s="146">
        <f>+'[2]Sch 141Y Rates'!O88</f>
        <v>-0.33</v>
      </c>
      <c r="F74" s="147">
        <f>+'[2]Sch 141Y Rates'!L88</f>
        <v>1308</v>
      </c>
      <c r="G74" s="148">
        <f t="shared" si="10"/>
        <v>-432</v>
      </c>
    </row>
    <row r="75" spans="1:7" x14ac:dyDescent="0.25">
      <c r="A75" s="136">
        <f t="shared" ref="A75:A138" si="12">A74+1</f>
        <v>67</v>
      </c>
      <c r="B75" s="143"/>
      <c r="C75" s="7"/>
      <c r="D75" s="7"/>
      <c r="E75" s="142"/>
      <c r="F75" s="147"/>
      <c r="G75" s="147"/>
    </row>
    <row r="76" spans="1:7" x14ac:dyDescent="0.25">
      <c r="A76" s="136">
        <f t="shared" si="12"/>
        <v>68</v>
      </c>
      <c r="B76" s="143" t="s">
        <v>162</v>
      </c>
      <c r="C76" s="7" t="s">
        <v>76</v>
      </c>
      <c r="D76" s="7">
        <v>50</v>
      </c>
      <c r="E76" s="146">
        <f>+'[2]Sch 141Y Rates'!O90</f>
        <v>-0.01</v>
      </c>
      <c r="F76" s="147">
        <f>+'[2]Sch 141Y Rates'!L90</f>
        <v>0</v>
      </c>
      <c r="G76" s="148">
        <f t="shared" ref="G76:G84" si="13">ROUND($F76*E76,0)</f>
        <v>0</v>
      </c>
    </row>
    <row r="77" spans="1:7" x14ac:dyDescent="0.25">
      <c r="A77" s="136">
        <f t="shared" si="12"/>
        <v>69</v>
      </c>
      <c r="B77" s="143" t="str">
        <f t="shared" ref="B77:B84" si="14">+B76</f>
        <v>53E - Customer Owned</v>
      </c>
      <c r="C77" s="7" t="s">
        <v>76</v>
      </c>
      <c r="D77" s="7">
        <v>70</v>
      </c>
      <c r="E77" s="146">
        <f>+'[2]Sch 141Y Rates'!O91</f>
        <v>-0.02</v>
      </c>
      <c r="F77" s="147">
        <f>+'[2]Sch 141Y Rates'!L91</f>
        <v>684</v>
      </c>
      <c r="G77" s="148">
        <f t="shared" si="13"/>
        <v>-14</v>
      </c>
    </row>
    <row r="78" spans="1:7" x14ac:dyDescent="0.25">
      <c r="A78" s="136">
        <f t="shared" si="12"/>
        <v>70</v>
      </c>
      <c r="B78" s="143" t="str">
        <f t="shared" si="14"/>
        <v>53E - Customer Owned</v>
      </c>
      <c r="C78" s="7" t="s">
        <v>76</v>
      </c>
      <c r="D78" s="7">
        <v>100</v>
      </c>
      <c r="E78" s="146">
        <f>+'[2]Sch 141Y Rates'!O92</f>
        <v>-0.02</v>
      </c>
      <c r="F78" s="147">
        <f>+'[2]Sch 141Y Rates'!L92</f>
        <v>3066</v>
      </c>
      <c r="G78" s="148">
        <f t="shared" si="13"/>
        <v>-61</v>
      </c>
    </row>
    <row r="79" spans="1:7" x14ac:dyDescent="0.25">
      <c r="A79" s="136">
        <f t="shared" si="12"/>
        <v>71</v>
      </c>
      <c r="B79" s="143" t="str">
        <f t="shared" si="14"/>
        <v>53E - Customer Owned</v>
      </c>
      <c r="C79" s="7" t="s">
        <v>76</v>
      </c>
      <c r="D79" s="7">
        <v>150</v>
      </c>
      <c r="E79" s="146">
        <f>+'[2]Sch 141Y Rates'!O93</f>
        <v>-0.04</v>
      </c>
      <c r="F79" s="147">
        <f>+'[2]Sch 141Y Rates'!L93</f>
        <v>1779</v>
      </c>
      <c r="G79" s="148">
        <f t="shared" si="13"/>
        <v>-71</v>
      </c>
    </row>
    <row r="80" spans="1:7" x14ac:dyDescent="0.25">
      <c r="A80" s="136">
        <f t="shared" si="12"/>
        <v>72</v>
      </c>
      <c r="B80" s="143" t="str">
        <f t="shared" si="14"/>
        <v>53E - Customer Owned</v>
      </c>
      <c r="C80" s="7" t="s">
        <v>76</v>
      </c>
      <c r="D80" s="7">
        <v>200</v>
      </c>
      <c r="E80" s="146">
        <f>+'[2]Sch 141Y Rates'!O94</f>
        <v>-0.05</v>
      </c>
      <c r="F80" s="147">
        <f>+'[2]Sch 141Y Rates'!L94</f>
        <v>5111</v>
      </c>
      <c r="G80" s="148">
        <f t="shared" si="13"/>
        <v>-256</v>
      </c>
    </row>
    <row r="81" spans="1:7" x14ac:dyDescent="0.25">
      <c r="A81" s="136">
        <f t="shared" si="12"/>
        <v>73</v>
      </c>
      <c r="B81" s="143" t="str">
        <f t="shared" si="14"/>
        <v>53E - Customer Owned</v>
      </c>
      <c r="C81" s="7" t="s">
        <v>76</v>
      </c>
      <c r="D81" s="7">
        <v>250</v>
      </c>
      <c r="E81" s="146">
        <f>+'[2]Sch 141Y Rates'!O95</f>
        <v>-0.06</v>
      </c>
      <c r="F81" s="147">
        <f>+'[2]Sch 141Y Rates'!L95</f>
        <v>3364</v>
      </c>
      <c r="G81" s="148">
        <f t="shared" si="13"/>
        <v>-202</v>
      </c>
    </row>
    <row r="82" spans="1:7" x14ac:dyDescent="0.25">
      <c r="A82" s="136">
        <f t="shared" si="12"/>
        <v>74</v>
      </c>
      <c r="B82" s="143" t="str">
        <f t="shared" si="14"/>
        <v>53E - Customer Owned</v>
      </c>
      <c r="C82" s="7" t="s">
        <v>76</v>
      </c>
      <c r="D82" s="7">
        <v>310</v>
      </c>
      <c r="E82" s="146">
        <f>+'[2]Sch 141Y Rates'!O96</f>
        <v>-0.08</v>
      </c>
      <c r="F82" s="147">
        <f>+'[2]Sch 141Y Rates'!L96</f>
        <v>84</v>
      </c>
      <c r="G82" s="148">
        <f t="shared" si="13"/>
        <v>-7</v>
      </c>
    </row>
    <row r="83" spans="1:7" x14ac:dyDescent="0.25">
      <c r="A83" s="136">
        <f t="shared" si="12"/>
        <v>75</v>
      </c>
      <c r="B83" s="143" t="str">
        <f t="shared" si="14"/>
        <v>53E - Customer Owned</v>
      </c>
      <c r="C83" s="7" t="s">
        <v>76</v>
      </c>
      <c r="D83" s="7">
        <v>400</v>
      </c>
      <c r="E83" s="146">
        <f>+'[2]Sch 141Y Rates'!O97</f>
        <v>-0.1</v>
      </c>
      <c r="F83" s="147">
        <f>+'[2]Sch 141Y Rates'!L97</f>
        <v>5174</v>
      </c>
      <c r="G83" s="148">
        <f t="shared" si="13"/>
        <v>-517</v>
      </c>
    </row>
    <row r="84" spans="1:7" x14ac:dyDescent="0.25">
      <c r="A84" s="136">
        <f t="shared" si="12"/>
        <v>76</v>
      </c>
      <c r="B84" s="143" t="str">
        <f t="shared" si="14"/>
        <v>53E - Customer Owned</v>
      </c>
      <c r="C84" s="7" t="s">
        <v>76</v>
      </c>
      <c r="D84" s="7">
        <v>1000</v>
      </c>
      <c r="E84" s="146">
        <f>+'[2]Sch 141Y Rates'!O98</f>
        <v>-0.25</v>
      </c>
      <c r="F84" s="147">
        <f>+'[2]Sch 141Y Rates'!L98</f>
        <v>0</v>
      </c>
      <c r="G84" s="148">
        <f t="shared" si="13"/>
        <v>0</v>
      </c>
    </row>
    <row r="85" spans="1:7" x14ac:dyDescent="0.25">
      <c r="A85" s="136">
        <f t="shared" si="12"/>
        <v>77</v>
      </c>
      <c r="B85" s="143"/>
      <c r="C85" s="7"/>
      <c r="D85" s="7"/>
      <c r="E85" s="142"/>
      <c r="F85" s="147"/>
      <c r="G85" s="147"/>
    </row>
    <row r="86" spans="1:7" x14ac:dyDescent="0.25">
      <c r="A86" s="136">
        <f t="shared" si="12"/>
        <v>78</v>
      </c>
      <c r="B86" s="143" t="str">
        <f>+B84</f>
        <v>53E - Customer Owned</v>
      </c>
      <c r="C86" s="7" t="s">
        <v>159</v>
      </c>
      <c r="D86" s="7">
        <v>70</v>
      </c>
      <c r="E86" s="146">
        <f>+'[2]Sch 141Y Rates'!O100</f>
        <v>-0.02</v>
      </c>
      <c r="F86" s="147">
        <f>+'[2]Sch 141Y Rates'!L100</f>
        <v>0</v>
      </c>
      <c r="G86" s="148">
        <f t="shared" ref="G86:G91" si="15">ROUND($F86*E86,0)</f>
        <v>0</v>
      </c>
    </row>
    <row r="87" spans="1:7" x14ac:dyDescent="0.25">
      <c r="A87" s="136">
        <f t="shared" si="12"/>
        <v>79</v>
      </c>
      <c r="B87" s="143" t="str">
        <f>+B86</f>
        <v>53E - Customer Owned</v>
      </c>
      <c r="C87" s="7" t="s">
        <v>159</v>
      </c>
      <c r="D87" s="7">
        <v>100</v>
      </c>
      <c r="E87" s="146">
        <f>+'[2]Sch 141Y Rates'!O101</f>
        <v>-0.02</v>
      </c>
      <c r="F87" s="147">
        <f>+'[2]Sch 141Y Rates'!L101</f>
        <v>0</v>
      </c>
      <c r="G87" s="148">
        <f t="shared" si="15"/>
        <v>0</v>
      </c>
    </row>
    <row r="88" spans="1:7" x14ac:dyDescent="0.25">
      <c r="A88" s="136">
        <f t="shared" si="12"/>
        <v>80</v>
      </c>
      <c r="B88" s="143" t="str">
        <f>+B87</f>
        <v>53E - Customer Owned</v>
      </c>
      <c r="C88" s="7" t="s">
        <v>159</v>
      </c>
      <c r="D88" s="7">
        <v>150</v>
      </c>
      <c r="E88" s="146">
        <f>+'[2]Sch 141Y Rates'!O102</f>
        <v>-0.04</v>
      </c>
      <c r="F88" s="147">
        <f>+'[2]Sch 141Y Rates'!L102</f>
        <v>0</v>
      </c>
      <c r="G88" s="148">
        <f t="shared" si="15"/>
        <v>0</v>
      </c>
    </row>
    <row r="89" spans="1:7" x14ac:dyDescent="0.25">
      <c r="A89" s="136">
        <f t="shared" si="12"/>
        <v>81</v>
      </c>
      <c r="B89" s="143" t="str">
        <f>+B88</f>
        <v>53E - Customer Owned</v>
      </c>
      <c r="C89" s="7" t="s">
        <v>159</v>
      </c>
      <c r="D89" s="7">
        <v>175</v>
      </c>
      <c r="E89" s="146">
        <f>+'[2]Sch 141Y Rates'!O103</f>
        <v>-0.04</v>
      </c>
      <c r="F89" s="147">
        <f>+'[2]Sch 141Y Rates'!L103</f>
        <v>48</v>
      </c>
      <c r="G89" s="148">
        <f t="shared" si="15"/>
        <v>-2</v>
      </c>
    </row>
    <row r="90" spans="1:7" x14ac:dyDescent="0.25">
      <c r="A90" s="136">
        <f t="shared" si="12"/>
        <v>82</v>
      </c>
      <c r="B90" s="143" t="str">
        <f>+B89</f>
        <v>53E - Customer Owned</v>
      </c>
      <c r="C90" s="7" t="s">
        <v>159</v>
      </c>
      <c r="D90" s="7">
        <v>250</v>
      </c>
      <c r="E90" s="146">
        <f>+'[2]Sch 141Y Rates'!O104</f>
        <v>-0.06</v>
      </c>
      <c r="F90" s="147">
        <f>+'[2]Sch 141Y Rates'!L104</f>
        <v>0</v>
      </c>
      <c r="G90" s="148">
        <f t="shared" si="15"/>
        <v>0</v>
      </c>
    </row>
    <row r="91" spans="1:7" x14ac:dyDescent="0.25">
      <c r="A91" s="136">
        <f t="shared" si="12"/>
        <v>83</v>
      </c>
      <c r="B91" s="143" t="str">
        <f>+B90</f>
        <v>53E - Customer Owned</v>
      </c>
      <c r="C91" s="7" t="s">
        <v>159</v>
      </c>
      <c r="D91" s="7">
        <v>400</v>
      </c>
      <c r="E91" s="146">
        <f>+'[2]Sch 141Y Rates'!O105</f>
        <v>-0.1</v>
      </c>
      <c r="F91" s="147">
        <f>+'[2]Sch 141Y Rates'!L105</f>
        <v>0</v>
      </c>
      <c r="G91" s="148">
        <f t="shared" si="15"/>
        <v>0</v>
      </c>
    </row>
    <row r="92" spans="1:7" x14ac:dyDescent="0.25">
      <c r="A92" s="136">
        <f t="shared" si="12"/>
        <v>84</v>
      </c>
      <c r="B92" s="143"/>
      <c r="C92" s="7"/>
      <c r="D92" s="7"/>
      <c r="E92" s="142"/>
      <c r="F92" s="147"/>
      <c r="G92" s="147"/>
    </row>
    <row r="93" spans="1:7" x14ac:dyDescent="0.25">
      <c r="A93" s="136">
        <f t="shared" si="12"/>
        <v>85</v>
      </c>
      <c r="B93" s="143" t="str">
        <f>+B91</f>
        <v>53E - Customer Owned</v>
      </c>
      <c r="C93" s="7" t="s">
        <v>147</v>
      </c>
      <c r="D93" s="150" t="s">
        <v>148</v>
      </c>
      <c r="E93" s="146">
        <f>+'[2]Sch 141Y Rates'!O107</f>
        <v>-0.01</v>
      </c>
      <c r="F93" s="147">
        <f>+'[2]Sch 141Y Rates'!L107</f>
        <v>7103</v>
      </c>
      <c r="G93" s="148">
        <f t="shared" ref="G93:G101" si="16">ROUND($F93*E93,0)</f>
        <v>-71</v>
      </c>
    </row>
    <row r="94" spans="1:7" x14ac:dyDescent="0.25">
      <c r="A94" s="136">
        <f t="shared" si="12"/>
        <v>86</v>
      </c>
      <c r="B94" s="143" t="str">
        <f>B93</f>
        <v>53E - Customer Owned</v>
      </c>
      <c r="C94" s="7" t="s">
        <v>147</v>
      </c>
      <c r="D94" s="150" t="s">
        <v>149</v>
      </c>
      <c r="E94" s="146">
        <f>+'[2]Sch 141Y Rates'!O108</f>
        <v>-0.02</v>
      </c>
      <c r="F94" s="147">
        <f>+'[2]Sch 141Y Rates'!L108</f>
        <v>7369</v>
      </c>
      <c r="G94" s="148">
        <f t="shared" si="16"/>
        <v>-147</v>
      </c>
    </row>
    <row r="95" spans="1:7" x14ac:dyDescent="0.25">
      <c r="A95" s="136">
        <f t="shared" si="12"/>
        <v>87</v>
      </c>
      <c r="B95" s="143" t="str">
        <f t="shared" ref="B95:B101" si="17">B94</f>
        <v>53E - Customer Owned</v>
      </c>
      <c r="C95" s="7" t="s">
        <v>147</v>
      </c>
      <c r="D95" s="150" t="s">
        <v>150</v>
      </c>
      <c r="E95" s="146">
        <f>+'[2]Sch 141Y Rates'!O109</f>
        <v>-0.03</v>
      </c>
      <c r="F95" s="147">
        <f>+'[2]Sch 141Y Rates'!L109</f>
        <v>10408</v>
      </c>
      <c r="G95" s="148">
        <f t="shared" si="16"/>
        <v>-312</v>
      </c>
    </row>
    <row r="96" spans="1:7" x14ac:dyDescent="0.25">
      <c r="A96" s="136">
        <f t="shared" si="12"/>
        <v>88</v>
      </c>
      <c r="B96" s="143" t="str">
        <f t="shared" si="17"/>
        <v>53E - Customer Owned</v>
      </c>
      <c r="C96" s="7" t="s">
        <v>147</v>
      </c>
      <c r="D96" s="150" t="s">
        <v>151</v>
      </c>
      <c r="E96" s="146">
        <f>+'[2]Sch 141Y Rates'!O110</f>
        <v>-0.03</v>
      </c>
      <c r="F96" s="147">
        <f>+'[2]Sch 141Y Rates'!L110</f>
        <v>1687</v>
      </c>
      <c r="G96" s="148">
        <f t="shared" si="16"/>
        <v>-51</v>
      </c>
    </row>
    <row r="97" spans="1:7" x14ac:dyDescent="0.25">
      <c r="A97" s="136">
        <f t="shared" si="12"/>
        <v>89</v>
      </c>
      <c r="B97" s="143" t="str">
        <f t="shared" si="17"/>
        <v>53E - Customer Owned</v>
      </c>
      <c r="C97" s="7" t="s">
        <v>147</v>
      </c>
      <c r="D97" s="150" t="s">
        <v>152</v>
      </c>
      <c r="E97" s="146">
        <f>+'[2]Sch 141Y Rates'!O111</f>
        <v>-0.04</v>
      </c>
      <c r="F97" s="147">
        <f>+'[2]Sch 141Y Rates'!L111</f>
        <v>15781</v>
      </c>
      <c r="G97" s="148">
        <f t="shared" si="16"/>
        <v>-631</v>
      </c>
    </row>
    <row r="98" spans="1:7" x14ac:dyDescent="0.25">
      <c r="A98" s="136">
        <f t="shared" si="12"/>
        <v>90</v>
      </c>
      <c r="B98" s="143" t="str">
        <f t="shared" si="17"/>
        <v>53E - Customer Owned</v>
      </c>
      <c r="C98" s="7" t="s">
        <v>147</v>
      </c>
      <c r="D98" s="150" t="s">
        <v>153</v>
      </c>
      <c r="E98" s="146">
        <f>+'[2]Sch 141Y Rates'!O112</f>
        <v>-0.05</v>
      </c>
      <c r="F98" s="147">
        <f>+'[2]Sch 141Y Rates'!L112</f>
        <v>1288</v>
      </c>
      <c r="G98" s="148">
        <f t="shared" si="16"/>
        <v>-64</v>
      </c>
    </row>
    <row r="99" spans="1:7" x14ac:dyDescent="0.25">
      <c r="A99" s="136">
        <f t="shared" si="12"/>
        <v>91</v>
      </c>
      <c r="B99" s="143" t="str">
        <f t="shared" si="17"/>
        <v>53E - Customer Owned</v>
      </c>
      <c r="C99" s="7" t="s">
        <v>147</v>
      </c>
      <c r="D99" s="150" t="s">
        <v>154</v>
      </c>
      <c r="E99" s="146">
        <f>+'[2]Sch 141Y Rates'!O113</f>
        <v>-0.06</v>
      </c>
      <c r="F99" s="147">
        <f>+'[2]Sch 141Y Rates'!L113</f>
        <v>0</v>
      </c>
      <c r="G99" s="148">
        <f t="shared" si="16"/>
        <v>0</v>
      </c>
    </row>
    <row r="100" spans="1:7" x14ac:dyDescent="0.25">
      <c r="A100" s="136">
        <f t="shared" si="12"/>
        <v>92</v>
      </c>
      <c r="B100" s="143" t="str">
        <f t="shared" si="17"/>
        <v>53E - Customer Owned</v>
      </c>
      <c r="C100" s="7" t="s">
        <v>147</v>
      </c>
      <c r="D100" s="150" t="s">
        <v>155</v>
      </c>
      <c r="E100" s="146">
        <f>+'[2]Sch 141Y Rates'!O114</f>
        <v>-0.06</v>
      </c>
      <c r="F100" s="147">
        <f>+'[2]Sch 141Y Rates'!L114</f>
        <v>0</v>
      </c>
      <c r="G100" s="148">
        <f t="shared" si="16"/>
        <v>0</v>
      </c>
    </row>
    <row r="101" spans="1:7" x14ac:dyDescent="0.25">
      <c r="A101" s="136">
        <f t="shared" si="12"/>
        <v>93</v>
      </c>
      <c r="B101" s="143" t="str">
        <f t="shared" si="17"/>
        <v>53E - Customer Owned</v>
      </c>
      <c r="C101" s="7" t="s">
        <v>147</v>
      </c>
      <c r="D101" s="150" t="s">
        <v>156</v>
      </c>
      <c r="E101" s="146">
        <f>+'[2]Sch 141Y Rates'!O115</f>
        <v>-7.0000000000000007E-2</v>
      </c>
      <c r="F101" s="147">
        <f>+'[2]Sch 141Y Rates'!L115</f>
        <v>0</v>
      </c>
      <c r="G101" s="148">
        <f t="shared" si="16"/>
        <v>0</v>
      </c>
    </row>
    <row r="102" spans="1:7" x14ac:dyDescent="0.25">
      <c r="A102" s="136">
        <f t="shared" si="12"/>
        <v>94</v>
      </c>
      <c r="B102" s="154"/>
      <c r="C102" s="7"/>
      <c r="D102" s="7"/>
      <c r="E102" s="142"/>
      <c r="F102" s="147"/>
      <c r="G102" s="147"/>
    </row>
    <row r="103" spans="1:7" x14ac:dyDescent="0.25">
      <c r="A103" s="136">
        <f t="shared" si="12"/>
        <v>95</v>
      </c>
      <c r="B103" s="141" t="s">
        <v>163</v>
      </c>
      <c r="C103" s="141"/>
      <c r="D103" s="141"/>
      <c r="E103" s="142"/>
      <c r="F103" s="147"/>
      <c r="G103" s="147"/>
    </row>
    <row r="104" spans="1:7" x14ac:dyDescent="0.25">
      <c r="A104" s="136">
        <f t="shared" si="12"/>
        <v>96</v>
      </c>
      <c r="B104" s="143" t="s">
        <v>164</v>
      </c>
      <c r="C104" s="7" t="s">
        <v>76</v>
      </c>
      <c r="D104" s="7">
        <v>50</v>
      </c>
      <c r="E104" s="146">
        <f>+'[2]Sch 141Y Rates'!O118</f>
        <v>-0.01</v>
      </c>
      <c r="F104" s="147">
        <f>+'[2]Sch 141Y Rates'!L118</f>
        <v>456</v>
      </c>
      <c r="G104" s="148">
        <f t="shared" ref="G104:G112" si="18">ROUND($F104*E104,0)</f>
        <v>-5</v>
      </c>
    </row>
    <row r="105" spans="1:7" x14ac:dyDescent="0.25">
      <c r="A105" s="136">
        <f t="shared" si="12"/>
        <v>97</v>
      </c>
      <c r="B105" s="143" t="str">
        <f t="shared" ref="B105:B112" si="19">+B104</f>
        <v>54E</v>
      </c>
      <c r="C105" s="7" t="s">
        <v>76</v>
      </c>
      <c r="D105" s="7">
        <v>70</v>
      </c>
      <c r="E105" s="146">
        <f>+'[2]Sch 141Y Rates'!O119</f>
        <v>-0.02</v>
      </c>
      <c r="F105" s="147">
        <f>+'[2]Sch 141Y Rates'!L119</f>
        <v>8767</v>
      </c>
      <c r="G105" s="148">
        <f t="shared" si="18"/>
        <v>-175</v>
      </c>
    </row>
    <row r="106" spans="1:7" x14ac:dyDescent="0.25">
      <c r="A106" s="136">
        <f t="shared" si="12"/>
        <v>98</v>
      </c>
      <c r="B106" s="143" t="str">
        <f t="shared" si="19"/>
        <v>54E</v>
      </c>
      <c r="C106" s="7" t="s">
        <v>76</v>
      </c>
      <c r="D106" s="7">
        <v>100</v>
      </c>
      <c r="E106" s="146">
        <f>+'[2]Sch 141Y Rates'!O120</f>
        <v>-0.02</v>
      </c>
      <c r="F106" s="147">
        <f>+'[2]Sch 141Y Rates'!L120</f>
        <v>20536</v>
      </c>
      <c r="G106" s="148">
        <f t="shared" si="18"/>
        <v>-411</v>
      </c>
    </row>
    <row r="107" spans="1:7" x14ac:dyDescent="0.25">
      <c r="A107" s="136">
        <f t="shared" si="12"/>
        <v>99</v>
      </c>
      <c r="B107" s="143" t="str">
        <f t="shared" si="19"/>
        <v>54E</v>
      </c>
      <c r="C107" s="7" t="s">
        <v>76</v>
      </c>
      <c r="D107" s="7">
        <v>150</v>
      </c>
      <c r="E107" s="146">
        <f>+'[2]Sch 141Y Rates'!O121</f>
        <v>-0.04</v>
      </c>
      <c r="F107" s="147">
        <f>+'[2]Sch 141Y Rates'!L121</f>
        <v>6043</v>
      </c>
      <c r="G107" s="148">
        <f t="shared" si="18"/>
        <v>-242</v>
      </c>
    </row>
    <row r="108" spans="1:7" x14ac:dyDescent="0.25">
      <c r="A108" s="136">
        <f t="shared" si="12"/>
        <v>100</v>
      </c>
      <c r="B108" s="143" t="str">
        <f t="shared" si="19"/>
        <v>54E</v>
      </c>
      <c r="C108" s="7" t="s">
        <v>76</v>
      </c>
      <c r="D108" s="7">
        <v>200</v>
      </c>
      <c r="E108" s="146">
        <f>+'[2]Sch 141Y Rates'!O122</f>
        <v>-0.05</v>
      </c>
      <c r="F108" s="147">
        <f>+'[2]Sch 141Y Rates'!L122</f>
        <v>8057</v>
      </c>
      <c r="G108" s="148">
        <f t="shared" si="18"/>
        <v>-403</v>
      </c>
    </row>
    <row r="109" spans="1:7" x14ac:dyDescent="0.25">
      <c r="A109" s="136">
        <f t="shared" si="12"/>
        <v>101</v>
      </c>
      <c r="B109" s="143" t="str">
        <f t="shared" si="19"/>
        <v>54E</v>
      </c>
      <c r="C109" s="7" t="s">
        <v>76</v>
      </c>
      <c r="D109" s="7">
        <v>250</v>
      </c>
      <c r="E109" s="146">
        <f>+'[2]Sch 141Y Rates'!O123</f>
        <v>-0.06</v>
      </c>
      <c r="F109" s="147">
        <f>+'[2]Sch 141Y Rates'!L123</f>
        <v>18169</v>
      </c>
      <c r="G109" s="148">
        <f t="shared" si="18"/>
        <v>-1090</v>
      </c>
    </row>
    <row r="110" spans="1:7" x14ac:dyDescent="0.25">
      <c r="A110" s="136">
        <f t="shared" si="12"/>
        <v>102</v>
      </c>
      <c r="B110" s="143" t="str">
        <f t="shared" si="19"/>
        <v>54E</v>
      </c>
      <c r="C110" s="7" t="s">
        <v>76</v>
      </c>
      <c r="D110" s="7">
        <v>310</v>
      </c>
      <c r="E110" s="146">
        <f>+'[2]Sch 141Y Rates'!O124</f>
        <v>-0.08</v>
      </c>
      <c r="F110" s="147">
        <f>+'[2]Sch 141Y Rates'!L124</f>
        <v>903</v>
      </c>
      <c r="G110" s="148">
        <f t="shared" si="18"/>
        <v>-72</v>
      </c>
    </row>
    <row r="111" spans="1:7" x14ac:dyDescent="0.25">
      <c r="A111" s="136">
        <f t="shared" si="12"/>
        <v>103</v>
      </c>
      <c r="B111" s="143" t="str">
        <f t="shared" si="19"/>
        <v>54E</v>
      </c>
      <c r="C111" s="7" t="s">
        <v>76</v>
      </c>
      <c r="D111" s="7">
        <v>400</v>
      </c>
      <c r="E111" s="146">
        <f>+'[2]Sch 141Y Rates'!O125</f>
        <v>-0.1</v>
      </c>
      <c r="F111" s="147">
        <f>+'[2]Sch 141Y Rates'!L125</f>
        <v>9002</v>
      </c>
      <c r="G111" s="148">
        <f t="shared" si="18"/>
        <v>-900</v>
      </c>
    </row>
    <row r="112" spans="1:7" x14ac:dyDescent="0.25">
      <c r="A112" s="136">
        <f t="shared" si="12"/>
        <v>104</v>
      </c>
      <c r="B112" s="143" t="str">
        <f t="shared" si="19"/>
        <v>54E</v>
      </c>
      <c r="C112" s="7" t="s">
        <v>76</v>
      </c>
      <c r="D112" s="7">
        <v>1000</v>
      </c>
      <c r="E112" s="146">
        <f>+'[2]Sch 141Y Rates'!O126</f>
        <v>-0.25</v>
      </c>
      <c r="F112" s="147">
        <f>+'[2]Sch 141Y Rates'!L126</f>
        <v>132</v>
      </c>
      <c r="G112" s="148">
        <f t="shared" si="18"/>
        <v>-33</v>
      </c>
    </row>
    <row r="113" spans="1:7" x14ac:dyDescent="0.25">
      <c r="A113" s="136">
        <f t="shared" si="12"/>
        <v>105</v>
      </c>
      <c r="B113" s="154"/>
      <c r="C113" s="7"/>
      <c r="D113" s="7"/>
      <c r="E113" s="142"/>
      <c r="F113" s="147"/>
      <c r="G113" s="147"/>
    </row>
    <row r="114" spans="1:7" x14ac:dyDescent="0.25">
      <c r="A114" s="136">
        <f t="shared" si="12"/>
        <v>106</v>
      </c>
      <c r="B114" s="154"/>
      <c r="C114" s="7"/>
      <c r="D114" s="7"/>
      <c r="E114" s="142"/>
      <c r="F114" s="147"/>
      <c r="G114" s="147"/>
    </row>
    <row r="115" spans="1:7" x14ac:dyDescent="0.25">
      <c r="A115" s="136">
        <f t="shared" si="12"/>
        <v>107</v>
      </c>
      <c r="B115" s="143" t="str">
        <f>+B112</f>
        <v>54E</v>
      </c>
      <c r="C115" s="7" t="s">
        <v>147</v>
      </c>
      <c r="D115" s="150" t="s">
        <v>148</v>
      </c>
      <c r="E115" s="146">
        <f>+'[2]Sch 141Y Rates'!O129</f>
        <v>-0.01</v>
      </c>
      <c r="F115" s="147">
        <f>+'[2]Sch 141Y Rates'!L129</f>
        <v>16680</v>
      </c>
      <c r="G115" s="148">
        <f t="shared" ref="G115:G123" si="20">ROUND($F115*E115,0)</f>
        <v>-167</v>
      </c>
    </row>
    <row r="116" spans="1:7" x14ac:dyDescent="0.25">
      <c r="A116" s="136">
        <f t="shared" si="12"/>
        <v>108</v>
      </c>
      <c r="B116" s="143" t="str">
        <f t="shared" ref="B116:B123" si="21">+B115</f>
        <v>54E</v>
      </c>
      <c r="C116" s="7" t="s">
        <v>147</v>
      </c>
      <c r="D116" s="150" t="s">
        <v>149</v>
      </c>
      <c r="E116" s="146">
        <f>+'[2]Sch 141Y Rates'!O130</f>
        <v>-0.02</v>
      </c>
      <c r="F116" s="147">
        <f>+'[2]Sch 141Y Rates'!L130</f>
        <v>214</v>
      </c>
      <c r="G116" s="148">
        <f t="shared" si="20"/>
        <v>-4</v>
      </c>
    </row>
    <row r="117" spans="1:7" x14ac:dyDescent="0.25">
      <c r="A117" s="136">
        <f t="shared" si="12"/>
        <v>109</v>
      </c>
      <c r="B117" s="143" t="str">
        <f t="shared" si="21"/>
        <v>54E</v>
      </c>
      <c r="C117" s="7" t="s">
        <v>147</v>
      </c>
      <c r="D117" s="150" t="s">
        <v>150</v>
      </c>
      <c r="E117" s="146">
        <f>+'[2]Sch 141Y Rates'!O131</f>
        <v>-0.03</v>
      </c>
      <c r="F117" s="147">
        <f>+'[2]Sch 141Y Rates'!L131</f>
        <v>20366</v>
      </c>
      <c r="G117" s="148">
        <f t="shared" si="20"/>
        <v>-611</v>
      </c>
    </row>
    <row r="118" spans="1:7" x14ac:dyDescent="0.25">
      <c r="A118" s="136">
        <f t="shared" si="12"/>
        <v>110</v>
      </c>
      <c r="B118" s="143" t="str">
        <f t="shared" si="21"/>
        <v>54E</v>
      </c>
      <c r="C118" s="7" t="s">
        <v>147</v>
      </c>
      <c r="D118" s="150" t="s">
        <v>151</v>
      </c>
      <c r="E118" s="146">
        <f>+'[2]Sch 141Y Rates'!O132</f>
        <v>-0.03</v>
      </c>
      <c r="F118" s="147">
        <f>+'[2]Sch 141Y Rates'!L132</f>
        <v>9608</v>
      </c>
      <c r="G118" s="148">
        <f t="shared" si="20"/>
        <v>-288</v>
      </c>
    </row>
    <row r="119" spans="1:7" x14ac:dyDescent="0.25">
      <c r="A119" s="136">
        <f t="shared" si="12"/>
        <v>111</v>
      </c>
      <c r="B119" s="143" t="str">
        <f t="shared" si="21"/>
        <v>54E</v>
      </c>
      <c r="C119" s="7" t="s">
        <v>147</v>
      </c>
      <c r="D119" s="150" t="s">
        <v>152</v>
      </c>
      <c r="E119" s="146">
        <f>+'[2]Sch 141Y Rates'!O133</f>
        <v>-0.04</v>
      </c>
      <c r="F119" s="147">
        <f>+'[2]Sch 141Y Rates'!L133</f>
        <v>3792</v>
      </c>
      <c r="G119" s="148">
        <f t="shared" si="20"/>
        <v>-152</v>
      </c>
    </row>
    <row r="120" spans="1:7" x14ac:dyDescent="0.25">
      <c r="A120" s="136">
        <f t="shared" si="12"/>
        <v>112</v>
      </c>
      <c r="B120" s="143" t="str">
        <f t="shared" si="21"/>
        <v>54E</v>
      </c>
      <c r="C120" s="7" t="s">
        <v>147</v>
      </c>
      <c r="D120" s="150" t="s">
        <v>153</v>
      </c>
      <c r="E120" s="146">
        <f>+'[2]Sch 141Y Rates'!O134</f>
        <v>-0.05</v>
      </c>
      <c r="F120" s="147">
        <f>+'[2]Sch 141Y Rates'!L134</f>
        <v>223</v>
      </c>
      <c r="G120" s="148">
        <f t="shared" si="20"/>
        <v>-11</v>
      </c>
    </row>
    <row r="121" spans="1:7" x14ac:dyDescent="0.25">
      <c r="A121" s="136">
        <f t="shared" si="12"/>
        <v>113</v>
      </c>
      <c r="B121" s="143" t="str">
        <f t="shared" si="21"/>
        <v>54E</v>
      </c>
      <c r="C121" s="7" t="s">
        <v>147</v>
      </c>
      <c r="D121" s="150" t="s">
        <v>154</v>
      </c>
      <c r="E121" s="146">
        <f>+'[2]Sch 141Y Rates'!O135</f>
        <v>-0.06</v>
      </c>
      <c r="F121" s="147">
        <f>+'[2]Sch 141Y Rates'!L135</f>
        <v>0</v>
      </c>
      <c r="G121" s="148">
        <f t="shared" si="20"/>
        <v>0</v>
      </c>
    </row>
    <row r="122" spans="1:7" x14ac:dyDescent="0.25">
      <c r="A122" s="136">
        <f t="shared" si="12"/>
        <v>114</v>
      </c>
      <c r="B122" s="143" t="str">
        <f t="shared" si="21"/>
        <v>54E</v>
      </c>
      <c r="C122" s="7" t="s">
        <v>147</v>
      </c>
      <c r="D122" s="150" t="s">
        <v>155</v>
      </c>
      <c r="E122" s="146">
        <f>+'[2]Sch 141Y Rates'!O136</f>
        <v>-0.06</v>
      </c>
      <c r="F122" s="147">
        <f>+'[2]Sch 141Y Rates'!L136</f>
        <v>127</v>
      </c>
      <c r="G122" s="148">
        <f t="shared" si="20"/>
        <v>-8</v>
      </c>
    </row>
    <row r="123" spans="1:7" x14ac:dyDescent="0.25">
      <c r="A123" s="136">
        <f t="shared" si="12"/>
        <v>115</v>
      </c>
      <c r="B123" s="143" t="str">
        <f t="shared" si="21"/>
        <v>54E</v>
      </c>
      <c r="C123" s="7" t="s">
        <v>147</v>
      </c>
      <c r="D123" s="150" t="s">
        <v>156</v>
      </c>
      <c r="E123" s="146">
        <f>+'[2]Sch 141Y Rates'!O137</f>
        <v>-7.0000000000000007E-2</v>
      </c>
      <c r="F123" s="147">
        <f>+'[2]Sch 141Y Rates'!L137</f>
        <v>0</v>
      </c>
      <c r="G123" s="148">
        <f t="shared" si="20"/>
        <v>0</v>
      </c>
    </row>
    <row r="124" spans="1:7" x14ac:dyDescent="0.25">
      <c r="A124" s="136">
        <f t="shared" si="12"/>
        <v>116</v>
      </c>
      <c r="B124" s="154"/>
      <c r="C124" s="7"/>
      <c r="D124" s="7"/>
      <c r="E124" s="142"/>
      <c r="F124" s="147"/>
      <c r="G124" s="147"/>
    </row>
    <row r="125" spans="1:7" x14ac:dyDescent="0.25">
      <c r="A125" s="136">
        <f t="shared" si="12"/>
        <v>117</v>
      </c>
      <c r="B125" s="141" t="s">
        <v>165</v>
      </c>
      <c r="C125" s="7"/>
      <c r="D125" s="7"/>
      <c r="E125" s="142"/>
      <c r="F125" s="147"/>
      <c r="G125" s="147"/>
    </row>
    <row r="126" spans="1:7" x14ac:dyDescent="0.25">
      <c r="A126" s="136">
        <f t="shared" si="12"/>
        <v>118</v>
      </c>
      <c r="B126" s="143" t="s">
        <v>166</v>
      </c>
      <c r="C126" s="7" t="s">
        <v>76</v>
      </c>
      <c r="D126" s="7">
        <v>70</v>
      </c>
      <c r="E126" s="146">
        <f>+'[2]Sch 141Y Rates'!O140</f>
        <v>-0.22</v>
      </c>
      <c r="F126" s="147">
        <f>+'[2]Sch 141Y Rates'!L140</f>
        <v>213</v>
      </c>
      <c r="G126" s="148">
        <f t="shared" ref="G126:G131" si="22">ROUND($F126*E126,0)</f>
        <v>-47</v>
      </c>
    </row>
    <row r="127" spans="1:7" x14ac:dyDescent="0.25">
      <c r="A127" s="136">
        <f t="shared" si="12"/>
        <v>119</v>
      </c>
      <c r="B127" s="154" t="str">
        <f>+B126</f>
        <v>55E &amp; 56E</v>
      </c>
      <c r="C127" s="7" t="s">
        <v>76</v>
      </c>
      <c r="D127" s="7">
        <v>100</v>
      </c>
      <c r="E127" s="146">
        <f>+'[2]Sch 141Y Rates'!O141</f>
        <v>-0.23</v>
      </c>
      <c r="F127" s="147">
        <f>+'[2]Sch 141Y Rates'!L141</f>
        <v>46760</v>
      </c>
      <c r="G127" s="148">
        <f t="shared" si="22"/>
        <v>-10755</v>
      </c>
    </row>
    <row r="128" spans="1:7" x14ac:dyDescent="0.25">
      <c r="A128" s="136">
        <f t="shared" si="12"/>
        <v>120</v>
      </c>
      <c r="B128" s="154" t="str">
        <f>+B127</f>
        <v>55E &amp; 56E</v>
      </c>
      <c r="C128" s="7" t="s">
        <v>76</v>
      </c>
      <c r="D128" s="7">
        <v>150</v>
      </c>
      <c r="E128" s="146">
        <f>+'[2]Sch 141Y Rates'!O142</f>
        <v>-0.26</v>
      </c>
      <c r="F128" s="147">
        <f>+'[2]Sch 141Y Rates'!L142</f>
        <v>6244</v>
      </c>
      <c r="G128" s="148">
        <f t="shared" si="22"/>
        <v>-1623</v>
      </c>
    </row>
    <row r="129" spans="1:7" x14ac:dyDescent="0.25">
      <c r="A129" s="136">
        <f t="shared" si="12"/>
        <v>121</v>
      </c>
      <c r="B129" s="154" t="str">
        <f>+B128</f>
        <v>55E &amp; 56E</v>
      </c>
      <c r="C129" s="7" t="s">
        <v>76</v>
      </c>
      <c r="D129" s="7">
        <v>200</v>
      </c>
      <c r="E129" s="146">
        <f>+'[2]Sch 141Y Rates'!O143</f>
        <v>-0.28000000000000003</v>
      </c>
      <c r="F129" s="147">
        <f>+'[2]Sch 141Y Rates'!L143</f>
        <v>13456</v>
      </c>
      <c r="G129" s="148">
        <f t="shared" si="22"/>
        <v>-3768</v>
      </c>
    </row>
    <row r="130" spans="1:7" x14ac:dyDescent="0.25">
      <c r="A130" s="136">
        <f t="shared" si="12"/>
        <v>122</v>
      </c>
      <c r="B130" s="154" t="str">
        <f>+B129</f>
        <v>55E &amp; 56E</v>
      </c>
      <c r="C130" s="7" t="s">
        <v>76</v>
      </c>
      <c r="D130" s="7">
        <v>250</v>
      </c>
      <c r="E130" s="146">
        <f>+'[2]Sch 141Y Rates'!O144</f>
        <v>-0.3</v>
      </c>
      <c r="F130" s="147">
        <f>+'[2]Sch 141Y Rates'!L144</f>
        <v>1417</v>
      </c>
      <c r="G130" s="148">
        <f t="shared" si="22"/>
        <v>-425</v>
      </c>
    </row>
    <row r="131" spans="1:7" x14ac:dyDescent="0.25">
      <c r="A131" s="136">
        <f t="shared" si="12"/>
        <v>123</v>
      </c>
      <c r="B131" s="154" t="str">
        <f>+B130</f>
        <v>55E &amp; 56E</v>
      </c>
      <c r="C131" s="7" t="s">
        <v>76</v>
      </c>
      <c r="D131" s="7">
        <v>400</v>
      </c>
      <c r="E131" s="146">
        <f>+'[2]Sch 141Y Rates'!O145</f>
        <v>-0.38</v>
      </c>
      <c r="F131" s="147">
        <f>+'[2]Sch 141Y Rates'!L145</f>
        <v>588</v>
      </c>
      <c r="G131" s="148">
        <f t="shared" si="22"/>
        <v>-223</v>
      </c>
    </row>
    <row r="132" spans="1:7" x14ac:dyDescent="0.25">
      <c r="A132" s="136">
        <f t="shared" si="12"/>
        <v>124</v>
      </c>
      <c r="B132" s="154"/>
      <c r="C132" s="7"/>
      <c r="D132" s="7"/>
      <c r="E132" s="142"/>
      <c r="F132" s="147"/>
      <c r="G132" s="147"/>
    </row>
    <row r="133" spans="1:7" x14ac:dyDescent="0.25">
      <c r="A133" s="136">
        <f t="shared" si="12"/>
        <v>125</v>
      </c>
      <c r="B133" s="154" t="str">
        <f>+B131</f>
        <v>55E &amp; 56E</v>
      </c>
      <c r="C133" s="7" t="s">
        <v>159</v>
      </c>
      <c r="D133" s="7">
        <v>250</v>
      </c>
      <c r="E133" s="146">
        <f>+'[2]Sch 141Y Rates'!O147</f>
        <v>-0.33</v>
      </c>
      <c r="F133" s="147">
        <f>+'[2]Sch 141Y Rates'!L147</f>
        <v>72</v>
      </c>
      <c r="G133" s="148">
        <f>ROUND($F133*E133,0)</f>
        <v>-24</v>
      </c>
    </row>
    <row r="134" spans="1:7" x14ac:dyDescent="0.25">
      <c r="A134" s="136">
        <f t="shared" si="12"/>
        <v>126</v>
      </c>
      <c r="B134" s="154"/>
      <c r="C134" s="7"/>
      <c r="D134" s="7"/>
      <c r="E134" s="142"/>
      <c r="F134" s="147"/>
      <c r="G134" s="147"/>
    </row>
    <row r="135" spans="1:7" x14ac:dyDescent="0.25">
      <c r="A135" s="136">
        <f t="shared" si="12"/>
        <v>127</v>
      </c>
      <c r="B135" s="154" t="s">
        <v>166</v>
      </c>
      <c r="C135" s="7" t="s">
        <v>147</v>
      </c>
      <c r="D135" s="150" t="s">
        <v>148</v>
      </c>
      <c r="E135" s="146">
        <f>+'[2]Sch 141Y Rates'!O149</f>
        <v>-0.3</v>
      </c>
      <c r="F135" s="147">
        <f>+'[2]Sch 141Y Rates'!L149</f>
        <v>4817</v>
      </c>
      <c r="G135" s="148">
        <f t="shared" ref="G135:G143" si="23">ROUND($F135*E135,0)</f>
        <v>-1445</v>
      </c>
    </row>
    <row r="136" spans="1:7" x14ac:dyDescent="0.25">
      <c r="A136" s="136">
        <f t="shared" si="12"/>
        <v>128</v>
      </c>
      <c r="B136" s="154" t="s">
        <v>166</v>
      </c>
      <c r="C136" s="7" t="s">
        <v>147</v>
      </c>
      <c r="D136" s="150" t="s">
        <v>149</v>
      </c>
      <c r="E136" s="146">
        <f>+'[2]Sch 141Y Rates'!O150</f>
        <v>-0.31</v>
      </c>
      <c r="F136" s="147">
        <f>+'[2]Sch 141Y Rates'!L150</f>
        <v>0</v>
      </c>
      <c r="G136" s="148">
        <f t="shared" si="23"/>
        <v>0</v>
      </c>
    </row>
    <row r="137" spans="1:7" x14ac:dyDescent="0.25">
      <c r="A137" s="136">
        <f t="shared" si="12"/>
        <v>129</v>
      </c>
      <c r="B137" s="154" t="s">
        <v>166</v>
      </c>
      <c r="C137" s="7" t="s">
        <v>147</v>
      </c>
      <c r="D137" s="150" t="s">
        <v>150</v>
      </c>
      <c r="E137" s="146">
        <f>+'[2]Sch 141Y Rates'!O151</f>
        <v>-0.32</v>
      </c>
      <c r="F137" s="147">
        <f>+'[2]Sch 141Y Rates'!L151</f>
        <v>1266</v>
      </c>
      <c r="G137" s="148">
        <f t="shared" si="23"/>
        <v>-405</v>
      </c>
    </row>
    <row r="138" spans="1:7" x14ac:dyDescent="0.25">
      <c r="A138" s="136">
        <f t="shared" si="12"/>
        <v>130</v>
      </c>
      <c r="B138" s="154" t="s">
        <v>166</v>
      </c>
      <c r="C138" s="7" t="s">
        <v>147</v>
      </c>
      <c r="D138" s="150" t="s">
        <v>151</v>
      </c>
      <c r="E138" s="146">
        <f>+'[2]Sch 141Y Rates'!O152</f>
        <v>-0.34</v>
      </c>
      <c r="F138" s="147">
        <f>+'[2]Sch 141Y Rates'!L152</f>
        <v>0</v>
      </c>
      <c r="G138" s="148">
        <f t="shared" si="23"/>
        <v>0</v>
      </c>
    </row>
    <row r="139" spans="1:7" x14ac:dyDescent="0.25">
      <c r="A139" s="136">
        <f t="shared" ref="A139:A195" si="24">A138+1</f>
        <v>131</v>
      </c>
      <c r="B139" s="154" t="s">
        <v>166</v>
      </c>
      <c r="C139" s="7" t="s">
        <v>147</v>
      </c>
      <c r="D139" s="150" t="s">
        <v>152</v>
      </c>
      <c r="E139" s="146">
        <f>+'[2]Sch 141Y Rates'!O153</f>
        <v>-0.35</v>
      </c>
      <c r="F139" s="147">
        <f>+'[2]Sch 141Y Rates'!L153</f>
        <v>0</v>
      </c>
      <c r="G139" s="148">
        <f t="shared" si="23"/>
        <v>0</v>
      </c>
    </row>
    <row r="140" spans="1:7" x14ac:dyDescent="0.25">
      <c r="A140" s="136">
        <f t="shared" si="24"/>
        <v>132</v>
      </c>
      <c r="B140" s="154" t="s">
        <v>166</v>
      </c>
      <c r="C140" s="7" t="s">
        <v>147</v>
      </c>
      <c r="D140" s="150" t="s">
        <v>153</v>
      </c>
      <c r="E140" s="146">
        <f>+'[2]Sch 141Y Rates'!O154</f>
        <v>-0.36</v>
      </c>
      <c r="F140" s="147">
        <f>+'[2]Sch 141Y Rates'!L154</f>
        <v>0</v>
      </c>
      <c r="G140" s="148">
        <f t="shared" si="23"/>
        <v>0</v>
      </c>
    </row>
    <row r="141" spans="1:7" x14ac:dyDescent="0.25">
      <c r="A141" s="136">
        <f t="shared" si="24"/>
        <v>133</v>
      </c>
      <c r="B141" s="154" t="s">
        <v>166</v>
      </c>
      <c r="C141" s="7" t="s">
        <v>147</v>
      </c>
      <c r="D141" s="150" t="s">
        <v>154</v>
      </c>
      <c r="E141" s="146">
        <f>+'[2]Sch 141Y Rates'!O155</f>
        <v>-0.37</v>
      </c>
      <c r="F141" s="147">
        <f>+'[2]Sch 141Y Rates'!L155</f>
        <v>0</v>
      </c>
      <c r="G141" s="148">
        <f t="shared" si="23"/>
        <v>0</v>
      </c>
    </row>
    <row r="142" spans="1:7" x14ac:dyDescent="0.25">
      <c r="A142" s="136">
        <f t="shared" si="24"/>
        <v>134</v>
      </c>
      <c r="B142" s="154" t="s">
        <v>166</v>
      </c>
      <c r="C142" s="7" t="s">
        <v>147</v>
      </c>
      <c r="D142" s="150" t="s">
        <v>155</v>
      </c>
      <c r="E142" s="146">
        <f>+'[2]Sch 141Y Rates'!O156</f>
        <v>-0.39</v>
      </c>
      <c r="F142" s="147">
        <f>+'[2]Sch 141Y Rates'!L156</f>
        <v>0</v>
      </c>
      <c r="G142" s="148">
        <f t="shared" si="23"/>
        <v>0</v>
      </c>
    </row>
    <row r="143" spans="1:7" x14ac:dyDescent="0.25">
      <c r="A143" s="136">
        <f t="shared" si="24"/>
        <v>135</v>
      </c>
      <c r="B143" s="154" t="s">
        <v>166</v>
      </c>
      <c r="C143" s="7" t="s">
        <v>147</v>
      </c>
      <c r="D143" s="150" t="s">
        <v>156</v>
      </c>
      <c r="E143" s="146">
        <f>+'[2]Sch 141Y Rates'!O157</f>
        <v>-0.4</v>
      </c>
      <c r="F143" s="147">
        <f>+'[2]Sch 141Y Rates'!L157</f>
        <v>0</v>
      </c>
      <c r="G143" s="148">
        <f t="shared" si="23"/>
        <v>0</v>
      </c>
    </row>
    <row r="144" spans="1:7" x14ac:dyDescent="0.25">
      <c r="A144" s="136">
        <f t="shared" si="24"/>
        <v>136</v>
      </c>
      <c r="B144" s="154"/>
      <c r="C144" s="7"/>
      <c r="D144" s="7"/>
      <c r="E144" s="142"/>
      <c r="F144" s="147"/>
      <c r="G144" s="147"/>
    </row>
    <row r="145" spans="1:7" x14ac:dyDescent="0.25">
      <c r="A145" s="136">
        <f t="shared" si="24"/>
        <v>137</v>
      </c>
      <c r="B145" s="141" t="s">
        <v>167</v>
      </c>
      <c r="C145" s="7"/>
      <c r="D145" s="7"/>
      <c r="E145" s="142"/>
      <c r="F145" s="147"/>
      <c r="G145" s="147"/>
    </row>
    <row r="146" spans="1:7" x14ac:dyDescent="0.25">
      <c r="A146" s="136">
        <f t="shared" si="24"/>
        <v>138</v>
      </c>
      <c r="B146" s="143" t="s">
        <v>168</v>
      </c>
      <c r="C146" s="7" t="s">
        <v>76</v>
      </c>
      <c r="D146" s="155">
        <v>70</v>
      </c>
      <c r="E146" s="146">
        <f>+'[2]Sch 141Y Rates'!O160</f>
        <v>-0.22</v>
      </c>
      <c r="F146" s="147">
        <f>+'[2]Sch 141Y Rates'!L160</f>
        <v>686</v>
      </c>
      <c r="G146" s="148">
        <f t="shared" ref="G146:G151" si="25">ROUND($F146*E146,0)</f>
        <v>-151</v>
      </c>
    </row>
    <row r="147" spans="1:7" x14ac:dyDescent="0.25">
      <c r="A147" s="136">
        <f t="shared" si="24"/>
        <v>139</v>
      </c>
      <c r="B147" s="154" t="str">
        <f t="shared" ref="B147:B151" si="26">+B146</f>
        <v>58E &amp; 59E - Directional</v>
      </c>
      <c r="C147" s="7" t="s">
        <v>76</v>
      </c>
      <c r="D147" s="155">
        <v>100</v>
      </c>
      <c r="E147" s="146">
        <f>+'[2]Sch 141Y Rates'!O161</f>
        <v>-0.23</v>
      </c>
      <c r="F147" s="147">
        <f>+'[2]Sch 141Y Rates'!L161</f>
        <v>89</v>
      </c>
      <c r="G147" s="148">
        <f t="shared" si="25"/>
        <v>-20</v>
      </c>
    </row>
    <row r="148" spans="1:7" x14ac:dyDescent="0.25">
      <c r="A148" s="136">
        <f t="shared" si="24"/>
        <v>140</v>
      </c>
      <c r="B148" s="154" t="str">
        <f t="shared" si="26"/>
        <v>58E &amp; 59E - Directional</v>
      </c>
      <c r="C148" s="7" t="s">
        <v>76</v>
      </c>
      <c r="D148" s="155">
        <v>150</v>
      </c>
      <c r="E148" s="146">
        <f>+'[2]Sch 141Y Rates'!O162</f>
        <v>-0.26</v>
      </c>
      <c r="F148" s="147">
        <f>+'[2]Sch 141Y Rates'!L162</f>
        <v>1994</v>
      </c>
      <c r="G148" s="148">
        <f t="shared" si="25"/>
        <v>-518</v>
      </c>
    </row>
    <row r="149" spans="1:7" x14ac:dyDescent="0.25">
      <c r="A149" s="136">
        <f t="shared" si="24"/>
        <v>141</v>
      </c>
      <c r="B149" s="154" t="str">
        <f t="shared" si="26"/>
        <v>58E &amp; 59E - Directional</v>
      </c>
      <c r="C149" s="7" t="s">
        <v>76</v>
      </c>
      <c r="D149" s="7">
        <v>200</v>
      </c>
      <c r="E149" s="146">
        <f>+'[2]Sch 141Y Rates'!O163</f>
        <v>-0.28000000000000003</v>
      </c>
      <c r="F149" s="147">
        <f>+'[2]Sch 141Y Rates'!L163</f>
        <v>3425</v>
      </c>
      <c r="G149" s="148">
        <f t="shared" si="25"/>
        <v>-959</v>
      </c>
    </row>
    <row r="150" spans="1:7" x14ac:dyDescent="0.25">
      <c r="A150" s="136">
        <f t="shared" si="24"/>
        <v>142</v>
      </c>
      <c r="B150" s="154" t="str">
        <f t="shared" si="26"/>
        <v>58E &amp; 59E - Directional</v>
      </c>
      <c r="C150" s="7" t="s">
        <v>76</v>
      </c>
      <c r="D150" s="7">
        <v>250</v>
      </c>
      <c r="E150" s="146">
        <f>+'[2]Sch 141Y Rates'!O164</f>
        <v>-0.3</v>
      </c>
      <c r="F150" s="147">
        <f>+'[2]Sch 141Y Rates'!L164</f>
        <v>469</v>
      </c>
      <c r="G150" s="148">
        <f t="shared" si="25"/>
        <v>-141</v>
      </c>
    </row>
    <row r="151" spans="1:7" x14ac:dyDescent="0.25">
      <c r="A151" s="136">
        <f t="shared" si="24"/>
        <v>143</v>
      </c>
      <c r="B151" s="154" t="str">
        <f t="shared" si="26"/>
        <v>58E &amp; 59E - Directional</v>
      </c>
      <c r="C151" s="7" t="s">
        <v>76</v>
      </c>
      <c r="D151" s="7">
        <v>400</v>
      </c>
      <c r="E151" s="146">
        <f>+'[2]Sch 141Y Rates'!O165</f>
        <v>-0.38</v>
      </c>
      <c r="F151" s="147">
        <f>+'[2]Sch 141Y Rates'!L165</f>
        <v>4548</v>
      </c>
      <c r="G151" s="148">
        <f t="shared" si="25"/>
        <v>-1728</v>
      </c>
    </row>
    <row r="152" spans="1:7" x14ac:dyDescent="0.25">
      <c r="A152" s="136">
        <f t="shared" si="24"/>
        <v>144</v>
      </c>
      <c r="B152" s="154"/>
      <c r="C152" s="7"/>
      <c r="D152" s="7"/>
      <c r="E152" s="142"/>
      <c r="F152" s="147"/>
      <c r="G152" s="147"/>
    </row>
    <row r="153" spans="1:7" x14ac:dyDescent="0.25">
      <c r="A153" s="136">
        <f t="shared" si="24"/>
        <v>145</v>
      </c>
      <c r="B153" s="143" t="s">
        <v>169</v>
      </c>
      <c r="C153" s="7" t="s">
        <v>76</v>
      </c>
      <c r="D153" s="7">
        <v>100</v>
      </c>
      <c r="E153" s="146">
        <f>+'[2]Sch 141Y Rates'!O167</f>
        <v>-0.23</v>
      </c>
      <c r="F153" s="147">
        <f>+'[2]Sch 141Y Rates'!L167</f>
        <v>13</v>
      </c>
      <c r="G153" s="148">
        <f>ROUND($F153*E153,0)</f>
        <v>-3</v>
      </c>
    </row>
    <row r="154" spans="1:7" x14ac:dyDescent="0.25">
      <c r="A154" s="136">
        <f t="shared" si="24"/>
        <v>146</v>
      </c>
      <c r="B154" s="154" t="str">
        <f>B153</f>
        <v>58E &amp; 59E - Horizontal</v>
      </c>
      <c r="C154" s="7" t="s">
        <v>76</v>
      </c>
      <c r="D154" s="7">
        <v>150</v>
      </c>
      <c r="E154" s="146">
        <f>+'[2]Sch 141Y Rates'!O168</f>
        <v>-0.26</v>
      </c>
      <c r="F154" s="147">
        <f>+'[2]Sch 141Y Rates'!L168</f>
        <v>240</v>
      </c>
      <c r="G154" s="148">
        <f>ROUND($F154*E154,0)</f>
        <v>-62</v>
      </c>
    </row>
    <row r="155" spans="1:7" x14ac:dyDescent="0.25">
      <c r="A155" s="136">
        <f t="shared" si="24"/>
        <v>147</v>
      </c>
      <c r="B155" s="154" t="str">
        <f t="shared" ref="B155:B157" si="27">B154</f>
        <v>58E &amp; 59E - Horizontal</v>
      </c>
      <c r="C155" s="7" t="s">
        <v>76</v>
      </c>
      <c r="D155" s="7">
        <v>200</v>
      </c>
      <c r="E155" s="146">
        <f>+'[2]Sch 141Y Rates'!O169</f>
        <v>-0.28000000000000003</v>
      </c>
      <c r="F155" s="147">
        <f>+'[2]Sch 141Y Rates'!L169</f>
        <v>156</v>
      </c>
      <c r="G155" s="148">
        <f>ROUND($F155*E155,0)</f>
        <v>-44</v>
      </c>
    </row>
    <row r="156" spans="1:7" x14ac:dyDescent="0.25">
      <c r="A156" s="136">
        <f t="shared" si="24"/>
        <v>148</v>
      </c>
      <c r="B156" s="154" t="str">
        <f t="shared" si="27"/>
        <v>58E &amp; 59E - Horizontal</v>
      </c>
      <c r="C156" s="7" t="s">
        <v>76</v>
      </c>
      <c r="D156" s="7">
        <v>250</v>
      </c>
      <c r="E156" s="146">
        <f>+'[2]Sch 141Y Rates'!O170</f>
        <v>-0.3</v>
      </c>
      <c r="F156" s="147">
        <f>+'[2]Sch 141Y Rates'!L170</f>
        <v>420</v>
      </c>
      <c r="G156" s="148">
        <f>ROUND($F156*E156,0)</f>
        <v>-126</v>
      </c>
    </row>
    <row r="157" spans="1:7" x14ac:dyDescent="0.25">
      <c r="A157" s="136">
        <f t="shared" si="24"/>
        <v>149</v>
      </c>
      <c r="B157" s="154" t="str">
        <f t="shared" si="27"/>
        <v>58E &amp; 59E - Horizontal</v>
      </c>
      <c r="C157" s="7" t="s">
        <v>76</v>
      </c>
      <c r="D157" s="7">
        <v>400</v>
      </c>
      <c r="E157" s="146">
        <f>+'[2]Sch 141Y Rates'!O171</f>
        <v>-0.38</v>
      </c>
      <c r="F157" s="147">
        <f>+'[2]Sch 141Y Rates'!L171</f>
        <v>574</v>
      </c>
      <c r="G157" s="148">
        <f>ROUND($F157*E157,0)</f>
        <v>-218</v>
      </c>
    </row>
    <row r="158" spans="1:7" x14ac:dyDescent="0.25">
      <c r="A158" s="136">
        <f t="shared" si="24"/>
        <v>150</v>
      </c>
      <c r="B158" s="154"/>
      <c r="C158" s="7"/>
      <c r="D158" s="7"/>
      <c r="E158" s="142"/>
      <c r="F158" s="147"/>
      <c r="G158" s="147"/>
    </row>
    <row r="159" spans="1:7" x14ac:dyDescent="0.25">
      <c r="A159" s="136">
        <f t="shared" si="24"/>
        <v>151</v>
      </c>
      <c r="B159" s="154" t="str">
        <f>B147</f>
        <v>58E &amp; 59E - Directional</v>
      </c>
      <c r="C159" s="7" t="s">
        <v>159</v>
      </c>
      <c r="D159" s="7">
        <v>175</v>
      </c>
      <c r="E159" s="146">
        <f>+'[2]Sch 141Y Rates'!O173</f>
        <v>-0.28999999999999998</v>
      </c>
      <c r="F159" s="147">
        <f>+'[2]Sch 141Y Rates'!L173</f>
        <v>36</v>
      </c>
      <c r="G159" s="148">
        <f>ROUND($F159*E159,0)</f>
        <v>-10</v>
      </c>
    </row>
    <row r="160" spans="1:7" x14ac:dyDescent="0.25">
      <c r="A160" s="136">
        <f t="shared" si="24"/>
        <v>152</v>
      </c>
      <c r="B160" s="154" t="str">
        <f>B159</f>
        <v>58E &amp; 59E - Directional</v>
      </c>
      <c r="C160" s="7" t="s">
        <v>159</v>
      </c>
      <c r="D160" s="7">
        <v>250</v>
      </c>
      <c r="E160" s="146">
        <f>+'[2]Sch 141Y Rates'!O174</f>
        <v>-0.33</v>
      </c>
      <c r="F160" s="147">
        <f>+'[2]Sch 141Y Rates'!L174</f>
        <v>271</v>
      </c>
      <c r="G160" s="148">
        <f>ROUND($F160*E160,0)</f>
        <v>-89</v>
      </c>
    </row>
    <row r="161" spans="1:7" x14ac:dyDescent="0.25">
      <c r="A161" s="136">
        <f t="shared" si="24"/>
        <v>153</v>
      </c>
      <c r="B161" s="154" t="str">
        <f t="shared" ref="B161:B162" si="28">B160</f>
        <v>58E &amp; 59E - Directional</v>
      </c>
      <c r="C161" s="7" t="s">
        <v>159</v>
      </c>
      <c r="D161" s="7">
        <v>400</v>
      </c>
      <c r="E161" s="146">
        <f>+'[2]Sch 141Y Rates'!O175</f>
        <v>-0.41</v>
      </c>
      <c r="F161" s="147">
        <f>+'[2]Sch 141Y Rates'!L175</f>
        <v>1052</v>
      </c>
      <c r="G161" s="148">
        <f>ROUND($F161*E161,0)</f>
        <v>-431</v>
      </c>
    </row>
    <row r="162" spans="1:7" x14ac:dyDescent="0.25">
      <c r="A162" s="136">
        <f t="shared" si="24"/>
        <v>154</v>
      </c>
      <c r="B162" s="154" t="str">
        <f t="shared" si="28"/>
        <v>58E &amp; 59E - Directional</v>
      </c>
      <c r="C162" s="7" t="s">
        <v>159</v>
      </c>
      <c r="D162" s="7">
        <v>1000</v>
      </c>
      <c r="E162" s="146">
        <f>+'[2]Sch 141Y Rates'!O176</f>
        <v>-0.74</v>
      </c>
      <c r="F162" s="147">
        <f>+'[2]Sch 141Y Rates'!L176</f>
        <v>1612</v>
      </c>
      <c r="G162" s="148">
        <f>ROUND($F162*E162,0)</f>
        <v>-1193</v>
      </c>
    </row>
    <row r="163" spans="1:7" x14ac:dyDescent="0.25">
      <c r="A163" s="136">
        <f t="shared" si="24"/>
        <v>155</v>
      </c>
      <c r="B163" s="154"/>
      <c r="C163" s="7"/>
      <c r="D163" s="7"/>
      <c r="E163" s="142"/>
      <c r="F163" s="147"/>
      <c r="G163" s="147"/>
    </row>
    <row r="164" spans="1:7" x14ac:dyDescent="0.25">
      <c r="A164" s="136">
        <f t="shared" si="24"/>
        <v>156</v>
      </c>
      <c r="B164" s="154" t="str">
        <f>B153</f>
        <v>58E &amp; 59E - Horizontal</v>
      </c>
      <c r="C164" s="7" t="s">
        <v>159</v>
      </c>
      <c r="D164" s="7">
        <v>250</v>
      </c>
      <c r="E164" s="146">
        <f>+'[2]Sch 141Y Rates'!O178</f>
        <v>-0.33</v>
      </c>
      <c r="F164" s="147">
        <f>+'[2]Sch 141Y Rates'!L178</f>
        <v>132</v>
      </c>
      <c r="G164" s="148">
        <f>ROUND($F164*E164,0)</f>
        <v>-44</v>
      </c>
    </row>
    <row r="165" spans="1:7" x14ac:dyDescent="0.25">
      <c r="A165" s="136">
        <f t="shared" si="24"/>
        <v>157</v>
      </c>
      <c r="B165" s="154" t="str">
        <f>B164</f>
        <v>58E &amp; 59E - Horizontal</v>
      </c>
      <c r="C165" s="7" t="s">
        <v>159</v>
      </c>
      <c r="D165" s="7">
        <v>400</v>
      </c>
      <c r="E165" s="146">
        <f>+'[2]Sch 141Y Rates'!O179</f>
        <v>-0.41</v>
      </c>
      <c r="F165" s="147">
        <f>+'[2]Sch 141Y Rates'!L179</f>
        <v>486</v>
      </c>
      <c r="G165" s="148">
        <f>ROUND($F165*E165,0)</f>
        <v>-199</v>
      </c>
    </row>
    <row r="166" spans="1:7" x14ac:dyDescent="0.25">
      <c r="A166" s="136">
        <f t="shared" si="24"/>
        <v>158</v>
      </c>
      <c r="B166" s="154"/>
      <c r="C166" s="7"/>
      <c r="D166" s="7"/>
      <c r="E166" s="142"/>
      <c r="F166" s="147"/>
      <c r="G166" s="147"/>
    </row>
    <row r="167" spans="1:7" x14ac:dyDescent="0.25">
      <c r="A167" s="136">
        <f t="shared" si="24"/>
        <v>159</v>
      </c>
      <c r="B167" s="154"/>
      <c r="C167" s="7"/>
      <c r="D167" s="7"/>
      <c r="E167" s="142"/>
      <c r="F167" s="147"/>
      <c r="G167" s="147"/>
    </row>
    <row r="168" spans="1:7" x14ac:dyDescent="0.25">
      <c r="A168" s="136">
        <f t="shared" si="24"/>
        <v>160</v>
      </c>
      <c r="B168" s="154" t="s">
        <v>170</v>
      </c>
      <c r="C168" s="7" t="s">
        <v>147</v>
      </c>
      <c r="D168" s="150" t="s">
        <v>148</v>
      </c>
      <c r="E168" s="146">
        <f>+'[2]Sch 141Y Rates'!O182</f>
        <v>-0.3</v>
      </c>
      <c r="F168" s="147">
        <f>+'[2]Sch 141Y Rates'!L182</f>
        <v>20</v>
      </c>
      <c r="G168" s="148">
        <f t="shared" ref="G168:G182" si="29">ROUND($F168*E168,0)</f>
        <v>-6</v>
      </c>
    </row>
    <row r="169" spans="1:7" x14ac:dyDescent="0.25">
      <c r="A169" s="136">
        <f t="shared" si="24"/>
        <v>161</v>
      </c>
      <c r="B169" s="154" t="str">
        <f>B168</f>
        <v>58E &amp; 59E</v>
      </c>
      <c r="C169" s="7" t="s">
        <v>147</v>
      </c>
      <c r="D169" s="150" t="s">
        <v>149</v>
      </c>
      <c r="E169" s="146">
        <f>+'[2]Sch 141Y Rates'!O183</f>
        <v>-0.31</v>
      </c>
      <c r="F169" s="147">
        <f>+'[2]Sch 141Y Rates'!L183</f>
        <v>198</v>
      </c>
      <c r="G169" s="148">
        <f t="shared" si="29"/>
        <v>-61</v>
      </c>
    </row>
    <row r="170" spans="1:7" x14ac:dyDescent="0.25">
      <c r="A170" s="136">
        <f t="shared" si="24"/>
        <v>162</v>
      </c>
      <c r="B170" s="154" t="str">
        <f t="shared" ref="B170:B182" si="30">B169</f>
        <v>58E &amp; 59E</v>
      </c>
      <c r="C170" s="7" t="s">
        <v>147</v>
      </c>
      <c r="D170" s="150" t="s">
        <v>150</v>
      </c>
      <c r="E170" s="146">
        <f>+'[2]Sch 141Y Rates'!O184</f>
        <v>-0.32</v>
      </c>
      <c r="F170" s="147">
        <f>+'[2]Sch 141Y Rates'!L184</f>
        <v>252</v>
      </c>
      <c r="G170" s="148">
        <f t="shared" si="29"/>
        <v>-81</v>
      </c>
    </row>
    <row r="171" spans="1:7" x14ac:dyDescent="0.25">
      <c r="A171" s="136">
        <f t="shared" si="24"/>
        <v>163</v>
      </c>
      <c r="B171" s="154" t="str">
        <f t="shared" si="30"/>
        <v>58E &amp; 59E</v>
      </c>
      <c r="C171" s="7" t="s">
        <v>147</v>
      </c>
      <c r="D171" s="150" t="s">
        <v>151</v>
      </c>
      <c r="E171" s="146">
        <f>+'[2]Sch 141Y Rates'!O185</f>
        <v>-0.34</v>
      </c>
      <c r="F171" s="147">
        <f>+'[2]Sch 141Y Rates'!L185</f>
        <v>716</v>
      </c>
      <c r="G171" s="148">
        <f t="shared" si="29"/>
        <v>-243</v>
      </c>
    </row>
    <row r="172" spans="1:7" x14ac:dyDescent="0.25">
      <c r="A172" s="136">
        <f t="shared" si="24"/>
        <v>164</v>
      </c>
      <c r="B172" s="154" t="str">
        <f t="shared" si="30"/>
        <v>58E &amp; 59E</v>
      </c>
      <c r="C172" s="7" t="s">
        <v>147</v>
      </c>
      <c r="D172" s="150" t="s">
        <v>152</v>
      </c>
      <c r="E172" s="146">
        <f>+'[2]Sch 141Y Rates'!O186</f>
        <v>-0.35</v>
      </c>
      <c r="F172" s="147">
        <f>+'[2]Sch 141Y Rates'!L186</f>
        <v>59</v>
      </c>
      <c r="G172" s="148">
        <f t="shared" si="29"/>
        <v>-21</v>
      </c>
    </row>
    <row r="173" spans="1:7" x14ac:dyDescent="0.25">
      <c r="A173" s="136">
        <f t="shared" si="24"/>
        <v>165</v>
      </c>
      <c r="B173" s="154" t="str">
        <f t="shared" si="30"/>
        <v>58E &amp; 59E</v>
      </c>
      <c r="C173" s="7" t="s">
        <v>147</v>
      </c>
      <c r="D173" s="150" t="s">
        <v>153</v>
      </c>
      <c r="E173" s="146">
        <f>+'[2]Sch 141Y Rates'!O187</f>
        <v>-0.36</v>
      </c>
      <c r="F173" s="147">
        <f>+'[2]Sch 141Y Rates'!L187</f>
        <v>0</v>
      </c>
      <c r="G173" s="148">
        <f t="shared" si="29"/>
        <v>0</v>
      </c>
    </row>
    <row r="174" spans="1:7" x14ac:dyDescent="0.25">
      <c r="A174" s="136">
        <f t="shared" si="24"/>
        <v>166</v>
      </c>
      <c r="B174" s="154" t="str">
        <f t="shared" si="30"/>
        <v>58E &amp; 59E</v>
      </c>
      <c r="C174" s="7" t="s">
        <v>147</v>
      </c>
      <c r="D174" s="150" t="s">
        <v>154</v>
      </c>
      <c r="E174" s="146">
        <f>+'[2]Sch 141Y Rates'!O188</f>
        <v>-0.37</v>
      </c>
      <c r="F174" s="147">
        <f>+'[2]Sch 141Y Rates'!L188</f>
        <v>35</v>
      </c>
      <c r="G174" s="148">
        <f t="shared" si="29"/>
        <v>-13</v>
      </c>
    </row>
    <row r="175" spans="1:7" x14ac:dyDescent="0.25">
      <c r="A175" s="136">
        <f t="shared" si="24"/>
        <v>167</v>
      </c>
      <c r="B175" s="154" t="str">
        <f t="shared" si="30"/>
        <v>58E &amp; 59E</v>
      </c>
      <c r="C175" s="7" t="s">
        <v>147</v>
      </c>
      <c r="D175" s="150" t="s">
        <v>155</v>
      </c>
      <c r="E175" s="146">
        <f>+'[2]Sch 141Y Rates'!O189</f>
        <v>-0.39</v>
      </c>
      <c r="F175" s="147">
        <f>+'[2]Sch 141Y Rates'!L189</f>
        <v>107</v>
      </c>
      <c r="G175" s="148">
        <f t="shared" si="29"/>
        <v>-42</v>
      </c>
    </row>
    <row r="176" spans="1:7" x14ac:dyDescent="0.25">
      <c r="A176" s="136">
        <f t="shared" si="24"/>
        <v>168</v>
      </c>
      <c r="B176" s="154" t="str">
        <f t="shared" si="30"/>
        <v>58E &amp; 59E</v>
      </c>
      <c r="C176" s="7" t="s">
        <v>147</v>
      </c>
      <c r="D176" s="150" t="s">
        <v>156</v>
      </c>
      <c r="E176" s="146">
        <f>+'[2]Sch 141Y Rates'!O190</f>
        <v>-0.4</v>
      </c>
      <c r="F176" s="147">
        <f>+'[2]Sch 141Y Rates'!L190</f>
        <v>0</v>
      </c>
      <c r="G176" s="148">
        <f t="shared" si="29"/>
        <v>0</v>
      </c>
    </row>
    <row r="177" spans="1:7" x14ac:dyDescent="0.25">
      <c r="A177" s="136">
        <f t="shared" si="24"/>
        <v>169</v>
      </c>
      <c r="B177" s="154" t="str">
        <f t="shared" si="30"/>
        <v>58E &amp; 59E</v>
      </c>
      <c r="C177" s="7" t="s">
        <v>147</v>
      </c>
      <c r="D177" s="150" t="s">
        <v>171</v>
      </c>
      <c r="E177" s="146">
        <f>+'[2]Sch 141Y Rates'!O191</f>
        <v>-0.43</v>
      </c>
      <c r="F177" s="147">
        <f>+'[2]Sch 141Y Rates'!L191</f>
        <v>0</v>
      </c>
      <c r="G177" s="148">
        <f t="shared" si="29"/>
        <v>0</v>
      </c>
    </row>
    <row r="178" spans="1:7" x14ac:dyDescent="0.25">
      <c r="A178" s="136">
        <f t="shared" si="24"/>
        <v>170</v>
      </c>
      <c r="B178" s="154" t="str">
        <f t="shared" si="30"/>
        <v>58E &amp; 59E</v>
      </c>
      <c r="C178" s="7" t="s">
        <v>147</v>
      </c>
      <c r="D178" s="150" t="s">
        <v>172</v>
      </c>
      <c r="E178" s="146">
        <f>+'[2]Sch 141Y Rates'!O192</f>
        <v>-0.47</v>
      </c>
      <c r="F178" s="147">
        <f>+'[2]Sch 141Y Rates'!L192</f>
        <v>0</v>
      </c>
      <c r="G178" s="148">
        <f t="shared" si="29"/>
        <v>0</v>
      </c>
    </row>
    <row r="179" spans="1:7" x14ac:dyDescent="0.25">
      <c r="A179" s="136">
        <f t="shared" si="24"/>
        <v>171</v>
      </c>
      <c r="B179" s="154" t="str">
        <f t="shared" si="30"/>
        <v>58E &amp; 59E</v>
      </c>
      <c r="C179" s="7" t="s">
        <v>147</v>
      </c>
      <c r="D179" s="150" t="s">
        <v>173</v>
      </c>
      <c r="E179" s="146">
        <f>+'[2]Sch 141Y Rates'!O193</f>
        <v>-0.51</v>
      </c>
      <c r="F179" s="147">
        <f>+'[2]Sch 141Y Rates'!L193</f>
        <v>0</v>
      </c>
      <c r="G179" s="148">
        <f t="shared" si="29"/>
        <v>0</v>
      </c>
    </row>
    <row r="180" spans="1:7" x14ac:dyDescent="0.25">
      <c r="A180" s="136">
        <f t="shared" si="24"/>
        <v>172</v>
      </c>
      <c r="B180" s="154" t="str">
        <f t="shared" si="30"/>
        <v>58E &amp; 59E</v>
      </c>
      <c r="C180" s="7" t="s">
        <v>147</v>
      </c>
      <c r="D180" s="150" t="s">
        <v>174</v>
      </c>
      <c r="E180" s="146">
        <f>+'[2]Sch 141Y Rates'!O194</f>
        <v>-0.55000000000000004</v>
      </c>
      <c r="F180" s="147">
        <f>+'[2]Sch 141Y Rates'!L194</f>
        <v>0</v>
      </c>
      <c r="G180" s="148">
        <f t="shared" si="29"/>
        <v>0</v>
      </c>
    </row>
    <row r="181" spans="1:7" x14ac:dyDescent="0.25">
      <c r="A181" s="136">
        <f t="shared" si="24"/>
        <v>173</v>
      </c>
      <c r="B181" s="154" t="str">
        <f t="shared" si="30"/>
        <v>58E &amp; 59E</v>
      </c>
      <c r="C181" s="7" t="s">
        <v>147</v>
      </c>
      <c r="D181" s="150" t="s">
        <v>175</v>
      </c>
      <c r="E181" s="146">
        <f>+'[2]Sch 141Y Rates'!O195</f>
        <v>-0.59</v>
      </c>
      <c r="F181" s="147">
        <f>+'[2]Sch 141Y Rates'!L195</f>
        <v>0</v>
      </c>
      <c r="G181" s="148">
        <f t="shared" si="29"/>
        <v>0</v>
      </c>
    </row>
    <row r="182" spans="1:7" x14ac:dyDescent="0.25">
      <c r="A182" s="136">
        <f t="shared" si="24"/>
        <v>174</v>
      </c>
      <c r="B182" s="154" t="str">
        <f t="shared" si="30"/>
        <v>58E &amp; 59E</v>
      </c>
      <c r="C182" s="7" t="s">
        <v>147</v>
      </c>
      <c r="D182" s="150" t="s">
        <v>176</v>
      </c>
      <c r="E182" s="146">
        <f>+'[2]Sch 141Y Rates'!O196</f>
        <v>-0.63</v>
      </c>
      <c r="F182" s="147">
        <f>+'[2]Sch 141Y Rates'!L196</f>
        <v>0</v>
      </c>
      <c r="G182" s="148">
        <f t="shared" si="29"/>
        <v>0</v>
      </c>
    </row>
    <row r="183" spans="1:7" x14ac:dyDescent="0.25">
      <c r="A183" s="136">
        <f t="shared" si="24"/>
        <v>175</v>
      </c>
      <c r="B183" s="154"/>
      <c r="C183" s="7"/>
      <c r="D183" s="7"/>
      <c r="E183" s="142"/>
      <c r="F183" s="147"/>
      <c r="G183" s="147"/>
    </row>
    <row r="184" spans="1:7" x14ac:dyDescent="0.25">
      <c r="A184" s="136">
        <f t="shared" si="24"/>
        <v>176</v>
      </c>
      <c r="B184" s="141" t="s">
        <v>177</v>
      </c>
      <c r="C184" s="7"/>
      <c r="D184" s="7"/>
      <c r="E184" s="142"/>
      <c r="F184" s="147"/>
      <c r="G184" s="147"/>
    </row>
    <row r="185" spans="1:7" x14ac:dyDescent="0.25">
      <c r="A185" s="136">
        <f t="shared" si="24"/>
        <v>177</v>
      </c>
      <c r="B185" s="154" t="s">
        <v>178</v>
      </c>
      <c r="C185" s="7" t="s">
        <v>179</v>
      </c>
      <c r="D185" s="7"/>
      <c r="E185" s="196">
        <f>+'[2]Sch 141Y Rates'!O199</f>
        <v>-4.2000000000000002E-4</v>
      </c>
      <c r="F185" s="147">
        <f>+'[2]Sch 141Y Rates'!L199</f>
        <v>13087678</v>
      </c>
      <c r="G185" s="148">
        <f>ROUND($F185*E185,0)</f>
        <v>-5497</v>
      </c>
    </row>
    <row r="186" spans="1:7" x14ac:dyDescent="0.25">
      <c r="A186" s="136">
        <f t="shared" si="24"/>
        <v>178</v>
      </c>
      <c r="B186" s="141"/>
      <c r="C186" s="141"/>
      <c r="D186" s="141"/>
      <c r="E186" s="142"/>
      <c r="F186" s="147"/>
      <c r="G186" s="147"/>
    </row>
    <row r="187" spans="1:7" x14ac:dyDescent="0.25">
      <c r="A187" s="136">
        <f t="shared" si="24"/>
        <v>179</v>
      </c>
      <c r="B187" s="141" t="s">
        <v>180</v>
      </c>
      <c r="C187" s="7"/>
      <c r="D187" s="7"/>
      <c r="E187" s="142"/>
      <c r="F187" s="147"/>
      <c r="G187" s="147"/>
    </row>
    <row r="188" spans="1:7" x14ac:dyDescent="0.25">
      <c r="A188" s="136">
        <f t="shared" si="24"/>
        <v>180</v>
      </c>
      <c r="B188" s="143" t="s">
        <v>181</v>
      </c>
      <c r="C188" s="7" t="s">
        <v>182</v>
      </c>
      <c r="D188" s="7">
        <v>0</v>
      </c>
      <c r="E188" s="146">
        <f>+'[2]Sch 141Y Rates'!O202</f>
        <v>-0.25</v>
      </c>
      <c r="F188" s="147">
        <f>+'[2]Sch 141Y Rates'!L202</f>
        <v>7749</v>
      </c>
      <c r="G188" s="148">
        <f>ROUND($F188*E188,0)</f>
        <v>-1937</v>
      </c>
    </row>
    <row r="189" spans="1:7" x14ac:dyDescent="0.25">
      <c r="A189" s="136">
        <f t="shared" si="24"/>
        <v>181</v>
      </c>
      <c r="B189" s="143" t="s">
        <v>183</v>
      </c>
      <c r="C189" s="7" t="s">
        <v>182</v>
      </c>
      <c r="D189" s="7">
        <v>0</v>
      </c>
      <c r="E189" s="146">
        <f>+'[2]Sch 141Y Rates'!O203</f>
        <v>-0.5</v>
      </c>
      <c r="F189" s="147">
        <f>+'[2]Sch 141Y Rates'!L203</f>
        <v>4048</v>
      </c>
      <c r="G189" s="148">
        <f>ROUND($F189*E189,0)</f>
        <v>-2024</v>
      </c>
    </row>
    <row r="190" spans="1:7" x14ac:dyDescent="0.25">
      <c r="A190" s="136">
        <f t="shared" si="24"/>
        <v>182</v>
      </c>
      <c r="B190" s="143"/>
      <c r="C190" s="141"/>
      <c r="D190" s="141"/>
      <c r="E190" s="142"/>
      <c r="F190" s="147"/>
      <c r="G190" s="147"/>
    </row>
    <row r="191" spans="1:7" x14ac:dyDescent="0.25">
      <c r="A191" s="136">
        <f t="shared" si="24"/>
        <v>183</v>
      </c>
      <c r="B191" s="143" t="s">
        <v>184</v>
      </c>
      <c r="C191" s="7" t="s">
        <v>182</v>
      </c>
      <c r="D191" s="7">
        <v>0</v>
      </c>
      <c r="E191" s="146">
        <f>+'[2]Sch 141Y Rates'!O205</f>
        <v>-0.5</v>
      </c>
      <c r="F191" s="147">
        <f>+'[2]Sch 141Y Rates'!L205</f>
        <v>1905</v>
      </c>
      <c r="G191" s="148">
        <f>ROUND($F191*E191,0)</f>
        <v>-953</v>
      </c>
    </row>
    <row r="192" spans="1:7" x14ac:dyDescent="0.25">
      <c r="A192" s="136">
        <f t="shared" si="24"/>
        <v>184</v>
      </c>
      <c r="B192" s="141"/>
      <c r="C192" s="141"/>
      <c r="D192" s="141"/>
      <c r="E192" s="141"/>
      <c r="F192" s="137"/>
      <c r="G192" s="137"/>
    </row>
    <row r="193" spans="1:7" x14ac:dyDescent="0.25">
      <c r="A193" s="136">
        <f t="shared" si="24"/>
        <v>185</v>
      </c>
      <c r="B193" s="156" t="s">
        <v>185</v>
      </c>
      <c r="C193" s="141"/>
      <c r="D193" s="141"/>
      <c r="E193" s="141"/>
      <c r="F193" s="157">
        <f>SUM(F10:F191)</f>
        <v>14509358</v>
      </c>
      <c r="G193" s="148">
        <f>SUM(G10:G191)</f>
        <v>-255603</v>
      </c>
    </row>
    <row r="194" spans="1:7" x14ac:dyDescent="0.25">
      <c r="A194" s="136">
        <f t="shared" si="24"/>
        <v>186</v>
      </c>
      <c r="B194" s="158" t="s">
        <v>443</v>
      </c>
      <c r="C194" s="141"/>
      <c r="D194" s="141"/>
      <c r="E194" s="141"/>
      <c r="F194" s="157">
        <f>+'[2]Sch 141Y Rates'!$L$208</f>
        <v>14509358</v>
      </c>
      <c r="G194" s="157">
        <f>+'+2019 Tax Reform Rate Design'!G27</f>
        <v>-256043.58405649749</v>
      </c>
    </row>
    <row r="195" spans="1:7" x14ac:dyDescent="0.25">
      <c r="A195" s="136">
        <f t="shared" si="24"/>
        <v>187</v>
      </c>
      <c r="B195" s="141" t="s">
        <v>78</v>
      </c>
      <c r="C195" s="141"/>
      <c r="D195" s="141"/>
      <c r="E195" s="141"/>
      <c r="F195" s="157">
        <f>+F193-F194</f>
        <v>0</v>
      </c>
      <c r="G195" s="148">
        <f t="shared" ref="G195" si="31">+G193-G194</f>
        <v>440.58405649749329</v>
      </c>
    </row>
    <row r="196" spans="1:7" x14ac:dyDescent="0.25">
      <c r="A196" s="136"/>
      <c r="B196" s="141"/>
      <c r="C196" s="141"/>
      <c r="D196" s="141"/>
      <c r="E196" s="141"/>
      <c r="F196" s="137"/>
      <c r="G196" s="137"/>
    </row>
    <row r="197" spans="1:7" x14ac:dyDescent="0.25">
      <c r="A197" s="136"/>
      <c r="B197" s="156"/>
      <c r="C197" s="141"/>
      <c r="D197" s="141"/>
      <c r="E197" s="141"/>
      <c r="F197" s="137"/>
      <c r="G197" s="137"/>
    </row>
    <row r="198" spans="1:7" x14ac:dyDescent="0.25">
      <c r="A198" s="136"/>
      <c r="B198" s="156"/>
      <c r="C198" s="141"/>
      <c r="D198" s="141"/>
      <c r="E198" s="141"/>
      <c r="F198" s="137"/>
      <c r="G198" s="137"/>
    </row>
    <row r="199" spans="1:7" x14ac:dyDescent="0.25">
      <c r="A199" s="136"/>
      <c r="B199" s="141"/>
      <c r="C199" s="141"/>
      <c r="D199" s="141"/>
      <c r="E199" s="141"/>
      <c r="F199" s="137"/>
      <c r="G199" s="137"/>
    </row>
    <row r="200" spans="1:7" x14ac:dyDescent="0.25">
      <c r="A200" s="136"/>
      <c r="B200" s="144"/>
      <c r="C200" s="141"/>
      <c r="D200" s="141"/>
      <c r="E200" s="141"/>
      <c r="F200" s="159"/>
      <c r="G200" s="159"/>
    </row>
    <row r="201" spans="1:7" x14ac:dyDescent="0.25">
      <c r="A201" s="136"/>
      <c r="B201" s="141"/>
      <c r="C201" s="141"/>
      <c r="D201" s="141"/>
      <c r="E201" s="141"/>
      <c r="F201" s="159"/>
      <c r="G201" s="159"/>
    </row>
  </sheetData>
  <mergeCells count="5">
    <mergeCell ref="A1:G1"/>
    <mergeCell ref="A2:G2"/>
    <mergeCell ref="A3:G3"/>
    <mergeCell ref="A4:G4"/>
    <mergeCell ref="B5:E5"/>
  </mergeCells>
  <printOptions horizontalCentered="1"/>
  <pageMargins left="0.7" right="0.7" top="0.75" bottom="0.75" header="0.3" footer="0.3"/>
  <pageSetup scale="82" fitToHeight="0" orientation="landscape" r:id="rId1"/>
  <headerFooter alignWithMargins="0">
    <oddHeader>&amp;RAdvice No. 2018-xx
Electric Schedule 1XX Rate Design Workpapers
Page &amp;P of &amp;N</oddHeader>
    <oddFooter>&amp;L&amp;F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workbookViewId="0">
      <pane xSplit="4" ySplit="6" topLeftCell="E7" activePane="bottomRight" state="frozen"/>
      <selection activeCell="E8" sqref="E8"/>
      <selection pane="topRight" activeCell="E8" sqref="E8"/>
      <selection pane="bottomLeft" activeCell="E8" sqref="E8"/>
      <selection pane="bottomRight" activeCell="O29" sqref="O29"/>
    </sheetView>
  </sheetViews>
  <sheetFormatPr defaultColWidth="8.85546875" defaultRowHeight="12.75" x14ac:dyDescent="0.2"/>
  <cols>
    <col min="1" max="1" width="4.28515625" style="63" customWidth="1"/>
    <col min="2" max="2" width="24.28515625" style="63" customWidth="1"/>
    <col min="3" max="3" width="14.5703125" style="63" customWidth="1"/>
    <col min="4" max="4" width="11" style="63" customWidth="1"/>
    <col min="5" max="5" width="8.85546875" style="63"/>
    <col min="6" max="6" width="8.5703125" style="63" customWidth="1"/>
    <col min="7" max="8" width="11.5703125" style="63" customWidth="1"/>
    <col min="9" max="9" width="9.140625" style="63" customWidth="1"/>
    <col min="10" max="10" width="7.5703125" style="63" bestFit="1" customWidth="1"/>
    <col min="11" max="11" width="7.85546875" style="63" customWidth="1"/>
    <col min="12" max="12" width="8.5703125" style="63" customWidth="1"/>
    <col min="13" max="13" width="8.5703125" style="63" bestFit="1" customWidth="1"/>
    <col min="14" max="14" width="8.5703125" style="63" customWidth="1"/>
    <col min="15" max="15" width="11.28515625" style="63" customWidth="1"/>
    <col min="16" max="17" width="9.5703125" style="63" customWidth="1"/>
    <col min="18" max="18" width="10.7109375" style="63" customWidth="1"/>
    <col min="19" max="19" width="10.85546875" style="63" customWidth="1"/>
    <col min="20" max="20" width="10.42578125" style="63" customWidth="1"/>
    <col min="21" max="16384" width="8.85546875" style="63"/>
  </cols>
  <sheetData>
    <row r="1" spans="1:20" ht="15" x14ac:dyDescent="0.25">
      <c r="A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0" ht="15" x14ac:dyDescent="0.25">
      <c r="A2"/>
      <c r="B2" s="81" t="s">
        <v>70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15" x14ac:dyDescent="0.25">
      <c r="A3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5" x14ac:dyDescent="0.25">
      <c r="A5"/>
      <c r="B5"/>
      <c r="C5"/>
      <c r="D5" s="280" t="s">
        <v>69</v>
      </c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/>
      <c r="Q5"/>
      <c r="R5"/>
      <c r="S5"/>
      <c r="T5"/>
    </row>
    <row r="6" spans="1:20" ht="45" x14ac:dyDescent="0.25">
      <c r="A6" s="57" t="s">
        <v>1</v>
      </c>
      <c r="B6" s="57" t="s">
        <v>35</v>
      </c>
      <c r="C6" s="57" t="s">
        <v>68</v>
      </c>
      <c r="D6" s="82" t="s">
        <v>94</v>
      </c>
      <c r="E6" s="82" t="s">
        <v>95</v>
      </c>
      <c r="F6" s="82" t="s">
        <v>96</v>
      </c>
      <c r="G6" s="82" t="s">
        <v>97</v>
      </c>
      <c r="H6" s="82" t="s">
        <v>98</v>
      </c>
      <c r="I6" s="82" t="s">
        <v>99</v>
      </c>
      <c r="J6" s="82" t="s">
        <v>100</v>
      </c>
      <c r="K6" s="82" t="s">
        <v>101</v>
      </c>
      <c r="L6" s="82" t="s">
        <v>298</v>
      </c>
      <c r="M6" s="82" t="s">
        <v>102</v>
      </c>
      <c r="N6" s="82" t="s">
        <v>103</v>
      </c>
      <c r="O6" s="83" t="s">
        <v>104</v>
      </c>
      <c r="P6" s="83" t="s">
        <v>446</v>
      </c>
      <c r="Q6" s="83" t="s">
        <v>447</v>
      </c>
      <c r="R6" s="82" t="s">
        <v>67</v>
      </c>
      <c r="S6" s="82" t="s">
        <v>105</v>
      </c>
      <c r="T6" s="57" t="s">
        <v>66</v>
      </c>
    </row>
    <row r="7" spans="1:20" ht="15" x14ac:dyDescent="0.25">
      <c r="A7" s="79">
        <v>1</v>
      </c>
      <c r="B7" t="s">
        <v>65</v>
      </c>
      <c r="C7" s="64">
        <f>ROUND(+E69,0)</f>
        <v>1223</v>
      </c>
      <c r="D7" s="84">
        <f t="shared" ref="D7:D18" si="0">ROUND($G$31+IF($C7&gt;600,(600*$G$35+(($C7-600)*$G$43)),$C7*$G$35),2)</f>
        <v>126.11</v>
      </c>
      <c r="E7" s="84">
        <f t="shared" ref="E7:E18" si="1">ROUND($C7*$G$55,2)</f>
        <v>0</v>
      </c>
      <c r="F7" s="84">
        <f t="shared" ref="F7:F18" si="2">ROUND($C7*$G$56,2)</f>
        <v>-2.34</v>
      </c>
      <c r="G7" s="84">
        <f t="shared" ref="G7:G18" si="3">ROUND($C7*$G$57,2)</f>
        <v>5.94</v>
      </c>
      <c r="H7" s="84">
        <f t="shared" ref="H7:H18" si="4">ROUND($C7*$G$36,2)</f>
        <v>1.0900000000000001</v>
      </c>
      <c r="I7" s="84">
        <f t="shared" ref="I7:I18" si="5">ROUND($C7*$G$58,2)</f>
        <v>0</v>
      </c>
      <c r="J7" s="84">
        <f t="shared" ref="J7:J18" si="6">ROUND($C7*$G$59,2)</f>
        <v>-0.09</v>
      </c>
      <c r="K7" s="84">
        <f>ROUND($C7*$G$37,2)</f>
        <v>4.25</v>
      </c>
      <c r="L7" s="84">
        <f t="shared" ref="L7:L18" si="7">ROUND($G$32+IF($C7&gt;600,(600*$G$38+(($C7-600)*$G$46)),$C7*$G$38),2)</f>
        <v>0</v>
      </c>
      <c r="M7" s="84">
        <f t="shared" ref="M7:M18" si="8">ROUND($C7*$G$39,2)</f>
        <v>-1.51</v>
      </c>
      <c r="N7" s="84">
        <f t="shared" ref="N7:N18" si="9">ROUND($C7*$G$51,2)</f>
        <v>-9.06</v>
      </c>
      <c r="O7" s="84">
        <f t="shared" ref="O7:O18" si="10">SUM(D7:N7)</f>
        <v>124.39000000000001</v>
      </c>
      <c r="P7" s="84">
        <v>0</v>
      </c>
      <c r="Q7" s="84">
        <f>+ROUND($C7*$H$48,2)</f>
        <v>-1.55</v>
      </c>
      <c r="R7" s="85">
        <f>SUM(P7:Q7)</f>
        <v>-1.55</v>
      </c>
      <c r="S7" s="85">
        <f>+O7+R7</f>
        <v>122.84000000000002</v>
      </c>
      <c r="T7" s="65">
        <f>+R7/O7</f>
        <v>-1.2460808746683816E-2</v>
      </c>
    </row>
    <row r="8" spans="1:20" ht="15" x14ac:dyDescent="0.25">
      <c r="A8" s="79">
        <f>1+A7</f>
        <v>2</v>
      </c>
      <c r="B8" t="s">
        <v>64</v>
      </c>
      <c r="C8" s="64">
        <f t="shared" ref="C8:C18" si="11">ROUND(+E70,0)</f>
        <v>1057</v>
      </c>
      <c r="D8" s="84">
        <f t="shared" si="0"/>
        <v>108.47</v>
      </c>
      <c r="E8" s="84">
        <f t="shared" si="1"/>
        <v>0</v>
      </c>
      <c r="F8" s="84">
        <f t="shared" si="2"/>
        <v>-2.02</v>
      </c>
      <c r="G8" s="84">
        <f t="shared" si="3"/>
        <v>5.14</v>
      </c>
      <c r="H8" s="84">
        <f t="shared" si="4"/>
        <v>0.95</v>
      </c>
      <c r="I8" s="84">
        <f t="shared" si="5"/>
        <v>0</v>
      </c>
      <c r="J8" s="84">
        <f t="shared" si="6"/>
        <v>-0.08</v>
      </c>
      <c r="K8" s="84">
        <f t="shared" ref="K8:K18" si="12">ROUND($C8*$G$37,2)</f>
        <v>3.67</v>
      </c>
      <c r="L8" s="84">
        <f t="shared" si="7"/>
        <v>0</v>
      </c>
      <c r="M8" s="84">
        <f t="shared" si="8"/>
        <v>-1.31</v>
      </c>
      <c r="N8" s="84">
        <f t="shared" si="9"/>
        <v>-7.83</v>
      </c>
      <c r="O8" s="84">
        <f t="shared" si="10"/>
        <v>106.99000000000001</v>
      </c>
      <c r="P8" s="84">
        <v>0</v>
      </c>
      <c r="Q8" s="84">
        <f t="shared" ref="Q8:Q18" si="13">+ROUND($C8*$H$48,2)</f>
        <v>-1.34</v>
      </c>
      <c r="R8" s="85">
        <f t="shared" ref="R8:R18" si="14">SUM(P8:Q8)</f>
        <v>-1.34</v>
      </c>
      <c r="S8" s="85">
        <f t="shared" ref="S8:S18" si="15">+O8+R8</f>
        <v>105.65</v>
      </c>
      <c r="T8" s="65">
        <f t="shared" ref="T8:T22" si="16">+R8/O8</f>
        <v>-1.2524535003271333E-2</v>
      </c>
    </row>
    <row r="9" spans="1:20" ht="15" x14ac:dyDescent="0.25">
      <c r="A9" s="79">
        <f t="shared" ref="A9:A63" si="17">1+A8</f>
        <v>3</v>
      </c>
      <c r="B9" t="s">
        <v>63</v>
      </c>
      <c r="C9" s="64">
        <f t="shared" si="11"/>
        <v>1009</v>
      </c>
      <c r="D9" s="84">
        <f t="shared" si="0"/>
        <v>103.37</v>
      </c>
      <c r="E9" s="84">
        <f t="shared" si="1"/>
        <v>0</v>
      </c>
      <c r="F9" s="84">
        <f t="shared" si="2"/>
        <v>-1.93</v>
      </c>
      <c r="G9" s="84">
        <f t="shared" si="3"/>
        <v>4.9000000000000004</v>
      </c>
      <c r="H9" s="84">
        <f t="shared" si="4"/>
        <v>0.9</v>
      </c>
      <c r="I9" s="84">
        <f t="shared" si="5"/>
        <v>0</v>
      </c>
      <c r="J9" s="84">
        <f t="shared" si="6"/>
        <v>-7.0000000000000007E-2</v>
      </c>
      <c r="K9" s="84">
        <f t="shared" si="12"/>
        <v>3.5</v>
      </c>
      <c r="L9" s="84">
        <f t="shared" si="7"/>
        <v>0</v>
      </c>
      <c r="M9" s="84">
        <f t="shared" si="8"/>
        <v>-1.25</v>
      </c>
      <c r="N9" s="84">
        <f t="shared" si="9"/>
        <v>-7.47</v>
      </c>
      <c r="O9" s="84">
        <f t="shared" si="10"/>
        <v>101.95000000000002</v>
      </c>
      <c r="P9" s="84">
        <v>0</v>
      </c>
      <c r="Q9" s="84">
        <f t="shared" si="13"/>
        <v>-1.28</v>
      </c>
      <c r="R9" s="85">
        <f t="shared" si="14"/>
        <v>-1.28</v>
      </c>
      <c r="S9" s="85">
        <f t="shared" si="15"/>
        <v>100.67000000000002</v>
      </c>
      <c r="T9" s="65">
        <f t="shared" si="16"/>
        <v>-1.2555174104953406E-2</v>
      </c>
    </row>
    <row r="10" spans="1:20" ht="15" x14ac:dyDescent="0.25">
      <c r="A10" s="79">
        <f t="shared" si="17"/>
        <v>4</v>
      </c>
      <c r="B10" t="s">
        <v>62</v>
      </c>
      <c r="C10" s="64">
        <f t="shared" si="11"/>
        <v>831</v>
      </c>
      <c r="D10" s="84">
        <f t="shared" si="0"/>
        <v>84.45</v>
      </c>
      <c r="E10" s="84">
        <f t="shared" si="1"/>
        <v>0</v>
      </c>
      <c r="F10" s="84">
        <f t="shared" si="2"/>
        <v>-1.59</v>
      </c>
      <c r="G10" s="84">
        <f t="shared" si="3"/>
        <v>4.04</v>
      </c>
      <c r="H10" s="84">
        <f t="shared" si="4"/>
        <v>0.74</v>
      </c>
      <c r="I10" s="84">
        <f t="shared" si="5"/>
        <v>0</v>
      </c>
      <c r="J10" s="84">
        <f t="shared" si="6"/>
        <v>-0.06</v>
      </c>
      <c r="K10" s="84">
        <f t="shared" si="12"/>
        <v>2.89</v>
      </c>
      <c r="L10" s="84">
        <f t="shared" si="7"/>
        <v>0</v>
      </c>
      <c r="M10" s="84">
        <f t="shared" si="8"/>
        <v>-1.03</v>
      </c>
      <c r="N10" s="84">
        <f t="shared" si="9"/>
        <v>-6.15</v>
      </c>
      <c r="O10" s="84">
        <f t="shared" si="10"/>
        <v>83.289999999999992</v>
      </c>
      <c r="P10" s="84">
        <v>0</v>
      </c>
      <c r="Q10" s="84">
        <f t="shared" si="13"/>
        <v>-1.06</v>
      </c>
      <c r="R10" s="85">
        <f t="shared" si="14"/>
        <v>-1.06</v>
      </c>
      <c r="S10" s="85">
        <f t="shared" si="15"/>
        <v>82.22999999999999</v>
      </c>
      <c r="T10" s="65">
        <f t="shared" si="16"/>
        <v>-1.2726617841277467E-2</v>
      </c>
    </row>
    <row r="11" spans="1:20" ht="15" x14ac:dyDescent="0.25">
      <c r="A11" s="79">
        <f t="shared" si="17"/>
        <v>5</v>
      </c>
      <c r="B11" t="s">
        <v>61</v>
      </c>
      <c r="C11" s="64">
        <f t="shared" si="11"/>
        <v>725</v>
      </c>
      <c r="D11" s="84">
        <f t="shared" si="0"/>
        <v>73.180000000000007</v>
      </c>
      <c r="E11" s="84">
        <f t="shared" si="1"/>
        <v>0</v>
      </c>
      <c r="F11" s="84">
        <f t="shared" si="2"/>
        <v>-1.39</v>
      </c>
      <c r="G11" s="84">
        <f t="shared" si="3"/>
        <v>3.52</v>
      </c>
      <c r="H11" s="84">
        <f t="shared" si="4"/>
        <v>0.65</v>
      </c>
      <c r="I11" s="84">
        <f t="shared" si="5"/>
        <v>0</v>
      </c>
      <c r="J11" s="84">
        <f t="shared" si="6"/>
        <v>-0.05</v>
      </c>
      <c r="K11" s="84">
        <f t="shared" si="12"/>
        <v>2.52</v>
      </c>
      <c r="L11" s="84">
        <f t="shared" si="7"/>
        <v>0</v>
      </c>
      <c r="M11" s="84">
        <f t="shared" si="8"/>
        <v>-0.9</v>
      </c>
      <c r="N11" s="84">
        <f t="shared" si="9"/>
        <v>-5.37</v>
      </c>
      <c r="O11" s="84">
        <f t="shared" si="10"/>
        <v>72.16</v>
      </c>
      <c r="P11" s="84">
        <v>0</v>
      </c>
      <c r="Q11" s="84">
        <f t="shared" si="13"/>
        <v>-0.92</v>
      </c>
      <c r="R11" s="85">
        <f t="shared" si="14"/>
        <v>-0.92</v>
      </c>
      <c r="S11" s="85">
        <f t="shared" si="15"/>
        <v>71.239999999999995</v>
      </c>
      <c r="T11" s="65">
        <f t="shared" si="16"/>
        <v>-1.2749445676274946E-2</v>
      </c>
    </row>
    <row r="12" spans="1:20" ht="15" x14ac:dyDescent="0.25">
      <c r="A12" s="79">
        <f t="shared" si="17"/>
        <v>6</v>
      </c>
      <c r="B12" t="s">
        <v>60</v>
      </c>
      <c r="C12" s="64">
        <f t="shared" si="11"/>
        <v>666</v>
      </c>
      <c r="D12" s="84">
        <f t="shared" si="0"/>
        <v>66.91</v>
      </c>
      <c r="E12" s="84">
        <f t="shared" si="1"/>
        <v>0</v>
      </c>
      <c r="F12" s="84">
        <f t="shared" si="2"/>
        <v>-1.27</v>
      </c>
      <c r="G12" s="84">
        <f t="shared" si="3"/>
        <v>3.24</v>
      </c>
      <c r="H12" s="84">
        <f t="shared" si="4"/>
        <v>0.6</v>
      </c>
      <c r="I12" s="84">
        <f t="shared" si="5"/>
        <v>0</v>
      </c>
      <c r="J12" s="84">
        <f t="shared" si="6"/>
        <v>-0.05</v>
      </c>
      <c r="K12" s="84">
        <f t="shared" si="12"/>
        <v>2.31</v>
      </c>
      <c r="L12" s="84">
        <f t="shared" si="7"/>
        <v>0</v>
      </c>
      <c r="M12" s="84">
        <f t="shared" si="8"/>
        <v>-0.82</v>
      </c>
      <c r="N12" s="84">
        <f t="shared" si="9"/>
        <v>-4.93</v>
      </c>
      <c r="O12" s="84">
        <f t="shared" si="10"/>
        <v>65.990000000000009</v>
      </c>
      <c r="P12" s="84">
        <v>0</v>
      </c>
      <c r="Q12" s="84">
        <f t="shared" si="13"/>
        <v>-0.85</v>
      </c>
      <c r="R12" s="85">
        <f t="shared" si="14"/>
        <v>-0.85</v>
      </c>
      <c r="S12" s="85">
        <f t="shared" si="15"/>
        <v>65.140000000000015</v>
      </c>
      <c r="T12" s="65">
        <f t="shared" si="16"/>
        <v>-1.2880739505985754E-2</v>
      </c>
    </row>
    <row r="13" spans="1:20" ht="15" x14ac:dyDescent="0.25">
      <c r="A13" s="79">
        <f t="shared" si="17"/>
        <v>7</v>
      </c>
      <c r="B13" t="s">
        <v>59</v>
      </c>
      <c r="C13" s="64">
        <f t="shared" si="11"/>
        <v>667</v>
      </c>
      <c r="D13" s="84">
        <f t="shared" si="0"/>
        <v>67.010000000000005</v>
      </c>
      <c r="E13" s="84">
        <f t="shared" si="1"/>
        <v>0</v>
      </c>
      <c r="F13" s="84">
        <f t="shared" si="2"/>
        <v>-1.28</v>
      </c>
      <c r="G13" s="84">
        <f t="shared" si="3"/>
        <v>3.24</v>
      </c>
      <c r="H13" s="84">
        <f t="shared" si="4"/>
        <v>0.6</v>
      </c>
      <c r="I13" s="84">
        <f t="shared" si="5"/>
        <v>0</v>
      </c>
      <c r="J13" s="84">
        <f t="shared" si="6"/>
        <v>-0.05</v>
      </c>
      <c r="K13" s="84">
        <f t="shared" si="12"/>
        <v>2.3199999999999998</v>
      </c>
      <c r="L13" s="84">
        <f t="shared" si="7"/>
        <v>0</v>
      </c>
      <c r="M13" s="84">
        <f t="shared" si="8"/>
        <v>-0.83</v>
      </c>
      <c r="N13" s="84">
        <f t="shared" si="9"/>
        <v>-4.9400000000000004</v>
      </c>
      <c r="O13" s="84">
        <f t="shared" si="10"/>
        <v>66.069999999999993</v>
      </c>
      <c r="P13" s="84">
        <v>0</v>
      </c>
      <c r="Q13" s="84">
        <f t="shared" si="13"/>
        <v>-0.85</v>
      </c>
      <c r="R13" s="85">
        <f t="shared" si="14"/>
        <v>-0.85</v>
      </c>
      <c r="S13" s="85">
        <f t="shared" si="15"/>
        <v>65.22</v>
      </c>
      <c r="T13" s="65">
        <f t="shared" si="16"/>
        <v>-1.2865143030119571E-2</v>
      </c>
    </row>
    <row r="14" spans="1:20" ht="15" x14ac:dyDescent="0.25">
      <c r="A14" s="79">
        <f t="shared" si="17"/>
        <v>8</v>
      </c>
      <c r="B14" t="s">
        <v>58</v>
      </c>
      <c r="C14" s="64">
        <f t="shared" si="11"/>
        <v>650</v>
      </c>
      <c r="D14" s="84">
        <f t="shared" si="0"/>
        <v>65.209999999999994</v>
      </c>
      <c r="E14" s="84">
        <f t="shared" si="1"/>
        <v>0</v>
      </c>
      <c r="F14" s="84">
        <f t="shared" si="2"/>
        <v>-1.24</v>
      </c>
      <c r="G14" s="84">
        <f t="shared" si="3"/>
        <v>3.16</v>
      </c>
      <c r="H14" s="84">
        <f t="shared" si="4"/>
        <v>0.57999999999999996</v>
      </c>
      <c r="I14" s="84">
        <f t="shared" si="5"/>
        <v>0</v>
      </c>
      <c r="J14" s="84">
        <f t="shared" si="6"/>
        <v>-0.05</v>
      </c>
      <c r="K14" s="84">
        <f t="shared" si="12"/>
        <v>2.2599999999999998</v>
      </c>
      <c r="L14" s="84">
        <f t="shared" si="7"/>
        <v>0</v>
      </c>
      <c r="M14" s="84">
        <f t="shared" si="8"/>
        <v>-0.8</v>
      </c>
      <c r="N14" s="84">
        <f t="shared" si="9"/>
        <v>-4.8099999999999996</v>
      </c>
      <c r="O14" s="84">
        <f t="shared" si="10"/>
        <v>64.31</v>
      </c>
      <c r="P14" s="84">
        <v>0</v>
      </c>
      <c r="Q14" s="84">
        <f t="shared" si="13"/>
        <v>-0.83</v>
      </c>
      <c r="R14" s="85">
        <f t="shared" si="14"/>
        <v>-0.83</v>
      </c>
      <c r="S14" s="85">
        <f t="shared" si="15"/>
        <v>63.480000000000004</v>
      </c>
      <c r="T14" s="65">
        <f t="shared" si="16"/>
        <v>-1.2906235422173845E-2</v>
      </c>
    </row>
    <row r="15" spans="1:20" ht="15" x14ac:dyDescent="0.25">
      <c r="A15" s="79">
        <f t="shared" si="17"/>
        <v>9</v>
      </c>
      <c r="B15" t="s">
        <v>57</v>
      </c>
      <c r="C15" s="64">
        <f t="shared" si="11"/>
        <v>652</v>
      </c>
      <c r="D15" s="84">
        <f t="shared" si="0"/>
        <v>65.42</v>
      </c>
      <c r="E15" s="84">
        <f t="shared" si="1"/>
        <v>0</v>
      </c>
      <c r="F15" s="84">
        <f t="shared" si="2"/>
        <v>-1.25</v>
      </c>
      <c r="G15" s="84">
        <f t="shared" si="3"/>
        <v>3.17</v>
      </c>
      <c r="H15" s="84">
        <f t="shared" si="4"/>
        <v>0.57999999999999996</v>
      </c>
      <c r="I15" s="84">
        <f t="shared" si="5"/>
        <v>0</v>
      </c>
      <c r="J15" s="84">
        <f t="shared" si="6"/>
        <v>-0.05</v>
      </c>
      <c r="K15" s="84">
        <f t="shared" si="12"/>
        <v>2.2599999999999998</v>
      </c>
      <c r="L15" s="84">
        <f t="shared" si="7"/>
        <v>0</v>
      </c>
      <c r="M15" s="84">
        <f t="shared" si="8"/>
        <v>-0.81</v>
      </c>
      <c r="N15" s="84">
        <f t="shared" si="9"/>
        <v>-4.83</v>
      </c>
      <c r="O15" s="84">
        <f t="shared" si="10"/>
        <v>64.490000000000009</v>
      </c>
      <c r="P15" s="84">
        <v>0</v>
      </c>
      <c r="Q15" s="84">
        <f t="shared" si="13"/>
        <v>-0.83</v>
      </c>
      <c r="R15" s="85">
        <f t="shared" si="14"/>
        <v>-0.83</v>
      </c>
      <c r="S15" s="85">
        <f t="shared" si="15"/>
        <v>63.660000000000011</v>
      </c>
      <c r="T15" s="65">
        <f t="shared" si="16"/>
        <v>-1.2870212436036593E-2</v>
      </c>
    </row>
    <row r="16" spans="1:20" ht="15" x14ac:dyDescent="0.25">
      <c r="A16" s="79">
        <f t="shared" si="17"/>
        <v>10</v>
      </c>
      <c r="B16" t="s">
        <v>56</v>
      </c>
      <c r="C16" s="64">
        <f t="shared" si="11"/>
        <v>812</v>
      </c>
      <c r="D16" s="84">
        <f t="shared" si="0"/>
        <v>82.43</v>
      </c>
      <c r="E16" s="84">
        <f t="shared" si="1"/>
        <v>0</v>
      </c>
      <c r="F16" s="84">
        <f t="shared" si="2"/>
        <v>-1.55</v>
      </c>
      <c r="G16" s="84">
        <f t="shared" si="3"/>
        <v>3.95</v>
      </c>
      <c r="H16" s="84">
        <f t="shared" si="4"/>
        <v>0.73</v>
      </c>
      <c r="I16" s="84">
        <f t="shared" si="5"/>
        <v>0</v>
      </c>
      <c r="J16" s="84">
        <f t="shared" si="6"/>
        <v>-0.06</v>
      </c>
      <c r="K16" s="84">
        <f t="shared" si="12"/>
        <v>2.82</v>
      </c>
      <c r="L16" s="84">
        <f t="shared" si="7"/>
        <v>0</v>
      </c>
      <c r="M16" s="84">
        <f t="shared" si="8"/>
        <v>-1</v>
      </c>
      <c r="N16" s="84">
        <f t="shared" si="9"/>
        <v>-6.01</v>
      </c>
      <c r="O16" s="84">
        <f t="shared" si="10"/>
        <v>81.31</v>
      </c>
      <c r="P16" s="84">
        <v>0</v>
      </c>
      <c r="Q16" s="84">
        <f t="shared" si="13"/>
        <v>-1.03</v>
      </c>
      <c r="R16" s="85">
        <f t="shared" si="14"/>
        <v>-1.03</v>
      </c>
      <c r="S16" s="85">
        <f t="shared" si="15"/>
        <v>80.28</v>
      </c>
      <c r="T16" s="65">
        <f t="shared" si="16"/>
        <v>-1.2667568564752183E-2</v>
      </c>
    </row>
    <row r="17" spans="1:20" ht="15" x14ac:dyDescent="0.25">
      <c r="A17" s="79">
        <f t="shared" si="17"/>
        <v>11</v>
      </c>
      <c r="B17" t="s">
        <v>55</v>
      </c>
      <c r="C17" s="64">
        <f t="shared" si="11"/>
        <v>1001</v>
      </c>
      <c r="D17" s="84">
        <f t="shared" si="0"/>
        <v>102.52</v>
      </c>
      <c r="E17" s="84">
        <f t="shared" si="1"/>
        <v>0</v>
      </c>
      <c r="F17" s="84">
        <f t="shared" si="2"/>
        <v>-1.91</v>
      </c>
      <c r="G17" s="84">
        <f t="shared" si="3"/>
        <v>4.8600000000000003</v>
      </c>
      <c r="H17" s="84">
        <f t="shared" si="4"/>
        <v>0.9</v>
      </c>
      <c r="I17" s="84">
        <f t="shared" si="5"/>
        <v>0</v>
      </c>
      <c r="J17" s="84">
        <f t="shared" si="6"/>
        <v>-7.0000000000000007E-2</v>
      </c>
      <c r="K17" s="84">
        <f t="shared" si="12"/>
        <v>3.48</v>
      </c>
      <c r="L17" s="84">
        <f t="shared" si="7"/>
        <v>0</v>
      </c>
      <c r="M17" s="84">
        <f t="shared" si="8"/>
        <v>-1.24</v>
      </c>
      <c r="N17" s="84">
        <f t="shared" si="9"/>
        <v>-7.41</v>
      </c>
      <c r="O17" s="84">
        <f t="shared" si="10"/>
        <v>101.13000000000002</v>
      </c>
      <c r="P17" s="84">
        <v>0</v>
      </c>
      <c r="Q17" s="84">
        <f t="shared" si="13"/>
        <v>-1.27</v>
      </c>
      <c r="R17" s="85">
        <f t="shared" si="14"/>
        <v>-1.27</v>
      </c>
      <c r="S17" s="85">
        <f t="shared" si="15"/>
        <v>99.860000000000028</v>
      </c>
      <c r="T17" s="65">
        <f t="shared" si="16"/>
        <v>-1.2558093542964499E-2</v>
      </c>
    </row>
    <row r="18" spans="1:20" ht="15" x14ac:dyDescent="0.25">
      <c r="A18" s="79">
        <f t="shared" si="17"/>
        <v>12</v>
      </c>
      <c r="B18" t="s">
        <v>54</v>
      </c>
      <c r="C18" s="64">
        <f t="shared" si="11"/>
        <v>1264</v>
      </c>
      <c r="D18" s="84">
        <f t="shared" si="0"/>
        <v>130.47</v>
      </c>
      <c r="E18" s="84">
        <f t="shared" si="1"/>
        <v>0</v>
      </c>
      <c r="F18" s="84">
        <f t="shared" si="2"/>
        <v>-2.42</v>
      </c>
      <c r="G18" s="84">
        <f t="shared" si="3"/>
        <v>6.14</v>
      </c>
      <c r="H18" s="84">
        <f t="shared" si="4"/>
        <v>1.1299999999999999</v>
      </c>
      <c r="I18" s="84">
        <f t="shared" si="5"/>
        <v>0</v>
      </c>
      <c r="J18" s="84">
        <f t="shared" si="6"/>
        <v>-0.09</v>
      </c>
      <c r="K18" s="84">
        <f t="shared" si="12"/>
        <v>4.3899999999999997</v>
      </c>
      <c r="L18" s="84">
        <f t="shared" si="7"/>
        <v>0</v>
      </c>
      <c r="M18" s="84">
        <f t="shared" si="8"/>
        <v>-1.56</v>
      </c>
      <c r="N18" s="84">
        <f t="shared" si="9"/>
        <v>-9.36</v>
      </c>
      <c r="O18" s="84">
        <f t="shared" si="10"/>
        <v>128.69999999999999</v>
      </c>
      <c r="P18" s="84">
        <v>0</v>
      </c>
      <c r="Q18" s="84">
        <f t="shared" si="13"/>
        <v>-1.61</v>
      </c>
      <c r="R18" s="85">
        <f t="shared" si="14"/>
        <v>-1.61</v>
      </c>
      <c r="S18" s="85">
        <f t="shared" si="15"/>
        <v>127.08999999999999</v>
      </c>
      <c r="T18" s="65">
        <f t="shared" si="16"/>
        <v>-1.2509712509712511E-2</v>
      </c>
    </row>
    <row r="19" spans="1:20" ht="15" x14ac:dyDescent="0.25">
      <c r="A19" s="79">
        <f t="shared" si="17"/>
        <v>13</v>
      </c>
      <c r="B19"/>
      <c r="C19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4"/>
      <c r="P19" s="84"/>
      <c r="Q19" s="84"/>
      <c r="R19" s="85"/>
      <c r="S19" s="85"/>
      <c r="T19" s="65"/>
    </row>
    <row r="20" spans="1:20" ht="15.75" thickBot="1" x14ac:dyDescent="0.3">
      <c r="A20" s="79">
        <f t="shared" si="17"/>
        <v>14</v>
      </c>
      <c r="B20" s="76" t="s">
        <v>53</v>
      </c>
      <c r="C20" s="86">
        <f>SUM(C7:C19)</f>
        <v>10557</v>
      </c>
      <c r="D20" s="87">
        <f>SUM(D7:D19)</f>
        <v>1075.55</v>
      </c>
      <c r="E20" s="87">
        <f>SUM(E7:E19)</f>
        <v>0</v>
      </c>
      <c r="F20" s="87">
        <f>SUM(F7:F19)</f>
        <v>-20.189999999999998</v>
      </c>
      <c r="G20" s="87">
        <f t="shared" ref="G20:S20" si="18">SUM(G7:G19)</f>
        <v>51.300000000000011</v>
      </c>
      <c r="H20" s="87">
        <f t="shared" si="18"/>
        <v>9.4499999999999993</v>
      </c>
      <c r="I20" s="87">
        <f t="shared" si="18"/>
        <v>0</v>
      </c>
      <c r="J20" s="87">
        <f t="shared" si="18"/>
        <v>-0.76999999999999991</v>
      </c>
      <c r="K20" s="87">
        <f t="shared" si="18"/>
        <v>36.669999999999995</v>
      </c>
      <c r="L20" s="87">
        <f t="shared" si="18"/>
        <v>0</v>
      </c>
      <c r="M20" s="87">
        <f t="shared" si="18"/>
        <v>-13.060000000000002</v>
      </c>
      <c r="N20" s="87">
        <f t="shared" si="18"/>
        <v>-78.169999999999987</v>
      </c>
      <c r="O20" s="88">
        <f t="shared" si="18"/>
        <v>1060.7799999999997</v>
      </c>
      <c r="P20" s="88">
        <f t="shared" si="18"/>
        <v>0</v>
      </c>
      <c r="Q20" s="88">
        <f t="shared" si="18"/>
        <v>-13.419999999999998</v>
      </c>
      <c r="R20" s="87">
        <f t="shared" si="18"/>
        <v>-13.419999999999998</v>
      </c>
      <c r="S20" s="87">
        <f t="shared" si="18"/>
        <v>1047.3599999999999</v>
      </c>
      <c r="T20" s="89">
        <f t="shared" si="16"/>
        <v>-1.2651068081977414E-2</v>
      </c>
    </row>
    <row r="21" spans="1:20" ht="15.75" thickTop="1" x14ac:dyDescent="0.25">
      <c r="A21" s="79">
        <f t="shared" si="17"/>
        <v>15</v>
      </c>
      <c r="B21" s="76"/>
      <c r="C21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  <c r="P21" s="91"/>
      <c r="Q21" s="91"/>
      <c r="R21" s="90"/>
      <c r="S21" s="90"/>
      <c r="T21" s="92"/>
    </row>
    <row r="22" spans="1:20" ht="15.75" thickBot="1" x14ac:dyDescent="0.3">
      <c r="A22" s="79">
        <f t="shared" si="17"/>
        <v>16</v>
      </c>
      <c r="B22" s="76" t="s">
        <v>186</v>
      </c>
      <c r="C22" s="86">
        <f>ROUND(+C20/12,-2)</f>
        <v>900</v>
      </c>
      <c r="D22" s="87">
        <f>+D20/12</f>
        <v>89.629166666666663</v>
      </c>
      <c r="E22" s="87">
        <f>+E20/12</f>
        <v>0</v>
      </c>
      <c r="F22" s="87">
        <f>+F20/12</f>
        <v>-1.6824999999999999</v>
      </c>
      <c r="G22" s="87">
        <f t="shared" ref="G22:S22" si="19">+G20/12</f>
        <v>4.2750000000000012</v>
      </c>
      <c r="H22" s="87">
        <f t="shared" si="19"/>
        <v>0.78749999999999998</v>
      </c>
      <c r="I22" s="87">
        <f t="shared" si="19"/>
        <v>0</v>
      </c>
      <c r="J22" s="87">
        <f t="shared" si="19"/>
        <v>-6.4166666666666664E-2</v>
      </c>
      <c r="K22" s="87">
        <f t="shared" si="19"/>
        <v>3.0558333333333327</v>
      </c>
      <c r="L22" s="87">
        <f t="shared" si="19"/>
        <v>0</v>
      </c>
      <c r="M22" s="87">
        <f t="shared" si="19"/>
        <v>-1.0883333333333336</v>
      </c>
      <c r="N22" s="87">
        <f t="shared" si="19"/>
        <v>-6.5141666666666653</v>
      </c>
      <c r="O22" s="88">
        <f t="shared" si="19"/>
        <v>88.398333333333312</v>
      </c>
      <c r="P22" s="88">
        <f t="shared" si="19"/>
        <v>0</v>
      </c>
      <c r="Q22" s="88">
        <f t="shared" si="19"/>
        <v>-1.1183333333333332</v>
      </c>
      <c r="R22" s="87">
        <f t="shared" si="19"/>
        <v>-1.1183333333333332</v>
      </c>
      <c r="S22" s="87">
        <f t="shared" si="19"/>
        <v>87.279999999999987</v>
      </c>
      <c r="T22" s="89">
        <f t="shared" si="16"/>
        <v>-1.2651068081977414E-2</v>
      </c>
    </row>
    <row r="23" spans="1:20" ht="15.75" thickTop="1" x14ac:dyDescent="0.25">
      <c r="A23" s="79">
        <f t="shared" si="17"/>
        <v>17</v>
      </c>
      <c r="B23"/>
      <c r="C23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  <c r="P23" s="91"/>
      <c r="Q23" s="91"/>
      <c r="R23" s="90"/>
      <c r="S23" s="90"/>
      <c r="T23"/>
    </row>
    <row r="24" spans="1:20" ht="15" x14ac:dyDescent="0.25">
      <c r="A24" s="79">
        <f t="shared" si="17"/>
        <v>18</v>
      </c>
      <c r="B24" s="62" t="s">
        <v>52</v>
      </c>
      <c r="C24" s="62"/>
      <c r="D24" s="91">
        <f>+D20/$C$20*100</f>
        <v>10.188026901581889</v>
      </c>
      <c r="E24" s="91">
        <f t="shared" ref="E24:S24" si="20">+E20/$C$20*100</f>
        <v>0</v>
      </c>
      <c r="F24" s="91">
        <f t="shared" si="20"/>
        <v>-0.19124751349815286</v>
      </c>
      <c r="G24" s="91">
        <f t="shared" si="20"/>
        <v>0.48593350383631723</v>
      </c>
      <c r="H24" s="91">
        <f t="shared" si="20"/>
        <v>8.9514066496163669E-2</v>
      </c>
      <c r="I24" s="91">
        <f t="shared" si="20"/>
        <v>0</v>
      </c>
      <c r="J24" s="91">
        <f t="shared" si="20"/>
        <v>-7.2937387515392624E-3</v>
      </c>
      <c r="K24" s="91">
        <f t="shared" si="20"/>
        <v>0.34735246755707111</v>
      </c>
      <c r="L24" s="91">
        <f t="shared" si="20"/>
        <v>0</v>
      </c>
      <c r="M24" s="91">
        <f t="shared" si="20"/>
        <v>-0.12370938713649714</v>
      </c>
      <c r="N24" s="91">
        <f t="shared" si="20"/>
        <v>-0.74045656910107027</v>
      </c>
      <c r="O24" s="91">
        <f t="shared" si="20"/>
        <v>10.048119730984178</v>
      </c>
      <c r="P24" s="91">
        <f t="shared" si="20"/>
        <v>0</v>
      </c>
      <c r="Q24" s="91">
        <f>+Q20/$C$20*100</f>
        <v>-0.12711944681254142</v>
      </c>
      <c r="R24" s="91">
        <f t="shared" si="20"/>
        <v>-0.12711944681254142</v>
      </c>
      <c r="S24" s="91">
        <f t="shared" si="20"/>
        <v>9.9210002841716385</v>
      </c>
      <c r="T24"/>
    </row>
    <row r="25" spans="1:20" ht="15" x14ac:dyDescent="0.25">
      <c r="A25" s="79">
        <f t="shared" si="17"/>
        <v>19</v>
      </c>
      <c r="B25"/>
      <c r="C25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  <c r="P25" s="91"/>
      <c r="Q25" s="91"/>
      <c r="R25" s="90"/>
      <c r="S25" s="90"/>
      <c r="T25"/>
    </row>
    <row r="26" spans="1:20" ht="15.75" thickBot="1" x14ac:dyDescent="0.3">
      <c r="A26" s="79">
        <f t="shared" si="17"/>
        <v>20</v>
      </c>
      <c r="B26" s="80" t="s">
        <v>106</v>
      </c>
      <c r="C26" s="86">
        <v>1000</v>
      </c>
      <c r="D26" s="87">
        <f>ROUND($G$31+IF($C26&gt;600,(600*$G$35+(($C26-600)*$G$43)),$C26*$G$35),2)</f>
        <v>102.41</v>
      </c>
      <c r="E26" s="87">
        <f>ROUND($C26*$G$55,2)</f>
        <v>0</v>
      </c>
      <c r="F26" s="87">
        <f>ROUND($C26*$G$56,2)</f>
        <v>-1.91</v>
      </c>
      <c r="G26" s="87">
        <f>ROUND($C26*$G$57,2)</f>
        <v>4.8600000000000003</v>
      </c>
      <c r="H26" s="87">
        <f>ROUND($C26*$G$36,2)</f>
        <v>0.9</v>
      </c>
      <c r="I26" s="87">
        <f>ROUND($C26*$G$58,2)</f>
        <v>0</v>
      </c>
      <c r="J26" s="87">
        <f>ROUND($C26*$G$59,2)</f>
        <v>-7.0000000000000007E-2</v>
      </c>
      <c r="K26" s="87">
        <f>ROUND($C26*$G$37,2)</f>
        <v>3.47</v>
      </c>
      <c r="L26" s="87">
        <f>ROUND($G$32+IF($C26&gt;600,(600*$G$38+(($C26-600)*$G$46)),$C26*$G$35),2)</f>
        <v>0</v>
      </c>
      <c r="M26" s="87">
        <f>ROUND($C26*$G$39,2)</f>
        <v>-1.24</v>
      </c>
      <c r="N26" s="87">
        <f>ROUND($C26*$G$51,2)</f>
        <v>-7.41</v>
      </c>
      <c r="O26" s="88">
        <f>SUM(D26:N26)</f>
        <v>101.01000000000002</v>
      </c>
      <c r="P26" s="88">
        <v>0</v>
      </c>
      <c r="Q26" s="88">
        <f>+ROUND($C26*$H$48,2)</f>
        <v>-1.27</v>
      </c>
      <c r="R26" s="87">
        <f>SUM(P26:Q26)</f>
        <v>-1.27</v>
      </c>
      <c r="S26" s="87">
        <f>+O26+R26</f>
        <v>99.740000000000023</v>
      </c>
      <c r="T26" s="89">
        <f>+R26/O26</f>
        <v>-1.2573012573012571E-2</v>
      </c>
    </row>
    <row r="27" spans="1:20" ht="15.75" thickTop="1" x14ac:dyDescent="0.25">
      <c r="A27" s="79">
        <f t="shared" si="17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x14ac:dyDescent="0.25">
      <c r="A28" s="79">
        <f t="shared" si="17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60" x14ac:dyDescent="0.25">
      <c r="A29" s="79">
        <f t="shared" si="17"/>
        <v>23</v>
      </c>
      <c r="B29" s="93" t="s">
        <v>107</v>
      </c>
      <c r="C29" s="77"/>
      <c r="D29" s="77"/>
      <c r="E29" s="77"/>
      <c r="F29"/>
      <c r="G29" s="94" t="s">
        <v>294</v>
      </c>
      <c r="H29" s="95" t="s">
        <v>295</v>
      </c>
      <c r="I29" s="66"/>
      <c r="J29" s="66"/>
      <c r="K29" s="66"/>
      <c r="L29" s="66"/>
      <c r="M29" s="66"/>
      <c r="N29" s="66"/>
      <c r="O29"/>
      <c r="P29"/>
      <c r="Q29"/>
      <c r="R29"/>
      <c r="S29"/>
      <c r="T29"/>
    </row>
    <row r="30" spans="1:20" ht="15" x14ac:dyDescent="0.25">
      <c r="A30" s="79">
        <f t="shared" si="17"/>
        <v>24</v>
      </c>
      <c r="B30" s="274" t="s">
        <v>51</v>
      </c>
      <c r="C30" s="274"/>
      <c r="D30" s="274"/>
      <c r="E30" s="274"/>
      <c r="F30"/>
      <c r="G30" s="96"/>
      <c r="H30" s="97"/>
      <c r="I30" s="66"/>
      <c r="J30" s="66"/>
      <c r="K30" s="66"/>
      <c r="L30" s="66"/>
      <c r="M30" s="66"/>
      <c r="N30" s="66"/>
      <c r="O30"/>
      <c r="P30"/>
      <c r="Q30"/>
      <c r="R30"/>
      <c r="S30"/>
      <c r="T30"/>
    </row>
    <row r="31" spans="1:20" ht="15" x14ac:dyDescent="0.25">
      <c r="A31" s="79">
        <f t="shared" si="17"/>
        <v>25</v>
      </c>
      <c r="B31" s="277" t="s">
        <v>108</v>
      </c>
      <c r="C31" s="277"/>
      <c r="D31" s="277"/>
      <c r="E31" s="277"/>
      <c r="F31"/>
      <c r="G31" s="119">
        <v>7.49</v>
      </c>
      <c r="H31" s="120">
        <f>+G31</f>
        <v>7.49</v>
      </c>
      <c r="I31" s="66" t="s">
        <v>39</v>
      </c>
      <c r="J31" s="66"/>
      <c r="K31" s="66"/>
      <c r="L31" s="66"/>
      <c r="M31" s="66"/>
      <c r="N31" s="66"/>
      <c r="O31"/>
      <c r="P31"/>
      <c r="Q31"/>
      <c r="R31"/>
      <c r="S31"/>
      <c r="T31"/>
    </row>
    <row r="32" spans="1:20" ht="15" x14ac:dyDescent="0.25">
      <c r="A32" s="79">
        <f t="shared" si="17"/>
        <v>26</v>
      </c>
      <c r="B32" s="277" t="s">
        <v>299</v>
      </c>
      <c r="C32" s="277"/>
      <c r="D32" s="277"/>
      <c r="E32" s="277"/>
      <c r="F32"/>
      <c r="G32" s="121">
        <v>0</v>
      </c>
      <c r="H32" s="122">
        <f>+G32</f>
        <v>0</v>
      </c>
      <c r="I32" s="66" t="s">
        <v>39</v>
      </c>
      <c r="J32" s="66"/>
      <c r="K32" s="66"/>
      <c r="L32" s="66"/>
      <c r="M32" s="66"/>
      <c r="N32" s="66"/>
      <c r="O32"/>
      <c r="P32"/>
      <c r="Q32"/>
      <c r="R32"/>
      <c r="S32"/>
      <c r="T32"/>
    </row>
    <row r="33" spans="1:20" ht="15.75" thickBot="1" x14ac:dyDescent="0.3">
      <c r="A33" s="79">
        <f t="shared" si="17"/>
        <v>27</v>
      </c>
      <c r="B33" s="275" t="s">
        <v>85</v>
      </c>
      <c r="C33" s="275"/>
      <c r="D33" s="275"/>
      <c r="E33" s="275"/>
      <c r="F33"/>
      <c r="G33" s="123">
        <f>SUM(G31:G32)</f>
        <v>7.49</v>
      </c>
      <c r="H33" s="124">
        <f>SUM(H31:H32)</f>
        <v>7.49</v>
      </c>
      <c r="I33" s="66"/>
      <c r="J33" s="66"/>
      <c r="K33" s="66"/>
      <c r="L33" s="66"/>
      <c r="M33" s="66"/>
      <c r="N33" s="66"/>
      <c r="O33"/>
      <c r="P33"/>
      <c r="Q33"/>
      <c r="R33"/>
      <c r="S33"/>
      <c r="T33"/>
    </row>
    <row r="34" spans="1:20" ht="15.75" thickTop="1" x14ac:dyDescent="0.25">
      <c r="A34" s="79">
        <f t="shared" si="17"/>
        <v>28</v>
      </c>
      <c r="B34" s="274" t="s">
        <v>50</v>
      </c>
      <c r="C34" s="274"/>
      <c r="D34" s="274"/>
      <c r="E34" s="274"/>
      <c r="F34"/>
      <c r="G34" s="78"/>
      <c r="H34" s="98"/>
      <c r="I34" s="66"/>
      <c r="J34" s="66"/>
      <c r="K34" s="66"/>
      <c r="L34" s="66"/>
      <c r="M34" s="66"/>
      <c r="N34" s="66"/>
      <c r="O34"/>
      <c r="P34"/>
      <c r="Q34"/>
      <c r="R34"/>
      <c r="S34"/>
      <c r="T34"/>
    </row>
    <row r="35" spans="1:20" ht="15" x14ac:dyDescent="0.25">
      <c r="A35" s="79">
        <f t="shared" si="17"/>
        <v>29</v>
      </c>
      <c r="B35" s="277" t="s">
        <v>49</v>
      </c>
      <c r="C35" s="277"/>
      <c r="D35" s="277"/>
      <c r="E35" s="277"/>
      <c r="F35"/>
      <c r="G35" s="125">
        <v>8.7335999999999997E-2</v>
      </c>
      <c r="H35" s="126">
        <f>+G35</f>
        <v>8.7335999999999997E-2</v>
      </c>
      <c r="I35" s="66" t="s">
        <v>86</v>
      </c>
      <c r="J35" s="66"/>
      <c r="K35" s="66"/>
      <c r="L35" s="66"/>
      <c r="M35" s="66"/>
      <c r="N35" s="66"/>
      <c r="O35"/>
      <c r="P35"/>
      <c r="Q35"/>
      <c r="R35"/>
      <c r="S35"/>
      <c r="T35"/>
    </row>
    <row r="36" spans="1:20" ht="15" x14ac:dyDescent="0.25">
      <c r="A36" s="79">
        <f t="shared" si="17"/>
        <v>30</v>
      </c>
      <c r="B36" s="277" t="s">
        <v>44</v>
      </c>
      <c r="C36" s="277"/>
      <c r="D36" s="277"/>
      <c r="E36" s="277"/>
      <c r="F36"/>
      <c r="G36" s="125">
        <v>8.9499999999999996E-4</v>
      </c>
      <c r="H36" s="126">
        <f>+G36</f>
        <v>8.9499999999999996E-4</v>
      </c>
      <c r="I36" s="66" t="s">
        <v>86</v>
      </c>
      <c r="J36" s="66"/>
      <c r="K36" s="66"/>
      <c r="L36" s="66"/>
      <c r="M36" s="66"/>
      <c r="N36" s="66"/>
      <c r="O36"/>
      <c r="P36"/>
      <c r="Q36"/>
      <c r="R36"/>
      <c r="S36"/>
      <c r="T36"/>
    </row>
    <row r="37" spans="1:20" ht="15" x14ac:dyDescent="0.25">
      <c r="A37" s="79">
        <f t="shared" si="17"/>
        <v>31</v>
      </c>
      <c r="B37" s="278" t="s">
        <v>40</v>
      </c>
      <c r="C37" s="278"/>
      <c r="D37" s="278"/>
      <c r="E37" s="278"/>
      <c r="F37" s="62"/>
      <c r="G37" s="125">
        <v>3.4720000000000003E-3</v>
      </c>
      <c r="H37" s="125">
        <f>G37</f>
        <v>3.4720000000000003E-3</v>
      </c>
      <c r="I37" s="67" t="s">
        <v>86</v>
      </c>
      <c r="J37" s="67"/>
      <c r="K37" s="67"/>
      <c r="L37" s="117"/>
      <c r="M37" s="66"/>
      <c r="N37" s="66"/>
      <c r="O37"/>
      <c r="P37"/>
      <c r="Q37"/>
      <c r="R37"/>
      <c r="S37"/>
      <c r="T37"/>
    </row>
    <row r="38" spans="1:20" ht="15" x14ac:dyDescent="0.25">
      <c r="A38" s="79">
        <f t="shared" si="17"/>
        <v>32</v>
      </c>
      <c r="B38" s="277" t="s">
        <v>296</v>
      </c>
      <c r="C38" s="277"/>
      <c r="D38" s="277"/>
      <c r="E38" s="277"/>
      <c r="F38"/>
      <c r="G38" s="125">
        <v>0</v>
      </c>
      <c r="H38" s="126">
        <f>+G38</f>
        <v>0</v>
      </c>
      <c r="I38" s="67" t="s">
        <v>86</v>
      </c>
      <c r="J38" s="67"/>
      <c r="K38" s="67"/>
      <c r="L38" s="66"/>
      <c r="M38" s="66"/>
      <c r="N38" s="66"/>
      <c r="O38"/>
      <c r="P38"/>
      <c r="Q38"/>
      <c r="R38"/>
      <c r="S38"/>
      <c r="T38"/>
    </row>
    <row r="39" spans="1:20" ht="15" x14ac:dyDescent="0.25">
      <c r="A39" s="79">
        <f t="shared" si="17"/>
        <v>33</v>
      </c>
      <c r="B39" s="277" t="s">
        <v>38</v>
      </c>
      <c r="C39" s="277"/>
      <c r="D39" s="277"/>
      <c r="E39" s="277"/>
      <c r="F39"/>
      <c r="G39" s="125">
        <v>-1.237E-3</v>
      </c>
      <c r="H39" s="126">
        <f>+G39</f>
        <v>-1.237E-3</v>
      </c>
      <c r="I39" s="67" t="s">
        <v>86</v>
      </c>
      <c r="J39" s="67"/>
      <c r="K39" s="67"/>
      <c r="L39" s="66"/>
      <c r="M39" s="66"/>
      <c r="N39" s="66"/>
      <c r="O39"/>
      <c r="P39"/>
      <c r="Q39"/>
      <c r="R39"/>
      <c r="S39"/>
      <c r="T39"/>
    </row>
    <row r="40" spans="1:20" ht="15" x14ac:dyDescent="0.25">
      <c r="A40" s="79">
        <f t="shared" si="17"/>
        <v>34</v>
      </c>
      <c r="B40" s="279" t="s">
        <v>458</v>
      </c>
      <c r="C40" s="279"/>
      <c r="D40" s="279"/>
      <c r="E40" s="279"/>
      <c r="F40" s="165"/>
      <c r="G40" s="166">
        <v>0</v>
      </c>
      <c r="H40" s="258">
        <f>'+2019 Tax Reform Rate Impacts'!G8</f>
        <v>-1.271E-3</v>
      </c>
      <c r="I40" s="109" t="s">
        <v>86</v>
      </c>
      <c r="J40" s="109"/>
      <c r="K40" s="109"/>
      <c r="L40" s="66"/>
      <c r="M40" s="66"/>
      <c r="N40" s="66"/>
      <c r="O40"/>
      <c r="P40"/>
      <c r="Q40"/>
      <c r="R40"/>
      <c r="S40"/>
      <c r="T40"/>
    </row>
    <row r="41" spans="1:20" ht="15.75" thickBot="1" x14ac:dyDescent="0.3">
      <c r="A41" s="79">
        <f t="shared" si="17"/>
        <v>35</v>
      </c>
      <c r="B41" s="275" t="s">
        <v>87</v>
      </c>
      <c r="C41" s="275"/>
      <c r="D41" s="275"/>
      <c r="E41" s="275"/>
      <c r="F41"/>
      <c r="G41" s="127">
        <f>SUM(G35:G40)</f>
        <v>9.0466000000000005E-2</v>
      </c>
      <c r="H41" s="128">
        <f>SUM(H35:H40)</f>
        <v>8.919500000000001E-2</v>
      </c>
      <c r="I41" s="67" t="s">
        <v>86</v>
      </c>
      <c r="J41" s="67"/>
      <c r="K41" s="67"/>
      <c r="L41" s="66"/>
      <c r="M41" s="66"/>
      <c r="N41" s="66"/>
      <c r="O41"/>
      <c r="P41"/>
      <c r="Q41"/>
      <c r="R41"/>
      <c r="S41"/>
      <c r="T41"/>
    </row>
    <row r="42" spans="1:20" ht="15.75" thickTop="1" x14ac:dyDescent="0.25">
      <c r="A42" s="79">
        <f t="shared" si="17"/>
        <v>36</v>
      </c>
      <c r="B42" s="274"/>
      <c r="C42" s="274"/>
      <c r="D42" s="274"/>
      <c r="E42" s="274"/>
      <c r="F42"/>
      <c r="G42" s="125"/>
      <c r="H42" s="126"/>
      <c r="I42" s="66"/>
      <c r="J42" s="66"/>
      <c r="K42" s="66"/>
      <c r="L42" s="66"/>
      <c r="M42" s="66"/>
      <c r="N42" s="66"/>
      <c r="O42"/>
      <c r="P42"/>
      <c r="Q42"/>
      <c r="R42"/>
      <c r="S42"/>
      <c r="T42"/>
    </row>
    <row r="43" spans="1:20" ht="15" x14ac:dyDescent="0.25">
      <c r="A43" s="79">
        <f t="shared" si="17"/>
        <v>37</v>
      </c>
      <c r="B43" s="274" t="s">
        <v>48</v>
      </c>
      <c r="C43" s="274"/>
      <c r="D43" s="274"/>
      <c r="E43" s="274"/>
      <c r="F43"/>
      <c r="G43" s="125">
        <v>0.106297</v>
      </c>
      <c r="H43" s="126">
        <f>+G43</f>
        <v>0.106297</v>
      </c>
      <c r="I43" s="66" t="s">
        <v>86</v>
      </c>
      <c r="J43" s="66"/>
      <c r="K43" s="66"/>
      <c r="L43" s="66"/>
      <c r="M43" s="66"/>
      <c r="N43" s="66"/>
      <c r="O43"/>
      <c r="P43"/>
      <c r="Q43"/>
      <c r="R43"/>
      <c r="S43"/>
      <c r="T43"/>
    </row>
    <row r="44" spans="1:20" ht="15" x14ac:dyDescent="0.25">
      <c r="A44" s="79">
        <f t="shared" si="17"/>
        <v>38</v>
      </c>
      <c r="B44" s="277" t="s">
        <v>44</v>
      </c>
      <c r="C44" s="277"/>
      <c r="D44" s="277"/>
      <c r="E44" s="277"/>
      <c r="F44"/>
      <c r="G44" s="125">
        <v>8.9499999999999996E-4</v>
      </c>
      <c r="H44" s="126">
        <f>+G44</f>
        <v>8.9499999999999996E-4</v>
      </c>
      <c r="I44" s="66" t="s">
        <v>86</v>
      </c>
      <c r="J44" s="66"/>
      <c r="K44" s="66"/>
      <c r="L44" s="66"/>
      <c r="M44" s="66"/>
      <c r="N44" s="66"/>
      <c r="O44"/>
      <c r="P44"/>
      <c r="Q44"/>
      <c r="R44"/>
      <c r="S44"/>
      <c r="T44"/>
    </row>
    <row r="45" spans="1:20" ht="15" x14ac:dyDescent="0.25">
      <c r="A45" s="79">
        <f t="shared" si="17"/>
        <v>39</v>
      </c>
      <c r="B45" s="278" t="s">
        <v>40</v>
      </c>
      <c r="C45" s="278"/>
      <c r="D45" s="278"/>
      <c r="E45" s="278"/>
      <c r="F45" s="62"/>
      <c r="G45" s="125">
        <f>+G37</f>
        <v>3.4720000000000003E-3</v>
      </c>
      <c r="H45" s="125">
        <f>+H37</f>
        <v>3.4720000000000003E-3</v>
      </c>
      <c r="I45" s="66" t="s">
        <v>86</v>
      </c>
      <c r="J45" s="66"/>
      <c r="K45" s="66"/>
      <c r="L45" s="66"/>
      <c r="M45" s="66"/>
      <c r="N45" s="66"/>
      <c r="O45"/>
      <c r="P45"/>
      <c r="Q45"/>
      <c r="R45"/>
      <c r="S45"/>
      <c r="T45"/>
    </row>
    <row r="46" spans="1:20" ht="15" x14ac:dyDescent="0.25">
      <c r="A46" s="79">
        <f t="shared" si="17"/>
        <v>40</v>
      </c>
      <c r="B46" s="277" t="s">
        <v>297</v>
      </c>
      <c r="C46" s="277"/>
      <c r="D46" s="277"/>
      <c r="E46" s="277"/>
      <c r="F46"/>
      <c r="G46" s="125">
        <v>0</v>
      </c>
      <c r="H46" s="126">
        <f>+G46</f>
        <v>0</v>
      </c>
      <c r="I46" s="67" t="s">
        <v>86</v>
      </c>
      <c r="J46" s="67"/>
      <c r="K46" s="67"/>
      <c r="L46" s="66"/>
      <c r="M46" s="66"/>
      <c r="N46" s="66"/>
      <c r="O46"/>
      <c r="P46"/>
      <c r="Q46"/>
      <c r="R46"/>
      <c r="S46"/>
      <c r="T46"/>
    </row>
    <row r="47" spans="1:20" ht="15" x14ac:dyDescent="0.25">
      <c r="A47" s="79">
        <f t="shared" si="17"/>
        <v>41</v>
      </c>
      <c r="B47" s="277" t="s">
        <v>38</v>
      </c>
      <c r="C47" s="277"/>
      <c r="D47" s="277"/>
      <c r="E47" s="277"/>
      <c r="F47"/>
      <c r="G47" s="125">
        <v>-1.237E-3</v>
      </c>
      <c r="H47" s="126">
        <f>+G47</f>
        <v>-1.237E-3</v>
      </c>
      <c r="I47" s="67" t="s">
        <v>86</v>
      </c>
      <c r="J47" s="67"/>
      <c r="K47" s="67"/>
      <c r="L47" s="66"/>
      <c r="M47" s="66"/>
      <c r="N47" s="66"/>
      <c r="O47"/>
      <c r="P47"/>
      <c r="Q47"/>
      <c r="R47"/>
      <c r="S47"/>
      <c r="T47"/>
    </row>
    <row r="48" spans="1:20" ht="15" x14ac:dyDescent="0.25">
      <c r="A48" s="79">
        <f t="shared" si="17"/>
        <v>42</v>
      </c>
      <c r="B48" s="279" t="s">
        <v>458</v>
      </c>
      <c r="C48" s="279"/>
      <c r="D48" s="279"/>
      <c r="E48" s="279"/>
      <c r="F48" s="165"/>
      <c r="G48" s="166">
        <f>G40</f>
        <v>0</v>
      </c>
      <c r="H48" s="258">
        <f>H40</f>
        <v>-1.271E-3</v>
      </c>
      <c r="I48" s="109"/>
      <c r="J48" s="109"/>
      <c r="K48" s="109"/>
      <c r="L48" s="66"/>
      <c r="M48" s="66"/>
      <c r="N48" s="66"/>
      <c r="O48"/>
      <c r="P48"/>
      <c r="Q48"/>
      <c r="R48"/>
      <c r="S48"/>
      <c r="T48"/>
    </row>
    <row r="49" spans="1:20" ht="15.75" thickBot="1" x14ac:dyDescent="0.3">
      <c r="A49" s="79">
        <f t="shared" si="17"/>
        <v>43</v>
      </c>
      <c r="B49" s="275" t="s">
        <v>88</v>
      </c>
      <c r="C49" s="275"/>
      <c r="D49" s="275"/>
      <c r="E49" s="275"/>
      <c r="F49"/>
      <c r="G49" s="127">
        <f>SUM(G43:G48)</f>
        <v>0.10942700000000001</v>
      </c>
      <c r="H49" s="128">
        <f>SUM(H43:H48)</f>
        <v>0.10815600000000002</v>
      </c>
      <c r="I49" s="67" t="s">
        <v>86</v>
      </c>
      <c r="J49" s="67"/>
      <c r="K49" s="67"/>
      <c r="L49" s="66"/>
      <c r="M49" s="66"/>
      <c r="N49" s="66"/>
      <c r="O49"/>
      <c r="P49"/>
      <c r="Q49"/>
      <c r="R49"/>
      <c r="S49"/>
      <c r="T49"/>
    </row>
    <row r="50" spans="1:20" ht="15.75" thickTop="1" x14ac:dyDescent="0.25">
      <c r="A50" s="79">
        <f t="shared" si="17"/>
        <v>44</v>
      </c>
      <c r="B50" s="274"/>
      <c r="C50" s="274"/>
      <c r="D50" s="274"/>
      <c r="E50" s="274"/>
      <c r="F50"/>
      <c r="G50" s="125"/>
      <c r="H50" s="126"/>
      <c r="I50" s="67"/>
      <c r="J50" s="67"/>
      <c r="K50" s="67"/>
      <c r="L50" s="66"/>
      <c r="M50" s="66"/>
      <c r="N50" s="66"/>
      <c r="O50"/>
      <c r="P50"/>
      <c r="Q50"/>
      <c r="R50"/>
      <c r="S50"/>
      <c r="T50"/>
    </row>
    <row r="51" spans="1:20" ht="15" x14ac:dyDescent="0.25">
      <c r="A51" s="79">
        <f t="shared" si="17"/>
        <v>45</v>
      </c>
      <c r="B51" s="275" t="s">
        <v>37</v>
      </c>
      <c r="C51" s="275"/>
      <c r="D51" s="275"/>
      <c r="E51" s="275"/>
      <c r="F51"/>
      <c r="G51" s="125">
        <v>-7.4058380000000005E-3</v>
      </c>
      <c r="H51" s="126">
        <f>+G51</f>
        <v>-7.4058380000000005E-3</v>
      </c>
      <c r="I51" s="67" t="s">
        <v>86</v>
      </c>
      <c r="J51" s="67"/>
      <c r="K51" s="67"/>
      <c r="L51" s="66"/>
      <c r="M51" s="66"/>
      <c r="N51" s="66"/>
      <c r="O51"/>
      <c r="P51"/>
      <c r="Q51"/>
      <c r="R51"/>
      <c r="S51"/>
      <c r="T51"/>
    </row>
    <row r="52" spans="1:20" ht="15" x14ac:dyDescent="0.25">
      <c r="A52" s="79">
        <f t="shared" si="17"/>
        <v>46</v>
      </c>
      <c r="B52" s="275" t="s">
        <v>42</v>
      </c>
      <c r="C52" s="275"/>
      <c r="D52" s="275"/>
      <c r="E52" s="275"/>
      <c r="F52"/>
      <c r="G52" s="125">
        <v>0</v>
      </c>
      <c r="H52" s="126">
        <f>+G52</f>
        <v>0</v>
      </c>
      <c r="I52" s="67" t="s">
        <v>86</v>
      </c>
      <c r="J52"/>
      <c r="K52"/>
      <c r="L52" s="66"/>
      <c r="M52" s="66"/>
      <c r="N52" s="66"/>
      <c r="O52"/>
      <c r="P52"/>
      <c r="Q52"/>
      <c r="R52"/>
      <c r="S52"/>
      <c r="T52"/>
    </row>
    <row r="53" spans="1:20" ht="15" x14ac:dyDescent="0.25">
      <c r="A53" s="79">
        <f t="shared" si="17"/>
        <v>47</v>
      </c>
      <c r="B53" s="274"/>
      <c r="C53" s="274"/>
      <c r="D53" s="274"/>
      <c r="E53" s="274"/>
      <c r="F53"/>
      <c r="G53" s="125"/>
      <c r="H53" s="126"/>
      <c r="I53"/>
      <c r="J53" s="66"/>
      <c r="K53" s="66"/>
      <c r="L53" s="66"/>
      <c r="M53" s="66"/>
      <c r="N53" s="66"/>
      <c r="O53"/>
      <c r="P53"/>
      <c r="Q53"/>
      <c r="R53"/>
      <c r="S53"/>
      <c r="T53"/>
    </row>
    <row r="54" spans="1:20" ht="15" x14ac:dyDescent="0.25">
      <c r="A54" s="79">
        <f t="shared" si="17"/>
        <v>48</v>
      </c>
      <c r="B54" s="274" t="s">
        <v>109</v>
      </c>
      <c r="C54" s="274"/>
      <c r="D54" s="274"/>
      <c r="E54" s="274"/>
      <c r="F54"/>
      <c r="G54" s="125"/>
      <c r="H54" s="126"/>
      <c r="I54" s="66" t="s">
        <v>86</v>
      </c>
      <c r="J54" s="66"/>
      <c r="K54" s="66"/>
      <c r="L54" s="66"/>
      <c r="M54" s="66"/>
      <c r="N54" s="66"/>
      <c r="O54"/>
      <c r="P54"/>
      <c r="Q54"/>
      <c r="R54"/>
      <c r="S54"/>
      <c r="T54"/>
    </row>
    <row r="55" spans="1:20" ht="15" x14ac:dyDescent="0.25">
      <c r="A55" s="79">
        <f t="shared" si="17"/>
        <v>49</v>
      </c>
      <c r="B55" s="277" t="s">
        <v>47</v>
      </c>
      <c r="C55" s="277"/>
      <c r="D55" s="277"/>
      <c r="E55" s="277"/>
      <c r="F55" s="62"/>
      <c r="G55" s="125">
        <v>0</v>
      </c>
      <c r="H55" s="126">
        <f>+G55</f>
        <v>0</v>
      </c>
      <c r="I55" s="66" t="s">
        <v>86</v>
      </c>
      <c r="J55" s="67"/>
      <c r="K55" s="67"/>
      <c r="L55" s="67"/>
      <c r="M55" s="67"/>
      <c r="N55" s="67"/>
      <c r="O55" s="62"/>
      <c r="P55" s="62"/>
      <c r="Q55" s="62"/>
      <c r="R55" s="62"/>
      <c r="S55" s="62"/>
      <c r="T55" s="62"/>
    </row>
    <row r="56" spans="1:20" ht="15" x14ac:dyDescent="0.25">
      <c r="A56" s="79">
        <f t="shared" si="17"/>
        <v>50</v>
      </c>
      <c r="B56" s="277" t="s">
        <v>46</v>
      </c>
      <c r="C56" s="277"/>
      <c r="D56" s="277"/>
      <c r="E56" s="277"/>
      <c r="F56"/>
      <c r="G56" s="125">
        <v>-1.913E-3</v>
      </c>
      <c r="H56" s="126">
        <f>+G56</f>
        <v>-1.913E-3</v>
      </c>
      <c r="I56" s="67" t="s">
        <v>86</v>
      </c>
      <c r="J56" s="67"/>
      <c r="K56" s="67"/>
      <c r="L56" s="66"/>
      <c r="M56" s="66"/>
      <c r="N56" s="66"/>
      <c r="O56"/>
      <c r="P56"/>
      <c r="Q56"/>
      <c r="R56"/>
      <c r="S56"/>
      <c r="T56"/>
    </row>
    <row r="57" spans="1:20" ht="15" x14ac:dyDescent="0.25">
      <c r="A57" s="79">
        <f t="shared" si="17"/>
        <v>51</v>
      </c>
      <c r="B57" s="277" t="s">
        <v>45</v>
      </c>
      <c r="C57" s="277"/>
      <c r="D57" s="277"/>
      <c r="E57" s="277"/>
      <c r="F57"/>
      <c r="G57" s="125">
        <v>4.8599999999999997E-3</v>
      </c>
      <c r="H57" s="126">
        <f>+G57</f>
        <v>4.8599999999999997E-3</v>
      </c>
      <c r="I57" s="67" t="s">
        <v>86</v>
      </c>
      <c r="J57" s="67"/>
      <c r="K57" s="67"/>
      <c r="L57" s="66"/>
      <c r="M57" s="66"/>
      <c r="N57" s="66"/>
      <c r="O57"/>
      <c r="P57"/>
      <c r="Q57"/>
      <c r="R57"/>
      <c r="S57"/>
      <c r="T57"/>
    </row>
    <row r="58" spans="1:20" ht="15" x14ac:dyDescent="0.25">
      <c r="A58" s="79">
        <f t="shared" si="17"/>
        <v>52</v>
      </c>
      <c r="B58" s="277" t="s">
        <v>43</v>
      </c>
      <c r="C58" s="277"/>
      <c r="D58" s="277"/>
      <c r="E58" s="277"/>
      <c r="F58"/>
      <c r="G58" s="125">
        <v>0</v>
      </c>
      <c r="H58" s="126">
        <f t="shared" ref="H58:H59" si="21">+G58</f>
        <v>0</v>
      </c>
      <c r="I58" s="67" t="s">
        <v>86</v>
      </c>
      <c r="J58" s="67"/>
      <c r="K58" s="67"/>
      <c r="L58" s="66"/>
      <c r="M58" s="66"/>
      <c r="N58" s="66"/>
      <c r="O58"/>
      <c r="P58"/>
      <c r="Q58"/>
      <c r="R58"/>
      <c r="S58"/>
      <c r="T58"/>
    </row>
    <row r="59" spans="1:20" ht="15" x14ac:dyDescent="0.25">
      <c r="A59" s="79">
        <f t="shared" si="17"/>
        <v>53</v>
      </c>
      <c r="B59" s="277" t="s">
        <v>41</v>
      </c>
      <c r="C59" s="277"/>
      <c r="D59" s="277"/>
      <c r="E59" s="277"/>
      <c r="F59"/>
      <c r="G59" s="125">
        <v>-7.2999999999999999E-5</v>
      </c>
      <c r="H59" s="126">
        <f t="shared" si="21"/>
        <v>-7.2999999999999999E-5</v>
      </c>
      <c r="I59" s="67" t="s">
        <v>86</v>
      </c>
      <c r="J59" s="67"/>
      <c r="K59" s="67"/>
      <c r="L59" s="66"/>
      <c r="M59" s="66"/>
      <c r="N59" s="66"/>
      <c r="O59"/>
      <c r="P59"/>
      <c r="Q59"/>
      <c r="R59"/>
      <c r="S59"/>
      <c r="T59"/>
    </row>
    <row r="60" spans="1:20" ht="15.75" thickBot="1" x14ac:dyDescent="0.3">
      <c r="A60" s="79">
        <f t="shared" si="17"/>
        <v>54</v>
      </c>
      <c r="B60" s="275" t="s">
        <v>110</v>
      </c>
      <c r="C60" s="275"/>
      <c r="D60" s="275"/>
      <c r="E60" s="275"/>
      <c r="F60"/>
      <c r="G60" s="127">
        <f>SUM(G55:G59)</f>
        <v>2.8739999999999998E-3</v>
      </c>
      <c r="H60" s="128">
        <f>SUM(H55:H59)</f>
        <v>2.8739999999999998E-3</v>
      </c>
      <c r="I60" s="67" t="s">
        <v>86</v>
      </c>
      <c r="J60"/>
      <c r="K60"/>
      <c r="L60"/>
      <c r="M60"/>
      <c r="N60"/>
      <c r="O60"/>
      <c r="P60"/>
      <c r="Q60"/>
      <c r="R60"/>
      <c r="S60"/>
      <c r="T60"/>
    </row>
    <row r="61" spans="1:20" ht="15.75" thickTop="1" x14ac:dyDescent="0.25">
      <c r="A61" s="79">
        <f t="shared" si="17"/>
        <v>55</v>
      </c>
      <c r="B61" s="274"/>
      <c r="C61" s="274"/>
      <c r="D61" s="274"/>
      <c r="E61" s="274"/>
      <c r="F61"/>
      <c r="G61" s="78"/>
      <c r="H61" s="98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x14ac:dyDescent="0.25">
      <c r="A62" s="79">
        <f t="shared" si="17"/>
        <v>56</v>
      </c>
      <c r="B62" s="275" t="s">
        <v>111</v>
      </c>
      <c r="C62" s="275"/>
      <c r="D62" s="275"/>
      <c r="E62" s="275"/>
      <c r="F62"/>
      <c r="G62" s="99">
        <f>SUM(G41,G51:G52,G60)</f>
        <v>8.5934162000000008E-2</v>
      </c>
      <c r="H62" s="100">
        <f>SUM(H41,H51:H52,H60)</f>
        <v>8.4663162000000014E-2</v>
      </c>
      <c r="I62" s="67" t="s">
        <v>86</v>
      </c>
      <c r="J62"/>
      <c r="K62"/>
      <c r="L62"/>
      <c r="M62"/>
      <c r="N62"/>
      <c r="O62"/>
      <c r="P62"/>
      <c r="Q62"/>
      <c r="R62"/>
      <c r="S62"/>
      <c r="T62"/>
    </row>
    <row r="63" spans="1:20" ht="15" x14ac:dyDescent="0.25">
      <c r="A63" s="79">
        <f t="shared" si="17"/>
        <v>57</v>
      </c>
      <c r="B63" s="275" t="s">
        <v>112</v>
      </c>
      <c r="C63" s="275"/>
      <c r="D63" s="275"/>
      <c r="E63" s="275"/>
      <c r="F63"/>
      <c r="G63" s="101">
        <f>SUM(G49,G51:G52,G60)</f>
        <v>0.10489516200000001</v>
      </c>
      <c r="H63" s="102">
        <f>SUM(H49,H51:H52,H60)</f>
        <v>0.10362416200000002</v>
      </c>
      <c r="I63" s="67" t="s">
        <v>86</v>
      </c>
      <c r="J63"/>
      <c r="K63"/>
      <c r="L63"/>
      <c r="M63"/>
      <c r="N63"/>
      <c r="O63"/>
      <c r="P63"/>
      <c r="Q63"/>
      <c r="R63"/>
      <c r="S63"/>
      <c r="T63"/>
    </row>
    <row r="64" spans="1:20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15" x14ac:dyDescent="0.25">
      <c r="A67"/>
      <c r="B67"/>
      <c r="C67" s="276" t="s">
        <v>316</v>
      </c>
      <c r="D67" s="276"/>
      <c r="E67" s="276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60" x14ac:dyDescent="0.25">
      <c r="A68"/>
      <c r="B68" s="103"/>
      <c r="C68" s="104" t="s">
        <v>113</v>
      </c>
      <c r="D68" s="104" t="s">
        <v>114</v>
      </c>
      <c r="E68" s="104" t="s">
        <v>115</v>
      </c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</row>
    <row r="69" spans="1:20" ht="15" x14ac:dyDescent="0.25">
      <c r="A69"/>
      <c r="B69" t="str">
        <f>+B7</f>
        <v>January</v>
      </c>
      <c r="C69" s="129">
        <v>1258458999.9999998</v>
      </c>
      <c r="D69" s="134">
        <v>1029336</v>
      </c>
      <c r="E69" s="134">
        <f t="shared" ref="E69:E80" si="22">ROUND(+C69/D69,0)</f>
        <v>1223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5" x14ac:dyDescent="0.25">
      <c r="A70"/>
      <c r="B70" t="str">
        <f t="shared" ref="B70:B80" si="23">+B8</f>
        <v>February</v>
      </c>
      <c r="C70" s="134">
        <v>1089253000</v>
      </c>
      <c r="D70" s="134">
        <v>1030405</v>
      </c>
      <c r="E70" s="134">
        <f t="shared" si="22"/>
        <v>1057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5" x14ac:dyDescent="0.25">
      <c r="A71"/>
      <c r="B71" t="str">
        <f t="shared" si="23"/>
        <v>March</v>
      </c>
      <c r="C71" s="134">
        <v>1040985000</v>
      </c>
      <c r="D71" s="134">
        <v>1031320</v>
      </c>
      <c r="E71" s="134">
        <f t="shared" si="22"/>
        <v>1009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15" x14ac:dyDescent="0.25">
      <c r="A72"/>
      <c r="B72" t="str">
        <f t="shared" si="23"/>
        <v>April</v>
      </c>
      <c r="C72" s="134">
        <v>858224000</v>
      </c>
      <c r="D72" s="134">
        <v>1032177</v>
      </c>
      <c r="E72" s="134">
        <f t="shared" si="22"/>
        <v>831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15" x14ac:dyDescent="0.25">
      <c r="A73"/>
      <c r="B73" t="str">
        <f t="shared" si="23"/>
        <v>May</v>
      </c>
      <c r="C73" s="134">
        <v>739742000</v>
      </c>
      <c r="D73" s="134">
        <v>1020686</v>
      </c>
      <c r="E73" s="134">
        <f t="shared" si="22"/>
        <v>725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15" x14ac:dyDescent="0.25">
      <c r="A74"/>
      <c r="B74" t="str">
        <f t="shared" si="23"/>
        <v>June</v>
      </c>
      <c r="C74" s="134">
        <v>680386000</v>
      </c>
      <c r="D74" s="134">
        <v>1021433</v>
      </c>
      <c r="E74" s="134">
        <f t="shared" si="22"/>
        <v>666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15" x14ac:dyDescent="0.25">
      <c r="A75"/>
      <c r="B75" t="str">
        <f t="shared" si="23"/>
        <v>July</v>
      </c>
      <c r="C75" s="134">
        <v>681210000</v>
      </c>
      <c r="D75" s="134">
        <v>1021991</v>
      </c>
      <c r="E75" s="134">
        <f t="shared" si="22"/>
        <v>667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15" x14ac:dyDescent="0.25">
      <c r="A76"/>
      <c r="B76" t="str">
        <f t="shared" si="23"/>
        <v>August</v>
      </c>
      <c r="C76" s="134">
        <v>664685000</v>
      </c>
      <c r="D76" s="134">
        <v>1022870</v>
      </c>
      <c r="E76" s="134">
        <f t="shared" si="22"/>
        <v>650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15" x14ac:dyDescent="0.25">
      <c r="A77"/>
      <c r="B77" t="str">
        <f t="shared" si="23"/>
        <v>September</v>
      </c>
      <c r="C77" s="134">
        <v>667587999.99999988</v>
      </c>
      <c r="D77" s="134">
        <v>1024028</v>
      </c>
      <c r="E77" s="134">
        <f t="shared" si="22"/>
        <v>652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15" x14ac:dyDescent="0.25">
      <c r="A78"/>
      <c r="B78" t="str">
        <f t="shared" si="23"/>
        <v>October</v>
      </c>
      <c r="C78" s="134">
        <v>832841999.99999988</v>
      </c>
      <c r="D78" s="134">
        <v>1025543</v>
      </c>
      <c r="E78" s="134">
        <f t="shared" si="22"/>
        <v>812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15" x14ac:dyDescent="0.25">
      <c r="A79"/>
      <c r="B79" t="str">
        <f t="shared" si="23"/>
        <v>November</v>
      </c>
      <c r="C79" s="134">
        <v>1028038000</v>
      </c>
      <c r="D79" s="134">
        <v>1026942</v>
      </c>
      <c r="E79" s="134">
        <f t="shared" si="22"/>
        <v>1001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15" x14ac:dyDescent="0.25">
      <c r="A80"/>
      <c r="B80" t="str">
        <f t="shared" si="23"/>
        <v>December</v>
      </c>
      <c r="C80" s="134">
        <v>1299084000</v>
      </c>
      <c r="D80" s="134">
        <v>1028067</v>
      </c>
      <c r="E80" s="134">
        <f t="shared" si="22"/>
        <v>1264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5" x14ac:dyDescent="0.25">
      <c r="A81"/>
      <c r="B81" t="s">
        <v>36</v>
      </c>
      <c r="C81" s="129">
        <f>SUM(C69:C80)</f>
        <v>10840496000</v>
      </c>
      <c r="D81" s="129">
        <f>SUM(D69:D80)</f>
        <v>12314798</v>
      </c>
      <c r="E81" s="105">
        <f>SUM(E69:E80)</f>
        <v>10557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ht="15" x14ac:dyDescent="0.25">
      <c r="A82"/>
      <c r="B82"/>
      <c r="C82" s="62"/>
      <c r="D82" s="62"/>
      <c r="E82" s="105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ht="15" x14ac:dyDescent="0.25">
      <c r="A83"/>
      <c r="B83" t="s">
        <v>116</v>
      </c>
      <c r="C83" s="106"/>
      <c r="D83" s="106"/>
      <c r="E83" s="106">
        <f>ROUND(AVERAGE(E69:E80),0)</f>
        <v>880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</sheetData>
  <mergeCells count="36">
    <mergeCell ref="B41:E41"/>
    <mergeCell ref="D5:O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54:E54"/>
    <mergeCell ref="B42:E42"/>
    <mergeCell ref="B43:E43"/>
    <mergeCell ref="B44:E44"/>
    <mergeCell ref="B45:E45"/>
    <mergeCell ref="B46:E46"/>
    <mergeCell ref="B47:E47"/>
    <mergeCell ref="B49:E49"/>
    <mergeCell ref="B50:E50"/>
    <mergeCell ref="B51:E51"/>
    <mergeCell ref="B52:E52"/>
    <mergeCell ref="B53:E53"/>
    <mergeCell ref="B48:E48"/>
    <mergeCell ref="B61:E61"/>
    <mergeCell ref="B62:E62"/>
    <mergeCell ref="B63:E63"/>
    <mergeCell ref="C67:E67"/>
    <mergeCell ref="B55:E55"/>
    <mergeCell ref="B56:E56"/>
    <mergeCell ref="B57:E57"/>
    <mergeCell ref="B58:E58"/>
    <mergeCell ref="B59:E59"/>
    <mergeCell ref="B60:E60"/>
  </mergeCells>
  <printOptions horizontalCentered="1"/>
  <pageMargins left="0.7" right="0.7" top="0.75" bottom="0.75" header="0.3" footer="0.3"/>
  <pageSetup scale="50" orientation="landscape" r:id="rId1"/>
  <headerFooter alignWithMargins="0">
    <oddHeader>&amp;RAdvice No. 2018-xx
Electric Schedule 1XX Rate Design Workpapers
Page &amp;P of &amp;N</oddHeader>
    <oddFooter>&amp;L&amp;F
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N8" sqref="N8"/>
    </sheetView>
  </sheetViews>
  <sheetFormatPr defaultRowHeight="15" x14ac:dyDescent="0.25"/>
  <cols>
    <col min="1" max="1" width="7.7109375" customWidth="1"/>
    <col min="2" max="2" width="22.42578125" customWidth="1"/>
    <col min="3" max="3" width="14.5703125" bestFit="1" customWidth="1"/>
    <col min="4" max="4" width="14.5703125" customWidth="1"/>
    <col min="5" max="5" width="11.140625" bestFit="1" customWidth="1"/>
    <col min="6" max="6" width="12.5703125" customWidth="1"/>
    <col min="7" max="7" width="13.140625" bestFit="1" customWidth="1"/>
    <col min="8" max="8" width="12" customWidth="1"/>
    <col min="9" max="9" width="11.5703125" customWidth="1"/>
    <col min="10" max="10" width="11.5703125" bestFit="1" customWidth="1"/>
    <col min="11" max="11" width="10.140625" customWidth="1"/>
    <col min="12" max="12" width="14.5703125" bestFit="1" customWidth="1"/>
    <col min="13" max="13" width="12.5703125" bestFit="1" customWidth="1"/>
    <col min="14" max="14" width="17.7109375" bestFit="1" customWidth="1"/>
  </cols>
  <sheetData>
    <row r="1" spans="1:14" ht="14.45" x14ac:dyDescent="0.3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14.45" x14ac:dyDescent="0.3">
      <c r="A2" s="282" t="s">
        <v>300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1:14" ht="14.45" x14ac:dyDescent="0.3">
      <c r="A3" s="282" t="s">
        <v>315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 ht="14.45" x14ac:dyDescent="0.3">
      <c r="A4" s="282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1:14" ht="14.45" x14ac:dyDescent="0.3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62"/>
      <c r="L5" s="108"/>
      <c r="M5" s="108"/>
      <c r="N5" s="109"/>
    </row>
    <row r="6" spans="1:14" ht="14.45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62"/>
      <c r="L6" s="108"/>
      <c r="M6" s="108"/>
      <c r="N6" s="110"/>
    </row>
    <row r="7" spans="1:14" ht="53.45" x14ac:dyDescent="0.3">
      <c r="A7" s="111" t="s">
        <v>1</v>
      </c>
      <c r="B7" s="111" t="s">
        <v>34</v>
      </c>
      <c r="C7" s="112" t="s">
        <v>79</v>
      </c>
      <c r="D7" s="112" t="s">
        <v>117</v>
      </c>
      <c r="E7" s="112" t="s">
        <v>118</v>
      </c>
      <c r="F7" s="112" t="s">
        <v>119</v>
      </c>
      <c r="G7" s="112" t="s">
        <v>120</v>
      </c>
      <c r="H7" s="112" t="s">
        <v>121</v>
      </c>
      <c r="I7" s="112" t="s">
        <v>122</v>
      </c>
      <c r="J7" s="112" t="s">
        <v>123</v>
      </c>
      <c r="K7" s="112" t="s">
        <v>301</v>
      </c>
      <c r="L7" s="112" t="s">
        <v>124</v>
      </c>
      <c r="M7" s="112" t="s">
        <v>125</v>
      </c>
      <c r="N7" s="135" t="s">
        <v>130</v>
      </c>
    </row>
    <row r="8" spans="1:14" ht="14.45" x14ac:dyDescent="0.3">
      <c r="A8" s="108">
        <v>1</v>
      </c>
      <c r="B8" s="113">
        <v>7</v>
      </c>
      <c r="C8" s="167">
        <v>10838149000</v>
      </c>
      <c r="D8" s="130">
        <v>1127848000</v>
      </c>
      <c r="E8" s="130">
        <v>0</v>
      </c>
      <c r="F8" s="130">
        <v>-20733000</v>
      </c>
      <c r="G8" s="130">
        <v>52673000</v>
      </c>
      <c r="H8" s="130">
        <v>9700000</v>
      </c>
      <c r="I8" s="130">
        <v>0</v>
      </c>
      <c r="J8" s="130">
        <v>-791000</v>
      </c>
      <c r="K8" s="130">
        <v>0</v>
      </c>
      <c r="L8" s="130">
        <v>-13407000</v>
      </c>
      <c r="M8" s="130">
        <v>-80266000</v>
      </c>
      <c r="N8" s="130">
        <f>SUM(D8:M8)</f>
        <v>1075024000</v>
      </c>
    </row>
    <row r="9" spans="1:14" ht="14.45" x14ac:dyDescent="0.3">
      <c r="A9" s="108">
        <f t="shared" ref="A9:A41" si="0">+A8+1</f>
        <v>2</v>
      </c>
      <c r="B9" s="114" t="s">
        <v>126</v>
      </c>
      <c r="C9" s="167">
        <v>2347000</v>
      </c>
      <c r="D9" s="130">
        <v>212000</v>
      </c>
      <c r="E9" s="130">
        <v>0</v>
      </c>
      <c r="F9" s="130">
        <v>-4000</v>
      </c>
      <c r="G9" s="130">
        <v>10000</v>
      </c>
      <c r="H9" s="130">
        <v>2000</v>
      </c>
      <c r="I9" s="130">
        <v>0</v>
      </c>
      <c r="J9" s="130">
        <v>0</v>
      </c>
      <c r="K9" s="130">
        <v>0</v>
      </c>
      <c r="L9" s="130">
        <v>3000</v>
      </c>
      <c r="M9" s="130">
        <v>-17000</v>
      </c>
      <c r="N9" s="130">
        <f>SUM(D9:M9)</f>
        <v>206000</v>
      </c>
    </row>
    <row r="10" spans="1:14" ht="14.45" x14ac:dyDescent="0.3">
      <c r="A10" s="108">
        <f t="shared" si="0"/>
        <v>3</v>
      </c>
      <c r="B10" s="115" t="s">
        <v>6</v>
      </c>
      <c r="C10" s="168">
        <f t="shared" ref="C10" si="1">SUM(C8:C9)</f>
        <v>10840496000</v>
      </c>
      <c r="D10" s="131">
        <f t="shared" ref="D10:M10" si="2">SUM(D8:D9)</f>
        <v>1128060000</v>
      </c>
      <c r="E10" s="131">
        <f t="shared" si="2"/>
        <v>0</v>
      </c>
      <c r="F10" s="131">
        <f t="shared" si="2"/>
        <v>-20737000</v>
      </c>
      <c r="G10" s="131">
        <f t="shared" si="2"/>
        <v>52683000</v>
      </c>
      <c r="H10" s="131">
        <f t="shared" si="2"/>
        <v>9702000</v>
      </c>
      <c r="I10" s="131">
        <f t="shared" si="2"/>
        <v>0</v>
      </c>
      <c r="J10" s="131">
        <f t="shared" si="2"/>
        <v>-791000</v>
      </c>
      <c r="K10" s="131">
        <f t="shared" si="2"/>
        <v>0</v>
      </c>
      <c r="L10" s="131">
        <f t="shared" si="2"/>
        <v>-13404000</v>
      </c>
      <c r="M10" s="131">
        <f t="shared" si="2"/>
        <v>-80283000</v>
      </c>
      <c r="N10" s="131">
        <f t="shared" ref="N10" si="3">SUM(N8:N9)</f>
        <v>1075230000</v>
      </c>
    </row>
    <row r="11" spans="1:14" ht="14.45" x14ac:dyDescent="0.3">
      <c r="A11" s="108">
        <f t="shared" si="0"/>
        <v>4</v>
      </c>
      <c r="B11" s="108"/>
      <c r="C11" s="167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ht="14.45" x14ac:dyDescent="0.3">
      <c r="A12" s="108">
        <f t="shared" si="0"/>
        <v>5</v>
      </c>
      <c r="B12" s="113">
        <v>8</v>
      </c>
      <c r="C12" s="167">
        <v>274905000</v>
      </c>
      <c r="D12" s="130">
        <v>26752000</v>
      </c>
      <c r="E12" s="130">
        <v>0</v>
      </c>
      <c r="F12" s="130">
        <v>-451000</v>
      </c>
      <c r="G12" s="130">
        <v>1157000</v>
      </c>
      <c r="H12" s="130">
        <v>236000</v>
      </c>
      <c r="I12" s="130">
        <v>0</v>
      </c>
      <c r="J12" s="130">
        <v>-17000</v>
      </c>
      <c r="K12" s="130">
        <v>0</v>
      </c>
      <c r="L12" s="130">
        <v>344000</v>
      </c>
      <c r="M12" s="130">
        <v>-2036000</v>
      </c>
      <c r="N12" s="130">
        <f t="shared" ref="N12:N18" si="4">SUM(D12:M12)</f>
        <v>25985000</v>
      </c>
    </row>
    <row r="13" spans="1:14" ht="14.45" x14ac:dyDescent="0.3">
      <c r="A13" s="108">
        <f t="shared" si="0"/>
        <v>6</v>
      </c>
      <c r="B13" s="113">
        <v>24</v>
      </c>
      <c r="C13" s="167">
        <v>2842704000</v>
      </c>
      <c r="D13" s="130">
        <v>276636000</v>
      </c>
      <c r="E13" s="130">
        <v>0</v>
      </c>
      <c r="F13" s="130">
        <v>-4665000</v>
      </c>
      <c r="G13" s="130">
        <v>11962000</v>
      </c>
      <c r="H13" s="130">
        <v>2436000</v>
      </c>
      <c r="I13" s="130">
        <v>0</v>
      </c>
      <c r="J13" s="130">
        <v>-179000</v>
      </c>
      <c r="K13" s="130">
        <v>0</v>
      </c>
      <c r="L13" s="130">
        <v>3556000</v>
      </c>
      <c r="M13" s="130">
        <v>0</v>
      </c>
      <c r="N13" s="130">
        <f t="shared" si="4"/>
        <v>289746000</v>
      </c>
    </row>
    <row r="14" spans="1:14" ht="14.45" x14ac:dyDescent="0.3">
      <c r="A14" s="108">
        <f t="shared" si="0"/>
        <v>7</v>
      </c>
      <c r="B14" s="114">
        <v>11</v>
      </c>
      <c r="C14" s="167">
        <v>161833000</v>
      </c>
      <c r="D14" s="130">
        <v>14598000</v>
      </c>
      <c r="E14" s="130">
        <v>0</v>
      </c>
      <c r="F14" s="130">
        <v>-254000</v>
      </c>
      <c r="G14" s="130">
        <v>689000</v>
      </c>
      <c r="H14" s="130">
        <v>129000</v>
      </c>
      <c r="I14" s="130">
        <v>0</v>
      </c>
      <c r="J14" s="130">
        <v>-10000</v>
      </c>
      <c r="K14" s="130">
        <v>0</v>
      </c>
      <c r="L14" s="130">
        <v>228000</v>
      </c>
      <c r="M14" s="130">
        <v>-1199000</v>
      </c>
      <c r="N14" s="130">
        <f t="shared" si="4"/>
        <v>14181000</v>
      </c>
    </row>
    <row r="15" spans="1:14" ht="14.45" x14ac:dyDescent="0.3">
      <c r="A15" s="108">
        <f t="shared" si="0"/>
        <v>8</v>
      </c>
      <c r="B15" s="114">
        <v>25</v>
      </c>
      <c r="C15" s="167">
        <v>3118988000</v>
      </c>
      <c r="D15" s="130">
        <v>281348000</v>
      </c>
      <c r="E15" s="130">
        <v>0</v>
      </c>
      <c r="F15" s="130">
        <v>-4891000</v>
      </c>
      <c r="G15" s="130">
        <v>13278000</v>
      </c>
      <c r="H15" s="130">
        <v>2483000</v>
      </c>
      <c r="I15" s="130">
        <v>0</v>
      </c>
      <c r="J15" s="130">
        <v>-187000</v>
      </c>
      <c r="K15" s="130">
        <v>0</v>
      </c>
      <c r="L15" s="130">
        <v>4392000</v>
      </c>
      <c r="M15" s="130">
        <v>0</v>
      </c>
      <c r="N15" s="130">
        <f t="shared" si="4"/>
        <v>296423000</v>
      </c>
    </row>
    <row r="16" spans="1:14" ht="14.45" x14ac:dyDescent="0.3">
      <c r="A16" s="108">
        <f t="shared" si="0"/>
        <v>9</v>
      </c>
      <c r="B16" s="113">
        <v>12</v>
      </c>
      <c r="C16" s="167">
        <v>19940000</v>
      </c>
      <c r="D16" s="130">
        <v>1652000</v>
      </c>
      <c r="E16" s="130">
        <v>0</v>
      </c>
      <c r="F16" s="130">
        <v>-34000</v>
      </c>
      <c r="G16" s="130">
        <v>86000</v>
      </c>
      <c r="H16" s="130">
        <v>14000</v>
      </c>
      <c r="I16" s="130">
        <v>0</v>
      </c>
      <c r="J16" s="130">
        <v>-1000</v>
      </c>
      <c r="K16" s="130">
        <v>0</v>
      </c>
      <c r="L16" s="130">
        <v>-1000</v>
      </c>
      <c r="M16" s="130">
        <v>-148000</v>
      </c>
      <c r="N16" s="130">
        <f t="shared" si="4"/>
        <v>1568000</v>
      </c>
    </row>
    <row r="17" spans="1:14" ht="14.45" x14ac:dyDescent="0.3">
      <c r="A17" s="108">
        <f t="shared" si="0"/>
        <v>10</v>
      </c>
      <c r="B17" s="113" t="s">
        <v>127</v>
      </c>
      <c r="C17" s="167">
        <v>1922586000</v>
      </c>
      <c r="D17" s="130">
        <v>159298000</v>
      </c>
      <c r="E17" s="130">
        <v>0</v>
      </c>
      <c r="F17" s="130">
        <v>-3288000</v>
      </c>
      <c r="G17" s="130">
        <v>8315000</v>
      </c>
      <c r="H17" s="130">
        <v>1378000</v>
      </c>
      <c r="I17" s="130">
        <v>0</v>
      </c>
      <c r="J17" s="130">
        <v>-125000</v>
      </c>
      <c r="K17" s="130">
        <v>0</v>
      </c>
      <c r="L17" s="130">
        <v>-98000</v>
      </c>
      <c r="M17" s="130">
        <v>0</v>
      </c>
      <c r="N17" s="130">
        <f t="shared" si="4"/>
        <v>165480000</v>
      </c>
    </row>
    <row r="18" spans="1:14" ht="14.45" x14ac:dyDescent="0.3">
      <c r="A18" s="108">
        <f t="shared" si="0"/>
        <v>11</v>
      </c>
      <c r="B18" s="113">
        <v>29</v>
      </c>
      <c r="C18" s="167">
        <v>16292000</v>
      </c>
      <c r="D18" s="130">
        <v>1294000</v>
      </c>
      <c r="E18" s="130">
        <v>0</v>
      </c>
      <c r="F18" s="130">
        <v>-21000</v>
      </c>
      <c r="G18" s="130">
        <v>52000</v>
      </c>
      <c r="H18" s="130">
        <v>12000</v>
      </c>
      <c r="I18" s="130">
        <v>0</v>
      </c>
      <c r="J18" s="130">
        <v>-1000</v>
      </c>
      <c r="K18" s="130">
        <v>0</v>
      </c>
      <c r="L18" s="130">
        <v>23000</v>
      </c>
      <c r="M18" s="130">
        <v>-121000</v>
      </c>
      <c r="N18" s="130">
        <f t="shared" si="4"/>
        <v>1238000</v>
      </c>
    </row>
    <row r="19" spans="1:14" ht="14.45" x14ac:dyDescent="0.3">
      <c r="A19" s="108">
        <f t="shared" si="0"/>
        <v>12</v>
      </c>
      <c r="B19" s="116" t="s">
        <v>11</v>
      </c>
      <c r="C19" s="168">
        <f t="shared" ref="C19" si="5">SUM(C12:C18)</f>
        <v>8357248000</v>
      </c>
      <c r="D19" s="131">
        <f t="shared" ref="D19:M19" si="6">SUM(D12:D18)</f>
        <v>761578000</v>
      </c>
      <c r="E19" s="131">
        <f t="shared" si="6"/>
        <v>0</v>
      </c>
      <c r="F19" s="131">
        <f t="shared" si="6"/>
        <v>-13604000</v>
      </c>
      <c r="G19" s="131">
        <f t="shared" si="6"/>
        <v>35539000</v>
      </c>
      <c r="H19" s="131">
        <f t="shared" si="6"/>
        <v>6688000</v>
      </c>
      <c r="I19" s="131">
        <f t="shared" si="6"/>
        <v>0</v>
      </c>
      <c r="J19" s="131">
        <f t="shared" si="6"/>
        <v>-520000</v>
      </c>
      <c r="K19" s="131">
        <f t="shared" si="6"/>
        <v>0</v>
      </c>
      <c r="L19" s="131">
        <f t="shared" si="6"/>
        <v>8444000</v>
      </c>
      <c r="M19" s="131">
        <f t="shared" si="6"/>
        <v>-3504000</v>
      </c>
      <c r="N19" s="131">
        <f t="shared" ref="N19" si="7">SUM(N12:N18)</f>
        <v>794621000</v>
      </c>
    </row>
    <row r="20" spans="1:14" ht="14.45" x14ac:dyDescent="0.3">
      <c r="A20" s="108">
        <f t="shared" si="0"/>
        <v>13</v>
      </c>
      <c r="B20" s="108"/>
      <c r="C20" s="167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</row>
    <row r="21" spans="1:14" ht="14.45" x14ac:dyDescent="0.3">
      <c r="A21" s="108">
        <f t="shared" si="0"/>
        <v>14</v>
      </c>
      <c r="B21" s="113">
        <v>10</v>
      </c>
      <c r="C21" s="167">
        <v>36510000</v>
      </c>
      <c r="D21" s="130">
        <v>2961000</v>
      </c>
      <c r="E21" s="130">
        <v>0</v>
      </c>
      <c r="F21" s="130">
        <v>-56000</v>
      </c>
      <c r="G21" s="130">
        <v>152000</v>
      </c>
      <c r="H21" s="130">
        <v>26000</v>
      </c>
      <c r="I21" s="130">
        <v>0</v>
      </c>
      <c r="J21" s="130">
        <v>-2000</v>
      </c>
      <c r="K21" s="130">
        <v>0</v>
      </c>
      <c r="L21" s="130">
        <v>-8000</v>
      </c>
      <c r="M21" s="130">
        <v>-270000</v>
      </c>
      <c r="N21" s="130">
        <f>SUM(D21:M21)</f>
        <v>2803000</v>
      </c>
    </row>
    <row r="22" spans="1:14" ht="14.45" x14ac:dyDescent="0.3">
      <c r="A22" s="108">
        <f t="shared" si="0"/>
        <v>15</v>
      </c>
      <c r="B22" s="113">
        <v>31</v>
      </c>
      <c r="C22" s="167">
        <v>1383563000</v>
      </c>
      <c r="D22" s="130">
        <v>112211000</v>
      </c>
      <c r="E22" s="130">
        <v>0</v>
      </c>
      <c r="F22" s="130">
        <v>-2135000</v>
      </c>
      <c r="G22" s="130">
        <v>5745000</v>
      </c>
      <c r="H22" s="130">
        <v>974000</v>
      </c>
      <c r="I22" s="130">
        <v>0</v>
      </c>
      <c r="J22" s="130">
        <v>-82000</v>
      </c>
      <c r="K22" s="130">
        <v>0</v>
      </c>
      <c r="L22" s="130">
        <v>-342000</v>
      </c>
      <c r="M22" s="130">
        <v>0</v>
      </c>
      <c r="N22" s="130">
        <f>SUM(D22:M22)</f>
        <v>116371000</v>
      </c>
    </row>
    <row r="23" spans="1:14" ht="14.45" x14ac:dyDescent="0.3">
      <c r="A23" s="108">
        <f t="shared" si="0"/>
        <v>16</v>
      </c>
      <c r="B23" s="113">
        <v>35</v>
      </c>
      <c r="C23" s="167">
        <v>5174000</v>
      </c>
      <c r="D23" s="130">
        <v>309000</v>
      </c>
      <c r="E23" s="130">
        <v>0</v>
      </c>
      <c r="F23" s="130">
        <v>-6000</v>
      </c>
      <c r="G23" s="130">
        <v>15000</v>
      </c>
      <c r="H23" s="130">
        <v>3000</v>
      </c>
      <c r="I23" s="130">
        <v>0</v>
      </c>
      <c r="J23" s="130">
        <v>0</v>
      </c>
      <c r="K23" s="130">
        <v>0</v>
      </c>
      <c r="L23" s="130">
        <v>7000</v>
      </c>
      <c r="M23" s="130">
        <v>-38000</v>
      </c>
      <c r="N23" s="130">
        <f>SUM(D23:M23)</f>
        <v>290000</v>
      </c>
    </row>
    <row r="24" spans="1:14" ht="14.45" x14ac:dyDescent="0.3">
      <c r="A24" s="108">
        <f t="shared" si="0"/>
        <v>17</v>
      </c>
      <c r="B24" s="113">
        <v>43</v>
      </c>
      <c r="C24" s="167">
        <v>127202000</v>
      </c>
      <c r="D24" s="130">
        <v>11159000</v>
      </c>
      <c r="E24" s="130">
        <v>0</v>
      </c>
      <c r="F24" s="130">
        <v>-165000</v>
      </c>
      <c r="G24" s="130">
        <v>420000</v>
      </c>
      <c r="H24" s="130">
        <v>99000</v>
      </c>
      <c r="I24" s="130">
        <v>0</v>
      </c>
      <c r="J24" s="130">
        <v>-6000</v>
      </c>
      <c r="K24" s="130">
        <v>0</v>
      </c>
      <c r="L24" s="130">
        <v>179000</v>
      </c>
      <c r="M24" s="130">
        <v>0</v>
      </c>
      <c r="N24" s="130">
        <f>SUM(D24:M24)</f>
        <v>11686000</v>
      </c>
    </row>
    <row r="25" spans="1:14" ht="14.45" x14ac:dyDescent="0.3">
      <c r="A25" s="108">
        <f t="shared" si="0"/>
        <v>18</v>
      </c>
      <c r="B25" s="115" t="s">
        <v>14</v>
      </c>
      <c r="C25" s="168">
        <f t="shared" ref="C25" si="8">SUM(C21:C24)</f>
        <v>1552449000</v>
      </c>
      <c r="D25" s="131">
        <f t="shared" ref="D25:M25" si="9">SUM(D21:D24)</f>
        <v>126640000</v>
      </c>
      <c r="E25" s="131">
        <f t="shared" si="9"/>
        <v>0</v>
      </c>
      <c r="F25" s="131">
        <f t="shared" si="9"/>
        <v>-2362000</v>
      </c>
      <c r="G25" s="131">
        <f t="shared" si="9"/>
        <v>6332000</v>
      </c>
      <c r="H25" s="131">
        <f t="shared" si="9"/>
        <v>1102000</v>
      </c>
      <c r="I25" s="131">
        <f t="shared" si="9"/>
        <v>0</v>
      </c>
      <c r="J25" s="131">
        <f t="shared" si="9"/>
        <v>-90000</v>
      </c>
      <c r="K25" s="131">
        <f t="shared" si="9"/>
        <v>0</v>
      </c>
      <c r="L25" s="131">
        <f t="shared" si="9"/>
        <v>-164000</v>
      </c>
      <c r="M25" s="131">
        <f t="shared" si="9"/>
        <v>-308000</v>
      </c>
      <c r="N25" s="131">
        <f t="shared" ref="N25" si="10">SUM(N21:N24)</f>
        <v>131150000</v>
      </c>
    </row>
    <row r="26" spans="1:14" ht="14.45" x14ac:dyDescent="0.3">
      <c r="A26" s="108">
        <f t="shared" si="0"/>
        <v>19</v>
      </c>
      <c r="B26" s="108"/>
      <c r="C26" s="167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</row>
    <row r="27" spans="1:14" ht="14.45" x14ac:dyDescent="0.3">
      <c r="A27" s="108">
        <f t="shared" si="0"/>
        <v>20</v>
      </c>
      <c r="B27" s="113">
        <v>40</v>
      </c>
      <c r="C27" s="168">
        <v>586597000</v>
      </c>
      <c r="D27" s="131">
        <v>42793000</v>
      </c>
      <c r="E27" s="131">
        <v>0</v>
      </c>
      <c r="F27" s="131">
        <v>-1029000</v>
      </c>
      <c r="G27" s="131">
        <v>2223000</v>
      </c>
      <c r="H27" s="131">
        <v>380000</v>
      </c>
      <c r="I27" s="131">
        <v>0</v>
      </c>
      <c r="J27" s="131">
        <v>-39000</v>
      </c>
      <c r="K27" s="131">
        <v>0</v>
      </c>
      <c r="L27" s="131">
        <v>1055000</v>
      </c>
      <c r="M27" s="131">
        <v>0</v>
      </c>
      <c r="N27" s="131">
        <f>SUM(D27:M27)</f>
        <v>45383000</v>
      </c>
    </row>
    <row r="28" spans="1:14" ht="14.45" x14ac:dyDescent="0.3">
      <c r="A28" s="108">
        <f t="shared" si="0"/>
        <v>21</v>
      </c>
      <c r="B28" s="113"/>
      <c r="C28" s="167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</row>
    <row r="29" spans="1:14" ht="14.45" x14ac:dyDescent="0.3">
      <c r="A29" s="108">
        <f t="shared" si="0"/>
        <v>22</v>
      </c>
      <c r="B29" s="113">
        <v>46</v>
      </c>
      <c r="C29" s="167">
        <v>76029000</v>
      </c>
      <c r="D29" s="130">
        <v>5061000</v>
      </c>
      <c r="E29" s="130">
        <v>0</v>
      </c>
      <c r="F29" s="130">
        <v>-76000</v>
      </c>
      <c r="G29" s="130">
        <v>199000</v>
      </c>
      <c r="H29" s="130">
        <v>45000</v>
      </c>
      <c r="I29" s="130">
        <v>0</v>
      </c>
      <c r="J29" s="130">
        <v>-3000</v>
      </c>
      <c r="K29" s="130">
        <v>0</v>
      </c>
      <c r="L29" s="130">
        <v>101000</v>
      </c>
      <c r="M29" s="130">
        <v>0</v>
      </c>
      <c r="N29" s="130">
        <f>SUM(D29:M29)</f>
        <v>5327000</v>
      </c>
    </row>
    <row r="30" spans="1:14" ht="14.45" x14ac:dyDescent="0.3">
      <c r="A30" s="108">
        <f t="shared" si="0"/>
        <v>23</v>
      </c>
      <c r="B30" s="113">
        <v>49</v>
      </c>
      <c r="C30" s="167">
        <v>606297000</v>
      </c>
      <c r="D30" s="130">
        <v>39492000</v>
      </c>
      <c r="E30" s="130">
        <v>0</v>
      </c>
      <c r="F30" s="130">
        <v>-917000</v>
      </c>
      <c r="G30" s="130">
        <v>2367000</v>
      </c>
      <c r="H30" s="130">
        <v>347000</v>
      </c>
      <c r="I30" s="130">
        <v>0</v>
      </c>
      <c r="J30" s="130">
        <v>-35000</v>
      </c>
      <c r="K30" s="130">
        <v>0</v>
      </c>
      <c r="L30" s="130">
        <v>802000</v>
      </c>
      <c r="M30" s="130">
        <v>0</v>
      </c>
      <c r="N30" s="130">
        <f>SUM(D30:M30)</f>
        <v>42056000</v>
      </c>
    </row>
    <row r="31" spans="1:14" ht="14.45" x14ac:dyDescent="0.3">
      <c r="A31" s="108">
        <f t="shared" si="0"/>
        <v>24</v>
      </c>
      <c r="B31" s="115" t="s">
        <v>16</v>
      </c>
      <c r="C31" s="168">
        <f t="shared" ref="C31" si="11">SUM(C29:C30)</f>
        <v>682326000</v>
      </c>
      <c r="D31" s="131">
        <f t="shared" ref="D31:M31" si="12">SUM(D29:D30)</f>
        <v>44553000</v>
      </c>
      <c r="E31" s="131">
        <f t="shared" si="12"/>
        <v>0</v>
      </c>
      <c r="F31" s="131">
        <f t="shared" si="12"/>
        <v>-993000</v>
      </c>
      <c r="G31" s="131">
        <f t="shared" si="12"/>
        <v>2566000</v>
      </c>
      <c r="H31" s="131">
        <f t="shared" si="12"/>
        <v>392000</v>
      </c>
      <c r="I31" s="131">
        <f t="shared" si="12"/>
        <v>0</v>
      </c>
      <c r="J31" s="131">
        <f t="shared" si="12"/>
        <v>-38000</v>
      </c>
      <c r="K31" s="131">
        <f t="shared" si="12"/>
        <v>0</v>
      </c>
      <c r="L31" s="131">
        <f t="shared" si="12"/>
        <v>903000</v>
      </c>
      <c r="M31" s="131">
        <f t="shared" si="12"/>
        <v>0</v>
      </c>
      <c r="N31" s="131">
        <f t="shared" ref="N31" si="13">SUM(N29:N30)</f>
        <v>47383000</v>
      </c>
    </row>
    <row r="32" spans="1:14" ht="14.45" x14ac:dyDescent="0.3">
      <c r="A32" s="108">
        <f t="shared" si="0"/>
        <v>25</v>
      </c>
      <c r="B32" s="113"/>
      <c r="C32" s="167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</row>
    <row r="33" spans="1:14" ht="14.45" x14ac:dyDescent="0.3">
      <c r="A33" s="108">
        <f t="shared" si="0"/>
        <v>26</v>
      </c>
      <c r="B33" s="113" t="s">
        <v>18</v>
      </c>
      <c r="C33" s="168">
        <v>71427000</v>
      </c>
      <c r="D33" s="131">
        <v>16711000</v>
      </c>
      <c r="E33" s="131">
        <v>0</v>
      </c>
      <c r="F33" s="131">
        <v>-140000</v>
      </c>
      <c r="G33" s="131">
        <v>326000</v>
      </c>
      <c r="H33" s="131">
        <v>139000</v>
      </c>
      <c r="I33" s="131">
        <v>0</v>
      </c>
      <c r="J33" s="131">
        <v>-5000</v>
      </c>
      <c r="K33" s="131">
        <v>0</v>
      </c>
      <c r="L33" s="131">
        <v>0</v>
      </c>
      <c r="M33" s="131">
        <v>0</v>
      </c>
      <c r="N33" s="131">
        <f>SUM(D33:M33)</f>
        <v>17031000</v>
      </c>
    </row>
    <row r="34" spans="1:14" ht="14.45" x14ac:dyDescent="0.3">
      <c r="A34" s="108">
        <f t="shared" si="0"/>
        <v>27</v>
      </c>
      <c r="B34" s="113"/>
      <c r="C34" s="167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</row>
    <row r="35" spans="1:14" ht="14.45" x14ac:dyDescent="0.3">
      <c r="A35" s="108">
        <f t="shared" si="0"/>
        <v>28</v>
      </c>
      <c r="B35" s="113" t="s">
        <v>81</v>
      </c>
      <c r="C35" s="168">
        <v>2024995000</v>
      </c>
      <c r="D35" s="131">
        <v>8508000</v>
      </c>
      <c r="E35" s="131">
        <v>0</v>
      </c>
      <c r="F35" s="131">
        <v>0</v>
      </c>
      <c r="G35" s="131">
        <v>2120000</v>
      </c>
      <c r="H35" s="131">
        <v>67000</v>
      </c>
      <c r="I35" s="131">
        <v>0</v>
      </c>
      <c r="J35" s="131">
        <v>0</v>
      </c>
      <c r="K35" s="131">
        <v>0</v>
      </c>
      <c r="L35" s="131">
        <v>0</v>
      </c>
      <c r="M35" s="131">
        <v>-15000</v>
      </c>
      <c r="N35" s="131">
        <f>SUM(D35:M35)</f>
        <v>10680000</v>
      </c>
    </row>
    <row r="36" spans="1:14" ht="14.45" x14ac:dyDescent="0.3">
      <c r="A36" s="108">
        <f t="shared" si="0"/>
        <v>29</v>
      </c>
      <c r="B36" s="113"/>
      <c r="C36" s="167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</row>
    <row r="37" spans="1:14" thickBot="1" x14ac:dyDescent="0.35">
      <c r="A37" s="108">
        <f t="shared" si="0"/>
        <v>30</v>
      </c>
      <c r="B37" s="115" t="s">
        <v>36</v>
      </c>
      <c r="C37" s="169">
        <f t="shared" ref="C37" si="14">SUM(C10,C19,C25,C27,C31,C33,C35)</f>
        <v>24115538000</v>
      </c>
      <c r="D37" s="132">
        <f t="shared" ref="D37:M37" si="15">SUM(D10,D19,D25,D27,D31,D33,D35)</f>
        <v>2128843000</v>
      </c>
      <c r="E37" s="132">
        <f t="shared" si="15"/>
        <v>0</v>
      </c>
      <c r="F37" s="132">
        <f t="shared" si="15"/>
        <v>-38865000</v>
      </c>
      <c r="G37" s="132">
        <f t="shared" si="15"/>
        <v>101789000</v>
      </c>
      <c r="H37" s="132">
        <f t="shared" si="15"/>
        <v>18470000</v>
      </c>
      <c r="I37" s="132">
        <f t="shared" si="15"/>
        <v>0</v>
      </c>
      <c r="J37" s="132">
        <f t="shared" si="15"/>
        <v>-1483000</v>
      </c>
      <c r="K37" s="132">
        <f t="shared" si="15"/>
        <v>0</v>
      </c>
      <c r="L37" s="132">
        <f t="shared" si="15"/>
        <v>-3166000</v>
      </c>
      <c r="M37" s="132">
        <f t="shared" si="15"/>
        <v>-84110000</v>
      </c>
      <c r="N37" s="132">
        <f t="shared" ref="N37" si="16">SUM(N10,N19,N25,N27,N31,N33,N35)</f>
        <v>2121478000</v>
      </c>
    </row>
    <row r="38" spans="1:14" thickTop="1" x14ac:dyDescent="0.3">
      <c r="A38" s="108">
        <f t="shared" si="0"/>
        <v>31</v>
      </c>
      <c r="B38" s="113"/>
      <c r="C38" s="170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</row>
    <row r="39" spans="1:14" ht="14.45" x14ac:dyDescent="0.3">
      <c r="A39" s="108">
        <f t="shared" si="0"/>
        <v>32</v>
      </c>
      <c r="B39" s="113">
        <v>5</v>
      </c>
      <c r="C39" s="168">
        <v>7066000</v>
      </c>
      <c r="D39" s="131">
        <v>322000</v>
      </c>
      <c r="E39" s="131">
        <v>0</v>
      </c>
      <c r="F39" s="131">
        <v>0</v>
      </c>
      <c r="G39" s="131">
        <v>0</v>
      </c>
      <c r="H39" s="131">
        <v>0</v>
      </c>
      <c r="I39" s="131">
        <v>0</v>
      </c>
      <c r="J39" s="131">
        <v>-1000</v>
      </c>
      <c r="K39" s="131">
        <v>0</v>
      </c>
      <c r="L39" s="131">
        <v>0</v>
      </c>
      <c r="M39" s="131">
        <v>0</v>
      </c>
      <c r="N39" s="131">
        <f>SUM(D39:M39)</f>
        <v>321000</v>
      </c>
    </row>
    <row r="40" spans="1:14" ht="14.45" x14ac:dyDescent="0.3">
      <c r="A40" s="108">
        <f t="shared" si="0"/>
        <v>33</v>
      </c>
      <c r="B40" s="113"/>
      <c r="C40" s="170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</row>
    <row r="41" spans="1:14" thickBot="1" x14ac:dyDescent="0.35">
      <c r="A41" s="108">
        <f t="shared" si="0"/>
        <v>34</v>
      </c>
      <c r="B41" s="115" t="s">
        <v>128</v>
      </c>
      <c r="C41" s="169">
        <f t="shared" ref="C41" si="17">+C39+C37</f>
        <v>24122604000</v>
      </c>
      <c r="D41" s="132">
        <f t="shared" ref="D41:M41" si="18">+D39+D37</f>
        <v>2129165000</v>
      </c>
      <c r="E41" s="132">
        <f t="shared" si="18"/>
        <v>0</v>
      </c>
      <c r="F41" s="132">
        <f t="shared" si="18"/>
        <v>-38865000</v>
      </c>
      <c r="G41" s="132">
        <f t="shared" si="18"/>
        <v>101789000</v>
      </c>
      <c r="H41" s="132">
        <f t="shared" si="18"/>
        <v>18470000</v>
      </c>
      <c r="I41" s="132">
        <f t="shared" si="18"/>
        <v>0</v>
      </c>
      <c r="J41" s="132">
        <f t="shared" si="18"/>
        <v>-1484000</v>
      </c>
      <c r="K41" s="132">
        <f t="shared" si="18"/>
        <v>0</v>
      </c>
      <c r="L41" s="132">
        <f t="shared" si="18"/>
        <v>-3166000</v>
      </c>
      <c r="M41" s="132">
        <f t="shared" si="18"/>
        <v>-84110000</v>
      </c>
      <c r="N41" s="132">
        <f t="shared" ref="N41" si="19">+N39+N37</f>
        <v>2121799000</v>
      </c>
    </row>
    <row r="42" spans="1:14" ht="15.75" thickTop="1" x14ac:dyDescent="0.25"/>
    <row r="46" spans="1:14" x14ac:dyDescent="0.25">
      <c r="N46" s="171"/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65" orientation="landscape" r:id="rId1"/>
  <headerFooter alignWithMargins="0">
    <oddHeader>&amp;RAdvice No. 2018-xx
Electric Schedule 1XX Rate Design Workpapers
Page &amp;P of &amp;N</oddHeader>
    <oddFooter>&amp;L&amp;F
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83812A3530FB449AC70AF84A3BDCD81" ma:contentTypeVersion="56" ma:contentTypeDescription="" ma:contentTypeScope="" ma:versionID="67bcaa8f7b5241096f5adda8a2dac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2019-04-04T07:00:00+00:00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8DA1A7-E8D3-4E01-857F-76BE5B6A4B29}"/>
</file>

<file path=customXml/itemProps2.xml><?xml version="1.0" encoding="utf-8"?>
<ds:datastoreItem xmlns:ds="http://schemas.openxmlformats.org/officeDocument/2006/customXml" ds:itemID="{A61F6022-5D5E-4116-AEB9-D85341DEDB21}"/>
</file>

<file path=customXml/itemProps3.xml><?xml version="1.0" encoding="utf-8"?>
<ds:datastoreItem xmlns:ds="http://schemas.openxmlformats.org/officeDocument/2006/customXml" ds:itemID="{0EA67C42-20E0-4C53-8251-EAF2C3494BF6}"/>
</file>

<file path=customXml/itemProps4.xml><?xml version="1.0" encoding="utf-8"?>
<ds:datastoreItem xmlns:ds="http://schemas.openxmlformats.org/officeDocument/2006/customXml" ds:itemID="{34AB889E-084E-4791-AAC4-D754BE995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+2019 Tax Reform Rate Impacts</vt:lpstr>
      <vt:lpstr>+2019 Tax Reform Rate Design</vt:lpstr>
      <vt:lpstr>+Sch 449-459 Rate Design</vt:lpstr>
      <vt:lpstr>+UE-180280 Compliance ECOS</vt:lpstr>
      <vt:lpstr>+2019 Rev Req</vt:lpstr>
      <vt:lpstr>+2019 Street &amp; Area Lighting</vt:lpstr>
      <vt:lpstr>+Typical Res Customer Sch 140</vt:lpstr>
      <vt:lpstr>+Projected Revenue on F2017</vt:lpstr>
      <vt:lpstr>'+2019 Rev Req'!Print_Area</vt:lpstr>
      <vt:lpstr>'+2019 Street &amp; Area Lighting'!Print_Area</vt:lpstr>
      <vt:lpstr>'+2019 Tax Reform Rate Design'!Print_Area</vt:lpstr>
      <vt:lpstr>'+2019 Tax Reform Rate Impacts'!Print_Area</vt:lpstr>
      <vt:lpstr>'+Projected Revenue on F2017'!Print_Area</vt:lpstr>
      <vt:lpstr>'+Sch 449-459 Rate Design'!Print_Area</vt:lpstr>
      <vt:lpstr>'+Typical Res Customer Sch 140'!Print_Area</vt:lpstr>
      <vt:lpstr>'+UE-180280 Compliance ECOS'!Print_Area</vt:lpstr>
      <vt:lpstr>'+2019 Street &amp; Area Lighting'!Print_Titles</vt:lpstr>
      <vt:lpstr>'+UE-180280 Compliance ECOS'!Print_Titles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Paul Schmidt</cp:lastModifiedBy>
  <cp:lastPrinted>2019-03-11T03:45:45Z</cp:lastPrinted>
  <dcterms:created xsi:type="dcterms:W3CDTF">2014-04-04T17:25:38Z</dcterms:created>
  <dcterms:modified xsi:type="dcterms:W3CDTF">2019-03-20T17:04:40Z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0x0101006E56B4D1795A2E4DB2F0B01679ED314A00183812A3530FB449AC70AF84A3BDCD81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