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 defaultThemeVersion="124226"/>
  <bookViews>
    <workbookView xWindow="0" yWindow="60" windowWidth="28800" windowHeight="12165" tabRatio="806"/>
  </bookViews>
  <sheets>
    <sheet name="PFIS" sheetId="2" r:id="rId1"/>
  </sheets>
  <externalReferences>
    <externalReference r:id="rId2"/>
  </externalReferences>
  <definedNames>
    <definedName name="_xlnm.Print_Area" localSheetId="0">PFIS!$A$1:$L$62</definedName>
  </definedNames>
  <calcPr calcId="145621"/>
</workbook>
</file>

<file path=xl/calcChain.xml><?xml version="1.0" encoding="utf-8"?>
<calcChain xmlns="http://schemas.openxmlformats.org/spreadsheetml/2006/main">
  <c r="B43" i="2" l="1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K59" i="2" l="1"/>
  <c r="L6" i="2" l="1"/>
  <c r="K6" i="2"/>
  <c r="H6" i="2"/>
  <c r="E6" i="2"/>
  <c r="I74" i="2" l="1"/>
  <c r="C65" i="2" l="1"/>
  <c r="C59" i="2" l="1"/>
  <c r="C64" i="2"/>
  <c r="C66" i="2" s="1"/>
  <c r="N59" i="2" l="1"/>
  <c r="A4" i="2" l="1"/>
  <c r="A2" i="2"/>
  <c r="A3" i="2" l="1"/>
  <c r="A8" i="2" l="1"/>
  <c r="A9" i="2" s="1"/>
  <c r="A10" i="2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F58" i="2" l="1"/>
  <c r="F56" i="2"/>
  <c r="F57" i="2" l="1"/>
  <c r="F65" i="2" s="1"/>
  <c r="I56" i="2"/>
  <c r="L56" i="2" s="1"/>
  <c r="I58" i="2"/>
  <c r="I57" i="2" l="1"/>
  <c r="I65" i="2" s="1"/>
  <c r="L58" i="2"/>
  <c r="L57" i="2" l="1"/>
  <c r="L65" i="2" s="1"/>
  <c r="F43" i="2" l="1"/>
  <c r="F42" i="2"/>
  <c r="F40" i="2"/>
  <c r="F37" i="2"/>
  <c r="F35" i="2"/>
  <c r="F34" i="2"/>
  <c r="F33" i="2"/>
  <c r="F31" i="2"/>
  <c r="F30" i="2"/>
  <c r="F29" i="2"/>
  <c r="F23" i="2"/>
  <c r="F22" i="2"/>
  <c r="F21" i="2"/>
  <c r="F14" i="2"/>
  <c r="F13" i="2"/>
  <c r="F12" i="2"/>
  <c r="F11" i="2"/>
  <c r="I34" i="2" l="1"/>
  <c r="L34" i="2" s="1"/>
  <c r="I21" i="2"/>
  <c r="L21" i="2" s="1"/>
  <c r="I22" i="2"/>
  <c r="L22" i="2" s="1"/>
  <c r="I23" i="2"/>
  <c r="L23" i="2" s="1"/>
  <c r="I29" i="2"/>
  <c r="L29" i="2" s="1"/>
  <c r="I33" i="2"/>
  <c r="L33" i="2" s="1"/>
  <c r="I35" i="2"/>
  <c r="L35" i="2" s="1"/>
  <c r="I12" i="2"/>
  <c r="I13" i="2"/>
  <c r="N13" i="2" s="1"/>
  <c r="O13" i="2" s="1"/>
  <c r="I40" i="2"/>
  <c r="L40" i="2" s="1"/>
  <c r="I42" i="2"/>
  <c r="L42" i="2" s="1"/>
  <c r="I43" i="2"/>
  <c r="L43" i="2" s="1"/>
  <c r="I30" i="2"/>
  <c r="L30" i="2" s="1"/>
  <c r="I37" i="2"/>
  <c r="L37" i="2" s="1"/>
  <c r="I14" i="2"/>
  <c r="N14" i="2" s="1"/>
  <c r="O14" i="2" s="1"/>
  <c r="I11" i="2"/>
  <c r="F10" i="2"/>
  <c r="A1" i="2"/>
  <c r="F26" i="2" l="1"/>
  <c r="I31" i="2"/>
  <c r="L31" i="2" s="1"/>
  <c r="E15" i="2"/>
  <c r="I10" i="2"/>
  <c r="F25" i="2" l="1"/>
  <c r="F24" i="2"/>
  <c r="F27" i="2"/>
  <c r="F28" i="2"/>
  <c r="I28" i="2" s="1"/>
  <c r="L28" i="2" s="1"/>
  <c r="F19" i="2" l="1"/>
  <c r="H59" i="2" l="1"/>
  <c r="F47" i="2" l="1"/>
  <c r="F54" i="2" l="1"/>
  <c r="I54" i="2" l="1"/>
  <c r="L54" i="2" l="1"/>
  <c r="H15" i="2" l="1"/>
  <c r="L14" i="2" l="1"/>
  <c r="L13" i="2" l="1"/>
  <c r="F38" i="2" l="1"/>
  <c r="F55" i="2" l="1"/>
  <c r="F64" i="2" s="1"/>
  <c r="F66" i="2" s="1"/>
  <c r="E59" i="2"/>
  <c r="I55" i="2" l="1"/>
  <c r="I59" i="2" s="1"/>
  <c r="F59" i="2"/>
  <c r="L55" i="2" l="1"/>
  <c r="L59" i="2" s="1"/>
  <c r="I64" i="2"/>
  <c r="I66" i="2" s="1"/>
  <c r="L64" i="2" l="1"/>
  <c r="L66" i="2" s="1"/>
  <c r="I38" i="2" l="1"/>
  <c r="K38" i="2" l="1"/>
  <c r="L38" i="2" l="1"/>
  <c r="O38" i="2" s="1"/>
  <c r="F18" i="2" l="1"/>
  <c r="F20" i="2" l="1"/>
  <c r="F41" i="2" l="1"/>
  <c r="F48" i="2" l="1"/>
  <c r="L12" i="2" l="1"/>
  <c r="N12" i="2"/>
  <c r="O12" i="2" s="1"/>
  <c r="I24" i="2" l="1"/>
  <c r="L24" i="2" s="1"/>
  <c r="I25" i="2"/>
  <c r="L25" i="2" s="1"/>
  <c r="I26" i="2"/>
  <c r="L26" i="2" s="1"/>
  <c r="I27" i="2"/>
  <c r="L27" i="2" s="1"/>
  <c r="I19" i="2" l="1"/>
  <c r="L19" i="2" s="1"/>
  <c r="I18" i="2" l="1"/>
  <c r="L18" i="2" l="1"/>
  <c r="I20" i="2" l="1"/>
  <c r="L20" i="2" l="1"/>
  <c r="I41" i="2" l="1"/>
  <c r="L41" i="2" l="1"/>
  <c r="F62" i="2" l="1"/>
  <c r="I62" i="2" s="1"/>
  <c r="L62" i="2" s="1"/>
  <c r="C15" i="2" l="1"/>
  <c r="F9" i="2"/>
  <c r="F39" i="2"/>
  <c r="C44" i="2"/>
  <c r="C49" i="2" s="1"/>
  <c r="I9" i="2" l="1"/>
  <c r="F15" i="2"/>
  <c r="C46" i="2"/>
  <c r="C51" i="2" s="1"/>
  <c r="C61" i="2" s="1"/>
  <c r="C50" i="2"/>
  <c r="F36" i="2" l="1"/>
  <c r="I15" i="2"/>
  <c r="I39" i="2" l="1"/>
  <c r="I36" i="2" l="1"/>
  <c r="L36" i="2" s="1"/>
  <c r="E44" i="2" l="1"/>
  <c r="E46" i="2" s="1"/>
  <c r="E50" i="2" s="1"/>
  <c r="F32" i="2"/>
  <c r="F44" i="2" l="1"/>
  <c r="F49" i="2" l="1"/>
  <c r="F50" i="2" s="1"/>
  <c r="F46" i="2"/>
  <c r="F51" i="2" s="1"/>
  <c r="F61" i="2" s="1"/>
  <c r="H44" i="2" l="1"/>
  <c r="H46" i="2" s="1"/>
  <c r="I32" i="2"/>
  <c r="I44" i="2" l="1"/>
  <c r="I46" i="2" l="1"/>
  <c r="N61" i="2" l="1"/>
  <c r="N51" i="2" l="1"/>
  <c r="I47" i="2" l="1"/>
  <c r="L47" i="2" l="1"/>
  <c r="H50" i="2" l="1"/>
  <c r="I48" i="2" l="1"/>
  <c r="I51" i="2" l="1"/>
  <c r="I49" i="2"/>
  <c r="I50" i="2" s="1"/>
  <c r="I61" i="2" l="1"/>
  <c r="N10" i="2" l="1"/>
  <c r="L10" i="2"/>
  <c r="O10" i="2" l="1"/>
  <c r="N15" i="2" l="1"/>
  <c r="L39" i="2" l="1"/>
  <c r="L32" i="2" l="1"/>
  <c r="L44" i="2" s="1"/>
  <c r="K44" i="2"/>
  <c r="N48" i="2"/>
  <c r="L48" i="2" l="1"/>
  <c r="L49" i="2" s="1"/>
  <c r="K50" i="2"/>
  <c r="R19" i="2"/>
  <c r="L11" i="2" l="1"/>
  <c r="N11" i="2" l="1"/>
  <c r="L9" i="2"/>
  <c r="N9" i="2"/>
  <c r="K15" i="2"/>
  <c r="O11" i="2" l="1"/>
  <c r="O9" i="2"/>
  <c r="N39" i="2"/>
  <c r="N16" i="2"/>
  <c r="O39" i="2"/>
  <c r="L15" i="2"/>
  <c r="L46" i="2" l="1"/>
  <c r="L51" i="2" s="1"/>
  <c r="L50" i="2"/>
  <c r="O16" i="2"/>
  <c r="L61" i="2" l="1"/>
</calcChain>
</file>

<file path=xl/sharedStrings.xml><?xml version="1.0" encoding="utf-8"?>
<sst xmlns="http://schemas.openxmlformats.org/spreadsheetml/2006/main" count="64" uniqueCount="59">
  <si>
    <t>(a)</t>
  </si>
  <si>
    <t>(b)</t>
  </si>
  <si>
    <t>(d)</t>
  </si>
  <si>
    <t>(e)</t>
  </si>
  <si>
    <t>(f)</t>
  </si>
  <si>
    <t>(g)</t>
  </si>
  <si>
    <t>(h)</t>
  </si>
  <si>
    <t>Line No.</t>
  </si>
  <si>
    <t>Description</t>
  </si>
  <si>
    <t>Company End of Year</t>
  </si>
  <si>
    <t>Restated Results</t>
  </si>
  <si>
    <t>Pro Forma Results</t>
  </si>
  <si>
    <t>Source</t>
  </si>
  <si>
    <t>Input</t>
  </si>
  <si>
    <t>Schedule 1</t>
  </si>
  <si>
    <t>(d) + (e)</t>
  </si>
  <si>
    <t>Schedule 5</t>
  </si>
  <si>
    <t>(f) + (g)</t>
  </si>
  <si>
    <t>REVENUES</t>
  </si>
  <si>
    <t>EXPENSES</t>
  </si>
  <si>
    <t>OPERATING EXPENSES</t>
  </si>
  <si>
    <t>Interest Expense</t>
  </si>
  <si>
    <t>RATE BASE</t>
  </si>
  <si>
    <t xml:space="preserve">    Accumulated Depreciation</t>
  </si>
  <si>
    <t xml:space="preserve">    Accumulated Amortization</t>
  </si>
  <si>
    <t>Customer Count</t>
  </si>
  <si>
    <t>Regulatory Capital Structure</t>
  </si>
  <si>
    <t>Other Income, Ancillary Charges</t>
  </si>
  <si>
    <t>Acquisition Adjustment</t>
  </si>
  <si>
    <t>(number check)</t>
  </si>
  <si>
    <t>Utility Plant in Service (UPIS)</t>
  </si>
  <si>
    <t>(c)</t>
  </si>
  <si>
    <t>(b) + (c)</t>
  </si>
  <si>
    <t>Metered Sales</t>
  </si>
  <si>
    <t>Un-Metered Sales</t>
  </si>
  <si>
    <t>Ready-to-Serve</t>
  </si>
  <si>
    <t>Suggested FIT Rate</t>
  </si>
  <si>
    <t>Federal Income Tax (FIT)</t>
  </si>
  <si>
    <t>Select Party</t>
  </si>
  <si>
    <t>Suggested CF</t>
  </si>
  <si>
    <t>Conversion Factor (CF)</t>
  </si>
  <si>
    <t>Fire Protection / Irrigation</t>
  </si>
  <si>
    <t>Overrides</t>
  </si>
  <si>
    <t>NET RATE BASE</t>
  </si>
  <si>
    <t>OPERATING REVENUE</t>
  </si>
  <si>
    <t>NET OPERATING INCOME</t>
  </si>
  <si>
    <t>TOTAL OPERATING EXPENSE</t>
  </si>
  <si>
    <t>Rate of Return</t>
  </si>
  <si>
    <t>Contributions In Aid of Construction (CIAC) Plant in Service</t>
  </si>
  <si>
    <t>NET INCOME (LOSS)</t>
  </si>
  <si>
    <t>Percentage of Plant (Useful)</t>
  </si>
  <si>
    <t>Operating Income Before Taxes</t>
  </si>
  <si>
    <t>Net Plant</t>
  </si>
  <si>
    <t>Net CIAC</t>
  </si>
  <si>
    <t>Net Rate Base</t>
  </si>
  <si>
    <t>Company</t>
  </si>
  <si>
    <t>Normal Formula Calculations</t>
  </si>
  <si>
    <t>Jobby</t>
  </si>
  <si>
    <t>Federal Income Ta - 21%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</si>
</sst>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0.0%"/>
    <numFmt numFmtId="168" formatCode="0.000%"/>
  </numFmts>
  <fonts count="2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indexed="12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4"/>
      <name val="Arial"/>
      <family val="2"/>
    </font>
    <font>
      <b/>
      <sz val="12"/>
      <color theme="8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9" fontId="5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1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0" fontId="10" fillId="0" borderId="0"/>
    <xf numFmtId="44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9" fillId="0" borderId="0"/>
    <xf numFmtId="0" fontId="20" fillId="0" borderId="0"/>
    <xf numFmtId="44" fontId="14" fillId="0" borderId="0" applyFont="0" applyFill="0" applyBorder="0" applyAlignment="0" applyProtection="0"/>
    <xf numFmtId="38" fontId="21" fillId="0" borderId="0" applyNumberFormat="0" applyFont="0" applyFill="0" applyBorder="0">
      <alignment horizontal="left" indent="4"/>
      <protection locked="0"/>
    </xf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8">
      <alignment horizontal="center"/>
    </xf>
    <xf numFmtId="3" fontId="22" fillId="0" borderId="0" applyFont="0" applyFill="0" applyBorder="0" applyAlignment="0" applyProtection="0"/>
    <xf numFmtId="0" fontId="22" fillId="6" borderId="0" applyNumberFormat="0" applyFont="0" applyBorder="0" applyAlignment="0" applyProtection="0"/>
    <xf numFmtId="166" fontId="11" fillId="2" borderId="0" applyFont="0" applyFill="0" applyBorder="0" applyAlignment="0" applyProtection="0">
      <alignment wrapText="1"/>
    </xf>
    <xf numFmtId="0" fontId="14" fillId="7" borderId="0" applyNumberFormat="0" applyFont="0" applyFill="0" applyBorder="0" applyAlignment="0" applyProtection="0"/>
    <xf numFmtId="0" fontId="14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</cellStyleXfs>
  <cellXfs count="131">
    <xf numFmtId="0" fontId="0" fillId="0" borderId="0" xfId="0" applyNumberFormat="1" applyFont="1" applyAlignment="1" applyProtection="1">
      <protection locked="0"/>
    </xf>
    <xf numFmtId="0" fontId="5" fillId="0" borderId="0" xfId="0" applyNumberFormat="1" applyFont="1" applyAlignment="1" applyProtection="1">
      <alignment horizontal="center"/>
    </xf>
    <xf numFmtId="0" fontId="0" fillId="0" borderId="0" xfId="0" applyNumberFormat="1" applyFont="1" applyAlignment="1" applyProtection="1"/>
    <xf numFmtId="0" fontId="6" fillId="0" borderId="0" xfId="0" applyNumberFormat="1" applyFont="1" applyAlignment="1" applyProtection="1"/>
    <xf numFmtId="0" fontId="10" fillId="0" borderId="0" xfId="0" applyNumberFormat="1" applyFont="1" applyAlignment="1" applyProtection="1"/>
    <xf numFmtId="37" fontId="10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4" fontId="6" fillId="0" borderId="0" xfId="0" applyNumberFormat="1" applyFont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6" fillId="0" borderId="1" xfId="0" applyNumberFormat="1" applyFont="1" applyBorder="1" applyAlignment="1" applyProtection="1">
      <alignment horizontal="center"/>
    </xf>
    <xf numFmtId="15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37" fontId="6" fillId="0" borderId="2" xfId="0" applyNumberFormat="1" applyFont="1" applyBorder="1" applyAlignment="1" applyProtection="1">
      <alignment horizontal="center"/>
    </xf>
    <xf numFmtId="0" fontId="8" fillId="0" borderId="3" xfId="0" applyNumberFormat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center"/>
    </xf>
    <xf numFmtId="15" fontId="8" fillId="0" borderId="5" xfId="0" applyNumberFormat="1" applyFont="1" applyFill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NumberFormat="1" applyFont="1" applyAlignment="1" applyProtection="1">
      <alignment horizontal="center"/>
    </xf>
    <xf numFmtId="37" fontId="6" fillId="0" borderId="0" xfId="0" applyNumberFormat="1" applyFont="1" applyProtection="1"/>
    <xf numFmtId="0" fontId="6" fillId="0" borderId="0" xfId="0" applyNumberFormat="1" applyFont="1" applyFill="1" applyAlignment="1" applyProtection="1"/>
    <xf numFmtId="3" fontId="6" fillId="0" borderId="0" xfId="0" applyNumberFormat="1" applyFont="1" applyProtection="1"/>
    <xf numFmtId="3" fontId="6" fillId="0" borderId="0" xfId="0" applyNumberFormat="1" applyFont="1" applyFill="1" applyAlignment="1" applyProtection="1">
      <alignment horizontal="center"/>
    </xf>
    <xf numFmtId="3" fontId="6" fillId="0" borderId="0" xfId="0" applyNumberFormat="1" applyFont="1" applyBorder="1" applyProtection="1"/>
    <xf numFmtId="37" fontId="6" fillId="0" borderId="0" xfId="0" applyNumberFormat="1" applyFont="1" applyFill="1" applyProtection="1"/>
    <xf numFmtId="10" fontId="10" fillId="0" borderId="0" xfId="1" applyNumberFormat="1" applyFont="1" applyAlignment="1" applyProtection="1"/>
    <xf numFmtId="3" fontId="6" fillId="0" borderId="0" xfId="0" applyNumberFormat="1" applyFont="1" applyFill="1" applyAlignment="1" applyProtection="1"/>
    <xf numFmtId="164" fontId="6" fillId="0" borderId="6" xfId="0" applyNumberFormat="1" applyFont="1" applyBorder="1" applyProtection="1"/>
    <xf numFmtId="5" fontId="6" fillId="0" borderId="6" xfId="0" applyNumberFormat="1" applyFont="1" applyBorder="1" applyProtection="1"/>
    <xf numFmtId="164" fontId="6" fillId="0" borderId="0" xfId="0" applyNumberFormat="1" applyFont="1" applyBorder="1" applyProtection="1"/>
    <xf numFmtId="164" fontId="6" fillId="0" borderId="0" xfId="0" applyNumberFormat="1" applyFont="1" applyFill="1" applyBorder="1" applyProtection="1"/>
    <xf numFmtId="164" fontId="10" fillId="0" borderId="0" xfId="0" applyNumberFormat="1" applyFont="1" applyBorder="1" applyProtection="1"/>
    <xf numFmtId="3" fontId="6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>
      <alignment horizontal="center"/>
    </xf>
    <xf numFmtId="10" fontId="6" fillId="0" borderId="0" xfId="0" applyNumberFormat="1" applyFont="1" applyBorder="1" applyAlignment="1" applyProtection="1"/>
    <xf numFmtId="10" fontId="6" fillId="0" borderId="0" xfId="0" applyNumberFormat="1" applyFont="1" applyFill="1" applyBorder="1" applyAlignment="1" applyProtection="1"/>
    <xf numFmtId="37" fontId="6" fillId="0" borderId="0" xfId="0" applyNumberFormat="1" applyFont="1" applyBorder="1" applyProtection="1"/>
    <xf numFmtId="165" fontId="6" fillId="0" borderId="0" xfId="0" applyNumberFormat="1" applyFont="1" applyBorder="1" applyProtection="1"/>
    <xf numFmtId="165" fontId="6" fillId="0" borderId="0" xfId="0" applyNumberFormat="1" applyFont="1" applyFill="1" applyBorder="1" applyProtection="1"/>
    <xf numFmtId="3" fontId="7" fillId="0" borderId="0" xfId="0" applyNumberFormat="1" applyFont="1" applyFill="1" applyAlignment="1" applyProtection="1">
      <alignment horizontal="center"/>
    </xf>
    <xf numFmtId="44" fontId="10" fillId="0" borderId="0" xfId="4" applyNumberFormat="1" applyFont="1" applyAlignment="1" applyProtection="1"/>
    <xf numFmtId="37" fontId="6" fillId="0" borderId="0" xfId="0" applyNumberFormat="1" applyFont="1" applyFill="1" applyAlignment="1" applyProtection="1">
      <alignment horizontal="center"/>
    </xf>
    <xf numFmtId="44" fontId="10" fillId="0" borderId="0" xfId="4" applyFont="1" applyAlignment="1" applyProtection="1"/>
    <xf numFmtId="3" fontId="6" fillId="0" borderId="0" xfId="0" applyNumberFormat="1" applyFont="1" applyFill="1" applyProtection="1"/>
    <xf numFmtId="3" fontId="7" fillId="0" borderId="0" xfId="0" applyNumberFormat="1" applyFont="1" applyFill="1" applyBorder="1" applyAlignment="1" applyProtection="1">
      <alignment horizontal="center"/>
    </xf>
    <xf numFmtId="37" fontId="18" fillId="0" borderId="0" xfId="0" applyNumberFormat="1" applyFont="1" applyAlignment="1" applyProtection="1"/>
    <xf numFmtId="10" fontId="18" fillId="0" borderId="0" xfId="1" applyNumberFormat="1" applyFont="1" applyAlignment="1" applyProtection="1"/>
    <xf numFmtId="166" fontId="10" fillId="0" borderId="0" xfId="3" applyNumberFormat="1" applyFont="1" applyBorder="1" applyProtection="1"/>
    <xf numFmtId="3" fontId="6" fillId="0" borderId="0" xfId="0" applyNumberFormat="1" applyFont="1" applyFill="1" applyBorder="1" applyProtection="1"/>
    <xf numFmtId="3" fontId="7" fillId="0" borderId="0" xfId="0" applyNumberFormat="1" applyFont="1" applyFill="1" applyProtection="1"/>
    <xf numFmtId="5" fontId="6" fillId="0" borderId="0" xfId="0" applyNumberFormat="1" applyFont="1" applyFill="1" applyBorder="1" applyProtection="1"/>
    <xf numFmtId="5" fontId="7" fillId="0" borderId="6" xfId="0" applyNumberFormat="1" applyFont="1" applyFill="1" applyBorder="1" applyProtection="1"/>
    <xf numFmtId="5" fontId="7" fillId="0" borderId="0" xfId="0" applyNumberFormat="1" applyFont="1" applyFill="1" applyBorder="1" applyProtection="1"/>
    <xf numFmtId="5" fontId="7" fillId="0" borderId="0" xfId="0" applyNumberFormat="1" applyFont="1" applyFill="1" applyProtection="1"/>
    <xf numFmtId="0" fontId="6" fillId="0" borderId="0" xfId="0" applyNumberFormat="1" applyFont="1" applyFill="1" applyBorder="1" applyAlignment="1" applyProtection="1"/>
    <xf numFmtId="37" fontId="6" fillId="0" borderId="0" xfId="0" applyNumberFormat="1" applyFont="1" applyFill="1" applyBorder="1" applyProtection="1"/>
    <xf numFmtId="37" fontId="6" fillId="0" borderId="0" xfId="0" applyNumberFormat="1" applyFont="1" applyAlignment="1" applyProtection="1"/>
    <xf numFmtId="37" fontId="10" fillId="0" borderId="0" xfId="0" applyNumberFormat="1" applyFont="1" applyProtection="1"/>
    <xf numFmtId="164" fontId="6" fillId="0" borderId="6" xfId="0" applyNumberFormat="1" applyFont="1" applyFill="1" applyBorder="1" applyProtection="1"/>
    <xf numFmtId="10" fontId="7" fillId="0" borderId="0" xfId="1" applyNumberFormat="1" applyFont="1" applyProtection="1"/>
    <xf numFmtId="10" fontId="6" fillId="0" borderId="0" xfId="0" applyNumberFormat="1" applyFont="1" applyFill="1" applyAlignment="1" applyProtection="1">
      <alignment horizontal="center"/>
    </xf>
    <xf numFmtId="10" fontId="6" fillId="0" borderId="0" xfId="0" applyNumberFormat="1" applyFont="1" applyFill="1" applyBorder="1" applyProtection="1"/>
    <xf numFmtId="10" fontId="7" fillId="0" borderId="0" xfId="0" applyNumberFormat="1" applyFont="1" applyFill="1" applyProtection="1"/>
    <xf numFmtId="10" fontId="10" fillId="0" borderId="0" xfId="1" applyNumberFormat="1" applyFont="1" applyBorder="1" applyProtection="1"/>
    <xf numFmtId="0" fontId="6" fillId="0" borderId="0" xfId="0" applyNumberFormat="1" applyFont="1" applyBorder="1" applyAlignment="1" applyProtection="1"/>
    <xf numFmtId="10" fontId="5" fillId="0" borderId="0" xfId="1" applyNumberFormat="1" applyFont="1" applyAlignment="1" applyProtection="1"/>
    <xf numFmtId="0" fontId="5" fillId="0" borderId="0" xfId="0" applyNumberFormat="1" applyFont="1" applyAlignment="1" applyProtection="1">
      <alignment horizontal="center"/>
      <protection hidden="1"/>
    </xf>
    <xf numFmtId="164" fontId="6" fillId="0" borderId="6" xfId="0" applyNumberFormat="1" applyFont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37" fontId="6" fillId="0" borderId="0" xfId="0" applyNumberFormat="1" applyFont="1" applyBorder="1" applyAlignment="1" applyProtection="1">
      <alignment horizontal="center"/>
    </xf>
    <xf numFmtId="5" fontId="6" fillId="0" borderId="6" xfId="0" applyNumberFormat="1" applyFont="1" applyBorder="1" applyAlignment="1" applyProtection="1">
      <alignment horizontal="center"/>
    </xf>
    <xf numFmtId="3" fontId="6" fillId="0" borderId="0" xfId="0" applyNumberFormat="1" applyFont="1" applyAlignment="1" applyProtection="1">
      <alignment horizontal="center"/>
    </xf>
    <xf numFmtId="10" fontId="6" fillId="0" borderId="0" xfId="0" applyNumberFormat="1" applyFont="1" applyBorder="1" applyAlignment="1" applyProtection="1">
      <alignment horizontal="center"/>
    </xf>
    <xf numFmtId="37" fontId="16" fillId="0" borderId="0" xfId="0" applyNumberFormat="1" applyFont="1" applyFill="1" applyAlignment="1" applyProtection="1">
      <alignment horizontal="center"/>
    </xf>
    <xf numFmtId="37" fontId="16" fillId="0" borderId="0" xfId="0" applyNumberFormat="1" applyFont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37" fontId="9" fillId="0" borderId="0" xfId="0" applyNumberFormat="1" applyFont="1" applyAlignment="1" applyProtection="1">
      <alignment horizontal="center"/>
    </xf>
    <xf numFmtId="5" fontId="6" fillId="0" borderId="6" xfId="0" applyNumberFormat="1" applyFont="1" applyFill="1" applyBorder="1" applyAlignment="1" applyProtection="1">
      <alignment horizontal="center"/>
    </xf>
    <xf numFmtId="5" fontId="6" fillId="0" borderId="0" xfId="0" applyNumberFormat="1" applyFont="1" applyFill="1" applyAlignment="1" applyProtection="1">
      <alignment horizontal="center"/>
    </xf>
    <xf numFmtId="164" fontId="6" fillId="0" borderId="6" xfId="0" applyNumberFormat="1" applyFont="1" applyFill="1" applyBorder="1" applyAlignment="1" applyProtection="1">
      <alignment horizontal="center"/>
    </xf>
    <xf numFmtId="168" fontId="17" fillId="3" borderId="11" xfId="1" applyNumberFormat="1" applyFont="1" applyFill="1" applyBorder="1" applyAlignment="1" applyProtection="1">
      <alignment horizontal="center" vertical="center"/>
      <protection locked="0"/>
    </xf>
    <xf numFmtId="0" fontId="6" fillId="4" borderId="0" xfId="0" applyNumberFormat="1" applyFont="1" applyFill="1" applyAlignment="1" applyProtection="1">
      <alignment horizontal="center"/>
    </xf>
    <xf numFmtId="0" fontId="8" fillId="4" borderId="0" xfId="0" applyNumberFormat="1" applyFont="1" applyFill="1" applyAlignment="1" applyProtection="1">
      <alignment horizontal="center"/>
    </xf>
    <xf numFmtId="0" fontId="6" fillId="4" borderId="0" xfId="0" applyNumberFormat="1" applyFont="1" applyFill="1" applyAlignment="1" applyProtection="1"/>
    <xf numFmtId="0" fontId="0" fillId="4" borderId="0" xfId="0" applyNumberFormat="1" applyFont="1" applyFill="1" applyAlignment="1" applyProtection="1"/>
    <xf numFmtId="37" fontId="6" fillId="4" borderId="0" xfId="0" applyNumberFormat="1" applyFont="1" applyFill="1" applyProtection="1"/>
    <xf numFmtId="168" fontId="5" fillId="5" borderId="9" xfId="0" applyNumberFormat="1" applyFont="1" applyFill="1" applyBorder="1" applyAlignment="1" applyProtection="1">
      <alignment horizontal="center"/>
    </xf>
    <xf numFmtId="9" fontId="5" fillId="5" borderId="9" xfId="1" applyFont="1" applyFill="1" applyBorder="1" applyAlignment="1" applyProtection="1">
      <alignment horizontal="center"/>
    </xf>
    <xf numFmtId="0" fontId="5" fillId="0" borderId="0" xfId="0" applyFont="1" applyFill="1" applyAlignment="1" applyProtection="1"/>
    <xf numFmtId="0" fontId="6" fillId="0" borderId="0" xfId="0" applyFont="1" applyFill="1" applyAlignment="1" applyProtection="1"/>
    <xf numFmtId="3" fontId="5" fillId="0" borderId="0" xfId="0" applyNumberFormat="1" applyFont="1" applyFill="1" applyAlignment="1" applyProtection="1"/>
    <xf numFmtId="37" fontId="6" fillId="0" borderId="0" xfId="0" applyNumberFormat="1" applyFont="1" applyFill="1" applyAlignment="1" applyProtection="1"/>
    <xf numFmtId="37" fontId="6" fillId="0" borderId="7" xfId="0" applyNumberFormat="1" applyFont="1" applyFill="1" applyBorder="1" applyAlignment="1" applyProtection="1"/>
    <xf numFmtId="0" fontId="16" fillId="0" borderId="0" xfId="0" applyFont="1" applyFill="1" applyAlignment="1" applyProtection="1">
      <alignment horizontal="center"/>
    </xf>
    <xf numFmtId="3" fontId="16" fillId="0" borderId="0" xfId="0" applyNumberFormat="1" applyFont="1" applyFill="1" applyAlignment="1" applyProtection="1">
      <alignment horizontal="center"/>
    </xf>
    <xf numFmtId="5" fontId="6" fillId="0" borderId="6" xfId="0" applyNumberFormat="1" applyFont="1" applyFill="1" applyBorder="1" applyProtection="1"/>
    <xf numFmtId="5" fontId="6" fillId="0" borderId="0" xfId="0" applyNumberFormat="1" applyFont="1" applyFill="1" applyProtection="1"/>
    <xf numFmtId="10" fontId="7" fillId="0" borderId="0" xfId="1" applyNumberFormat="1" applyFont="1" applyFill="1" applyProtection="1"/>
    <xf numFmtId="10" fontId="6" fillId="0" borderId="0" xfId="0" applyNumberFormat="1" applyFont="1" applyFill="1" applyProtection="1"/>
    <xf numFmtId="3" fontId="5" fillId="0" borderId="0" xfId="0" applyNumberFormat="1" applyFont="1" applyFill="1" applyProtection="1"/>
    <xf numFmtId="10" fontId="5" fillId="0" borderId="0" xfId="1" applyNumberFormat="1" applyFont="1" applyAlignment="1" applyProtection="1">
      <alignment horizontal="left"/>
    </xf>
    <xf numFmtId="37" fontId="17" fillId="8" borderId="11" xfId="0" applyNumberFormat="1" applyFont="1" applyFill="1" applyBorder="1" applyAlignment="1" applyProtection="1">
      <alignment horizontal="center" vertical="center"/>
      <protection locked="0"/>
    </xf>
    <xf numFmtId="9" fontId="17" fillId="0" borderId="11" xfId="1" applyFont="1" applyFill="1" applyBorder="1" applyAlignment="1" applyProtection="1">
      <alignment horizontal="center" vertical="center"/>
      <protection locked="0"/>
    </xf>
    <xf numFmtId="5" fontId="10" fillId="0" borderId="0" xfId="0" applyNumberFormat="1" applyFont="1" applyAlignment="1" applyProtection="1"/>
    <xf numFmtId="167" fontId="10" fillId="0" borderId="0" xfId="1" applyNumberFormat="1" applyFont="1" applyAlignment="1" applyProtection="1"/>
    <xf numFmtId="0" fontId="6" fillId="0" borderId="0" xfId="0" applyNumberFormat="1" applyFont="1" applyAlignment="1" applyProtection="1">
      <alignment horizontal="center"/>
    </xf>
    <xf numFmtId="164" fontId="10" fillId="0" borderId="0" xfId="0" applyNumberFormat="1" applyFont="1" applyFill="1" applyBorder="1" applyProtection="1"/>
    <xf numFmtId="0" fontId="10" fillId="0" borderId="0" xfId="0" applyNumberFormat="1" applyFont="1" applyFill="1" applyAlignment="1" applyProtection="1"/>
    <xf numFmtId="37" fontId="6" fillId="0" borderId="0" xfId="0" applyNumberFormat="1" applyFont="1" applyFill="1" applyBorder="1" applyAlignment="1" applyProtection="1">
      <alignment horizontal="center"/>
    </xf>
    <xf numFmtId="9" fontId="17" fillId="0" borderId="11" xfId="1" applyFont="1" applyFill="1" applyBorder="1" applyAlignment="1" applyProtection="1">
      <alignment horizontal="center" vertical="center"/>
    </xf>
    <xf numFmtId="0" fontId="24" fillId="0" borderId="0" xfId="0" applyNumberFormat="1" applyFont="1" applyAlignment="1" applyProtection="1"/>
    <xf numFmtId="37" fontId="24" fillId="0" borderId="0" xfId="0" applyNumberFormat="1" applyFont="1" applyAlignment="1" applyProtection="1"/>
    <xf numFmtId="0" fontId="24" fillId="0" borderId="0" xfId="0" applyNumberFormat="1" applyFont="1" applyFill="1" applyAlignment="1" applyProtection="1"/>
    <xf numFmtId="0" fontId="24" fillId="0" borderId="0" xfId="0" applyNumberFormat="1" applyFont="1" applyFill="1" applyAlignment="1" applyProtection="1">
      <alignment horizontal="center"/>
    </xf>
    <xf numFmtId="0" fontId="24" fillId="0" borderId="0" xfId="0" applyNumberFormat="1" applyFont="1" applyBorder="1" applyAlignment="1" applyProtection="1"/>
    <xf numFmtId="37" fontId="24" fillId="0" borderId="10" xfId="0" applyNumberFormat="1" applyFont="1" applyBorder="1" applyAlignment="1" applyProtection="1"/>
    <xf numFmtId="0" fontId="24" fillId="0" borderId="0" xfId="0" applyNumberFormat="1" applyFont="1" applyAlignment="1" applyProtection="1">
      <alignment horizontal="right"/>
    </xf>
    <xf numFmtId="37" fontId="25" fillId="0" borderId="0" xfId="0" applyNumberFormat="1" applyFont="1" applyAlignment="1" applyProtection="1">
      <alignment horizontal="center"/>
    </xf>
    <xf numFmtId="37" fontId="25" fillId="0" borderId="0" xfId="0" applyNumberFormat="1" applyFont="1" applyFill="1" applyAlignment="1" applyProtection="1">
      <alignment horizontal="right"/>
    </xf>
    <xf numFmtId="0" fontId="6" fillId="0" borderId="0" xfId="0" applyFont="1" applyAlignment="1" applyProtection="1">
      <alignment horizontal="left"/>
    </xf>
    <xf numFmtId="14" fontId="6" fillId="0" borderId="1" xfId="0" applyNumberFormat="1" applyFont="1" applyBorder="1" applyAlignment="1" applyProtection="1">
      <alignment horizontal="left"/>
    </xf>
    <xf numFmtId="0" fontId="17" fillId="4" borderId="0" xfId="0" applyNumberFormat="1" applyFont="1" applyFill="1" applyAlignment="1" applyProtection="1">
      <alignment horizontal="center"/>
      <protection hidden="1"/>
    </xf>
  </cellXfs>
  <cellStyles count="47">
    <cellStyle name="Comma" xfId="3" builtinId="3"/>
    <cellStyle name="Comma 2" xfId="8"/>
    <cellStyle name="Comma 3" xfId="25"/>
    <cellStyle name="Currency" xfId="4" builtinId="4"/>
    <cellStyle name="Currency 2" xfId="7"/>
    <cellStyle name="Currency 2 2" xfId="15"/>
    <cellStyle name="Currency 2 3" xfId="22"/>
    <cellStyle name="Currency 3" xfId="10"/>
    <cellStyle name="Currency 4" xfId="11"/>
    <cellStyle name="Currency 5" xfId="28"/>
    <cellStyle name="Currency 6" xfId="40"/>
    <cellStyle name="Currency 6 2" xfId="46"/>
    <cellStyle name="Normal" xfId="0" builtinId="0"/>
    <cellStyle name="Normal 10" xfId="38"/>
    <cellStyle name="Normal 11" xfId="39"/>
    <cellStyle name="Normal 11 2" xfId="45"/>
    <cellStyle name="Normal 2" xfId="2"/>
    <cellStyle name="Normal 2 2" xfId="14"/>
    <cellStyle name="Normal 3" xfId="5"/>
    <cellStyle name="Normal 3 2" xfId="18"/>
    <cellStyle name="Normal 3 3" xfId="41"/>
    <cellStyle name="Normal 4" xfId="6"/>
    <cellStyle name="Normal 5" xfId="13"/>
    <cellStyle name="Normal 5 2" xfId="17"/>
    <cellStyle name="Normal 5 3" xfId="43"/>
    <cellStyle name="Normal 6" xfId="20"/>
    <cellStyle name="Normal 7" xfId="23"/>
    <cellStyle name="Normal 8" xfId="26"/>
    <cellStyle name="Normal 9" xfId="27"/>
    <cellStyle name="Normal 9 2" xfId="44"/>
    <cellStyle name="Percent" xfId="1" builtinId="5"/>
    <cellStyle name="Percent 2" xfId="9"/>
    <cellStyle name="Percent 2 2" xfId="19"/>
    <cellStyle name="Percent 2 3" xfId="42"/>
    <cellStyle name="Percent 3" xfId="12"/>
    <cellStyle name="Percent 3 2" xfId="16"/>
    <cellStyle name="Percent 4" xfId="21"/>
    <cellStyle name="Percent 5" xfId="24"/>
    <cellStyle name="PS_Comma" xfId="29"/>
    <cellStyle name="PSChar" xfId="30"/>
    <cellStyle name="PSDate" xfId="31"/>
    <cellStyle name="PSDec" xfId="32"/>
    <cellStyle name="PSHeading" xfId="33"/>
    <cellStyle name="PSInt" xfId="34"/>
    <cellStyle name="PSSpacer" xfId="35"/>
    <cellStyle name="WM_STANDARD" xfId="36"/>
    <cellStyle name="WMI_Standard" xfId="37"/>
  </cellStyles>
  <dxfs count="0"/>
  <tableStyles count="0" defaultTableStyle="TableStyleMedium9" defaultPivotStyle="PivotStyleLight16"/>
  <colors>
    <mruColors>
      <color rgb="FFFFFF99"/>
      <color rgb="FFDBF5E0"/>
      <color rgb="FFFF5757"/>
      <color rgb="FFFFD5DA"/>
      <color rgb="FFE6DCEB"/>
      <color rgb="FFFFECAF"/>
      <color rgb="FFE2EBCD"/>
      <color rgb="FFFFFFE1"/>
      <color rgb="FFCCFFCC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WCLLC%202018%20GRC_Water_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System DOH"/>
      <sheetName val="Input Calculations"/>
      <sheetName val="Inputs"/>
      <sheetName val="Output"/>
      <sheetName val="Info"/>
      <sheetName val="PFIS"/>
      <sheetName val="Sch 1 ADJs"/>
      <sheetName val="Sch 2.1 Co Restating"/>
      <sheetName val="Sch 2.2 Co ProForma"/>
      <sheetName val="Sch 3.1 Staff Restating"/>
      <sheetName val="Sch 3.2 Staff ProForma"/>
      <sheetName val="Sch 4 Cap"/>
      <sheetName val="Sch 5 NTG Factor"/>
      <sheetName val="Sch 6 Rev Req"/>
      <sheetName val="Sch 7 Interest Sync"/>
      <sheetName val="Sch 9 DEPN"/>
      <sheetName val="Sch 9.1 CIAC Amortization"/>
      <sheetName val="Sch 10.1 Rate Design"/>
      <sheetName val="Sch 10.2 Rate Data"/>
      <sheetName val="Sch 11 Crossover"/>
      <sheetName val="Sch 12 Bill Calculator"/>
      <sheetName val="Sch 13 Capacity Factors"/>
      <sheetName val="Sch 14 Service Lives"/>
      <sheetName val="Bill Revised"/>
      <sheetName val="Sheet1"/>
    </sheetNames>
    <sheetDataSet>
      <sheetData sheetId="0" refreshError="1"/>
      <sheetData sheetId="1" refreshError="1"/>
      <sheetData sheetId="2">
        <row r="17">
          <cell r="I17" t="str">
            <v>Salary and Wages - Employees</v>
          </cell>
        </row>
        <row r="18">
          <cell r="I18" t="str">
            <v>Salary and Wages - Officers</v>
          </cell>
        </row>
        <row r="19">
          <cell r="I19" t="str">
            <v>Employee Pensions and Benefits</v>
          </cell>
        </row>
        <row r="20">
          <cell r="I20" t="str">
            <v>Purchased Power/Water</v>
          </cell>
        </row>
        <row r="21">
          <cell r="I21" t="str">
            <v>Chemicals &amp; Testing</v>
          </cell>
        </row>
        <row r="22">
          <cell r="I22" t="str">
            <v>Material &amp; Supplies</v>
          </cell>
        </row>
        <row r="23">
          <cell r="I23" t="str">
            <v>Contractual Engineer</v>
          </cell>
        </row>
        <row r="24">
          <cell r="I24" t="str">
            <v>Contractual Accounting</v>
          </cell>
        </row>
        <row r="25">
          <cell r="I25" t="str">
            <v>Contractual Legal</v>
          </cell>
        </row>
        <row r="26">
          <cell r="I26" t="str">
            <v>Contractual Operations</v>
          </cell>
        </row>
        <row r="27">
          <cell r="I27" t="str">
            <v>Jobbing</v>
          </cell>
        </row>
        <row r="28">
          <cell r="I28" t="str">
            <v>Rental of Building, Property, and Equipment</v>
          </cell>
        </row>
        <row r="29">
          <cell r="I29" t="str">
            <v>Transportation</v>
          </cell>
        </row>
        <row r="30">
          <cell r="I30" t="str">
            <v>Insurance - Vehicle, General Liability, Workman's Comp.</v>
          </cell>
        </row>
        <row r="31">
          <cell r="I31" t="str">
            <v>Regulatory Commission Expenses - Fees</v>
          </cell>
        </row>
        <row r="32">
          <cell r="I32" t="str">
            <v>Regulatory Commission Expenses - Amort. Rate Case</v>
          </cell>
        </row>
        <row r="33">
          <cell r="I33" t="str">
            <v>Travel, Education, CCR, and Public Relations</v>
          </cell>
        </row>
        <row r="34">
          <cell r="I34" t="str">
            <v>Office, Postage, Phone, and Bank Charges</v>
          </cell>
        </row>
        <row r="35">
          <cell r="I35" t="str">
            <v>Bad Debt</v>
          </cell>
        </row>
        <row r="36">
          <cell r="I36" t="str">
            <v>Repairs</v>
          </cell>
        </row>
        <row r="37">
          <cell r="I37" t="str">
            <v>Net Depreciation/Amortization</v>
          </cell>
        </row>
        <row r="38">
          <cell r="I38" t="str">
            <v>Utility Excise Tax</v>
          </cell>
        </row>
        <row r="39">
          <cell r="I39" t="str">
            <v>Property Tax</v>
          </cell>
        </row>
        <row r="40">
          <cell r="I40" t="str">
            <v>Payroll Tax</v>
          </cell>
        </row>
        <row r="41">
          <cell r="I41" t="str">
            <v>Other Taxes &amp; Licenses (DOH/PWB/ESD/DOE)</v>
          </cell>
        </row>
        <row r="42">
          <cell r="I42" t="str">
            <v>Miscellaneous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V74"/>
  <sheetViews>
    <sheetView showGridLines="0" showZeros="0" tabSelected="1" showOutlineSymbols="0" topLeftCell="B5" zoomScale="90" zoomScaleNormal="90" zoomScaleSheetLayoutView="75" workbookViewId="0">
      <pane xSplit="1" ySplit="3" topLeftCell="C8" activePane="bottomRight" state="frozen"/>
      <selection activeCell="F50" sqref="F50"/>
      <selection pane="topRight" activeCell="F50" sqref="F50"/>
      <selection pane="bottomLeft" activeCell="F50" sqref="F50"/>
      <selection pane="bottomRight" activeCell="K33" sqref="K33"/>
    </sheetView>
  </sheetViews>
  <sheetFormatPr defaultColWidth="10.6640625" defaultRowHeight="15.75" x14ac:dyDescent="0.25"/>
  <cols>
    <col min="1" max="1" width="5.88671875" style="6" bestFit="1" customWidth="1"/>
    <col min="2" max="2" width="47.5546875" style="3" bestFit="1" customWidth="1"/>
    <col min="3" max="3" width="11.88671875" style="3" customWidth="1"/>
    <col min="4" max="4" width="1.6640625" style="29" customWidth="1"/>
    <col min="5" max="5" width="18.109375" style="3" customWidth="1"/>
    <col min="6" max="6" width="13" style="3" bestFit="1" customWidth="1"/>
    <col min="7" max="7" width="1.6640625" style="9" customWidth="1"/>
    <col min="8" max="8" width="19.21875" style="3" customWidth="1"/>
    <col min="9" max="9" width="13.6640625" style="3" customWidth="1"/>
    <col min="10" max="10" width="1.6640625" style="73" customWidth="1"/>
    <col min="11" max="11" width="14.6640625" style="3" bestFit="1" customWidth="1"/>
    <col min="12" max="12" width="16.77734375" style="3" customWidth="1"/>
    <col min="13" max="13" width="1.6640625" style="3" customWidth="1"/>
    <col min="14" max="14" width="8.6640625" style="3" bestFit="1" customWidth="1"/>
    <col min="15" max="15" width="22.21875" style="3" bestFit="1" customWidth="1"/>
    <col min="16" max="16" width="2.44140625" style="3" customWidth="1"/>
    <col min="17" max="17" width="32.21875" style="3" bestFit="1" customWidth="1"/>
    <col min="18" max="18" width="15.21875" style="3" bestFit="1" customWidth="1"/>
    <col min="19" max="19" width="2.44140625" style="3" customWidth="1"/>
    <col min="20" max="22" width="10.6640625" style="3" customWidth="1"/>
    <col min="23" max="16384" width="10.6640625" style="3"/>
  </cols>
  <sheetData>
    <row r="1" spans="1:19" ht="15.95" customHeight="1" x14ac:dyDescent="0.25">
      <c r="A1" s="128" t="e">
        <f>+#REF!</f>
        <v>#REF!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9" ht="15.95" customHeight="1" x14ac:dyDescent="0.25">
      <c r="A2" s="128" t="e">
        <f>+#REF!</f>
        <v>#REF!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9" ht="15.95" customHeight="1" x14ac:dyDescent="0.25">
      <c r="A3" s="128" t="e">
        <f>+#REF!</f>
        <v>#REF!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9" ht="15.95" customHeight="1" x14ac:dyDescent="0.25">
      <c r="A4" s="129" t="e">
        <f>#REF!</f>
        <v>#REF!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9" s="114" customFormat="1" ht="15.95" customHeight="1" x14ac:dyDescent="0.25">
      <c r="A5" s="6"/>
      <c r="B5" s="7" t="s">
        <v>0</v>
      </c>
      <c r="C5" s="8" t="s">
        <v>1</v>
      </c>
      <c r="D5" s="9"/>
      <c r="E5" s="1" t="s">
        <v>31</v>
      </c>
      <c r="F5" s="114" t="s">
        <v>2</v>
      </c>
      <c r="G5" s="10"/>
      <c r="H5" s="114" t="s">
        <v>3</v>
      </c>
      <c r="I5" s="114" t="s">
        <v>4</v>
      </c>
      <c r="J5" s="11"/>
      <c r="K5" s="114" t="s">
        <v>5</v>
      </c>
      <c r="L5" s="114" t="s">
        <v>6</v>
      </c>
      <c r="M5" s="9"/>
    </row>
    <row r="6" spans="1:19" s="114" customFormat="1" ht="31.5" x14ac:dyDescent="0.25">
      <c r="A6" s="12" t="s">
        <v>7</v>
      </c>
      <c r="B6" s="13" t="s">
        <v>8</v>
      </c>
      <c r="C6" s="12" t="s">
        <v>9</v>
      </c>
      <c r="D6" s="14"/>
      <c r="E6" s="12" t="str">
        <f>IF($Q$10="Company","Total Restating Adjustment (Company)", "Total Restating Adjustment (Staff)")</f>
        <v>Total Restating Adjustment (Company)</v>
      </c>
      <c r="F6" s="12" t="s">
        <v>10</v>
      </c>
      <c r="G6" s="15"/>
      <c r="H6" s="16" t="str">
        <f>IF($Q$10="Company","Total Pro Forma Adjustment (Company)", "Total Pro Forma Adjustment (Staff)")</f>
        <v>Total Pro Forma Adjustment (Company)</v>
      </c>
      <c r="I6" s="12" t="s">
        <v>11</v>
      </c>
      <c r="J6" s="17"/>
      <c r="K6" s="12" t="str">
        <f>IF($Q$10="Company","Proposed Revenue (Company)", "Revised Revenue (Staff)")</f>
        <v>Proposed Revenue (Company)</v>
      </c>
      <c r="L6" s="12" t="str">
        <f>IF($Q$10="Company","Results of Proposed Rates (Company)", "Results of Revised Rates (Staff)")</f>
        <v>Results of Proposed Rates (Company)</v>
      </c>
      <c r="M6" s="18"/>
      <c r="P6" s="75"/>
      <c r="Q6" s="75"/>
    </row>
    <row r="7" spans="1:19" s="27" customFormat="1" ht="15.95" customHeight="1" x14ac:dyDescent="0.25">
      <c r="A7" s="19">
        <v>1</v>
      </c>
      <c r="B7" s="20" t="s">
        <v>12</v>
      </c>
      <c r="C7" s="21" t="s">
        <v>13</v>
      </c>
      <c r="D7" s="22"/>
      <c r="E7" s="23" t="s">
        <v>14</v>
      </c>
      <c r="F7" s="23" t="s">
        <v>32</v>
      </c>
      <c r="G7" s="24"/>
      <c r="H7" s="23" t="s">
        <v>14</v>
      </c>
      <c r="I7" s="23" t="s">
        <v>15</v>
      </c>
      <c r="J7" s="23"/>
      <c r="K7" s="23" t="s">
        <v>16</v>
      </c>
      <c r="L7" s="25" t="s">
        <v>17</v>
      </c>
      <c r="M7" s="26"/>
      <c r="P7" s="91"/>
      <c r="Q7" s="130" t="s">
        <v>42</v>
      </c>
      <c r="R7" s="130"/>
      <c r="S7" s="91"/>
    </row>
    <row r="8" spans="1:19" s="114" customFormat="1" ht="15.95" customHeight="1" x14ac:dyDescent="0.25">
      <c r="A8" s="19">
        <f>1+A7</f>
        <v>2</v>
      </c>
      <c r="B8" s="102" t="s">
        <v>18</v>
      </c>
      <c r="C8" s="17"/>
      <c r="D8" s="14"/>
      <c r="E8" s="17"/>
      <c r="F8" s="17"/>
      <c r="G8" s="15"/>
      <c r="H8" s="17"/>
      <c r="I8" s="17"/>
      <c r="J8" s="17"/>
      <c r="K8" s="17"/>
      <c r="L8" s="17"/>
      <c r="M8" s="15"/>
      <c r="P8" s="90"/>
      <c r="S8" s="90"/>
    </row>
    <row r="9" spans="1:19" ht="15.95" customHeight="1" thickBot="1" x14ac:dyDescent="0.3">
      <c r="A9" s="19">
        <f t="shared" ref="A9:A62" si="0">1+A8</f>
        <v>3</v>
      </c>
      <c r="B9" s="97" t="s">
        <v>33</v>
      </c>
      <c r="C9" s="28">
        <v>641410</v>
      </c>
      <c r="E9" s="6">
        <v>19046</v>
      </c>
      <c r="F9" s="30">
        <f t="shared" ref="F9:F14" si="1">E9+C9</f>
        <v>660456</v>
      </c>
      <c r="G9" s="31"/>
      <c r="H9" s="6">
        <v>0</v>
      </c>
      <c r="I9" s="30">
        <f>+H9+F9</f>
        <v>660456</v>
      </c>
      <c r="J9" s="32"/>
      <c r="K9" s="82">
        <v>225933</v>
      </c>
      <c r="L9" s="28">
        <f t="shared" ref="L9:L14" si="2">+K9+I9</f>
        <v>886389</v>
      </c>
      <c r="M9" s="33"/>
      <c r="N9" s="34">
        <f t="shared" ref="N9:N14" si="3">IF(OR(K9=0, I9=0), "", (K9/I9))</f>
        <v>0.34208637668519931</v>
      </c>
      <c r="O9" s="4" t="str">
        <f>IF(N9="", "", "(percentage difference)")</f>
        <v>(percentage difference)</v>
      </c>
      <c r="P9" s="92"/>
      <c r="Q9" s="1" t="s">
        <v>38</v>
      </c>
      <c r="S9" s="92"/>
    </row>
    <row r="10" spans="1:19" ht="15.95" customHeight="1" thickBot="1" x14ac:dyDescent="0.3">
      <c r="A10" s="19">
        <f t="shared" si="0"/>
        <v>4</v>
      </c>
      <c r="B10" s="97" t="s">
        <v>34</v>
      </c>
      <c r="C10" s="28">
        <v>0</v>
      </c>
      <c r="D10" s="35"/>
      <c r="E10" s="6">
        <v>0</v>
      </c>
      <c r="F10" s="30">
        <f t="shared" si="1"/>
        <v>0</v>
      </c>
      <c r="G10" s="31"/>
      <c r="H10" s="6">
        <v>0</v>
      </c>
      <c r="I10" s="30">
        <f>+F10+H10</f>
        <v>0</v>
      </c>
      <c r="J10" s="32"/>
      <c r="K10" s="82"/>
      <c r="L10" s="28">
        <f t="shared" si="2"/>
        <v>0</v>
      </c>
      <c r="M10" s="33"/>
      <c r="N10" s="34" t="str">
        <f t="shared" si="3"/>
        <v/>
      </c>
      <c r="O10" s="4" t="str">
        <f t="shared" ref="O10:O16" si="4">IF(N10="", "", "(percentage difference)")</f>
        <v/>
      </c>
      <c r="P10" s="92"/>
      <c r="Q10" s="110" t="s">
        <v>55</v>
      </c>
      <c r="S10" s="92"/>
    </row>
    <row r="11" spans="1:19" ht="15.95" customHeight="1" x14ac:dyDescent="0.25">
      <c r="A11" s="19">
        <f t="shared" si="0"/>
        <v>5</v>
      </c>
      <c r="B11" s="97" t="s">
        <v>35</v>
      </c>
      <c r="C11" s="28">
        <v>19281</v>
      </c>
      <c r="D11" s="35"/>
      <c r="E11" s="6">
        <v>0</v>
      </c>
      <c r="F11" s="30">
        <f t="shared" si="1"/>
        <v>19281</v>
      </c>
      <c r="G11" s="31"/>
      <c r="H11" s="6">
        <v>0</v>
      </c>
      <c r="I11" s="30">
        <f>F11+H11</f>
        <v>19281</v>
      </c>
      <c r="J11" s="32"/>
      <c r="K11" s="82">
        <v>12594</v>
      </c>
      <c r="L11" s="28">
        <f t="shared" si="2"/>
        <v>31875</v>
      </c>
      <c r="M11" s="33"/>
      <c r="N11" s="34">
        <f t="shared" si="3"/>
        <v>0.65318188890617701</v>
      </c>
      <c r="O11" s="4" t="str">
        <f t="shared" si="4"/>
        <v>(percentage difference)</v>
      </c>
      <c r="P11" s="92"/>
      <c r="S11" s="92"/>
    </row>
    <row r="12" spans="1:19" ht="15.95" customHeight="1" thickBot="1" x14ac:dyDescent="0.3">
      <c r="A12" s="19">
        <f t="shared" si="0"/>
        <v>6</v>
      </c>
      <c r="B12" s="97" t="s">
        <v>41</v>
      </c>
      <c r="C12" s="28">
        <v>0</v>
      </c>
      <c r="D12" s="35"/>
      <c r="E12" s="6">
        <v>0</v>
      </c>
      <c r="F12" s="30">
        <f t="shared" si="1"/>
        <v>0</v>
      </c>
      <c r="G12" s="31"/>
      <c r="H12" s="6">
        <v>0</v>
      </c>
      <c r="I12" s="30">
        <f>F12+H12</f>
        <v>0</v>
      </c>
      <c r="J12" s="32"/>
      <c r="K12" s="82">
        <v>0</v>
      </c>
      <c r="L12" s="28">
        <f t="shared" si="2"/>
        <v>0</v>
      </c>
      <c r="M12" s="33"/>
      <c r="N12" s="34" t="str">
        <f t="shared" si="3"/>
        <v/>
      </c>
      <c r="O12" s="4" t="str">
        <f t="shared" si="4"/>
        <v/>
      </c>
      <c r="P12" s="92"/>
      <c r="Q12" s="1" t="s">
        <v>26</v>
      </c>
      <c r="S12" s="92"/>
    </row>
    <row r="13" spans="1:19" ht="15.95" customHeight="1" thickBot="1" x14ac:dyDescent="0.3">
      <c r="A13" s="19">
        <f t="shared" si="0"/>
        <v>7</v>
      </c>
      <c r="B13" s="97" t="s">
        <v>57</v>
      </c>
      <c r="C13" s="28">
        <v>420</v>
      </c>
      <c r="D13" s="35"/>
      <c r="E13" s="6">
        <v>0</v>
      </c>
      <c r="F13" s="30">
        <f t="shared" si="1"/>
        <v>420</v>
      </c>
      <c r="G13" s="31"/>
      <c r="H13" s="6">
        <v>0</v>
      </c>
      <c r="I13" s="30">
        <f>F13+H13</f>
        <v>420</v>
      </c>
      <c r="J13" s="32"/>
      <c r="K13" s="83">
        <v>0</v>
      </c>
      <c r="L13" s="28">
        <f t="shared" si="2"/>
        <v>420</v>
      </c>
      <c r="M13" s="33"/>
      <c r="N13" s="34" t="str">
        <f t="shared" si="3"/>
        <v/>
      </c>
      <c r="O13" s="4" t="str">
        <f t="shared" si="4"/>
        <v/>
      </c>
      <c r="P13" s="92"/>
      <c r="Q13" s="110" t="s">
        <v>56</v>
      </c>
      <c r="S13" s="92"/>
    </row>
    <row r="14" spans="1:19" ht="15.95" customHeight="1" thickBot="1" x14ac:dyDescent="0.3">
      <c r="A14" s="19">
        <f t="shared" si="0"/>
        <v>8</v>
      </c>
      <c r="B14" s="97" t="s">
        <v>27</v>
      </c>
      <c r="C14" s="28">
        <v>38030</v>
      </c>
      <c r="D14" s="35"/>
      <c r="E14" s="6">
        <v>0</v>
      </c>
      <c r="F14" s="30">
        <f t="shared" si="1"/>
        <v>38030</v>
      </c>
      <c r="G14" s="31"/>
      <c r="H14" s="6">
        <v>0</v>
      </c>
      <c r="I14" s="30">
        <f>F14+H14</f>
        <v>38030</v>
      </c>
      <c r="J14" s="32"/>
      <c r="K14" s="83">
        <v>6000</v>
      </c>
      <c r="L14" s="28">
        <f t="shared" si="2"/>
        <v>44030</v>
      </c>
      <c r="M14" s="33"/>
      <c r="N14" s="34">
        <f t="shared" si="3"/>
        <v>0.15777018143570865</v>
      </c>
      <c r="O14" s="4" t="str">
        <f t="shared" si="4"/>
        <v>(percentage difference)</v>
      </c>
      <c r="P14" s="92"/>
      <c r="S14" s="92"/>
    </row>
    <row r="15" spans="1:19" ht="15.95" customHeight="1" thickTop="1" thickBot="1" x14ac:dyDescent="0.3">
      <c r="A15" s="19">
        <f t="shared" si="0"/>
        <v>9</v>
      </c>
      <c r="B15" s="97" t="s">
        <v>44</v>
      </c>
      <c r="C15" s="36">
        <f>SUM(C9:C14)</f>
        <v>699141</v>
      </c>
      <c r="D15" s="35"/>
      <c r="E15" s="76">
        <f>SUM(E9:E14)</f>
        <v>19046</v>
      </c>
      <c r="F15" s="36">
        <f>SUM(F9:F14)</f>
        <v>718187</v>
      </c>
      <c r="G15" s="31"/>
      <c r="H15" s="79">
        <f>SUM(H9:H14)</f>
        <v>0</v>
      </c>
      <c r="I15" s="36">
        <f>SUM(I9:I14)</f>
        <v>718187</v>
      </c>
      <c r="J15" s="38"/>
      <c r="K15" s="86">
        <f>SUM(K9:K14)</f>
        <v>244527</v>
      </c>
      <c r="L15" s="36">
        <f>SUM(L9:L14)</f>
        <v>962714</v>
      </c>
      <c r="M15" s="39"/>
      <c r="N15" s="40" t="e">
        <f>#REF!</f>
        <v>#REF!</v>
      </c>
      <c r="O15" s="4" t="s">
        <v>29</v>
      </c>
      <c r="P15" s="92"/>
      <c r="Q15" s="1" t="s">
        <v>37</v>
      </c>
      <c r="R15" s="1" t="s">
        <v>36</v>
      </c>
      <c r="S15" s="92"/>
    </row>
    <row r="16" spans="1:19" ht="15.95" customHeight="1" thickBot="1" x14ac:dyDescent="0.3">
      <c r="A16" s="19">
        <f t="shared" si="0"/>
        <v>10</v>
      </c>
      <c r="B16" s="29"/>
      <c r="C16" s="32"/>
      <c r="D16" s="41"/>
      <c r="E16" s="77"/>
      <c r="F16" s="32"/>
      <c r="G16" s="42"/>
      <c r="H16" s="81"/>
      <c r="I16" s="43"/>
      <c r="J16" s="43"/>
      <c r="K16" s="81"/>
      <c r="L16" s="43"/>
      <c r="M16" s="44"/>
      <c r="N16" s="34">
        <f>K15/I15</f>
        <v>0.34047817629670268</v>
      </c>
      <c r="O16" s="4" t="str">
        <f t="shared" si="4"/>
        <v>(percentage difference)</v>
      </c>
      <c r="P16" s="92"/>
      <c r="Q16" s="111">
        <v>0.21</v>
      </c>
      <c r="R16" s="96">
        <v>0.21</v>
      </c>
      <c r="S16" s="92"/>
    </row>
    <row r="17" spans="1:21" ht="15.95" customHeight="1" x14ac:dyDescent="0.25">
      <c r="A17" s="19">
        <f t="shared" si="0"/>
        <v>11</v>
      </c>
      <c r="B17" s="103" t="s">
        <v>19</v>
      </c>
      <c r="C17" s="45"/>
      <c r="D17" s="41"/>
      <c r="E17" s="78"/>
      <c r="F17" s="46"/>
      <c r="G17" s="42"/>
      <c r="H17" s="77"/>
      <c r="I17" s="46"/>
      <c r="J17" s="46"/>
      <c r="K17" s="84"/>
      <c r="L17" s="46"/>
      <c r="M17" s="47"/>
      <c r="N17" s="4"/>
      <c r="O17" s="4"/>
      <c r="P17" s="92"/>
      <c r="S17" s="92"/>
    </row>
    <row r="18" spans="1:21" ht="15.95" customHeight="1" thickBot="1" x14ac:dyDescent="0.3">
      <c r="A18" s="19">
        <f t="shared" si="0"/>
        <v>12</v>
      </c>
      <c r="B18" s="99" t="str">
        <f>+[1]Inputs!I17</f>
        <v>Salary and Wages - Employees</v>
      </c>
      <c r="C18" s="28">
        <v>297275</v>
      </c>
      <c r="D18" s="35"/>
      <c r="E18" s="6">
        <v>0</v>
      </c>
      <c r="F18" s="28">
        <f t="shared" ref="F18:F43" si="5">E18+C18</f>
        <v>297275</v>
      </c>
      <c r="G18" s="31"/>
      <c r="H18" s="6">
        <v>0</v>
      </c>
      <c r="I18" s="28">
        <f t="shared" ref="I18:I43" si="6">F18+H18</f>
        <v>297275</v>
      </c>
      <c r="J18" s="45"/>
      <c r="K18" s="6"/>
      <c r="L18" s="28">
        <f t="shared" ref="L18:L43" si="7">I18+K18</f>
        <v>297275</v>
      </c>
      <c r="M18" s="33"/>
      <c r="P18" s="92"/>
      <c r="Q18" s="1" t="s">
        <v>40</v>
      </c>
      <c r="R18" s="1" t="s">
        <v>39</v>
      </c>
      <c r="S18" s="92"/>
      <c r="T18" s="34"/>
      <c r="U18" s="4"/>
    </row>
    <row r="19" spans="1:21" ht="15.95" customHeight="1" thickBot="1" x14ac:dyDescent="0.3">
      <c r="A19" s="19">
        <f t="shared" si="0"/>
        <v>13</v>
      </c>
      <c r="B19" s="99" t="str">
        <f>+[1]Inputs!I18</f>
        <v>Salary and Wages - Officers</v>
      </c>
      <c r="C19" s="28">
        <v>0</v>
      </c>
      <c r="D19" s="35"/>
      <c r="E19" s="6">
        <v>0</v>
      </c>
      <c r="F19" s="28">
        <f t="shared" si="5"/>
        <v>0</v>
      </c>
      <c r="G19" s="31"/>
      <c r="H19" s="6"/>
      <c r="I19" s="28">
        <f t="shared" si="6"/>
        <v>0</v>
      </c>
      <c r="J19" s="45"/>
      <c r="K19" s="6"/>
      <c r="L19" s="28">
        <f t="shared" si="7"/>
        <v>0</v>
      </c>
      <c r="M19" s="33"/>
      <c r="P19" s="93"/>
      <c r="Q19" s="89">
        <v>0.1202</v>
      </c>
      <c r="R19" s="95" t="e">
        <f>#REF!</f>
        <v>#REF!</v>
      </c>
      <c r="S19" s="93"/>
      <c r="T19" s="34"/>
      <c r="U19" s="4"/>
    </row>
    <row r="20" spans="1:21" ht="15.95" customHeight="1" x14ac:dyDescent="0.25">
      <c r="A20" s="19">
        <f t="shared" si="0"/>
        <v>14</v>
      </c>
      <c r="B20" s="99" t="str">
        <f>+[1]Inputs!I19</f>
        <v>Employee Pensions and Benefits</v>
      </c>
      <c r="C20" s="28">
        <v>33812</v>
      </c>
      <c r="D20" s="35"/>
      <c r="E20" s="6">
        <v>0</v>
      </c>
      <c r="F20" s="28">
        <f t="shared" si="5"/>
        <v>33812</v>
      </c>
      <c r="G20" s="31"/>
      <c r="H20" s="6">
        <v>0</v>
      </c>
      <c r="I20" s="28">
        <f t="shared" si="6"/>
        <v>33812</v>
      </c>
      <c r="J20" s="45"/>
      <c r="K20" s="6"/>
      <c r="L20" s="28">
        <f t="shared" si="7"/>
        <v>33812</v>
      </c>
      <c r="M20" s="33"/>
      <c r="P20" s="93"/>
      <c r="Q20" s="2"/>
      <c r="R20" s="2"/>
      <c r="S20" s="93"/>
      <c r="T20" s="34"/>
      <c r="U20" s="4"/>
    </row>
    <row r="21" spans="1:21" ht="15.95" customHeight="1" thickBot="1" x14ac:dyDescent="0.3">
      <c r="A21" s="19">
        <f t="shared" si="0"/>
        <v>15</v>
      </c>
      <c r="B21" s="99" t="str">
        <f>+[1]Inputs!I20</f>
        <v>Purchased Power/Water</v>
      </c>
      <c r="C21" s="28">
        <v>137607</v>
      </c>
      <c r="D21" s="35"/>
      <c r="E21" s="6">
        <v>0</v>
      </c>
      <c r="F21" s="28">
        <f t="shared" si="5"/>
        <v>137607</v>
      </c>
      <c r="G21" s="48"/>
      <c r="H21" s="6">
        <v>0</v>
      </c>
      <c r="I21" s="28">
        <f t="shared" si="6"/>
        <v>137607</v>
      </c>
      <c r="J21" s="45"/>
      <c r="K21" s="6"/>
      <c r="L21" s="28">
        <f t="shared" si="7"/>
        <v>137607</v>
      </c>
      <c r="M21" s="33"/>
      <c r="N21" s="49"/>
      <c r="O21" s="4"/>
      <c r="P21" s="93"/>
      <c r="Q21" s="1" t="s">
        <v>50</v>
      </c>
      <c r="R21" s="2"/>
      <c r="S21" s="93"/>
    </row>
    <row r="22" spans="1:21" ht="15.95" customHeight="1" thickBot="1" x14ac:dyDescent="0.3">
      <c r="A22" s="19">
        <f t="shared" si="0"/>
        <v>16</v>
      </c>
      <c r="B22" s="99" t="str">
        <f>+[1]Inputs!I21</f>
        <v>Chemicals &amp; Testing</v>
      </c>
      <c r="C22" s="28">
        <v>14547</v>
      </c>
      <c r="D22" s="35"/>
      <c r="E22" s="6">
        <v>0</v>
      </c>
      <c r="F22" s="28">
        <f t="shared" si="5"/>
        <v>14547</v>
      </c>
      <c r="G22" s="31"/>
      <c r="H22" s="6">
        <v>0</v>
      </c>
      <c r="I22" s="28">
        <f t="shared" si="6"/>
        <v>14547</v>
      </c>
      <c r="J22" s="45"/>
      <c r="K22" s="6"/>
      <c r="L22" s="28">
        <f t="shared" si="7"/>
        <v>14547</v>
      </c>
      <c r="M22" s="33"/>
      <c r="N22" s="49"/>
      <c r="O22" s="4"/>
      <c r="P22" s="92"/>
      <c r="Q22" s="118">
        <v>1</v>
      </c>
      <c r="S22" s="92"/>
    </row>
    <row r="23" spans="1:21" ht="15.95" customHeight="1" x14ac:dyDescent="0.25">
      <c r="A23" s="19">
        <f t="shared" si="0"/>
        <v>17</v>
      </c>
      <c r="B23" s="99" t="str">
        <f>+[1]Inputs!I22</f>
        <v>Material &amp; Supplies</v>
      </c>
      <c r="C23" s="28">
        <v>40129</v>
      </c>
      <c r="E23" s="6">
        <v>0</v>
      </c>
      <c r="F23" s="28">
        <f t="shared" si="5"/>
        <v>40129</v>
      </c>
      <c r="G23" s="31"/>
      <c r="H23" s="6">
        <v>0</v>
      </c>
      <c r="I23" s="28">
        <f t="shared" si="6"/>
        <v>40129</v>
      </c>
      <c r="J23" s="45"/>
      <c r="K23" s="6"/>
      <c r="L23" s="28">
        <f t="shared" si="7"/>
        <v>40129</v>
      </c>
      <c r="M23" s="33"/>
      <c r="N23" s="49"/>
      <c r="O23" s="4"/>
      <c r="P23" s="92"/>
      <c r="S23" s="92"/>
    </row>
    <row r="24" spans="1:21" ht="15.95" customHeight="1" x14ac:dyDescent="0.25">
      <c r="A24" s="19">
        <f t="shared" si="0"/>
        <v>18</v>
      </c>
      <c r="B24" s="99" t="str">
        <f>+[1]Inputs!I23</f>
        <v>Contractual Engineer</v>
      </c>
      <c r="C24" s="28">
        <v>15630</v>
      </c>
      <c r="E24" s="6">
        <v>0</v>
      </c>
      <c r="F24" s="28">
        <f t="shared" si="5"/>
        <v>15630</v>
      </c>
      <c r="G24" s="50"/>
      <c r="H24" s="6">
        <v>0</v>
      </c>
      <c r="I24" s="28">
        <f t="shared" si="6"/>
        <v>15630</v>
      </c>
      <c r="J24" s="45"/>
      <c r="K24" s="6"/>
      <c r="L24" s="28">
        <f t="shared" si="7"/>
        <v>15630</v>
      </c>
      <c r="M24" s="33"/>
      <c r="N24" s="49"/>
      <c r="O24" s="34"/>
      <c r="P24" s="92"/>
      <c r="S24" s="92"/>
    </row>
    <row r="25" spans="1:21" ht="15.95" customHeight="1" x14ac:dyDescent="0.25">
      <c r="A25" s="19">
        <f t="shared" si="0"/>
        <v>19</v>
      </c>
      <c r="B25" s="99" t="str">
        <f>+[1]Inputs!I24</f>
        <v>Contractual Accounting</v>
      </c>
      <c r="C25" s="28">
        <v>0</v>
      </c>
      <c r="D25" s="35"/>
      <c r="E25" s="6">
        <v>0</v>
      </c>
      <c r="F25" s="28">
        <f t="shared" si="5"/>
        <v>0</v>
      </c>
      <c r="G25" s="31"/>
      <c r="H25" s="6">
        <v>0</v>
      </c>
      <c r="I25" s="28">
        <f t="shared" si="6"/>
        <v>0</v>
      </c>
      <c r="J25" s="45"/>
      <c r="K25" s="6"/>
      <c r="L25" s="28">
        <f t="shared" si="7"/>
        <v>0</v>
      </c>
      <c r="M25" s="33"/>
      <c r="N25" s="49"/>
      <c r="O25" s="4"/>
      <c r="P25" s="92"/>
      <c r="S25" s="92"/>
    </row>
    <row r="26" spans="1:21" ht="15.95" customHeight="1" x14ac:dyDescent="0.25">
      <c r="A26" s="19">
        <f t="shared" si="0"/>
        <v>20</v>
      </c>
      <c r="B26" s="99" t="str">
        <f>+[1]Inputs!I25</f>
        <v>Contractual Legal</v>
      </c>
      <c r="C26" s="28">
        <v>3440</v>
      </c>
      <c r="D26" s="35"/>
      <c r="E26" s="6">
        <v>0</v>
      </c>
      <c r="F26" s="28">
        <f t="shared" si="5"/>
        <v>3440</v>
      </c>
      <c r="H26" s="6">
        <v>0</v>
      </c>
      <c r="I26" s="28">
        <f t="shared" si="6"/>
        <v>3440</v>
      </c>
      <c r="J26" s="45"/>
      <c r="K26" s="6"/>
      <c r="L26" s="28">
        <f t="shared" si="7"/>
        <v>3440</v>
      </c>
      <c r="M26" s="33"/>
      <c r="N26" s="49"/>
      <c r="O26" s="4"/>
      <c r="P26" s="92"/>
      <c r="S26" s="92"/>
    </row>
    <row r="27" spans="1:21" ht="15.95" customHeight="1" x14ac:dyDescent="0.25">
      <c r="A27" s="19">
        <f t="shared" si="0"/>
        <v>21</v>
      </c>
      <c r="B27" s="99" t="str">
        <f>+[1]Inputs!I26</f>
        <v>Contractual Operations</v>
      </c>
      <c r="C27" s="28">
        <v>51894</v>
      </c>
      <c r="D27" s="35"/>
      <c r="E27" s="6">
        <v>0</v>
      </c>
      <c r="F27" s="28">
        <f t="shared" si="5"/>
        <v>51894</v>
      </c>
      <c r="G27" s="50"/>
      <c r="H27" s="6">
        <v>0</v>
      </c>
      <c r="I27" s="28">
        <f t="shared" si="6"/>
        <v>51894</v>
      </c>
      <c r="J27" s="45"/>
      <c r="K27" s="6"/>
      <c r="L27" s="28">
        <f t="shared" si="7"/>
        <v>51894</v>
      </c>
      <c r="M27" s="33"/>
      <c r="N27" s="49"/>
      <c r="O27" s="4"/>
      <c r="P27" s="92"/>
      <c r="S27" s="92"/>
    </row>
    <row r="28" spans="1:21" ht="15.95" customHeight="1" x14ac:dyDescent="0.25">
      <c r="A28" s="19">
        <f t="shared" si="0"/>
        <v>22</v>
      </c>
      <c r="B28" s="99" t="str">
        <f>+[1]Inputs!I27</f>
        <v>Jobbing</v>
      </c>
      <c r="C28" s="28">
        <v>0</v>
      </c>
      <c r="D28" s="35"/>
      <c r="E28" s="6">
        <v>0</v>
      </c>
      <c r="F28" s="28">
        <f t="shared" si="5"/>
        <v>0</v>
      </c>
      <c r="G28" s="50"/>
      <c r="H28" s="6">
        <v>0</v>
      </c>
      <c r="I28" s="28">
        <f t="shared" si="6"/>
        <v>0</v>
      </c>
      <c r="J28" s="45"/>
      <c r="K28" s="6"/>
      <c r="L28" s="28">
        <f t="shared" si="7"/>
        <v>0</v>
      </c>
      <c r="M28" s="33"/>
      <c r="N28" s="34"/>
      <c r="O28" s="4"/>
      <c r="P28" s="92"/>
      <c r="S28" s="92"/>
    </row>
    <row r="29" spans="1:21" ht="15.95" customHeight="1" x14ac:dyDescent="0.25">
      <c r="A29" s="19">
        <f t="shared" si="0"/>
        <v>23</v>
      </c>
      <c r="B29" s="99" t="str">
        <f>+[1]Inputs!I28</f>
        <v>Rental of Building, Property, and Equipment</v>
      </c>
      <c r="C29" s="28">
        <v>33974</v>
      </c>
      <c r="D29" s="35"/>
      <c r="E29" s="6">
        <v>0</v>
      </c>
      <c r="F29" s="28">
        <f t="shared" si="5"/>
        <v>33974</v>
      </c>
      <c r="G29" s="31"/>
      <c r="H29" s="6">
        <v>0</v>
      </c>
      <c r="I29" s="28">
        <f t="shared" si="6"/>
        <v>33974</v>
      </c>
      <c r="J29" s="45"/>
      <c r="K29" s="6"/>
      <c r="L29" s="28">
        <f t="shared" si="7"/>
        <v>33974</v>
      </c>
      <c r="M29" s="33"/>
      <c r="N29" s="51"/>
      <c r="O29" s="4"/>
      <c r="P29" s="92"/>
      <c r="S29" s="92"/>
    </row>
    <row r="30" spans="1:21" ht="15.95" customHeight="1" x14ac:dyDescent="0.25">
      <c r="A30" s="19">
        <f t="shared" si="0"/>
        <v>24</v>
      </c>
      <c r="B30" s="99" t="str">
        <f>+[1]Inputs!I29</f>
        <v>Transportation</v>
      </c>
      <c r="C30" s="28">
        <v>26390</v>
      </c>
      <c r="D30" s="35"/>
      <c r="E30" s="6">
        <v>0</v>
      </c>
      <c r="F30" s="28">
        <f t="shared" si="5"/>
        <v>26390</v>
      </c>
      <c r="G30" s="31"/>
      <c r="H30" s="6">
        <v>0</v>
      </c>
      <c r="I30" s="28">
        <f t="shared" si="6"/>
        <v>26390</v>
      </c>
      <c r="J30" s="45"/>
      <c r="K30" s="6"/>
      <c r="L30" s="28">
        <f t="shared" si="7"/>
        <v>26390</v>
      </c>
      <c r="M30" s="33"/>
      <c r="N30" s="34"/>
      <c r="O30" s="4"/>
      <c r="P30" s="92"/>
      <c r="S30" s="92"/>
    </row>
    <row r="31" spans="1:21" ht="15.95" customHeight="1" x14ac:dyDescent="0.25">
      <c r="A31" s="19">
        <f t="shared" si="0"/>
        <v>25</v>
      </c>
      <c r="B31" s="99" t="str">
        <f>+[1]Inputs!I30</f>
        <v>Insurance - Vehicle, General Liability, Workman's Comp.</v>
      </c>
      <c r="C31" s="28">
        <v>15461</v>
      </c>
      <c r="D31" s="35"/>
      <c r="E31" s="6">
        <v>0</v>
      </c>
      <c r="F31" s="28">
        <f t="shared" si="5"/>
        <v>15461</v>
      </c>
      <c r="G31" s="31"/>
      <c r="H31" s="6">
        <v>0</v>
      </c>
      <c r="I31" s="28">
        <f t="shared" si="6"/>
        <v>15461</v>
      </c>
      <c r="J31" s="45"/>
      <c r="K31" s="6"/>
      <c r="L31" s="28">
        <f t="shared" si="7"/>
        <v>15461</v>
      </c>
      <c r="M31" s="33"/>
      <c r="N31" s="49"/>
      <c r="O31" s="4"/>
      <c r="P31" s="92"/>
      <c r="S31" s="92"/>
    </row>
    <row r="32" spans="1:21" ht="15.95" customHeight="1" x14ac:dyDescent="0.25">
      <c r="A32" s="19">
        <f t="shared" si="0"/>
        <v>26</v>
      </c>
      <c r="B32" s="99" t="str">
        <f>+[1]Inputs!I31</f>
        <v>Regulatory Commission Expenses - Fees</v>
      </c>
      <c r="C32" s="28">
        <v>1198</v>
      </c>
      <c r="D32" s="35"/>
      <c r="E32" s="6">
        <v>94</v>
      </c>
      <c r="F32" s="28">
        <f t="shared" si="5"/>
        <v>1292</v>
      </c>
      <c r="G32" s="48"/>
      <c r="H32" s="6">
        <v>0</v>
      </c>
      <c r="I32" s="28">
        <f t="shared" si="6"/>
        <v>1292</v>
      </c>
      <c r="J32" s="45"/>
      <c r="K32" s="85">
        <v>460</v>
      </c>
      <c r="L32" s="28">
        <f t="shared" si="7"/>
        <v>1752</v>
      </c>
      <c r="M32" s="33"/>
      <c r="N32" s="49"/>
      <c r="O32" s="4"/>
      <c r="P32" s="92"/>
      <c r="S32" s="92"/>
    </row>
    <row r="33" spans="1:19" ht="15.95" customHeight="1" x14ac:dyDescent="0.25">
      <c r="A33" s="19">
        <f t="shared" si="0"/>
        <v>27</v>
      </c>
      <c r="B33" s="99" t="str">
        <f>+[1]Inputs!I32</f>
        <v>Regulatory Commission Expenses - Amort. Rate Case</v>
      </c>
      <c r="C33" s="28">
        <v>5742</v>
      </c>
      <c r="D33" s="35"/>
      <c r="E33" s="6">
        <v>0</v>
      </c>
      <c r="F33" s="28">
        <f t="shared" si="5"/>
        <v>5742</v>
      </c>
      <c r="G33" s="31"/>
      <c r="H33" s="6">
        <v>3333</v>
      </c>
      <c r="I33" s="28">
        <f t="shared" si="6"/>
        <v>9075</v>
      </c>
      <c r="J33" s="45"/>
      <c r="K33" s="6"/>
      <c r="L33" s="28">
        <f t="shared" si="7"/>
        <v>9075</v>
      </c>
      <c r="M33" s="33"/>
      <c r="N33" s="49"/>
      <c r="O33" s="4"/>
      <c r="P33" s="92"/>
      <c r="S33" s="92"/>
    </row>
    <row r="34" spans="1:19" ht="15.95" customHeight="1" x14ac:dyDescent="0.25">
      <c r="A34" s="19">
        <f t="shared" si="0"/>
        <v>28</v>
      </c>
      <c r="B34" s="99" t="str">
        <f>+[1]Inputs!I33</f>
        <v>Travel, Education, CCR, and Public Relations</v>
      </c>
      <c r="C34" s="28">
        <v>1322</v>
      </c>
      <c r="D34" s="35"/>
      <c r="E34" s="6">
        <v>0</v>
      </c>
      <c r="F34" s="28">
        <f t="shared" si="5"/>
        <v>1322</v>
      </c>
      <c r="G34" s="31"/>
      <c r="H34" s="6">
        <v>0</v>
      </c>
      <c r="I34" s="28">
        <f t="shared" si="6"/>
        <v>1322</v>
      </c>
      <c r="J34" s="45"/>
      <c r="K34" s="6"/>
      <c r="L34" s="28">
        <f t="shared" si="7"/>
        <v>1322</v>
      </c>
      <c r="M34" s="33"/>
      <c r="N34" s="49"/>
      <c r="O34" s="4"/>
      <c r="P34" s="92"/>
      <c r="S34" s="92"/>
    </row>
    <row r="35" spans="1:19" ht="15.95" customHeight="1" x14ac:dyDescent="0.25">
      <c r="A35" s="19">
        <f t="shared" si="0"/>
        <v>29</v>
      </c>
      <c r="B35" s="99" t="str">
        <f>+[1]Inputs!I34</f>
        <v>Office, Postage, Phone, and Bank Charges</v>
      </c>
      <c r="C35" s="28">
        <v>42191</v>
      </c>
      <c r="D35" s="35"/>
      <c r="E35" s="6">
        <v>0</v>
      </c>
      <c r="F35" s="28">
        <f t="shared" si="5"/>
        <v>42191</v>
      </c>
      <c r="G35" s="31"/>
      <c r="H35" s="6">
        <v>0</v>
      </c>
      <c r="I35" s="28">
        <f t="shared" si="6"/>
        <v>42191</v>
      </c>
      <c r="J35" s="45"/>
      <c r="K35" s="6"/>
      <c r="L35" s="28">
        <f t="shared" si="7"/>
        <v>42191</v>
      </c>
      <c r="M35" s="33"/>
      <c r="N35" s="49"/>
      <c r="O35" s="4"/>
      <c r="P35" s="92"/>
      <c r="S35" s="92"/>
    </row>
    <row r="36" spans="1:19" ht="15.95" customHeight="1" x14ac:dyDescent="0.25">
      <c r="A36" s="19">
        <f t="shared" si="0"/>
        <v>30</v>
      </c>
      <c r="B36" s="99" t="str">
        <f>+[1]Inputs!I35</f>
        <v>Bad Debt</v>
      </c>
      <c r="C36" s="28">
        <v>1427</v>
      </c>
      <c r="D36" s="35"/>
      <c r="E36" s="6">
        <v>0</v>
      </c>
      <c r="F36" s="28">
        <f t="shared" si="5"/>
        <v>1427</v>
      </c>
      <c r="G36" s="50"/>
      <c r="H36" s="6">
        <v>0</v>
      </c>
      <c r="I36" s="28">
        <f t="shared" si="6"/>
        <v>1427</v>
      </c>
      <c r="J36" s="45"/>
      <c r="K36" s="6"/>
      <c r="L36" s="28">
        <f t="shared" si="7"/>
        <v>1427</v>
      </c>
      <c r="M36" s="33"/>
      <c r="N36" s="34"/>
      <c r="O36" s="4"/>
      <c r="P36" s="92"/>
      <c r="S36" s="92"/>
    </row>
    <row r="37" spans="1:19" ht="15.95" customHeight="1" x14ac:dyDescent="0.25">
      <c r="A37" s="19">
        <f t="shared" si="0"/>
        <v>31</v>
      </c>
      <c r="B37" s="99" t="str">
        <f>+[1]Inputs!I36</f>
        <v>Repairs</v>
      </c>
      <c r="C37" s="28">
        <v>0</v>
      </c>
      <c r="D37" s="35"/>
      <c r="E37" s="6">
        <v>0</v>
      </c>
      <c r="F37" s="28">
        <f t="shared" si="5"/>
        <v>0</v>
      </c>
      <c r="G37" s="50"/>
      <c r="H37" s="6">
        <v>0</v>
      </c>
      <c r="I37" s="28">
        <f t="shared" si="6"/>
        <v>0</v>
      </c>
      <c r="J37" s="45"/>
      <c r="K37" s="6"/>
      <c r="L37" s="28">
        <f t="shared" si="7"/>
        <v>0</v>
      </c>
      <c r="M37" s="33"/>
      <c r="N37" s="34"/>
      <c r="O37" s="4"/>
      <c r="P37" s="92"/>
      <c r="S37" s="92"/>
    </row>
    <row r="38" spans="1:19" ht="15.95" customHeight="1" x14ac:dyDescent="0.25">
      <c r="A38" s="19">
        <f t="shared" si="0"/>
        <v>32</v>
      </c>
      <c r="B38" s="99" t="str">
        <f>+[1]Inputs!I37</f>
        <v>Net Depreciation/Amortization</v>
      </c>
      <c r="C38" s="28">
        <v>56723</v>
      </c>
      <c r="D38" s="35"/>
      <c r="E38" s="50">
        <v>0</v>
      </c>
      <c r="F38" s="33">
        <f t="shared" si="5"/>
        <v>56723</v>
      </c>
      <c r="G38" s="31"/>
      <c r="H38" s="126">
        <v>0</v>
      </c>
      <c r="I38" s="28">
        <f t="shared" si="6"/>
        <v>56723</v>
      </c>
      <c r="J38" s="45"/>
      <c r="K38" s="85">
        <f>IF(I59&lt;=0, -I38, 0)</f>
        <v>0</v>
      </c>
      <c r="L38" s="28">
        <f t="shared" si="7"/>
        <v>56723</v>
      </c>
      <c r="M38" s="33"/>
      <c r="N38" s="49"/>
      <c r="O38" s="113">
        <f>+L38/L54</f>
        <v>1.6060248796111315E-2</v>
      </c>
      <c r="P38" s="92"/>
      <c r="S38" s="92"/>
    </row>
    <row r="39" spans="1:19" ht="15.95" customHeight="1" x14ac:dyDescent="0.25">
      <c r="A39" s="19">
        <f t="shared" si="0"/>
        <v>33</v>
      </c>
      <c r="B39" s="99" t="str">
        <f>+[1]Inputs!I38</f>
        <v>Utility Excise Tax</v>
      </c>
      <c r="C39" s="28">
        <v>0</v>
      </c>
      <c r="D39" s="35"/>
      <c r="E39" s="6">
        <v>0</v>
      </c>
      <c r="F39" s="28">
        <f t="shared" si="5"/>
        <v>0</v>
      </c>
      <c r="G39" s="31"/>
      <c r="H39" s="6">
        <v>0</v>
      </c>
      <c r="I39" s="28">
        <f t="shared" si="6"/>
        <v>0</v>
      </c>
      <c r="J39" s="28"/>
      <c r="K39" s="85"/>
      <c r="L39" s="28">
        <f t="shared" si="7"/>
        <v>0</v>
      </c>
      <c r="M39" s="33"/>
      <c r="N39" s="74">
        <f>+K39/K15</f>
        <v>0</v>
      </c>
      <c r="O39" s="109">
        <f>+L39/SUM(L9:L12)</f>
        <v>0</v>
      </c>
      <c r="P39" s="92"/>
      <c r="S39" s="92"/>
    </row>
    <row r="40" spans="1:19" ht="15.95" customHeight="1" x14ac:dyDescent="0.25">
      <c r="A40" s="19">
        <f t="shared" si="0"/>
        <v>34</v>
      </c>
      <c r="B40" s="99" t="str">
        <f>+[1]Inputs!I39</f>
        <v>Property Tax</v>
      </c>
      <c r="C40" s="28">
        <v>1754</v>
      </c>
      <c r="D40" s="35"/>
      <c r="E40" s="6">
        <v>0</v>
      </c>
      <c r="F40" s="28">
        <f t="shared" si="5"/>
        <v>1754</v>
      </c>
      <c r="H40" s="6">
        <v>0</v>
      </c>
      <c r="I40" s="28">
        <f t="shared" si="6"/>
        <v>1754</v>
      </c>
      <c r="J40" s="45"/>
      <c r="K40" s="6"/>
      <c r="L40" s="28">
        <f t="shared" si="7"/>
        <v>1754</v>
      </c>
      <c r="M40" s="33"/>
      <c r="N40" s="49"/>
      <c r="O40" s="4"/>
      <c r="P40" s="92"/>
      <c r="S40" s="92"/>
    </row>
    <row r="41" spans="1:19" ht="15.95" customHeight="1" x14ac:dyDescent="0.25">
      <c r="A41" s="19">
        <f t="shared" si="0"/>
        <v>35</v>
      </c>
      <c r="B41" s="99" t="str">
        <f>+[1]Inputs!I40</f>
        <v>Payroll Tax</v>
      </c>
      <c r="C41" s="28">
        <v>29995</v>
      </c>
      <c r="D41" s="35"/>
      <c r="E41" s="6">
        <v>0</v>
      </c>
      <c r="F41" s="28">
        <f t="shared" si="5"/>
        <v>29995</v>
      </c>
      <c r="G41" s="31"/>
      <c r="H41" s="6">
        <v>0</v>
      </c>
      <c r="I41" s="28">
        <f t="shared" si="6"/>
        <v>29995</v>
      </c>
      <c r="J41" s="28"/>
      <c r="K41" s="85"/>
      <c r="L41" s="28">
        <f t="shared" si="7"/>
        <v>29995</v>
      </c>
      <c r="M41" s="33"/>
      <c r="N41" s="49"/>
      <c r="O41" s="28"/>
      <c r="P41" s="92"/>
      <c r="S41" s="92"/>
    </row>
    <row r="42" spans="1:19" ht="15.95" customHeight="1" x14ac:dyDescent="0.25">
      <c r="A42" s="19">
        <f t="shared" si="0"/>
        <v>36</v>
      </c>
      <c r="B42" s="99" t="str">
        <f>+[1]Inputs!I41</f>
        <v>Other Taxes &amp; Licenses (DOH/PWB/ESD/DOE)</v>
      </c>
      <c r="C42" s="28">
        <v>10668</v>
      </c>
      <c r="D42" s="35"/>
      <c r="E42" s="6">
        <v>0</v>
      </c>
      <c r="F42" s="28">
        <f t="shared" si="5"/>
        <v>10668</v>
      </c>
      <c r="H42" s="6">
        <v>0</v>
      </c>
      <c r="I42" s="28">
        <f t="shared" si="6"/>
        <v>10668</v>
      </c>
      <c r="J42" s="45"/>
      <c r="K42" s="6"/>
      <c r="L42" s="28">
        <f t="shared" si="7"/>
        <v>10668</v>
      </c>
      <c r="M42" s="33"/>
      <c r="N42" s="49"/>
      <c r="O42" s="5"/>
      <c r="P42" s="92"/>
      <c r="S42" s="92"/>
    </row>
    <row r="43" spans="1:19" ht="15.95" customHeight="1" thickBot="1" x14ac:dyDescent="0.3">
      <c r="A43" s="19">
        <f t="shared" si="0"/>
        <v>37</v>
      </c>
      <c r="B43" s="99" t="str">
        <f>+[1]Inputs!I42</f>
        <v>Miscellaneous</v>
      </c>
      <c r="C43" s="28">
        <v>0</v>
      </c>
      <c r="D43" s="35"/>
      <c r="E43" s="6">
        <v>0</v>
      </c>
      <c r="F43" s="28">
        <f t="shared" si="5"/>
        <v>0</v>
      </c>
      <c r="G43" s="31"/>
      <c r="H43" s="6">
        <v>0</v>
      </c>
      <c r="I43" s="28">
        <f t="shared" si="6"/>
        <v>0</v>
      </c>
      <c r="J43" s="28"/>
      <c r="K43" s="85"/>
      <c r="L43" s="28">
        <f t="shared" si="7"/>
        <v>0</v>
      </c>
      <c r="M43" s="33"/>
      <c r="N43" s="49"/>
      <c r="O43" s="4"/>
      <c r="P43" s="92"/>
      <c r="S43" s="92"/>
    </row>
    <row r="44" spans="1:19" ht="15.95" customHeight="1" thickTop="1" x14ac:dyDescent="0.25">
      <c r="A44" s="19">
        <f t="shared" si="0"/>
        <v>38</v>
      </c>
      <c r="B44" s="98" t="s">
        <v>20</v>
      </c>
      <c r="C44" s="37">
        <f>SUM(C18:C43)</f>
        <v>821179</v>
      </c>
      <c r="D44" s="35"/>
      <c r="E44" s="79">
        <f>SUM(E18:E43)</f>
        <v>94</v>
      </c>
      <c r="F44" s="36">
        <f>SUM(F18:F43)</f>
        <v>821273</v>
      </c>
      <c r="G44" s="31"/>
      <c r="H44" s="79">
        <f>SUM(H18:H43)</f>
        <v>3333</v>
      </c>
      <c r="I44" s="36">
        <f>SUM(I18:I43)</f>
        <v>824606</v>
      </c>
      <c r="J44" s="38"/>
      <c r="K44" s="79">
        <f>SUM(K18:K43)</f>
        <v>460</v>
      </c>
      <c r="L44" s="36">
        <f>SUM(L18:L43)</f>
        <v>825066</v>
      </c>
      <c r="M44" s="39"/>
      <c r="N44" s="4"/>
      <c r="O44" s="4"/>
      <c r="P44" s="92"/>
      <c r="S44" s="92"/>
    </row>
    <row r="45" spans="1:19" ht="15.95" customHeight="1" x14ac:dyDescent="0.25">
      <c r="A45" s="19">
        <f t="shared" si="0"/>
        <v>39</v>
      </c>
      <c r="B45" s="29"/>
      <c r="D45" s="35"/>
      <c r="E45" s="114"/>
      <c r="F45" s="30"/>
      <c r="G45" s="31"/>
      <c r="H45" s="80"/>
      <c r="I45" s="30"/>
      <c r="J45" s="32"/>
      <c r="K45" s="80"/>
      <c r="L45" s="30"/>
      <c r="M45" s="52"/>
      <c r="N45" s="4"/>
      <c r="O45" s="4"/>
      <c r="P45" s="92"/>
      <c r="S45" s="92"/>
    </row>
    <row r="46" spans="1:19" ht="15.95" customHeight="1" x14ac:dyDescent="0.25">
      <c r="A46" s="19">
        <f t="shared" si="0"/>
        <v>40</v>
      </c>
      <c r="B46" s="97" t="s">
        <v>51</v>
      </c>
      <c r="C46" s="33">
        <f>C15-C44</f>
        <v>-122038</v>
      </c>
      <c r="D46" s="35"/>
      <c r="E46" s="50">
        <f>E15-E44</f>
        <v>18952</v>
      </c>
      <c r="F46" s="33">
        <f>F15-F44</f>
        <v>-103086</v>
      </c>
      <c r="G46" s="31"/>
      <c r="H46" s="50">
        <f>H15-H44</f>
        <v>-3333</v>
      </c>
      <c r="I46" s="33">
        <f>I15-I44</f>
        <v>-106419</v>
      </c>
      <c r="J46" s="45"/>
      <c r="K46" s="6"/>
      <c r="L46" s="28">
        <f>L15-L44</f>
        <v>137648</v>
      </c>
      <c r="M46" s="33"/>
      <c r="N46" s="4"/>
      <c r="O46" s="4"/>
      <c r="P46" s="92"/>
      <c r="S46" s="92"/>
    </row>
    <row r="47" spans="1:19" ht="15.95" customHeight="1" x14ac:dyDescent="0.25">
      <c r="A47" s="19">
        <f t="shared" si="0"/>
        <v>41</v>
      </c>
      <c r="B47" s="98" t="s">
        <v>21</v>
      </c>
      <c r="C47" s="33">
        <v>33040</v>
      </c>
      <c r="D47" s="35"/>
      <c r="E47" s="50">
        <v>0</v>
      </c>
      <c r="F47" s="33">
        <f>+E47+C47</f>
        <v>33040</v>
      </c>
      <c r="G47" s="53"/>
      <c r="H47" s="50">
        <v>-25081</v>
      </c>
      <c r="I47" s="33">
        <f>F47+H47</f>
        <v>7959</v>
      </c>
      <c r="J47" s="53"/>
      <c r="K47" s="6"/>
      <c r="L47" s="28">
        <f>I47+K47</f>
        <v>7959</v>
      </c>
      <c r="M47" s="33"/>
      <c r="N47" s="54"/>
      <c r="O47" s="55"/>
      <c r="P47" s="92"/>
      <c r="S47" s="92"/>
    </row>
    <row r="48" spans="1:19" ht="15.95" customHeight="1" x14ac:dyDescent="0.25">
      <c r="A48" s="19">
        <f t="shared" si="0"/>
        <v>42</v>
      </c>
      <c r="B48" s="97" t="s">
        <v>58</v>
      </c>
      <c r="C48" s="33">
        <v>0</v>
      </c>
      <c r="D48" s="35"/>
      <c r="E48" s="50">
        <v>0</v>
      </c>
      <c r="F48" s="33">
        <f>+E48+C48</f>
        <v>0</v>
      </c>
      <c r="G48" s="48"/>
      <c r="H48" s="50">
        <v>0</v>
      </c>
      <c r="I48" s="33">
        <f>F48+H48</f>
        <v>0</v>
      </c>
      <c r="J48" s="48"/>
      <c r="K48" s="85">
        <v>31713</v>
      </c>
      <c r="L48" s="33">
        <f>I48+K48</f>
        <v>31713</v>
      </c>
      <c r="M48" s="33"/>
      <c r="N48" s="56" t="e">
        <f>#REF!</f>
        <v>#REF!</v>
      </c>
      <c r="O48" s="4" t="s">
        <v>29</v>
      </c>
      <c r="P48" s="92"/>
      <c r="S48" s="92"/>
    </row>
    <row r="49" spans="1:22" ht="15.95" customHeight="1" thickBot="1" x14ac:dyDescent="0.3">
      <c r="A49" s="19">
        <f t="shared" si="0"/>
        <v>43</v>
      </c>
      <c r="B49" s="97" t="s">
        <v>46</v>
      </c>
      <c r="C49" s="108">
        <f>+C44+C47+C48</f>
        <v>854219</v>
      </c>
      <c r="D49" s="35"/>
      <c r="E49" s="31"/>
      <c r="F49" s="52">
        <f>+F44+F47+F48</f>
        <v>854313</v>
      </c>
      <c r="G49" s="31"/>
      <c r="H49" s="31"/>
      <c r="I49" s="52">
        <f>+I44+I47+I48</f>
        <v>832565</v>
      </c>
      <c r="J49" s="57"/>
      <c r="K49" s="31"/>
      <c r="L49" s="58">
        <f>+L44+L47+L48</f>
        <v>864738</v>
      </c>
      <c r="M49" s="58"/>
      <c r="N49" s="4"/>
      <c r="O49" s="4"/>
      <c r="P49" s="92"/>
      <c r="S49" s="92"/>
    </row>
    <row r="50" spans="1:22" ht="15.95" customHeight="1" thickTop="1" x14ac:dyDescent="0.25">
      <c r="A50" s="19">
        <f t="shared" si="0"/>
        <v>44</v>
      </c>
      <c r="B50" s="97" t="s">
        <v>49</v>
      </c>
      <c r="C50" s="104">
        <f>+C15-C49</f>
        <v>-155078</v>
      </c>
      <c r="D50" s="35"/>
      <c r="E50" s="86">
        <f>SUM(E45:E49)</f>
        <v>18952</v>
      </c>
      <c r="F50" s="104">
        <f>+F15-F49</f>
        <v>-136126</v>
      </c>
      <c r="G50" s="31"/>
      <c r="H50" s="86">
        <f>SUM(H45:H49)</f>
        <v>-28414</v>
      </c>
      <c r="I50" s="104">
        <f>+I15-I49</f>
        <v>-114378</v>
      </c>
      <c r="J50" s="59"/>
      <c r="K50" s="86">
        <f>SUM(K45:K49)</f>
        <v>31713</v>
      </c>
      <c r="L50" s="60">
        <f>+L15-L49</f>
        <v>97976</v>
      </c>
      <c r="M50" s="61"/>
      <c r="N50" s="4"/>
      <c r="O50" s="4"/>
      <c r="P50" s="92"/>
      <c r="S50" s="92"/>
    </row>
    <row r="51" spans="1:22" ht="15.95" customHeight="1" x14ac:dyDescent="0.25">
      <c r="A51" s="19">
        <f t="shared" si="0"/>
        <v>45</v>
      </c>
      <c r="B51" s="97" t="s">
        <v>45</v>
      </c>
      <c r="C51" s="105">
        <f>+C46-C48</f>
        <v>-122038</v>
      </c>
      <c r="D51" s="35"/>
      <c r="E51" s="31"/>
      <c r="F51" s="105">
        <f>+F46-F48</f>
        <v>-103086</v>
      </c>
      <c r="G51" s="31"/>
      <c r="H51" s="31"/>
      <c r="I51" s="105">
        <f>+I46-I48</f>
        <v>-106419</v>
      </c>
      <c r="J51" s="59"/>
      <c r="K51" s="87"/>
      <c r="L51" s="62">
        <f>+L46-L48</f>
        <v>105935</v>
      </c>
      <c r="M51" s="62"/>
      <c r="N51" s="56" t="e">
        <f>#REF!</f>
        <v>#REF!</v>
      </c>
      <c r="O51" s="4" t="s">
        <v>29</v>
      </c>
      <c r="P51" s="92"/>
      <c r="S51" s="92"/>
    </row>
    <row r="52" spans="1:22" ht="15.95" customHeight="1" x14ac:dyDescent="0.25">
      <c r="A52" s="19">
        <f t="shared" si="0"/>
        <v>46</v>
      </c>
      <c r="B52" s="98"/>
      <c r="C52" s="52"/>
      <c r="D52" s="35"/>
      <c r="E52" s="50"/>
      <c r="F52" s="52"/>
      <c r="G52" s="31"/>
      <c r="H52" s="31"/>
      <c r="I52" s="52"/>
      <c r="J52" s="57"/>
      <c r="K52" s="31"/>
      <c r="L52" s="52"/>
      <c r="M52" s="52"/>
      <c r="N52" s="112"/>
      <c r="O52" s="4"/>
      <c r="P52" s="92"/>
      <c r="S52" s="92"/>
    </row>
    <row r="53" spans="1:22" ht="15.95" customHeight="1" x14ac:dyDescent="0.25">
      <c r="A53" s="19">
        <f t="shared" si="0"/>
        <v>47</v>
      </c>
      <c r="B53" s="103" t="s">
        <v>22</v>
      </c>
      <c r="C53" s="52"/>
      <c r="D53" s="35"/>
      <c r="E53" s="9"/>
      <c r="F53" s="29"/>
      <c r="H53" s="31"/>
      <c r="I53" s="29"/>
      <c r="J53" s="63"/>
      <c r="K53" s="9"/>
      <c r="L53" s="29"/>
      <c r="M53" s="29"/>
      <c r="N53" s="4"/>
      <c r="O53" s="4"/>
      <c r="P53" s="92"/>
      <c r="S53" s="92"/>
    </row>
    <row r="54" spans="1:22" ht="15.95" customHeight="1" x14ac:dyDescent="0.25">
      <c r="A54" s="19">
        <f t="shared" si="0"/>
        <v>48</v>
      </c>
      <c r="B54" s="97" t="s">
        <v>30</v>
      </c>
      <c r="C54" s="33">
        <v>3531888</v>
      </c>
      <c r="D54" s="35"/>
      <c r="E54" s="50"/>
      <c r="F54" s="33">
        <f>+E54+C54</f>
        <v>3531888</v>
      </c>
      <c r="G54" s="33"/>
      <c r="H54" s="127"/>
      <c r="I54" s="33">
        <f>+H54+F54</f>
        <v>3531888</v>
      </c>
      <c r="J54" s="64"/>
      <c r="K54" s="6"/>
      <c r="L54" s="33">
        <f>+K54+I54</f>
        <v>3531888</v>
      </c>
      <c r="M54" s="33"/>
      <c r="N54" s="4"/>
      <c r="O54" s="4"/>
      <c r="P54" s="92"/>
      <c r="S54" s="92"/>
    </row>
    <row r="55" spans="1:22" s="65" customFormat="1" ht="15.95" customHeight="1" x14ac:dyDescent="0.25">
      <c r="A55" s="19">
        <f t="shared" si="0"/>
        <v>49</v>
      </c>
      <c r="B55" s="100" t="s">
        <v>23</v>
      </c>
      <c r="C55" s="33">
        <v>-2161754</v>
      </c>
      <c r="D55" s="35"/>
      <c r="E55" s="117"/>
      <c r="F55" s="33">
        <f>+E55+C55</f>
        <v>-2161754</v>
      </c>
      <c r="G55" s="100"/>
      <c r="H55" s="50">
        <v>0</v>
      </c>
      <c r="I55" s="33">
        <f>+H55+F55</f>
        <v>-2161754</v>
      </c>
      <c r="J55" s="64"/>
      <c r="K55" s="6"/>
      <c r="L55" s="33">
        <f>+K55+I55</f>
        <v>-2161754</v>
      </c>
      <c r="M55" s="33"/>
      <c r="N55" s="66"/>
      <c r="O55" s="66"/>
      <c r="P55" s="94"/>
      <c r="Q55" s="28"/>
      <c r="R55" s="28"/>
      <c r="S55" s="94"/>
      <c r="T55" s="28"/>
      <c r="U55" s="28"/>
      <c r="V55" s="28"/>
    </row>
    <row r="56" spans="1:22" s="65" customFormat="1" ht="15.95" customHeight="1" x14ac:dyDescent="0.25">
      <c r="A56" s="19">
        <f t="shared" si="0"/>
        <v>50</v>
      </c>
      <c r="B56" s="101" t="s">
        <v>28</v>
      </c>
      <c r="C56" s="33">
        <v>0</v>
      </c>
      <c r="D56" s="35"/>
      <c r="E56" s="50">
        <v>0</v>
      </c>
      <c r="F56" s="33">
        <f>+E56+C56</f>
        <v>0</v>
      </c>
      <c r="G56" s="33"/>
      <c r="H56" s="50">
        <v>0</v>
      </c>
      <c r="I56" s="33">
        <f>+H56+F56</f>
        <v>0</v>
      </c>
      <c r="J56" s="64"/>
      <c r="K56" s="6"/>
      <c r="L56" s="33">
        <f>+K56+I56</f>
        <v>0</v>
      </c>
      <c r="M56" s="33"/>
      <c r="N56" s="66"/>
      <c r="O56" s="66"/>
      <c r="P56" s="94"/>
      <c r="Q56" s="28"/>
      <c r="R56" s="28"/>
      <c r="S56" s="94"/>
      <c r="T56" s="28"/>
      <c r="U56" s="28"/>
      <c r="V56" s="28"/>
    </row>
    <row r="57" spans="1:22" ht="15.95" customHeight="1" x14ac:dyDescent="0.25">
      <c r="A57" s="19">
        <f t="shared" si="0"/>
        <v>51</v>
      </c>
      <c r="B57" s="97" t="s">
        <v>48</v>
      </c>
      <c r="C57" s="33">
        <v>-288271</v>
      </c>
      <c r="D57" s="35"/>
      <c r="E57" s="50"/>
      <c r="F57" s="33">
        <f>+E57+C57</f>
        <v>-288271</v>
      </c>
      <c r="G57" s="100"/>
      <c r="H57" s="50">
        <v>0</v>
      </c>
      <c r="I57" s="33">
        <f>+H57+F57</f>
        <v>-288271</v>
      </c>
      <c r="J57" s="64"/>
      <c r="K57" s="6"/>
      <c r="L57" s="33">
        <f>+K57+I57</f>
        <v>-288271</v>
      </c>
      <c r="M57" s="33"/>
      <c r="N57" s="4"/>
      <c r="O57" s="4"/>
      <c r="P57" s="92"/>
      <c r="S57" s="92"/>
    </row>
    <row r="58" spans="1:22" ht="15.95" customHeight="1" thickBot="1" x14ac:dyDescent="0.3">
      <c r="A58" s="19">
        <f t="shared" si="0"/>
        <v>52</v>
      </c>
      <c r="B58" s="98" t="s">
        <v>24</v>
      </c>
      <c r="C58" s="33">
        <v>46853</v>
      </c>
      <c r="D58" s="35"/>
      <c r="E58" s="50"/>
      <c r="F58" s="33">
        <f>+E58+C58</f>
        <v>46853</v>
      </c>
      <c r="G58" s="33"/>
      <c r="H58" s="50">
        <v>0</v>
      </c>
      <c r="I58" s="33">
        <f>+H58+F58</f>
        <v>46853</v>
      </c>
      <c r="J58" s="64"/>
      <c r="K58" s="6"/>
      <c r="L58" s="33">
        <f>+K58+I58</f>
        <v>46853</v>
      </c>
      <c r="M58" s="33"/>
      <c r="N58" s="4"/>
      <c r="O58" s="4"/>
      <c r="P58" s="92"/>
      <c r="S58" s="92"/>
    </row>
    <row r="59" spans="1:22" ht="15.95" customHeight="1" thickTop="1" x14ac:dyDescent="0.25">
      <c r="A59" s="19">
        <f t="shared" si="0"/>
        <v>53</v>
      </c>
      <c r="B59" s="97" t="s">
        <v>43</v>
      </c>
      <c r="C59" s="67">
        <f>SUM(((C54+C55)+C56)-ABS(C57)+ABS(C58))</f>
        <v>1128716</v>
      </c>
      <c r="D59" s="31"/>
      <c r="E59" s="88">
        <f>SUM(E54:E58)</f>
        <v>0</v>
      </c>
      <c r="F59" s="67">
        <f>SUM(F54:F58)</f>
        <v>1128716</v>
      </c>
      <c r="H59" s="88">
        <f>SUM(H54:H58)</f>
        <v>0</v>
      </c>
      <c r="I59" s="67">
        <f>SUM(I54:I58)</f>
        <v>1128716</v>
      </c>
      <c r="J59" s="39"/>
      <c r="K59" s="88">
        <f>SUM(K54:K58)</f>
        <v>0</v>
      </c>
      <c r="L59" s="67">
        <f>SUM(L54:L58)</f>
        <v>1128716</v>
      </c>
      <c r="M59" s="39"/>
      <c r="N59" s="115" t="e">
        <f>#REF!-#REF!+SUM(#REF!)+SUM(#REF!)+#REF!</f>
        <v>#REF!</v>
      </c>
      <c r="O59" s="116" t="s">
        <v>29</v>
      </c>
      <c r="P59" s="92"/>
      <c r="S59" s="92"/>
    </row>
    <row r="60" spans="1:22" ht="15.95" customHeight="1" x14ac:dyDescent="0.25">
      <c r="A60" s="19">
        <f t="shared" si="0"/>
        <v>54</v>
      </c>
      <c r="B60" s="29"/>
      <c r="C60" s="29"/>
      <c r="D60" s="35"/>
      <c r="E60" s="31"/>
      <c r="F60" s="52"/>
      <c r="G60" s="31"/>
      <c r="H60" s="31"/>
      <c r="I60" s="106"/>
      <c r="J60" s="57"/>
      <c r="K60" s="31"/>
      <c r="L60" s="29"/>
      <c r="M60" s="29"/>
      <c r="N60" s="4"/>
      <c r="O60" s="4"/>
      <c r="P60" s="92"/>
      <c r="S60" s="92"/>
    </row>
    <row r="61" spans="1:22" ht="15.95" customHeight="1" x14ac:dyDescent="0.25">
      <c r="A61" s="19">
        <f t="shared" si="0"/>
        <v>55</v>
      </c>
      <c r="B61" s="97" t="s">
        <v>47</v>
      </c>
      <c r="C61" s="107">
        <f>C51/C59</f>
        <v>-0.10812108626084861</v>
      </c>
      <c r="D61" s="35"/>
      <c r="E61" s="69"/>
      <c r="F61" s="107">
        <f>F51/F59</f>
        <v>-9.1330325786114483E-2</v>
      </c>
      <c r="G61" s="69"/>
      <c r="H61" s="50"/>
      <c r="I61" s="107">
        <f>I51/I59</f>
        <v>-9.4283238653478818E-2</v>
      </c>
      <c r="J61" s="70"/>
      <c r="K61" s="69"/>
      <c r="L61" s="71">
        <f>IF(L59&lt;0, 0%, L51/L59)</f>
        <v>9.3854432824554621E-2</v>
      </c>
      <c r="M61" s="71"/>
      <c r="N61" s="72" t="e">
        <f>IF(I59&lt;=0, 0, IF(#REF!=#REF!,#REF!,#REF!))</f>
        <v>#REF!</v>
      </c>
      <c r="O61" s="4" t="s">
        <v>29</v>
      </c>
      <c r="P61" s="92"/>
      <c r="S61" s="92"/>
    </row>
    <row r="62" spans="1:22" ht="15.95" customHeight="1" x14ac:dyDescent="0.25">
      <c r="A62" s="19">
        <f t="shared" si="0"/>
        <v>56</v>
      </c>
      <c r="B62" s="98" t="s">
        <v>25</v>
      </c>
      <c r="C62" s="108">
        <v>857</v>
      </c>
      <c r="D62" s="35"/>
      <c r="E62" s="50"/>
      <c r="F62" s="52">
        <f>E62+C62</f>
        <v>857</v>
      </c>
      <c r="G62" s="35"/>
      <c r="H62" s="50">
        <v>0</v>
      </c>
      <c r="I62" s="52">
        <f>+F62+H62</f>
        <v>857</v>
      </c>
      <c r="J62" s="35"/>
      <c r="K62" s="6"/>
      <c r="L62" s="30">
        <f>+K62+I62</f>
        <v>857</v>
      </c>
      <c r="M62" s="52"/>
      <c r="O62" s="4"/>
      <c r="P62" s="92"/>
      <c r="Q62" s="92"/>
      <c r="R62" s="92"/>
      <c r="S62" s="92"/>
    </row>
    <row r="64" spans="1:22" ht="18" x14ac:dyDescent="0.25">
      <c r="B64" s="125" t="s">
        <v>52</v>
      </c>
      <c r="C64" s="120">
        <f>SUM(C54:C55)</f>
        <v>1370134</v>
      </c>
      <c r="D64" s="121"/>
      <c r="E64" s="119"/>
      <c r="F64" s="120">
        <f>SUM(F54:F55)</f>
        <v>1370134</v>
      </c>
      <c r="G64" s="122"/>
      <c r="H64" s="119"/>
      <c r="I64" s="120">
        <f>SUM(I54:I55)</f>
        <v>1370134</v>
      </c>
      <c r="J64" s="123"/>
      <c r="K64" s="119"/>
      <c r="L64" s="120">
        <f>SUM(L54:L55)</f>
        <v>1370134</v>
      </c>
      <c r="M64" s="68"/>
    </row>
    <row r="65" spans="2:12" ht="15" customHeight="1" x14ac:dyDescent="0.25">
      <c r="B65" s="125" t="s">
        <v>53</v>
      </c>
      <c r="C65" s="120">
        <f>SUM(C57:C58)</f>
        <v>-241418</v>
      </c>
      <c r="D65" s="121"/>
      <c r="E65" s="119"/>
      <c r="F65" s="120">
        <f>SUM(F57:F58)</f>
        <v>-241418</v>
      </c>
      <c r="G65" s="122"/>
      <c r="H65" s="119"/>
      <c r="I65" s="120">
        <f>SUM(I57:I58)</f>
        <v>-241418</v>
      </c>
      <c r="J65" s="123"/>
      <c r="K65" s="119"/>
      <c r="L65" s="120">
        <f>SUM(L57:L58)</f>
        <v>-241418</v>
      </c>
    </row>
    <row r="66" spans="2:12" ht="18.75" thickBot="1" x14ac:dyDescent="0.3">
      <c r="B66" s="125" t="s">
        <v>54</v>
      </c>
      <c r="C66" s="124">
        <f>SUM(C64:C65)</f>
        <v>1128716</v>
      </c>
      <c r="D66" s="121"/>
      <c r="E66" s="119"/>
      <c r="F66" s="124">
        <f>SUM(F64:F65)</f>
        <v>1128716</v>
      </c>
      <c r="G66" s="122"/>
      <c r="H66" s="119"/>
      <c r="I66" s="124">
        <f>SUM(I64:I65)</f>
        <v>1128716</v>
      </c>
      <c r="J66" s="123"/>
      <c r="K66" s="119"/>
      <c r="L66" s="124">
        <f>SUM(L64:L65)</f>
        <v>1128716</v>
      </c>
    </row>
    <row r="68" spans="2:12" x14ac:dyDescent="0.25">
      <c r="E68" s="33"/>
      <c r="G68" s="3"/>
      <c r="H68" s="33"/>
      <c r="I68" s="33"/>
    </row>
    <row r="69" spans="2:12" x14ac:dyDescent="0.25">
      <c r="E69" s="33"/>
      <c r="G69" s="3"/>
      <c r="H69" s="33"/>
      <c r="I69" s="33"/>
    </row>
    <row r="70" spans="2:12" x14ac:dyDescent="0.25">
      <c r="E70" s="33"/>
      <c r="G70" s="3"/>
      <c r="H70" s="33"/>
      <c r="I70" s="33"/>
    </row>
    <row r="71" spans="2:12" x14ac:dyDescent="0.25">
      <c r="H71" s="65"/>
      <c r="I71" s="65"/>
    </row>
    <row r="72" spans="2:12" x14ac:dyDescent="0.25">
      <c r="E72" s="65"/>
    </row>
    <row r="73" spans="2:12" x14ac:dyDescent="0.25">
      <c r="H73" s="65"/>
      <c r="I73" s="65"/>
    </row>
    <row r="74" spans="2:12" x14ac:dyDescent="0.25">
      <c r="I74" s="65">
        <f>I73-I71</f>
        <v>0</v>
      </c>
    </row>
  </sheetData>
  <protectedRanges>
    <protectedRange password="C6D0" sqref="Q10" name="Select Party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  <protectedRange password="C6D0" sqref="Q13" name="Capital Structure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5">
    <mergeCell ref="A1:L1"/>
    <mergeCell ref="A2:L2"/>
    <mergeCell ref="A3:L3"/>
    <mergeCell ref="A4:L4"/>
    <mergeCell ref="Q7:R7"/>
  </mergeCells>
  <phoneticPr fontId="0" type="noConversion"/>
  <dataValidations count="5">
    <dataValidation allowBlank="1" showInputMessage="1" showErrorMessage="1" promptTitle="Input Suggested CF" prompt="Keep inputting the suggested CF until it no longer changes._x000a__x000a_When &quot;Input&quot; equals &quot;Suggested&quot;, then you are done." sqref="Q19"/>
    <dataValidation type="list" allowBlank="1" showInputMessage="1" showErrorMessage="1" promptTitle="Federal Income Tax" prompt="Select the company's Federal Income Tax (FIT) percentage, if unknown than select the &quot;Suggested FIT Rate&quot;." sqref="Q16">
      <formula1>"15%, 21%, 25%, 34%, 35%, 38%, 39%"</formula1>
    </dataValidation>
    <dataValidation type="list" allowBlank="1" showInputMessage="1" showErrorMessage="1" promptTitle="Select Party" prompt="Select either Company or Staff" sqref="Q10">
      <formula1>"Company, Staff"</formula1>
    </dataValidation>
    <dataValidation type="list" allowBlank="1" showInputMessage="1" showErrorMessage="1" sqref="Q13">
      <formula1>"Normal Formula Calculations, Actual Weighted Average Cost of Capital, 40/60 Hypothetical"</formula1>
    </dataValidation>
    <dataValidation allowBlank="1" showErrorMessage="1" promptTitle="Test Period in a Leap Year" prompt="Is the &quot;test period&quot; in a leap year?" sqref="Q22"/>
  </dataValidations>
  <printOptions horizontalCentered="1"/>
  <pageMargins left="0.25" right="0.25" top="0.25" bottom="0.25" header="0" footer="0"/>
  <pageSetup scale="58" orientation="landscape" r:id="rId1"/>
  <headerFooter alignWithMargins="0">
    <oddFooter>&amp;C&amp;F&amp;R&amp;D</oddFooter>
  </headerFooter>
  <cellWatches>
    <cellWatch r="L61"/>
    <cellWatch r="N61"/>
  </cellWatches>
  <ignoredErrors>
    <ignoredError sqref="F25" emptyCellReference="1"/>
    <ignoredError sqref="N9:N15 O9:O14 O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FC3C53EC965448AEBD70AD7CA9F9AA" ma:contentTypeVersion="76" ma:contentTypeDescription="" ma:contentTypeScope="" ma:versionID="2997477785ac408c932bbdd8659e4c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2018-10-01T07:00:00+00:00</OpenedDate>
    <SignificantOrder xmlns="dc463f71-b30c-4ab2-9473-d307f9d35888">false</SignificantOrder>
    <Date1 xmlns="dc463f71-b30c-4ab2-9473-d307f9d35888">2018-10-01T07:00:00+00:00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Iliad Water Company, LLC</CaseCompanyNames>
    <Nickname xmlns="http://schemas.microsoft.com/sharepoint/v3" xsi:nil="true"/>
    <DocketNumber xmlns="dc463f71-b30c-4ab2-9473-d307f9d35888">181055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A028B93-50D4-465C-A9D1-C720741D72BE}"/>
</file>

<file path=customXml/itemProps2.xml><?xml version="1.0" encoding="utf-8"?>
<ds:datastoreItem xmlns:ds="http://schemas.openxmlformats.org/officeDocument/2006/customXml" ds:itemID="{065251C0-40F2-467D-BB9D-D3AB1F6E79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57387-830F-4F68-9D51-250F73344D00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6a7bd91e-004b-490a-8704-e368d63d59a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2964C97-AABD-4560-8408-EA51971CA3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PFIS</vt:lpstr>
      <vt:lpstr>PFIS!Print_Area</vt:lpstr>
    </vt:vector>
  </TitlesOfParts>
  <Company>WUTC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GRC.Workbook - January.2018.2_</dc:title>
  <dc:subject>General Rate Case</dc:subject>
  <dc:creator>Ward, Jim (UTC)</dc:creator>
  <cp:keywords>General Rate Case Workbook</cp:keywords>
  <cp:lastModifiedBy>Richard Finnigan</cp:lastModifiedBy>
  <cp:lastPrinted>2018-09-25T20:15:24Z</cp:lastPrinted>
  <dcterms:created xsi:type="dcterms:W3CDTF">2007-10-23T21:10:39Z</dcterms:created>
  <dcterms:modified xsi:type="dcterms:W3CDTF">2018-09-25T20:16:40Z</dcterms:modified>
  <cp:category>General Rate Cases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0x0101006E56B4D1795A2E4DB2F0B01679ED314A00A7FC3C53EC965448AEBD70AD7CA9F9AA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