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2.xml" ContentType="application/vnd.openxmlformats-officedocument.spreadsheetml.externalLink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comments1.xml" ContentType="application/vnd.openxmlformats-officedocument.spreadsheetml.comments+xml"/>
  <Override PartName="/xl/externalLinks/externalLink6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externalLinks/externalLink11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30" yWindow="105" windowWidth="12360" windowHeight="11925" tabRatio="601"/>
  </bookViews>
  <sheets>
    <sheet name="References" sheetId="19" r:id="rId1"/>
    <sheet name="DF Calculation" sheetId="20" r:id="rId2"/>
    <sheet name="Proposed Rates" sheetId="21" r:id="rId3"/>
    <sheet name="DF Tons" sheetId="22" r:id="rId4"/>
    <sheet name="Vashon Total 16" sheetId="13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___CYA1">[1]Hidden!$N$11</definedName>
    <definedName name="___CYA10">[1]Hidden!$E$11</definedName>
    <definedName name="___CYA11">[1]Hidden!$P$11</definedName>
    <definedName name="___CYA2">[1]Hidden!$M$11</definedName>
    <definedName name="___CYA3">[1]Hidden!$L$11</definedName>
    <definedName name="___CYA4">[1]Hidden!$K$11</definedName>
    <definedName name="___CYA5">[1]Hidden!$J$11</definedName>
    <definedName name="___CYA6">[1]Hidden!$I$11</definedName>
    <definedName name="___CYA7">[1]Hidden!$H$11</definedName>
    <definedName name="___CYA8">[1]Hidden!$G$11</definedName>
    <definedName name="___CYA9">[1]Hidden!$F$11</definedName>
    <definedName name="___LYA12">[1]Hidden!$O$11</definedName>
    <definedName name="__CYA1">[1]Hidden!$N$11</definedName>
    <definedName name="__CYA10">[1]Hidden!$E$11</definedName>
    <definedName name="__CYA11">[1]Hidden!$P$11</definedName>
    <definedName name="__CYA2">[1]Hidden!$M$11</definedName>
    <definedName name="__CYA3">[1]Hidden!$L$11</definedName>
    <definedName name="__CYA4">[1]Hidden!$K$11</definedName>
    <definedName name="__CYA5">[1]Hidden!$J$11</definedName>
    <definedName name="__CYA6">[1]Hidden!$I$11</definedName>
    <definedName name="__CYA7">[1]Hidden!$H$11</definedName>
    <definedName name="__CYA8">[1]Hidden!$G$11</definedName>
    <definedName name="__CYA9">[1]Hidden!$F$11</definedName>
    <definedName name="__LYA12">[1]Hidden!$O$11</definedName>
    <definedName name="_ACT1">[2]Hidden!#REF!</definedName>
    <definedName name="_ACT2">[2]Hidden!#REF!</definedName>
    <definedName name="_ACT3">[2]Hidden!#REF!</definedName>
    <definedName name="_CYA1">[1]Hidden!$N$11</definedName>
    <definedName name="_CYA10">[1]Hidden!$E$11</definedName>
    <definedName name="_CYA11">[1]Hidden!$P$11</definedName>
    <definedName name="_CYA2">[1]Hidden!$M$11</definedName>
    <definedName name="_CYA3">[1]Hidden!$L$11</definedName>
    <definedName name="_CYA4">[1]Hidden!$K$11</definedName>
    <definedName name="_CYA5">[1]Hidden!$J$11</definedName>
    <definedName name="_CYA6">[1]Hidden!$I$11</definedName>
    <definedName name="_CYA7">[1]Hidden!$H$11</definedName>
    <definedName name="_CYA8">[1]Hidden!$G$11</definedName>
    <definedName name="_CYA9">[1]Hidden!$F$11</definedName>
    <definedName name="_LYA12">[1]Hidden!$O$11</definedName>
    <definedName name="ACCT">[2]Hidden!#REF!</definedName>
    <definedName name="ACCT.ConsolSum">[1]Hidden!$Q$11</definedName>
    <definedName name="ACT_CUR">[2]Hidden!#REF!</definedName>
    <definedName name="ACT_YTD">[2]Hidden!#REF!</definedName>
    <definedName name="AmountCount">#REF!</definedName>
    <definedName name="AmountTotal">#REF!</definedName>
    <definedName name="BookRev">'[3]Pacific Regulated - Price Out'!$F$50</definedName>
    <definedName name="BookRev_com">'[3]Pacific Regulated - Price Out'!$F$214</definedName>
    <definedName name="BookRev_mfr">'[3]Pacific Regulated - Price Out'!$F$222</definedName>
    <definedName name="BookRev_ro">'[3]Pacific Regulated - Price Out'!$F$282</definedName>
    <definedName name="BookRev_rr">'[3]Pacific Regulated - Price Out'!$F$59</definedName>
    <definedName name="BookRev_yw">'[3]Pacific Regulated - Price Out'!$F$70</definedName>
    <definedName name="BREMAIR_COST_of_SERVICE_STUDY">#REF!</definedName>
    <definedName name="BUD_CUR">[2]Hidden!#REF!</definedName>
    <definedName name="BUD_YTD">[2]Hidden!#REF!</definedName>
    <definedName name="CalRecyTons">'[4]Recycl Tons, Commodity Value'!$L$23</definedName>
    <definedName name="CheckTotals">#REF!</definedName>
    <definedName name="colgroup">[1]Orientation!$G$6</definedName>
    <definedName name="colsegment">[1]Orientation!$F$6</definedName>
    <definedName name="CRCTable">#REF!</definedName>
    <definedName name="CRCTableOLD">#REF!</definedName>
    <definedName name="CriteriaType">[5]ControlPanel!$Z$2:$Z$5</definedName>
    <definedName name="Cutomers">#REF!</definedName>
    <definedName name="_xlnm.Database">#REF!</definedName>
    <definedName name="Database1">#REF!</definedName>
    <definedName name="DEPT">[2]Hidden!#REF!</definedName>
    <definedName name="District">'[6]Vashon BS'!#REF!</definedName>
    <definedName name="DistrictNum">#REF!</definedName>
    <definedName name="drlFilter">[1]Settings!$D$27</definedName>
    <definedName name="End">#REF!</definedName>
    <definedName name="ExcludeIC">'[6]Vashon BS'!#REF!</definedName>
    <definedName name="FBTable">#REF!</definedName>
    <definedName name="FBTableOld">#REF!</definedName>
    <definedName name="filter">[1]Settings!$B$14:$H$25</definedName>
    <definedName name="GLMappingStart">#REF!</definedName>
    <definedName name="IncomeStmnt">#REF!</definedName>
    <definedName name="INPUT">#REF!</definedName>
    <definedName name="Insurance">#REF!</definedName>
    <definedName name="JEDetail">#REF!</definedName>
    <definedName name="JEType">#REF!</definedName>
    <definedName name="lblBillAreaStatus">#REF!</definedName>
    <definedName name="lblBillCycleStatus">#REF!</definedName>
    <definedName name="lblCategoryStatus">#REF!</definedName>
    <definedName name="lblCompanyStatus">#REF!</definedName>
    <definedName name="lblDatabaseStatus">#REF!</definedName>
    <definedName name="lblPullStatus">#REF!</definedName>
    <definedName name="lllllllllllllllllllll">#REF!</definedName>
    <definedName name="MainDataEnd">#REF!</definedName>
    <definedName name="MainDataStart">#REF!</definedName>
    <definedName name="MapKeyStart">#REF!</definedName>
    <definedName name="master_def">#REF!</definedName>
    <definedName name="MemoAttachment">#REF!</definedName>
    <definedName name="MetaSet">[1]Orientation!$C$22</definedName>
    <definedName name="NewOnlyOrg">#N/A</definedName>
    <definedName name="NOTES">#REF!</definedName>
    <definedName name="NR">#REF!</definedName>
    <definedName name="OfficerSalary">#N/A</definedName>
    <definedName name="OffsetAcctBil">[7]JEexport!$L$10</definedName>
    <definedName name="OffsetAcctPmt">[7]JEexport!$L$9</definedName>
    <definedName name="Org11_13">#N/A</definedName>
    <definedName name="Org7_10">#N/A</definedName>
    <definedName name="p">#REF!</definedName>
    <definedName name="PAGE_1">#REF!</definedName>
    <definedName name="pBatchID">#REF!</definedName>
    <definedName name="pBillArea">#REF!</definedName>
    <definedName name="pBillCycle">#REF!</definedName>
    <definedName name="pCategory">#REF!</definedName>
    <definedName name="pCompany">#REF!</definedName>
    <definedName name="pCustomerNumber">#REF!</definedName>
    <definedName name="pDatabase">#REF!</definedName>
    <definedName name="pEndPostDate">#REF!</definedName>
    <definedName name="Period">#REF!</definedName>
    <definedName name="pMonth">#REF!</definedName>
    <definedName name="pOnlyShowLastTranx">#REF!</definedName>
    <definedName name="primtbl">[1]Orientation!$C$23</definedName>
    <definedName name="_xlnm.Print_Area" localSheetId="1">'DF Calculation'!$A$1:$R$47</definedName>
    <definedName name="_xlnm.Print_Area" localSheetId="2">'Proposed Rates'!$A$1:$F$68</definedName>
    <definedName name="_xlnm.Print_Area" localSheetId="4">'Vashon Total 16'!$A$1:$F$110</definedName>
    <definedName name="_xlnm.Print_Area">#REF!</definedName>
    <definedName name="Print_Area_MI">#REF!</definedName>
    <definedName name="Print_Area1">#REF!</definedName>
    <definedName name="Print_Area2">#REF!</definedName>
    <definedName name="Print_Area3">#REF!</definedName>
    <definedName name="Print_Area5">#REF!</definedName>
    <definedName name="_xlnm.Print_Titles" localSheetId="1">'DF Calculation'!$C:$C</definedName>
    <definedName name="_xlnm.Print_Titles" localSheetId="2">'Proposed Rates'!$4:$4</definedName>
    <definedName name="_xlnm.Print_Titles" localSheetId="4">'Vashon Total 16'!$1:$4</definedName>
    <definedName name="Print1">#REF!</definedName>
    <definedName name="Print2">#REF!</definedName>
    <definedName name="Print5">#REF!</definedName>
    <definedName name="ProRev">'[3]Pacific Regulated - Price Out'!$M$49</definedName>
    <definedName name="ProRev_com">'[3]Pacific Regulated - Price Out'!$M$213</definedName>
    <definedName name="ProRev_mfr">'[3]Pacific Regulated - Price Out'!$M$221</definedName>
    <definedName name="ProRev_ro">'[3]Pacific Regulated - Price Out'!$M$281</definedName>
    <definedName name="ProRev_rr">'[3]Pacific Regulated - Price Out'!$M$58</definedName>
    <definedName name="ProRev_yw">'[3]Pacific Regulated - Price Out'!$M$69</definedName>
    <definedName name="pServer">#REF!</definedName>
    <definedName name="pServiceCode">#REF!</definedName>
    <definedName name="pShowAllUnposted">#REF!</definedName>
    <definedName name="pShowCustomerDetail">#REF!</definedName>
    <definedName name="pSortOption">#REF!</definedName>
    <definedName name="pStartPostDate">#REF!</definedName>
    <definedName name="pTransType">#REF!</definedName>
    <definedName name="RCW_81.04.080">#N/A</definedName>
    <definedName name="RecyDisposal">#N/A</definedName>
    <definedName name="RelatedSalary">#N/A</definedName>
    <definedName name="report_type">[1]Orientation!$C$24</definedName>
    <definedName name="ReportNames">[8]ControlPanel!$S$2:$S$16</definedName>
    <definedName name="ReportVersion">[1]Settings!$D$5</definedName>
    <definedName name="RetainedEarnings">#REF!</definedName>
    <definedName name="RevCust">[9]RevenuesCust!#REF!</definedName>
    <definedName name="RevCustomer">#REF!</definedName>
    <definedName name="rngCreateLog">[1]Delivery!$B$12</definedName>
    <definedName name="rngFilePassword">[1]Delivery!$B$6</definedName>
    <definedName name="rngSourceTab">[1]Delivery!$E$8</definedName>
    <definedName name="rowgroup">[1]Orientation!$C$17</definedName>
    <definedName name="rowsegment">[1]Orientation!$B$17</definedName>
    <definedName name="Sequential_Group">[1]Settings!$J$6</definedName>
    <definedName name="Sequential_Segment">[1]Settings!$I$6</definedName>
    <definedName name="Sequential_sort">[1]Settings!$I$10:$J$11</definedName>
    <definedName name="sortcol">#REF!</definedName>
    <definedName name="sSRCDate">'[10]Feb''12 FAR Data'!#REF!</definedName>
    <definedName name="Supplemental_filter">[1]Settings!$C$31</definedName>
    <definedName name="SWDisposal">#N/A</definedName>
    <definedName name="System">[11]BS_Close!$V$8</definedName>
    <definedName name="TemplateEnd">#REF!</definedName>
    <definedName name="TemplateStart">#REF!</definedName>
    <definedName name="TheTable">#REF!</definedName>
    <definedName name="TheTableOLD">#REF!</definedName>
    <definedName name="timeseries">[1]Orientation!$B$6:$C$13</definedName>
    <definedName name="Total_Comm">'[4]Tariff Rate Sheet'!$L$214</definedName>
    <definedName name="Total_DB">'[4]Tariff Rate Sheet'!$L$278</definedName>
    <definedName name="Total_Resi">'[4]Tariff Rate Sheet'!$L$107</definedName>
    <definedName name="Transactions">#REF!</definedName>
    <definedName name="WTable">#REF!</definedName>
    <definedName name="WTableOld">#REF!</definedName>
    <definedName name="ww">#REF!</definedName>
    <definedName name="xperiod">[1]Orientation!$G$15</definedName>
    <definedName name="xtabin">[2]Hidden!#REF!</definedName>
    <definedName name="xx">#REF!</definedName>
    <definedName name="xxx">#REF!</definedName>
    <definedName name="xxxx">#REF!</definedName>
    <definedName name="YearMonth">'[6]Vashon BS'!#REF!</definedName>
    <definedName name="YWMedWasteDisp">#N/A</definedName>
    <definedName name="yy">#REF!</definedName>
  </definedNames>
  <calcPr calcId="145621" concurrentManualCount="4"/>
</workbook>
</file>

<file path=xl/calcChain.xml><?xml version="1.0" encoding="utf-8"?>
<calcChain xmlns="http://schemas.openxmlformats.org/spreadsheetml/2006/main">
  <c r="D65" i="21" l="1"/>
  <c r="L5" i="20"/>
  <c r="D6" i="21"/>
  <c r="D57" i="20" l="1"/>
  <c r="I7" i="20"/>
  <c r="C65" i="19" l="1"/>
  <c r="M26" i="20"/>
  <c r="M19" i="20"/>
  <c r="M18" i="20"/>
  <c r="M17" i="20"/>
  <c r="M16" i="20"/>
  <c r="M45" i="20"/>
  <c r="M44" i="20"/>
  <c r="D59" i="19"/>
  <c r="D58" i="19"/>
  <c r="E45" i="20"/>
  <c r="E44" i="20"/>
  <c r="E43" i="20"/>
  <c r="E41" i="20"/>
  <c r="G45" i="20"/>
  <c r="G44" i="20"/>
  <c r="G43" i="20"/>
  <c r="G42" i="20"/>
  <c r="G41" i="20"/>
  <c r="D37" i="20"/>
  <c r="E6" i="20" l="1"/>
  <c r="E5" i="20"/>
  <c r="C27" i="22"/>
  <c r="C25" i="22"/>
  <c r="D23" i="22"/>
  <c r="C23" i="22"/>
  <c r="D25" i="13" l="1"/>
  <c r="C51" i="19"/>
  <c r="D54" i="20" l="1"/>
  <c r="D104" i="13" l="1"/>
  <c r="D103" i="13"/>
  <c r="D102" i="13"/>
  <c r="D106" i="13" s="1"/>
  <c r="M41" i="20" l="1"/>
  <c r="M43" i="20"/>
  <c r="M42" i="20"/>
  <c r="H43" i="20"/>
  <c r="F27" i="22"/>
  <c r="F25" i="22"/>
  <c r="G23" i="22"/>
  <c r="G22" i="22"/>
  <c r="G21" i="22"/>
  <c r="G20" i="22"/>
  <c r="G19" i="22"/>
  <c r="G18" i="22"/>
  <c r="G17" i="22"/>
  <c r="G16" i="22"/>
  <c r="G15" i="22"/>
  <c r="G14" i="22"/>
  <c r="G13" i="22"/>
  <c r="G12" i="22"/>
  <c r="G11" i="22"/>
  <c r="F23" i="22"/>
  <c r="D22" i="22"/>
  <c r="D21" i="22"/>
  <c r="D20" i="22"/>
  <c r="D19" i="22"/>
  <c r="D18" i="22"/>
  <c r="D17" i="22"/>
  <c r="D16" i="22"/>
  <c r="D15" i="22"/>
  <c r="D14" i="22"/>
  <c r="D13" i="22"/>
  <c r="D12" i="22"/>
  <c r="D11" i="22"/>
  <c r="H41" i="20" l="1"/>
  <c r="M34" i="20"/>
  <c r="M33" i="20"/>
  <c r="M32" i="20"/>
  <c r="M25" i="20"/>
  <c r="M24" i="20"/>
  <c r="E23" i="20"/>
  <c r="E21" i="20"/>
  <c r="E20" i="20"/>
  <c r="M23" i="20"/>
  <c r="M22" i="20"/>
  <c r="M21" i="20"/>
  <c r="M20" i="20"/>
  <c r="E28" i="20"/>
  <c r="E27" i="20"/>
  <c r="M13" i="20"/>
  <c r="M5" i="20"/>
  <c r="M15" i="20"/>
  <c r="D55" i="20" l="1"/>
  <c r="G32" i="20" l="1"/>
  <c r="E32" i="20"/>
  <c r="M31" i="20"/>
  <c r="M30" i="20"/>
  <c r="M29" i="20"/>
  <c r="M27" i="20"/>
  <c r="M28" i="20"/>
  <c r="M14" i="20"/>
  <c r="M10" i="20"/>
  <c r="M9" i="20"/>
  <c r="M8" i="20"/>
  <c r="M7" i="20"/>
  <c r="M6" i="20"/>
  <c r="M4" i="20"/>
  <c r="M3" i="20"/>
  <c r="P3" i="20" s="1"/>
  <c r="G33" i="20"/>
  <c r="G19" i="20"/>
  <c r="G18" i="20"/>
  <c r="G17" i="20"/>
  <c r="G16" i="20"/>
  <c r="G15" i="20"/>
  <c r="G10" i="20"/>
  <c r="G9" i="20"/>
  <c r="G8" i="20"/>
  <c r="G7" i="20"/>
  <c r="G6" i="20"/>
  <c r="G5" i="20"/>
  <c r="G3" i="20"/>
  <c r="G4" i="20"/>
  <c r="G31" i="20"/>
  <c r="G30" i="20"/>
  <c r="G29" i="20"/>
  <c r="G28" i="20"/>
  <c r="G27" i="20"/>
  <c r="G26" i="20"/>
  <c r="G25" i="20"/>
  <c r="G24" i="20"/>
  <c r="G22" i="20"/>
  <c r="G23" i="20"/>
  <c r="G21" i="20"/>
  <c r="G20" i="20"/>
  <c r="G13" i="20"/>
  <c r="G14" i="20"/>
  <c r="E33" i="20"/>
  <c r="E22" i="20"/>
  <c r="E19" i="20"/>
  <c r="E18" i="20"/>
  <c r="E17" i="20"/>
  <c r="E16" i="20"/>
  <c r="E15" i="20"/>
  <c r="E34" i="20"/>
  <c r="E31" i="20"/>
  <c r="E30" i="20"/>
  <c r="E29" i="20"/>
  <c r="E26" i="20"/>
  <c r="E25" i="20"/>
  <c r="E24" i="20"/>
  <c r="E14" i="20"/>
  <c r="E13" i="20"/>
  <c r="E3" i="20"/>
  <c r="E10" i="20"/>
  <c r="E9" i="20"/>
  <c r="E8" i="20"/>
  <c r="E7" i="20"/>
  <c r="E4" i="20"/>
  <c r="H44" i="20"/>
  <c r="G34" i="20"/>
  <c r="C60" i="19"/>
  <c r="H61" i="19"/>
  <c r="H63" i="19" s="1"/>
  <c r="H58" i="19"/>
  <c r="C53" i="19"/>
  <c r="C52" i="19"/>
  <c r="C49" i="19"/>
  <c r="C48" i="19"/>
  <c r="C47" i="19"/>
  <c r="C45" i="19"/>
  <c r="C44" i="19"/>
  <c r="C43" i="19"/>
  <c r="C42" i="19"/>
  <c r="C40" i="19"/>
  <c r="C39" i="19"/>
  <c r="C38" i="19"/>
  <c r="I9" i="19"/>
  <c r="H9" i="19"/>
  <c r="E9" i="19"/>
  <c r="D9" i="19"/>
  <c r="C9" i="19"/>
  <c r="G9" i="19" s="1"/>
  <c r="C8" i="19"/>
  <c r="F8" i="19" s="1"/>
  <c r="F7" i="19"/>
  <c r="C7" i="19"/>
  <c r="I7" i="19" s="1"/>
  <c r="I6" i="19"/>
  <c r="H6" i="19"/>
  <c r="F6" i="19"/>
  <c r="E6" i="19"/>
  <c r="D6" i="19"/>
  <c r="C6" i="19"/>
  <c r="G6" i="19" s="1"/>
  <c r="I5" i="19"/>
  <c r="H5" i="19"/>
  <c r="E5" i="19"/>
  <c r="D5" i="19"/>
  <c r="C5" i="19"/>
  <c r="G5" i="19" s="1"/>
  <c r="C4" i="19"/>
  <c r="F4" i="19" s="1"/>
  <c r="F3" i="19"/>
  <c r="C3" i="19"/>
  <c r="I3" i="19" s="1"/>
  <c r="C64" i="19" l="1"/>
  <c r="F29" i="22"/>
  <c r="C63" i="19"/>
  <c r="C66" i="19" s="1"/>
  <c r="Q44" i="20"/>
  <c r="D33" i="21"/>
  <c r="E33" i="21" s="1"/>
  <c r="E60" i="19"/>
  <c r="R44" i="20" s="1"/>
  <c r="D60" i="19"/>
  <c r="H45" i="20"/>
  <c r="H42" i="20"/>
  <c r="G3" i="19"/>
  <c r="H4" i="19"/>
  <c r="D8" i="19"/>
  <c r="D3" i="19"/>
  <c r="H3" i="19"/>
  <c r="E4" i="19"/>
  <c r="I4" i="19"/>
  <c r="F5" i="19"/>
  <c r="D7" i="19"/>
  <c r="H7" i="19"/>
  <c r="E8" i="19"/>
  <c r="I8" i="19"/>
  <c r="F9" i="19"/>
  <c r="G4" i="19"/>
  <c r="G8" i="19"/>
  <c r="D4" i="19"/>
  <c r="G7" i="19"/>
  <c r="H8" i="19"/>
  <c r="E3" i="19"/>
  <c r="E7" i="19"/>
  <c r="D97" i="13" l="1"/>
  <c r="F57" i="13"/>
  <c r="F56" i="13"/>
  <c r="F55" i="13"/>
  <c r="F54" i="13"/>
  <c r="F53" i="13"/>
  <c r="F52" i="13"/>
  <c r="F51" i="13"/>
  <c r="F50" i="13"/>
  <c r="F49" i="13"/>
  <c r="F48" i="13"/>
  <c r="F47" i="13"/>
  <c r="F46" i="13"/>
  <c r="F45" i="13"/>
  <c r="F44" i="13"/>
  <c r="F43" i="13"/>
  <c r="F42" i="13"/>
  <c r="F41" i="13"/>
  <c r="F40" i="13"/>
  <c r="F39" i="13"/>
  <c r="F38" i="13"/>
  <c r="F37" i="13"/>
  <c r="F36" i="13"/>
  <c r="F35" i="13"/>
  <c r="F34" i="13"/>
  <c r="F33" i="13"/>
  <c r="F32" i="13"/>
  <c r="F31" i="13"/>
  <c r="F30" i="13"/>
  <c r="F29" i="13"/>
  <c r="F24" i="13"/>
  <c r="F23" i="13"/>
  <c r="F22" i="13"/>
  <c r="F21" i="13"/>
  <c r="F20" i="13"/>
  <c r="F19" i="13"/>
  <c r="F16" i="13"/>
  <c r="F14" i="13"/>
  <c r="F13" i="13"/>
  <c r="F12" i="13"/>
  <c r="F11" i="13"/>
  <c r="F10" i="13"/>
  <c r="F9" i="13"/>
  <c r="F8" i="13"/>
  <c r="F7" i="13"/>
  <c r="F18" i="13" l="1"/>
  <c r="D87" i="13"/>
  <c r="D58" i="13"/>
  <c r="F28" i="13"/>
  <c r="F6" i="13"/>
  <c r="F15" i="13"/>
  <c r="D98" i="13"/>
  <c r="E7" i="13"/>
  <c r="E9" i="13"/>
  <c r="E11" i="13"/>
  <c r="E13" i="13"/>
  <c r="E15" i="13"/>
  <c r="E18" i="13"/>
  <c r="D4" i="20" s="1"/>
  <c r="F4" i="20" s="1"/>
  <c r="E20" i="13"/>
  <c r="D5" i="20" s="1"/>
  <c r="F5" i="20" s="1"/>
  <c r="E22" i="13"/>
  <c r="D8" i="20" s="1"/>
  <c r="F8" i="20" s="1"/>
  <c r="E24" i="13"/>
  <c r="D10" i="20" s="1"/>
  <c r="F10" i="20" s="1"/>
  <c r="E6" i="13"/>
  <c r="D3" i="20" s="1"/>
  <c r="E8" i="13"/>
  <c r="E10" i="13"/>
  <c r="E12" i="13"/>
  <c r="E14" i="13"/>
  <c r="E16" i="13"/>
  <c r="E19" i="13"/>
  <c r="D6" i="20" s="1"/>
  <c r="F6" i="20" s="1"/>
  <c r="E21" i="13"/>
  <c r="D7" i="20" s="1"/>
  <c r="F7" i="20" s="1"/>
  <c r="E23" i="13"/>
  <c r="D9" i="20" s="1"/>
  <c r="F9" i="20" s="1"/>
  <c r="D11" i="20" l="1"/>
  <c r="D95" i="13"/>
  <c r="D96" i="13"/>
  <c r="H7" i="20"/>
  <c r="P7" i="20"/>
  <c r="H9" i="20"/>
  <c r="P9" i="20"/>
  <c r="F3" i="20"/>
  <c r="P4" i="20"/>
  <c r="H4" i="20"/>
  <c r="P6" i="20"/>
  <c r="H6" i="20"/>
  <c r="P8" i="20"/>
  <c r="H8" i="20"/>
  <c r="H10" i="20"/>
  <c r="P10" i="20"/>
  <c r="P5" i="20"/>
  <c r="H5" i="20"/>
  <c r="D94" i="13"/>
  <c r="D89" i="13"/>
  <c r="P11" i="20" l="1"/>
  <c r="F11" i="20"/>
  <c r="D99" i="13"/>
  <c r="D108" i="13" s="1"/>
  <c r="H3" i="20"/>
  <c r="H11" i="20" s="1"/>
  <c r="E99" i="13" l="1"/>
  <c r="E40" i="13"/>
  <c r="E39" i="13"/>
  <c r="E38" i="13"/>
  <c r="E63" i="13"/>
  <c r="E64" i="13"/>
  <c r="E67" i="13"/>
  <c r="E68" i="13"/>
  <c r="E69" i="13"/>
  <c r="E72" i="13"/>
  <c r="E73" i="13"/>
  <c r="E74" i="13"/>
  <c r="E75" i="13"/>
  <c r="E76" i="13"/>
  <c r="E77" i="13"/>
  <c r="E80" i="13"/>
  <c r="E81" i="13"/>
  <c r="E82" i="13"/>
  <c r="E83" i="13"/>
  <c r="E85" i="13"/>
  <c r="E29" i="13"/>
  <c r="D17" i="20" s="1"/>
  <c r="F17" i="20" s="1"/>
  <c r="E30" i="13"/>
  <c r="D18" i="20" s="1"/>
  <c r="F18" i="20" s="1"/>
  <c r="E31" i="13"/>
  <c r="D19" i="20" s="1"/>
  <c r="F19" i="20" s="1"/>
  <c r="E37" i="13"/>
  <c r="E41" i="13"/>
  <c r="D32" i="20" s="1"/>
  <c r="E42" i="13"/>
  <c r="D20" i="20" s="1"/>
  <c r="E43" i="13"/>
  <c r="E44" i="13"/>
  <c r="E45" i="13"/>
  <c r="D33" i="20" s="1"/>
  <c r="E46" i="13"/>
  <c r="D21" i="20" s="1"/>
  <c r="E47" i="13"/>
  <c r="D22" i="20" s="1"/>
  <c r="F22" i="20" s="1"/>
  <c r="E48" i="13"/>
  <c r="D23" i="20" s="1"/>
  <c r="E49" i="13"/>
  <c r="D24" i="20" s="1"/>
  <c r="F24" i="20" s="1"/>
  <c r="E50" i="13"/>
  <c r="D25" i="20" s="1"/>
  <c r="F25" i="20" s="1"/>
  <c r="E51" i="13"/>
  <c r="D26" i="20" s="1"/>
  <c r="F26" i="20" s="1"/>
  <c r="E52" i="13"/>
  <c r="D27" i="20" s="1"/>
  <c r="F27" i="20" s="1"/>
  <c r="E53" i="13"/>
  <c r="D28" i="20" s="1"/>
  <c r="F28" i="20" s="1"/>
  <c r="E54" i="13"/>
  <c r="D29" i="20" s="1"/>
  <c r="F29" i="20" s="1"/>
  <c r="E55" i="13"/>
  <c r="D30" i="20" s="1"/>
  <c r="F30" i="20" s="1"/>
  <c r="E57" i="13"/>
  <c r="D34" i="20" s="1"/>
  <c r="E62" i="13"/>
  <c r="E84" i="13"/>
  <c r="P29" i="20" l="1"/>
  <c r="H29" i="20"/>
  <c r="P20" i="20"/>
  <c r="F20" i="20"/>
  <c r="H20" i="20" s="1"/>
  <c r="H30" i="20"/>
  <c r="P30" i="20"/>
  <c r="H26" i="20"/>
  <c r="P26" i="20"/>
  <c r="P22" i="20"/>
  <c r="H22" i="20"/>
  <c r="P19" i="20"/>
  <c r="H19" i="20"/>
  <c r="H25" i="20"/>
  <c r="P25" i="20"/>
  <c r="F21" i="20"/>
  <c r="H21" i="20" s="1"/>
  <c r="P21" i="20"/>
  <c r="P24" i="20"/>
  <c r="H24" i="20"/>
  <c r="F33" i="20"/>
  <c r="H33" i="20" s="1"/>
  <c r="P33" i="20"/>
  <c r="P32" i="20"/>
  <c r="F32" i="20"/>
  <c r="H32" i="20" s="1"/>
  <c r="P17" i="20"/>
  <c r="H17" i="20"/>
  <c r="H18" i="20"/>
  <c r="P18" i="20"/>
  <c r="H28" i="20"/>
  <c r="P28" i="20"/>
  <c r="F34" i="20"/>
  <c r="H34" i="20" s="1"/>
  <c r="P34" i="20"/>
  <c r="H27" i="20"/>
  <c r="P27" i="20"/>
  <c r="F23" i="20"/>
  <c r="H23" i="20" s="1"/>
  <c r="P23" i="20"/>
  <c r="E32" i="13"/>
  <c r="D15" i="20" s="1"/>
  <c r="E56" i="13"/>
  <c r="D31" i="20" s="1"/>
  <c r="F31" i="20" s="1"/>
  <c r="E35" i="13"/>
  <c r="E36" i="13"/>
  <c r="E33" i="13"/>
  <c r="D13" i="20" s="1"/>
  <c r="E34" i="13"/>
  <c r="D14" i="20" s="1"/>
  <c r="F14" i="20" s="1"/>
  <c r="E28" i="13"/>
  <c r="D16" i="20" s="1"/>
  <c r="F16" i="20" s="1"/>
  <c r="D35" i="20" l="1"/>
  <c r="P14" i="20"/>
  <c r="H14" i="20"/>
  <c r="H31" i="20"/>
  <c r="P31" i="20"/>
  <c r="F13" i="20"/>
  <c r="F15" i="20"/>
  <c r="H15" i="20" s="1"/>
  <c r="P15" i="20"/>
  <c r="P16" i="20"/>
  <c r="H16" i="20"/>
  <c r="F35" i="20" l="1"/>
  <c r="P13" i="20"/>
  <c r="P35" i="20" s="1"/>
  <c r="P37" i="20" s="1"/>
  <c r="H13" i="20"/>
  <c r="F37" i="20" l="1"/>
  <c r="D56" i="20" s="1"/>
  <c r="H35" i="20"/>
  <c r="H37" i="20" l="1"/>
  <c r="I5" i="20" l="1"/>
  <c r="J5" i="20" s="1"/>
  <c r="K5" i="20" s="1"/>
  <c r="D9" i="21" s="1"/>
  <c r="I4" i="20"/>
  <c r="J4" i="20" s="1"/>
  <c r="K4" i="20" s="1"/>
  <c r="L4" i="20" s="1"/>
  <c r="N4" i="20" s="1"/>
  <c r="I19" i="20"/>
  <c r="J19" i="20" s="1"/>
  <c r="K19" i="20" s="1"/>
  <c r="L19" i="20" s="1"/>
  <c r="N19" i="20" s="1"/>
  <c r="Q19" i="20" s="1"/>
  <c r="R19" i="20" s="1"/>
  <c r="J7" i="20"/>
  <c r="K7" i="20" s="1"/>
  <c r="I44" i="20"/>
  <c r="J44" i="20" s="1"/>
  <c r="K44" i="20" s="1"/>
  <c r="L44" i="20" s="1"/>
  <c r="I15" i="20"/>
  <c r="J15" i="20" s="1"/>
  <c r="K15" i="20" s="1"/>
  <c r="L15" i="20" s="1"/>
  <c r="I17" i="20"/>
  <c r="J17" i="20" s="1"/>
  <c r="K17" i="20" s="1"/>
  <c r="L17" i="20" s="1"/>
  <c r="N17" i="20" s="1"/>
  <c r="Q17" i="20" s="1"/>
  <c r="R17" i="20" s="1"/>
  <c r="I13" i="20"/>
  <c r="J13" i="20" s="1"/>
  <c r="K13" i="20" s="1"/>
  <c r="I31" i="20"/>
  <c r="J31" i="20" s="1"/>
  <c r="K31" i="20" s="1"/>
  <c r="L31" i="20" s="1"/>
  <c r="I42" i="20"/>
  <c r="J42" i="20" s="1"/>
  <c r="K42" i="20" s="1"/>
  <c r="L42" i="20" s="1"/>
  <c r="N42" i="20" s="1"/>
  <c r="I27" i="20"/>
  <c r="J27" i="20" s="1"/>
  <c r="K27" i="20" s="1"/>
  <c r="L27" i="20" s="1"/>
  <c r="D52" i="21" s="1"/>
  <c r="E52" i="21" s="1"/>
  <c r="O27" i="20" s="1"/>
  <c r="I3" i="20"/>
  <c r="J3" i="20" s="1"/>
  <c r="K3" i="20" s="1"/>
  <c r="I29" i="20"/>
  <c r="J29" i="20" s="1"/>
  <c r="K29" i="20" s="1"/>
  <c r="L29" i="20" s="1"/>
  <c r="D37" i="21" s="1"/>
  <c r="E37" i="21" s="1"/>
  <c r="O29" i="20" s="1"/>
  <c r="I10" i="20"/>
  <c r="J10" i="20" s="1"/>
  <c r="K10" i="20" s="1"/>
  <c r="L10" i="20" s="1"/>
  <c r="I18" i="20"/>
  <c r="J18" i="20" s="1"/>
  <c r="K18" i="20" s="1"/>
  <c r="L18" i="20" s="1"/>
  <c r="N18" i="20" s="1"/>
  <c r="Q18" i="20" s="1"/>
  <c r="R18" i="20" s="1"/>
  <c r="I32" i="20"/>
  <c r="J32" i="20" s="1"/>
  <c r="K32" i="20" s="1"/>
  <c r="L32" i="20" s="1"/>
  <c r="D47" i="21" s="1"/>
  <c r="I26" i="20"/>
  <c r="J26" i="20" s="1"/>
  <c r="K26" i="20" s="1"/>
  <c r="L26" i="20" s="1"/>
  <c r="N26" i="20" s="1"/>
  <c r="Q26" i="20" s="1"/>
  <c r="R26" i="20" s="1"/>
  <c r="I43" i="20"/>
  <c r="J43" i="20" s="1"/>
  <c r="K43" i="20" s="1"/>
  <c r="L43" i="20" s="1"/>
  <c r="N43" i="20" s="1"/>
  <c r="I45" i="20"/>
  <c r="J45" i="20" s="1"/>
  <c r="K45" i="20" s="1"/>
  <c r="L45" i="20" s="1"/>
  <c r="I20" i="20"/>
  <c r="J20" i="20" s="1"/>
  <c r="K20" i="20" s="1"/>
  <c r="L20" i="20" s="1"/>
  <c r="D42" i="21" s="1"/>
  <c r="E42" i="21" s="1"/>
  <c r="O20" i="20" s="1"/>
  <c r="I34" i="20"/>
  <c r="J34" i="20" s="1"/>
  <c r="K34" i="20" s="1"/>
  <c r="L34" i="20" s="1"/>
  <c r="I41" i="20"/>
  <c r="J41" i="20" s="1"/>
  <c r="K41" i="20" s="1"/>
  <c r="L41" i="20" s="1"/>
  <c r="I9" i="20"/>
  <c r="J9" i="20" s="1"/>
  <c r="K9" i="20" s="1"/>
  <c r="L9" i="20" s="1"/>
  <c r="N9" i="20" s="1"/>
  <c r="I16" i="20"/>
  <c r="J16" i="20" s="1"/>
  <c r="K16" i="20" s="1"/>
  <c r="I30" i="20"/>
  <c r="J30" i="20" s="1"/>
  <c r="K30" i="20" s="1"/>
  <c r="L30" i="20" s="1"/>
  <c r="N30" i="20" s="1"/>
  <c r="Q30" i="20" s="1"/>
  <c r="R30" i="20" s="1"/>
  <c r="I28" i="20"/>
  <c r="J28" i="20" s="1"/>
  <c r="K28" i="20" s="1"/>
  <c r="L28" i="20" s="1"/>
  <c r="N28" i="20" s="1"/>
  <c r="Q28" i="20" s="1"/>
  <c r="R28" i="20" s="1"/>
  <c r="I6" i="20"/>
  <c r="J6" i="20" s="1"/>
  <c r="K6" i="20" s="1"/>
  <c r="L6" i="20" s="1"/>
  <c r="N6" i="20" s="1"/>
  <c r="I14" i="20"/>
  <c r="J14" i="20" s="1"/>
  <c r="K14" i="20" s="1"/>
  <c r="I24" i="20"/>
  <c r="J24" i="20" s="1"/>
  <c r="K24" i="20" s="1"/>
  <c r="L24" i="20" s="1"/>
  <c r="N24" i="20" s="1"/>
  <c r="Q24" i="20" s="1"/>
  <c r="R24" i="20" s="1"/>
  <c r="I21" i="20"/>
  <c r="J21" i="20" s="1"/>
  <c r="K21" i="20" s="1"/>
  <c r="L21" i="20" s="1"/>
  <c r="I25" i="20"/>
  <c r="J25" i="20" s="1"/>
  <c r="K25" i="20" s="1"/>
  <c r="L25" i="20" s="1"/>
  <c r="N25" i="20" s="1"/>
  <c r="Q25" i="20" s="1"/>
  <c r="R25" i="20" s="1"/>
  <c r="I33" i="20"/>
  <c r="J33" i="20" s="1"/>
  <c r="K33" i="20" s="1"/>
  <c r="L33" i="20" s="1"/>
  <c r="D48" i="21" s="1"/>
  <c r="I8" i="20"/>
  <c r="J8" i="20" s="1"/>
  <c r="K8" i="20" s="1"/>
  <c r="L8" i="20" s="1"/>
  <c r="I23" i="20"/>
  <c r="J23" i="20" s="1"/>
  <c r="K23" i="20" s="1"/>
  <c r="L23" i="20" s="1"/>
  <c r="D44" i="21" s="1"/>
  <c r="E44" i="21" s="1"/>
  <c r="I22" i="20"/>
  <c r="J22" i="20" s="1"/>
  <c r="K22" i="20" s="1"/>
  <c r="N20" i="20"/>
  <c r="Q20" i="20" s="1"/>
  <c r="R20" i="20" s="1"/>
  <c r="D38" i="21"/>
  <c r="E38" i="21" s="1"/>
  <c r="D54" i="21"/>
  <c r="E54" i="21" s="1"/>
  <c r="O28" i="20" s="1"/>
  <c r="D15" i="21"/>
  <c r="E15" i="21" s="1"/>
  <c r="O10" i="20" s="1"/>
  <c r="N29" i="20"/>
  <c r="Q29" i="20" s="1"/>
  <c r="R29" i="20" s="1"/>
  <c r="L7" i="20" l="1"/>
  <c r="N7" i="20" s="1"/>
  <c r="Q7" i="20" s="1"/>
  <c r="R7" i="20" s="1"/>
  <c r="E47" i="21"/>
  <c r="O32" i="20" s="1"/>
  <c r="N45" i="20"/>
  <c r="D68" i="21"/>
  <c r="E68" i="21" s="1"/>
  <c r="O45" i="20" s="1"/>
  <c r="E48" i="21"/>
  <c r="O33" i="20" s="1"/>
  <c r="L22" i="20"/>
  <c r="N22" i="20" s="1"/>
  <c r="Q22" i="20" s="1"/>
  <c r="R22" i="20" s="1"/>
  <c r="N44" i="20"/>
  <c r="N23" i="20"/>
  <c r="Q23" i="20" s="1"/>
  <c r="R23" i="20" s="1"/>
  <c r="D53" i="21"/>
  <c r="E53" i="21" s="1"/>
  <c r="O43" i="20" s="1"/>
  <c r="N33" i="20"/>
  <c r="Q33" i="20" s="1"/>
  <c r="R33" i="20" s="1"/>
  <c r="N32" i="20"/>
  <c r="Q32" i="20" s="1"/>
  <c r="R32" i="20" s="1"/>
  <c r="N10" i="20"/>
  <c r="Q10" i="20" s="1"/>
  <c r="R10" i="20" s="1"/>
  <c r="D13" i="21"/>
  <c r="E13" i="21" s="1"/>
  <c r="O8" i="20" s="1"/>
  <c r="N8" i="20"/>
  <c r="Q8" i="20" s="1"/>
  <c r="R8" i="20" s="1"/>
  <c r="N5" i="20"/>
  <c r="Q5" i="20" s="1"/>
  <c r="R5" i="20" s="1"/>
  <c r="E65" i="21"/>
  <c r="O44" i="20" s="1"/>
  <c r="I11" i="20"/>
  <c r="J35" i="20"/>
  <c r="I35" i="20"/>
  <c r="L14" i="20"/>
  <c r="L16" i="20"/>
  <c r="D12" i="21"/>
  <c r="E12" i="21" s="1"/>
  <c r="O7" i="20" s="1"/>
  <c r="Q9" i="20"/>
  <c r="R9" i="20" s="1"/>
  <c r="D14" i="21"/>
  <c r="E14" i="21" s="1"/>
  <c r="O9" i="20" s="1"/>
  <c r="I37" i="20"/>
  <c r="J11" i="20"/>
  <c r="D10" i="21"/>
  <c r="E10" i="21" s="1"/>
  <c r="O6" i="20" s="1"/>
  <c r="Q6" i="20"/>
  <c r="R6" i="20" s="1"/>
  <c r="K35" i="20"/>
  <c r="L13" i="20"/>
  <c r="N13" i="20" s="1"/>
  <c r="K11" i="20"/>
  <c r="L3" i="20"/>
  <c r="N3" i="20" s="1"/>
  <c r="N27" i="20"/>
  <c r="Q27" i="20" s="1"/>
  <c r="R27" i="20" s="1"/>
  <c r="N21" i="20"/>
  <c r="Q21" i="20" s="1"/>
  <c r="R21" i="20" s="1"/>
  <c r="D43" i="21"/>
  <c r="E43" i="21" s="1"/>
  <c r="O21" i="20" s="1"/>
  <c r="N41" i="20"/>
  <c r="D60" i="21"/>
  <c r="E60" i="21" s="1"/>
  <c r="O15" i="20" s="1"/>
  <c r="N15" i="20"/>
  <c r="Q15" i="20" s="1"/>
  <c r="R15" i="20" s="1"/>
  <c r="Q4" i="20"/>
  <c r="R4" i="20" s="1"/>
  <c r="D11" i="21"/>
  <c r="E11" i="21" s="1"/>
  <c r="O4" i="20" s="1"/>
  <c r="N34" i="20"/>
  <c r="Q34" i="20" s="1"/>
  <c r="R34" i="20" s="1"/>
  <c r="D49" i="21"/>
  <c r="D39" i="21"/>
  <c r="E39" i="21" s="1"/>
  <c r="O25" i="20" s="1"/>
  <c r="N31" i="20"/>
  <c r="Q31" i="20" s="1"/>
  <c r="R31" i="20" s="1"/>
  <c r="O30" i="20"/>
  <c r="O22" i="20"/>
  <c r="D30" i="21" l="1"/>
  <c r="D24" i="21"/>
  <c r="E24" i="21" s="1"/>
  <c r="D26" i="21"/>
  <c r="E26" i="21" s="1"/>
  <c r="O14" i="20" s="1"/>
  <c r="D27" i="21"/>
  <c r="E27" i="21" s="1"/>
  <c r="D23" i="21"/>
  <c r="D22" i="21"/>
  <c r="E22" i="21" s="1"/>
  <c r="O42" i="20" s="1"/>
  <c r="D25" i="21"/>
  <c r="E25" i="21" s="1"/>
  <c r="O34" i="20"/>
  <c r="E49" i="21"/>
  <c r="D57" i="21"/>
  <c r="E57" i="21" s="1"/>
  <c r="D59" i="21"/>
  <c r="E59" i="21" s="1"/>
  <c r="D58" i="21"/>
  <c r="E58" i="21" s="1"/>
  <c r="E6" i="21"/>
  <c r="O41" i="20" s="1"/>
  <c r="O23" i="20"/>
  <c r="O26" i="20"/>
  <c r="O31" i="20"/>
  <c r="O24" i="20"/>
  <c r="J37" i="20"/>
  <c r="E23" i="21"/>
  <c r="E30" i="21"/>
  <c r="N14" i="20"/>
  <c r="Q14" i="20" s="1"/>
  <c r="R14" i="20" s="1"/>
  <c r="K37" i="20"/>
  <c r="N16" i="20"/>
  <c r="Q16" i="20" s="1"/>
  <c r="R16" i="20" s="1"/>
  <c r="D19" i="21"/>
  <c r="E19" i="21" s="1"/>
  <c r="Q3" i="20"/>
  <c r="Q11" i="20" s="1"/>
  <c r="D18" i="21"/>
  <c r="E18" i="21" s="1"/>
  <c r="O3" i="20" s="1"/>
  <c r="D62" i="21"/>
  <c r="E62" i="21" s="1"/>
  <c r="O13" i="20" s="1"/>
  <c r="Q13" i="20"/>
  <c r="D61" i="21"/>
  <c r="E61" i="21" s="1"/>
  <c r="E9" i="21" l="1"/>
  <c r="O5" i="20" s="1"/>
  <c r="Q35" i="20"/>
  <c r="Q37" i="20" s="1"/>
  <c r="O19" i="20"/>
  <c r="O16" i="20"/>
  <c r="O17" i="20"/>
  <c r="O18" i="20"/>
  <c r="R13" i="20"/>
  <c r="R35" i="20" s="1"/>
  <c r="R3" i="20"/>
  <c r="R11" i="20" s="1"/>
  <c r="Q40" i="20" l="1"/>
  <c r="R37" i="20"/>
  <c r="Q41" i="20"/>
  <c r="R41" i="20" s="1"/>
  <c r="R40" i="20" l="1"/>
  <c r="Q42" i="20"/>
  <c r="Q46" i="20" s="1"/>
  <c r="C71" i="19"/>
  <c r="C72" i="19" s="1"/>
  <c r="C74" i="19" s="1"/>
</calcChain>
</file>

<file path=xl/comments1.xml><?xml version="1.0" encoding="utf-8"?>
<comments xmlns="http://schemas.openxmlformats.org/spreadsheetml/2006/main">
  <authors>
    <author>Ben Thompson</author>
  </authors>
  <commentList>
    <comment ref="F41" authorId="0">
      <text>
        <r>
          <rPr>
            <b/>
            <sz val="9"/>
            <color indexed="81"/>
            <rFont val="Tahoma"/>
            <family val="2"/>
          </rPr>
          <t>Ben Thompson:</t>
        </r>
        <r>
          <rPr>
            <sz val="9"/>
            <color indexed="81"/>
            <rFont val="Tahoma"/>
            <family val="2"/>
          </rPr>
          <t xml:space="preserve">
Hard coded.</t>
        </r>
      </text>
    </comment>
    <comment ref="E42" authorId="0">
      <text>
        <r>
          <rPr>
            <b/>
            <sz val="9"/>
            <color indexed="81"/>
            <rFont val="Tahoma"/>
            <family val="2"/>
          </rPr>
          <t>Ben Thompson:</t>
        </r>
        <r>
          <rPr>
            <sz val="9"/>
            <color indexed="81"/>
            <rFont val="Tahoma"/>
            <family val="2"/>
          </rPr>
          <t xml:space="preserve">
Hard coded.</t>
        </r>
      </text>
    </comment>
    <comment ref="F42" authorId="0">
      <text>
        <r>
          <rPr>
            <b/>
            <sz val="9"/>
            <color indexed="81"/>
            <rFont val="Tahoma"/>
            <family val="2"/>
          </rPr>
          <t>Ben Thompson:</t>
        </r>
        <r>
          <rPr>
            <sz val="9"/>
            <color indexed="81"/>
            <rFont val="Tahoma"/>
            <family val="2"/>
          </rPr>
          <t xml:space="preserve">
Hard coded.</t>
        </r>
      </text>
    </comment>
    <comment ref="F43" authorId="0">
      <text>
        <r>
          <rPr>
            <b/>
            <sz val="9"/>
            <color indexed="81"/>
            <rFont val="Tahoma"/>
            <family val="2"/>
          </rPr>
          <t>Ben Thompson:</t>
        </r>
        <r>
          <rPr>
            <sz val="9"/>
            <color indexed="81"/>
            <rFont val="Tahoma"/>
            <family val="2"/>
          </rPr>
          <t xml:space="preserve">
Hard coded.</t>
        </r>
      </text>
    </comment>
    <comment ref="F44" authorId="0">
      <text>
        <r>
          <rPr>
            <b/>
            <sz val="9"/>
            <color indexed="81"/>
            <rFont val="Tahoma"/>
            <family val="2"/>
          </rPr>
          <t>Ben Thompson:</t>
        </r>
        <r>
          <rPr>
            <sz val="9"/>
            <color indexed="81"/>
            <rFont val="Tahoma"/>
            <family val="2"/>
          </rPr>
          <t xml:space="preserve">
Hard coded.</t>
        </r>
      </text>
    </comment>
    <comment ref="F45" authorId="0">
      <text>
        <r>
          <rPr>
            <b/>
            <sz val="9"/>
            <color indexed="81"/>
            <rFont val="Tahoma"/>
            <family val="2"/>
          </rPr>
          <t>Ben Thompson:</t>
        </r>
        <r>
          <rPr>
            <sz val="9"/>
            <color indexed="81"/>
            <rFont val="Tahoma"/>
            <family val="2"/>
          </rPr>
          <t xml:space="preserve">
Hard coded.</t>
        </r>
      </text>
    </comment>
  </commentList>
</comments>
</file>

<file path=xl/sharedStrings.xml><?xml version="1.0" encoding="utf-8"?>
<sst xmlns="http://schemas.openxmlformats.org/spreadsheetml/2006/main" count="456" uniqueCount="339">
  <si>
    <t>RATE</t>
  </si>
  <si>
    <t>REVENUE</t>
  </si>
  <si>
    <t>CEX</t>
  </si>
  <si>
    <t>CEXYD</t>
  </si>
  <si>
    <t>R1.5YD2W</t>
  </si>
  <si>
    <t>R1YD1W</t>
  </si>
  <si>
    <t>R2YD1W</t>
  </si>
  <si>
    <t>R2YD2W</t>
  </si>
  <si>
    <t>R2YD3W</t>
  </si>
  <si>
    <t>R1.5YDEX</t>
  </si>
  <si>
    <t>R2YDEX</t>
  </si>
  <si>
    <t>TRIPRCANS</t>
  </si>
  <si>
    <t>RECYONLY</t>
  </si>
  <si>
    <t>RECYR</t>
  </si>
  <si>
    <t>REXTRA</t>
  </si>
  <si>
    <t>DRVNRW1</t>
  </si>
  <si>
    <t>PACKR</t>
  </si>
  <si>
    <t>20RW1</t>
  </si>
  <si>
    <t>32RM1</t>
  </si>
  <si>
    <t>32RW1</t>
  </si>
  <si>
    <t>32RW2</t>
  </si>
  <si>
    <t>32RW3</t>
  </si>
  <si>
    <t>32RW4</t>
  </si>
  <si>
    <t>Total</t>
  </si>
  <si>
    <t>Commercial</t>
  </si>
  <si>
    <t>R2YD4W</t>
  </si>
  <si>
    <t>R1YDEX</t>
  </si>
  <si>
    <t xml:space="preserve">Roll-off Hauls </t>
  </si>
  <si>
    <t>Permanent Drop Box</t>
  </si>
  <si>
    <t>20 yard</t>
  </si>
  <si>
    <t>25 yard</t>
  </si>
  <si>
    <t>30 yard</t>
  </si>
  <si>
    <t>Temporary Drop Box</t>
  </si>
  <si>
    <t>Temporary DB (rent)</t>
  </si>
  <si>
    <t>Other Charges:</t>
  </si>
  <si>
    <t>Temp DB delivery</t>
  </si>
  <si>
    <t>Tandem Axle</t>
  </si>
  <si>
    <t>Tipping Fee</t>
  </si>
  <si>
    <t>R1.5YD1M</t>
  </si>
  <si>
    <t>R1.5YD1W</t>
  </si>
  <si>
    <t>R1YDEOW</t>
  </si>
  <si>
    <t>Rorent20D</t>
  </si>
  <si>
    <t>Rorent20M</t>
  </si>
  <si>
    <t>Rorent25D</t>
  </si>
  <si>
    <t>Rorent25M</t>
  </si>
  <si>
    <t>Rorent30M</t>
  </si>
  <si>
    <t>Rorent30D</t>
  </si>
  <si>
    <t>DRVNRE1</t>
  </si>
  <si>
    <t>DRVNRW2</t>
  </si>
  <si>
    <t>32RE1</t>
  </si>
  <si>
    <t>Standby</t>
  </si>
  <si>
    <t>CTDEL</t>
  </si>
  <si>
    <t>R1.5YDEOW</t>
  </si>
  <si>
    <t>CTRIP</t>
  </si>
  <si>
    <t>Adjro</t>
  </si>
  <si>
    <t>Relocate</t>
  </si>
  <si>
    <t>Tipping Fee-Asbestos</t>
  </si>
  <si>
    <t>OBSTRUCTION</t>
  </si>
  <si>
    <t>STEPSR</t>
  </si>
  <si>
    <t>R1YD2W</t>
  </si>
  <si>
    <t>R2YDTPU</t>
  </si>
  <si>
    <t>RESTART FEE</t>
  </si>
  <si>
    <t>32CW1</t>
  </si>
  <si>
    <t>32CW2</t>
  </si>
  <si>
    <t>32CW3</t>
  </si>
  <si>
    <t>32CW4</t>
  </si>
  <si>
    <t>32CE1</t>
  </si>
  <si>
    <t>R2YDEOW</t>
  </si>
  <si>
    <t>R1YDTPU</t>
  </si>
  <si>
    <t>DRIVEDWAY-COMM</t>
  </si>
  <si>
    <t>DRIVEPVT-COMM</t>
  </si>
  <si>
    <t>PACKC</t>
  </si>
  <si>
    <t>Residential</t>
  </si>
  <si>
    <t>October 2015</t>
  </si>
  <si>
    <t xml:space="preserve">Drive-in </t>
  </si>
  <si>
    <t xml:space="preserve">Drive in </t>
  </si>
  <si>
    <t>Carry-outs</t>
  </si>
  <si>
    <t>Obstruction</t>
  </si>
  <si>
    <t>Steps</t>
  </si>
  <si>
    <t>Restart Fee</t>
  </si>
  <si>
    <t>Recycling</t>
  </si>
  <si>
    <t>Recycling-only</t>
  </si>
  <si>
    <t>Mini wkly</t>
  </si>
  <si>
    <t>1-32 gal every-other-wk</t>
  </si>
  <si>
    <t>1-32 gal once per month</t>
  </si>
  <si>
    <t>2-32 gal weerkly</t>
  </si>
  <si>
    <t>3-32 gal weerkly</t>
  </si>
  <si>
    <t>4-32 gal weerkly</t>
  </si>
  <si>
    <t>1-32 gal weerkly</t>
  </si>
  <si>
    <t>1-32 gal minimum</t>
  </si>
  <si>
    <t>Extra unit</t>
  </si>
  <si>
    <t>ReturnedtTrip</t>
  </si>
  <si>
    <t>Extra yard</t>
  </si>
  <si>
    <t>Container delivery</t>
  </si>
  <si>
    <t>Returned trip</t>
  </si>
  <si>
    <t>Drive-in</t>
  </si>
  <si>
    <t>Drive-in over 125'</t>
  </si>
  <si>
    <t>Packout</t>
  </si>
  <si>
    <t>1 yad weekly</t>
  </si>
  <si>
    <t>1 yd twice a week</t>
  </si>
  <si>
    <t>1.5 yd once per month</t>
  </si>
  <si>
    <t>1 yd every-other-week</t>
  </si>
  <si>
    <t>1.5 yd every-other-week</t>
  </si>
  <si>
    <t>1.5 yad weekly</t>
  </si>
  <si>
    <t>1.5 yd twice a week</t>
  </si>
  <si>
    <t>2 yad weekly</t>
  </si>
  <si>
    <t>2 yd twice a week</t>
  </si>
  <si>
    <t>2 yad 3X weekly</t>
  </si>
  <si>
    <t>2 yad 4X weekly</t>
  </si>
  <si>
    <t>1 yd extra</t>
  </si>
  <si>
    <t>1.5 yd extra</t>
  </si>
  <si>
    <t>2 yard extra</t>
  </si>
  <si>
    <t>2 yd every-other-week</t>
  </si>
  <si>
    <t>1 yd temp weekly</t>
  </si>
  <si>
    <t>2 yd temp weekly</t>
  </si>
  <si>
    <t>Residential Garbage</t>
  </si>
  <si>
    <t>Commercial Garbage</t>
  </si>
  <si>
    <t>Roll-Off</t>
  </si>
  <si>
    <t>Disposal</t>
  </si>
  <si>
    <t xml:space="preserve">Total </t>
  </si>
  <si>
    <t>Monthly Factor</t>
  </si>
  <si>
    <t>Pickups:</t>
  </si>
  <si>
    <t>1 unit</t>
  </si>
  <si>
    <t>2 units</t>
  </si>
  <si>
    <t>3 units</t>
  </si>
  <si>
    <t>4 units</t>
  </si>
  <si>
    <t>5 units</t>
  </si>
  <si>
    <t>6 units</t>
  </si>
  <si>
    <t>7 unit</t>
  </si>
  <si>
    <t>5 Times per Week</t>
  </si>
  <si>
    <t>4 Times per Week</t>
  </si>
  <si>
    <t>3 Times per Week</t>
  </si>
  <si>
    <t>2 Times per Week</t>
  </si>
  <si>
    <t>Weekly Pickup (WG)</t>
  </si>
  <si>
    <t>Every Other Week (EOWG)</t>
  </si>
  <si>
    <t>Monthly (MG)</t>
  </si>
  <si>
    <t>Extra Units</t>
  </si>
  <si>
    <t>Meeks Weights</t>
  </si>
  <si>
    <t>Res'l</t>
  </si>
  <si>
    <t>Pounds per Pickup</t>
  </si>
  <si>
    <t>20 gal minican</t>
  </si>
  <si>
    <t>1 can</t>
  </si>
  <si>
    <t>2 cans</t>
  </si>
  <si>
    <t>3 cans</t>
  </si>
  <si>
    <t>Lbs. per ton</t>
  </si>
  <si>
    <t>4 cans</t>
  </si>
  <si>
    <t>Yds. Per ton</t>
  </si>
  <si>
    <t>n/a</t>
  </si>
  <si>
    <t>5 cans</t>
  </si>
  <si>
    <t>6 cans</t>
  </si>
  <si>
    <t>Annual</t>
  </si>
  <si>
    <t>40 gallon Can</t>
  </si>
  <si>
    <t>*</t>
  </si>
  <si>
    <t>Supercan 60</t>
  </si>
  <si>
    <t>Supercan 90</t>
  </si>
  <si>
    <t>Once a month</t>
  </si>
  <si>
    <t>Extras</t>
  </si>
  <si>
    <t>Com'l</t>
  </si>
  <si>
    <t>Cans</t>
  </si>
  <si>
    <t>Yards</t>
  </si>
  <si>
    <t>1 yd container</t>
  </si>
  <si>
    <t>1.5 yd container</t>
  </si>
  <si>
    <t>2 yd container</t>
  </si>
  <si>
    <t>3 yd container</t>
  </si>
  <si>
    <t>4 yd container</t>
  </si>
  <si>
    <t>6 yd container</t>
  </si>
  <si>
    <t>8 yd container</t>
  </si>
  <si>
    <t>Compaction Ratio:   2:25</t>
  </si>
  <si>
    <t>2 yd packer/compactor</t>
  </si>
  <si>
    <t>4 yd packer/compactor</t>
  </si>
  <si>
    <t>6 yd packer/compactor</t>
  </si>
  <si>
    <t>Compaction Ratio:   3:1</t>
  </si>
  <si>
    <t>3 yd packer/compactor</t>
  </si>
  <si>
    <t>Compaction Ratio:   4:1</t>
  </si>
  <si>
    <t>Compaction Ratio:   5:1</t>
  </si>
  <si>
    <t>* not on meeks - calculated</t>
  </si>
  <si>
    <t>Pierce County</t>
  </si>
  <si>
    <t>Per Ton</t>
  </si>
  <si>
    <t>Per Pound</t>
  </si>
  <si>
    <t>Gross Up Factors</t>
  </si>
  <si>
    <t xml:space="preserve">Current Rate </t>
  </si>
  <si>
    <t>B&amp;O tax</t>
  </si>
  <si>
    <t>New Rate per ton</t>
  </si>
  <si>
    <t>WUTC fees</t>
  </si>
  <si>
    <t>Increase</t>
  </si>
  <si>
    <t>Bad Debts</t>
  </si>
  <si>
    <t>Transfer Station</t>
  </si>
  <si>
    <t>Increase per ton</t>
  </si>
  <si>
    <t>Factor</t>
  </si>
  <si>
    <t>Grossed Up Increase per ton</t>
  </si>
  <si>
    <t>Tons Collected</t>
  </si>
  <si>
    <t>Disposal Fee Revenue Increase</t>
  </si>
  <si>
    <t>Company Proposed Rates</t>
  </si>
  <si>
    <t>Res'l &amp; Com'l</t>
  </si>
  <si>
    <t>Revenue Inc from Co Proposed Rates</t>
  </si>
  <si>
    <t>Collected Revenue Excess/(Deficiency)</t>
  </si>
  <si>
    <t>Difference</t>
  </si>
  <si>
    <t>Tariff Page</t>
  </si>
  <si>
    <t>Scheduled Service</t>
  </si>
  <si>
    <t>Annual Customers</t>
  </si>
  <si>
    <t>Monthly Frequency</t>
  </si>
  <si>
    <t>Annual PU's</t>
  </si>
  <si>
    <t>Calculated Annual Pounds</t>
  </si>
  <si>
    <t>Adjusted Annual Pounds</t>
  </si>
  <si>
    <t>Gross Up</t>
  </si>
  <si>
    <t>Tariff Rate Increase</t>
  </si>
  <si>
    <t>Company Current Tariff</t>
  </si>
  <si>
    <t xml:space="preserve"> Calculated Rate</t>
  </si>
  <si>
    <t>Company Proposed Tariff</t>
  </si>
  <si>
    <t>Company Current Revenue</t>
  </si>
  <si>
    <t>Proposed Revenue</t>
  </si>
  <si>
    <t>Revised Revenue Increase</t>
  </si>
  <si>
    <t>EXTRA UNITS</t>
  </si>
  <si>
    <t>1-20 GAL CAN WEEKLY</t>
  </si>
  <si>
    <t>1-32 GAL CAN MONTHLY</t>
  </si>
  <si>
    <t>1-32 GAL CAN WEEKLY</t>
  </si>
  <si>
    <t>2-32 GAL CANS WEEKLY</t>
  </si>
  <si>
    <t>3-32 GAL CANS WEEKLY</t>
  </si>
  <si>
    <t>4-32 GAL CANS WEEKLY</t>
  </si>
  <si>
    <t>na</t>
  </si>
  <si>
    <t>COMMERICAL EXTRA CAN</t>
  </si>
  <si>
    <t>COMMERICAL EXTRA YARD</t>
  </si>
  <si>
    <t>2-32 GAL CANS WKLY</t>
  </si>
  <si>
    <t>3-32 GAL CANS WKLY</t>
  </si>
  <si>
    <t>4-32 GAL CANS WKLY</t>
  </si>
  <si>
    <t>2YD CONT 2X WEEKLY</t>
  </si>
  <si>
    <t>2YD CONT 3X WEEKLY</t>
  </si>
  <si>
    <t>1.5YD TEMP CONTAINER</t>
  </si>
  <si>
    <t>No Current Customers</t>
  </si>
  <si>
    <t>2YD COMP 1X WEEK 3:1</t>
  </si>
  <si>
    <t>Adjustment Factor Calculation</t>
  </si>
  <si>
    <t>Total Tonnage</t>
  </si>
  <si>
    <t>Total Pounds</t>
  </si>
  <si>
    <t>Total Pick Ups</t>
  </si>
  <si>
    <t>Adjustment factor</t>
  </si>
  <si>
    <t>American Disposal Co., Inc. G-87</t>
  </si>
  <si>
    <t>Item 55, Pg 16</t>
  </si>
  <si>
    <t>Over size</t>
  </si>
  <si>
    <t>WG-R</t>
  </si>
  <si>
    <t>Item 100, pg 21</t>
  </si>
  <si>
    <t xml:space="preserve">Mini can </t>
  </si>
  <si>
    <t>One can</t>
  </si>
  <si>
    <t>Two cans</t>
  </si>
  <si>
    <t>Three cans</t>
  </si>
  <si>
    <t>Four cans</t>
  </si>
  <si>
    <t>MG</t>
  </si>
  <si>
    <t>Item 100, pg 22</t>
  </si>
  <si>
    <t>Each</t>
  </si>
  <si>
    <t>On Call</t>
  </si>
  <si>
    <t>1 yard</t>
  </si>
  <si>
    <t>1.5 yard</t>
  </si>
  <si>
    <t>2 yard</t>
  </si>
  <si>
    <t>Temporary Service</t>
  </si>
  <si>
    <t>Bulky</t>
  </si>
  <si>
    <t>Loose material</t>
  </si>
  <si>
    <t>Additional</t>
  </si>
  <si>
    <t>Minimum</t>
  </si>
  <si>
    <t>Garbage</t>
  </si>
  <si>
    <t>Ton</t>
  </si>
  <si>
    <t>Special pickups, p/can</t>
  </si>
  <si>
    <t>1-32 GAL EOW</t>
  </si>
  <si>
    <t>EOWG</t>
  </si>
  <si>
    <t>Item 150, pg 28</t>
  </si>
  <si>
    <t>Item 207, pg 32</t>
  </si>
  <si>
    <t>Overfilled</t>
  </si>
  <si>
    <t>Item 230, pg 34</t>
  </si>
  <si>
    <t>Item 240, pg 35</t>
  </si>
  <si>
    <t>Flat Monthly Charge</t>
  </si>
  <si>
    <t>M</t>
  </si>
  <si>
    <t>First/Additional</t>
  </si>
  <si>
    <t>Minimum Monthly Charge</t>
  </si>
  <si>
    <t>Item 245, pg 36</t>
  </si>
  <si>
    <t>Each additional unit</t>
  </si>
  <si>
    <t>Occasional extra</t>
  </si>
  <si>
    <t>Item 255, pg 38  3:1 compaction</t>
  </si>
  <si>
    <t>Item 255, pg 38  5:1 compaction</t>
  </si>
  <si>
    <t>dba Vashon Disposal</t>
  </si>
  <si>
    <t>2YD CONT 4X WEEKLY</t>
  </si>
  <si>
    <t>1YD CONT 1xWEEKLY Temp</t>
  </si>
  <si>
    <t>2YD CONT 1xWEEKLY Temp</t>
  </si>
  <si>
    <t>1.5YD CONT 2X WEEKLY</t>
  </si>
  <si>
    <t>1YD EXTRA</t>
  </si>
  <si>
    <t>1.5YD EXTRA</t>
  </si>
  <si>
    <t>2YD EXTRA</t>
  </si>
  <si>
    <t>2YD CONT EOW</t>
  </si>
  <si>
    <t>1-32 GAL CAN WEEKLY  MINIMUM</t>
  </si>
  <si>
    <t>1.5YD CONT EOW</t>
  </si>
  <si>
    <t>Monthly minimum</t>
  </si>
  <si>
    <t>Note: Temporary container</t>
  </si>
  <si>
    <t>no revenue</t>
  </si>
  <si>
    <t>1 32 gal can (grouped)</t>
  </si>
  <si>
    <t>Units (not grouped together)</t>
  </si>
  <si>
    <t>1YD CONT 1X WEEKLY (FMC)</t>
  </si>
  <si>
    <t>1.5YD CONT 1X WEEKLY  (FMC)</t>
  </si>
  <si>
    <t>2YD CONT 1X WEEKLY (FMC)</t>
  </si>
  <si>
    <t>1YD CONT EOW  (Minimum)</t>
  </si>
  <si>
    <t>2YD COMP 1X WEEK 5:1</t>
  </si>
  <si>
    <t>Tons</t>
  </si>
  <si>
    <t>Vashon Disposal</t>
  </si>
  <si>
    <t>Oct 1, 2015 through Sept 30, 2016</t>
  </si>
  <si>
    <t>Dump Fees:</t>
  </si>
  <si>
    <t>November</t>
  </si>
  <si>
    <t>December</t>
  </si>
  <si>
    <t>January 2016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</si>
  <si>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</si>
  <si>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</si>
  <si>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</si>
  <si>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</si>
  <si>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</si>
  <si>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</si>
  <si>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</si>
  <si>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</si>
  <si>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Pass Thru</t>
  </si>
  <si>
    <t>Proposed Rate per Ton</t>
  </si>
  <si>
    <t>Current Rate per Tons</t>
  </si>
  <si>
    <t>Proposed DF</t>
  </si>
  <si>
    <t>Oversize</t>
  </si>
  <si>
    <t>Total Company</t>
  </si>
  <si>
    <t>RO Hauling</t>
  </si>
  <si>
    <t>PT</t>
  </si>
  <si>
    <t>IS:</t>
  </si>
  <si>
    <t>Billing:</t>
  </si>
  <si>
    <t>October 2015 - September 2016</t>
  </si>
  <si>
    <t>Commerical</t>
  </si>
  <si>
    <t>Roll-off</t>
  </si>
  <si>
    <t>Total Residential</t>
  </si>
  <si>
    <t>Total Commercial</t>
  </si>
  <si>
    <t>Vashon Revenue-Customer Count</t>
  </si>
  <si>
    <t>Source: Billing Records</t>
  </si>
  <si>
    <t xml:space="preserve">   weight times compaction ratio</t>
  </si>
  <si>
    <t>Total Roll-off Hauls</t>
  </si>
  <si>
    <t xml:space="preserve">Packer </t>
  </si>
  <si>
    <t>Current Tariff Rate</t>
  </si>
  <si>
    <t>Proposed Increase</t>
  </si>
  <si>
    <t>ANNUAL CUSTOMERS</t>
  </si>
  <si>
    <t>MONTHLY CUSTOMERS</t>
  </si>
  <si>
    <t>DF Effective 1/1/2019</t>
  </si>
  <si>
    <t>New 1/1/2019 Rate</t>
  </si>
  <si>
    <t>This workpaper was taken from TG-161184 - no changes were made.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</si>
</sst>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.000_);_(&quot;$&quot;* \(#,##0.000\);_(&quot;$&quot;* &quot;-&quot;??_);_(@_)"/>
    <numFmt numFmtId="166" formatCode="_(* #,##0.000000_);_(* \(#,##0.000000\);_(* &quot;-&quot;??_);_(@_)"/>
    <numFmt numFmtId="167" formatCode="_(&quot;$&quot;* #,##0.000000_);_(&quot;$&quot;* \(#,##0.000000\);_(&quot;$&quot;* &quot;-&quot;??_);_(@_)"/>
    <numFmt numFmtId="168" formatCode="0.0000%"/>
    <numFmt numFmtId="169" formatCode="0.000000"/>
    <numFmt numFmtId="170" formatCode="0.0%"/>
    <numFmt numFmtId="171" formatCode="_(&quot;$&quot;* #,##0_);_(&quot;$&quot;* \(#,##0\);_(&quot;$&quot;* &quot;-&quot;??_);_(@_)"/>
    <numFmt numFmtId="172" formatCode="&quot;$&quot;#,##0"/>
    <numFmt numFmtId="173" formatCode="_(* #,##0.00_);_(* \(#,##0.00\);_(* &quot;-&quot;_);_(@_)"/>
    <numFmt numFmtId="174" formatCode="#,##0.0000"/>
  </numFmts>
  <fonts count="64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12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2"/>
      <name val="Courier"/>
      <family val="3"/>
    </font>
    <font>
      <sz val="9"/>
      <color indexed="8"/>
      <name val="Arial"/>
      <family val="2"/>
    </font>
    <font>
      <sz val="10"/>
      <name val="Times New Roman"/>
      <family val="1"/>
    </font>
    <font>
      <sz val="11"/>
      <color indexed="8"/>
      <name val="Arial"/>
      <family val="2"/>
    </font>
    <font>
      <b/>
      <sz val="10"/>
      <color indexed="12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1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61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1"/>
      <color indexed="61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u/>
      <sz val="10"/>
      <color indexed="12"/>
      <name val="Arial"/>
      <family val="2"/>
    </font>
    <font>
      <u/>
      <sz val="11"/>
      <color indexed="12"/>
      <name val="Calibri"/>
      <family val="2"/>
    </font>
    <font>
      <u/>
      <sz val="11"/>
      <color theme="10"/>
      <name val="Calibri"/>
      <family val="2"/>
    </font>
    <font>
      <sz val="11"/>
      <color indexed="61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59"/>
      <name val="Calibri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</font>
    <font>
      <sz val="12"/>
      <name val="Helv"/>
    </font>
    <font>
      <sz val="12"/>
      <name val="Arial"/>
      <family val="2"/>
    </font>
    <font>
      <i/>
      <sz val="10"/>
      <color indexed="10"/>
      <name val="Arial"/>
      <family val="2"/>
    </font>
    <font>
      <b/>
      <sz val="11"/>
      <color indexed="63"/>
      <name val="Calibri"/>
      <family val="2"/>
    </font>
    <font>
      <sz val="8"/>
      <color indexed="56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12"/>
      <name val="Arial MT"/>
    </font>
    <font>
      <b/>
      <u/>
      <sz val="11"/>
      <name val="Arial"/>
      <family val="2"/>
    </font>
    <font>
      <b/>
      <sz val="18"/>
      <color indexed="61"/>
      <name val="Cambria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name val="Calibri"/>
      <family val="2"/>
      <scheme val="minor"/>
    </font>
    <font>
      <sz val="11"/>
      <color theme="3" tint="0.39997558519241921"/>
      <name val="Calibri"/>
      <family val="2"/>
      <scheme val="minor"/>
    </font>
    <font>
      <sz val="10"/>
      <name val="Arial"/>
      <family val="2"/>
    </font>
    <font>
      <b/>
      <i/>
      <sz val="1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rgb="FF7030A0"/>
      <name val="Calibri"/>
      <family val="2"/>
      <scheme val="minor"/>
    </font>
    <font>
      <i/>
      <sz val="11"/>
      <color rgb="FF0000FF"/>
      <name val="Calibri"/>
      <family val="2"/>
      <scheme val="minor"/>
    </font>
  </fonts>
  <fills count="4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1"/>
      </patternFill>
    </fill>
    <fill>
      <patternFill patternType="solid">
        <fgColor indexed="48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2"/>
      </patternFill>
    </fill>
    <fill>
      <patternFill patternType="solid">
        <fgColor indexed="9"/>
      </patternFill>
    </fill>
    <fill>
      <patternFill patternType="solid">
        <fgColor indexed="63"/>
      </patternFill>
    </fill>
    <fill>
      <patternFill patternType="solid">
        <fgColor indexed="55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10"/>
      </patternFill>
    </fill>
    <fill>
      <patternFill patternType="gray125">
        <fgColor indexed="10"/>
      </patternFill>
    </fill>
    <fill>
      <patternFill patternType="solid">
        <fgColor indexed="42"/>
      </patternFill>
    </fill>
    <fill>
      <patternFill patternType="solid">
        <fgColor indexed="22"/>
        <bgColor indexed="64"/>
      </patternFill>
    </fill>
    <fill>
      <patternFill patternType="mediumGray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2"/>
      </left>
      <right style="double">
        <color indexed="62"/>
      </right>
      <top style="double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48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1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74">
    <xf numFmtId="0" fontId="0" fillId="0" borderId="0"/>
    <xf numFmtId="43" fontId="2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6" borderId="0" applyNumberFormat="0" applyBorder="0" applyAlignment="0" applyProtection="0"/>
    <xf numFmtId="0" fontId="8" fillId="12" borderId="0" applyNumberFormat="0" applyBorder="0" applyAlignment="0" applyProtection="0"/>
    <xf numFmtId="0" fontId="8" fillId="7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6" borderId="0" applyNumberFormat="0" applyBorder="0" applyAlignment="0" applyProtection="0"/>
    <xf numFmtId="0" fontId="8" fillId="14" borderId="0" applyNumberFormat="0" applyBorder="0" applyAlignment="0" applyProtection="0"/>
    <xf numFmtId="0" fontId="8" fillId="11" borderId="0" applyNumberFormat="0" applyBorder="0" applyAlignment="0" applyProtection="0"/>
    <xf numFmtId="0" fontId="8" fillId="7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0" borderId="0" applyNumberFormat="0" applyBorder="0" applyAlignment="0" applyProtection="0"/>
    <xf numFmtId="0" fontId="8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2" borderId="0" applyNumberFormat="0" applyBorder="0" applyAlignment="0" applyProtection="0"/>
    <xf numFmtId="0" fontId="9" fillId="18" borderId="0" applyNumberFormat="0" applyBorder="0" applyAlignment="0" applyProtection="0"/>
    <xf numFmtId="0" fontId="9" fillId="9" borderId="0" applyNumberFormat="0" applyBorder="0" applyAlignment="0" applyProtection="0"/>
    <xf numFmtId="0" fontId="9" fillId="19" borderId="0" applyNumberFormat="0" applyBorder="0" applyAlignment="0" applyProtection="0"/>
    <xf numFmtId="0" fontId="9" fillId="13" borderId="0" applyNumberFormat="0" applyBorder="0" applyAlignment="0" applyProtection="0"/>
    <xf numFmtId="0" fontId="9" fillId="15" borderId="0" applyNumberFormat="0" applyBorder="0" applyAlignment="0" applyProtection="0"/>
    <xf numFmtId="0" fontId="9" fillId="20" borderId="0" applyNumberFormat="0" applyBorder="0" applyAlignment="0" applyProtection="0"/>
    <xf numFmtId="0" fontId="9" fillId="6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9" borderId="0" applyNumberFormat="0" applyBorder="0" applyAlignment="0" applyProtection="0"/>
    <xf numFmtId="0" fontId="9" fillId="22" borderId="0" applyNumberFormat="0" applyBorder="0" applyAlignment="0" applyProtection="0"/>
    <xf numFmtId="0" fontId="9" fillId="25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26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7" borderId="0" applyNumberFormat="0" applyBorder="0" applyAlignment="0" applyProtection="0"/>
    <xf numFmtId="0" fontId="9" fillId="19" borderId="0" applyNumberFormat="0" applyBorder="0" applyAlignment="0" applyProtection="0"/>
    <xf numFmtId="0" fontId="9" fillId="24" borderId="0" applyNumberFormat="0" applyBorder="0" applyAlignment="0" applyProtection="0"/>
    <xf numFmtId="41" fontId="2" fillId="0" borderId="0"/>
    <xf numFmtId="41" fontId="2" fillId="0" borderId="0"/>
    <xf numFmtId="41" fontId="2" fillId="0" borderId="0"/>
    <xf numFmtId="41" fontId="2" fillId="0" borderId="0"/>
    <xf numFmtId="0" fontId="10" fillId="14" borderId="0" applyNumberFormat="0" applyBorder="0" applyAlignment="0" applyProtection="0"/>
    <xf numFmtId="0" fontId="10" fillId="11" borderId="0" applyNumberFormat="0" applyBorder="0" applyAlignment="0" applyProtection="0"/>
    <xf numFmtId="3" fontId="2" fillId="0" borderId="0"/>
    <xf numFmtId="3" fontId="2" fillId="0" borderId="0"/>
    <xf numFmtId="3" fontId="2" fillId="0" borderId="0"/>
    <xf numFmtId="3" fontId="2" fillId="0" borderId="0"/>
    <xf numFmtId="0" fontId="11" fillId="28" borderId="10" applyNumberFormat="0" applyAlignment="0" applyProtection="0"/>
    <xf numFmtId="0" fontId="12" fillId="28" borderId="10" applyNumberFormat="0" applyAlignment="0" applyProtection="0"/>
    <xf numFmtId="0" fontId="13" fillId="28" borderId="10" applyNumberFormat="0" applyAlignment="0" applyProtection="0"/>
    <xf numFmtId="0" fontId="12" fillId="6" borderId="10" applyNumberFormat="0" applyAlignment="0" applyProtection="0"/>
    <xf numFmtId="0" fontId="14" fillId="29" borderId="11" applyNumberFormat="0" applyAlignment="0" applyProtection="0"/>
    <xf numFmtId="0" fontId="14" fillId="30" borderId="12" applyNumberFormat="0" applyAlignment="0" applyProtection="0"/>
    <xf numFmtId="0" fontId="2" fillId="31" borderId="0">
      <alignment horizont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" fontId="16" fillId="0" borderId="0"/>
    <xf numFmtId="0" fontId="17" fillId="0" borderId="0"/>
    <xf numFmtId="0" fontId="17" fillId="0" borderId="0"/>
    <xf numFmtId="0" fontId="18" fillId="32" borderId="1" applyAlignment="0">
      <alignment horizontal="right"/>
      <protection locked="0"/>
    </xf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21" fillId="33" borderId="0">
      <alignment horizontal="right"/>
      <protection locked="0"/>
    </xf>
    <xf numFmtId="14" fontId="2" fillId="0" borderId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2" fontId="21" fillId="33" borderId="0">
      <alignment horizontal="right"/>
      <protection locked="0"/>
    </xf>
    <xf numFmtId="1" fontId="2" fillId="0" borderId="0">
      <alignment horizontal="center"/>
    </xf>
    <xf numFmtId="0" fontId="23" fillId="34" borderId="0" applyNumberFormat="0" applyBorder="0" applyAlignment="0" applyProtection="0"/>
    <xf numFmtId="0" fontId="23" fillId="12" borderId="0" applyNumberFormat="0" applyBorder="0" applyAlignment="0" applyProtection="0"/>
    <xf numFmtId="0" fontId="24" fillId="0" borderId="13" applyNumberFormat="0" applyFill="0" applyAlignment="0" applyProtection="0"/>
    <xf numFmtId="0" fontId="25" fillId="0" borderId="14" applyNumberFormat="0" applyFill="0" applyAlignment="0" applyProtection="0"/>
    <xf numFmtId="0" fontId="25" fillId="0" borderId="15" applyNumberFormat="0" applyFill="0" applyAlignment="0" applyProtection="0"/>
    <xf numFmtId="0" fontId="26" fillId="0" borderId="16" applyNumberFormat="0" applyFill="0" applyAlignment="0" applyProtection="0"/>
    <xf numFmtId="0" fontId="27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8" applyNumberFormat="0" applyFill="0" applyAlignment="0" applyProtection="0"/>
    <xf numFmtId="0" fontId="29" fillId="0" borderId="17" applyNumberFormat="0" applyFill="0" applyAlignment="0" applyProtection="0"/>
    <xf numFmtId="0" fontId="30" fillId="0" borderId="19" applyNumberFormat="0" applyFill="0" applyAlignment="0" applyProtection="0"/>
    <xf numFmtId="0" fontId="31" fillId="0" borderId="20" applyNumberFormat="0" applyFill="0" applyAlignment="0" applyProtection="0"/>
    <xf numFmtId="0" fontId="31" fillId="0" borderId="21" applyNumberFormat="0" applyFill="0" applyAlignment="0" applyProtection="0"/>
    <xf numFmtId="0" fontId="32" fillId="0" borderId="22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3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0" fontId="36" fillId="13" borderId="10" applyNumberFormat="0" applyAlignment="0" applyProtection="0"/>
    <xf numFmtId="0" fontId="37" fillId="13" borderId="10" applyNumberFormat="0" applyAlignment="0" applyProtection="0"/>
    <xf numFmtId="3" fontId="3" fillId="35" borderId="0">
      <protection locked="0"/>
    </xf>
    <xf numFmtId="4" fontId="3" fillId="35" borderId="0">
      <protection locked="0"/>
    </xf>
    <xf numFmtId="0" fontId="38" fillId="0" borderId="23" applyNumberFormat="0" applyFill="0" applyAlignment="0" applyProtection="0"/>
    <xf numFmtId="0" fontId="39" fillId="0" borderId="24" applyNumberFormat="0" applyFill="0" applyAlignment="0" applyProtection="0"/>
    <xf numFmtId="0" fontId="40" fillId="0" borderId="25" applyNumberFormat="0" applyFill="0" applyAlignment="0" applyProtection="0"/>
    <xf numFmtId="0" fontId="41" fillId="13" borderId="0" applyNumberFormat="0" applyBorder="0" applyAlignment="0" applyProtection="0"/>
    <xf numFmtId="0" fontId="42" fillId="13" borderId="0" applyNumberFormat="0" applyBorder="0" applyAlignment="0" applyProtection="0"/>
    <xf numFmtId="0" fontId="43" fillId="13" borderId="0" applyNumberFormat="0" applyBorder="0" applyAlignment="0" applyProtection="0"/>
    <xf numFmtId="43" fontId="2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" fillId="0" borderId="0"/>
    <xf numFmtId="0" fontId="2" fillId="0" borderId="0"/>
    <xf numFmtId="0" fontId="4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8" fillId="0" borderId="0"/>
    <xf numFmtId="0" fontId="2" fillId="0" borderId="0"/>
    <xf numFmtId="0" fontId="8" fillId="0" borderId="0"/>
    <xf numFmtId="0" fontId="2" fillId="0" borderId="0"/>
    <xf numFmtId="0" fontId="8" fillId="0" borderId="0"/>
    <xf numFmtId="0" fontId="2" fillId="0" borderId="0"/>
    <xf numFmtId="0" fontId="8" fillId="0" borderId="0"/>
    <xf numFmtId="0" fontId="2" fillId="0" borderId="0"/>
    <xf numFmtId="0" fontId="8" fillId="0" borderId="0"/>
    <xf numFmtId="0" fontId="2" fillId="0" borderId="0"/>
    <xf numFmtId="0" fontId="8" fillId="0" borderId="0"/>
    <xf numFmtId="0" fontId="2" fillId="0" borderId="0"/>
    <xf numFmtId="0" fontId="8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4" fillId="0" borderId="0"/>
    <xf numFmtId="0" fontId="4" fillId="0" borderId="0"/>
    <xf numFmtId="0" fontId="16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2" fillId="0" borderId="0"/>
    <xf numFmtId="0" fontId="2" fillId="0" borderId="0"/>
    <xf numFmtId="0" fontId="8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10" borderId="26" applyNumberFormat="0" applyFont="0" applyAlignment="0" applyProtection="0"/>
    <xf numFmtId="0" fontId="8" fillId="10" borderId="26" applyNumberFormat="0" applyFont="0" applyAlignment="0" applyProtection="0"/>
    <xf numFmtId="0" fontId="44" fillId="10" borderId="26" applyNumberFormat="0" applyFont="0" applyAlignment="0" applyProtection="0"/>
    <xf numFmtId="0" fontId="15" fillId="10" borderId="26" applyNumberFormat="0" applyFont="0" applyAlignment="0" applyProtection="0"/>
    <xf numFmtId="170" fontId="46" fillId="0" borderId="0" applyNumberFormat="0"/>
    <xf numFmtId="0" fontId="31" fillId="28" borderId="27" applyNumberFormat="0" applyAlignment="0" applyProtection="0"/>
    <xf numFmtId="0" fontId="47" fillId="28" borderId="28" applyNumberFormat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4" fillId="0" borderId="0" applyFont="0" applyFill="0" applyBorder="0" applyAlignment="0" applyProtection="0"/>
    <xf numFmtId="17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38" fontId="48" fillId="0" borderId="0" applyNumberFormat="0" applyFont="0" applyFill="0" applyBorder="0">
      <alignment horizontal="left" indent="4"/>
      <protection locked="0"/>
    </xf>
    <xf numFmtId="0" fontId="49" fillId="0" borderId="0" applyNumberFormat="0" applyFont="0" applyFill="0" applyBorder="0" applyAlignment="0" applyProtection="0">
      <alignment horizontal="left"/>
    </xf>
    <xf numFmtId="15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0" fontId="50" fillId="0" borderId="8">
      <alignment horizontal="center"/>
    </xf>
    <xf numFmtId="3" fontId="49" fillId="0" borderId="0" applyFont="0" applyFill="0" applyBorder="0" applyAlignment="0" applyProtection="0"/>
    <xf numFmtId="0" fontId="49" fillId="36" borderId="0" applyNumberFormat="0" applyFont="0" applyBorder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6" fillId="0" borderId="0">
      <alignment vertical="top"/>
    </xf>
    <xf numFmtId="0" fontId="16" fillId="0" borderId="0">
      <alignment vertical="top"/>
    </xf>
    <xf numFmtId="0" fontId="16" fillId="0" borderId="0" applyNumberFormat="0" applyBorder="0" applyAlignment="0"/>
    <xf numFmtId="37" fontId="52" fillId="0" borderId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29" applyNumberFormat="0" applyFill="0" applyAlignment="0" applyProtection="0"/>
    <xf numFmtId="0" fontId="55" fillId="0" borderId="30" applyNumberFormat="0" applyFill="0" applyAlignment="0" applyProtection="0"/>
    <xf numFmtId="0" fontId="55" fillId="0" borderId="31" applyNumberFormat="0" applyFill="0" applyAlignment="0" applyProtection="0"/>
    <xf numFmtId="0" fontId="55" fillId="0" borderId="32" applyNumberFormat="0" applyFill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4" fontId="45" fillId="37" borderId="0" applyFont="0" applyFill="0" applyBorder="0" applyAlignment="0" applyProtection="0">
      <alignment wrapText="1"/>
    </xf>
    <xf numFmtId="44" fontId="58" fillId="0" borderId="0" applyFont="0" applyFill="0" applyBorder="0" applyAlignment="0" applyProtection="0"/>
    <xf numFmtId="9" fontId="58" fillId="0" borderId="0" applyFont="0" applyFill="0" applyBorder="0" applyAlignment="0" applyProtection="0"/>
  </cellStyleXfs>
  <cellXfs count="228">
    <xf numFmtId="0" fontId="0" fillId="0" borderId="0" xfId="0"/>
    <xf numFmtId="0" fontId="5" fillId="0" borderId="0" xfId="2" applyFont="1"/>
    <xf numFmtId="0" fontId="6" fillId="0" borderId="0" xfId="2" applyFont="1" applyFill="1"/>
    <xf numFmtId="0" fontId="6" fillId="4" borderId="0" xfId="2" applyFont="1" applyFill="1" applyAlignment="1">
      <alignment horizontal="right"/>
    </xf>
    <xf numFmtId="0" fontId="7" fillId="0" borderId="0" xfId="2" applyFont="1" applyFill="1"/>
    <xf numFmtId="0" fontId="7" fillId="0" borderId="0" xfId="2" applyFont="1" applyFill="1" applyAlignment="1">
      <alignment horizontal="center"/>
    </xf>
    <xf numFmtId="43" fontId="5" fillId="0" borderId="0" xfId="2" applyNumberFormat="1" applyFont="1"/>
    <xf numFmtId="0" fontId="5" fillId="0" borderId="0" xfId="2" applyFont="1" applyAlignment="1">
      <alignment horizontal="left" indent="1"/>
    </xf>
    <xf numFmtId="0" fontId="5" fillId="3" borderId="1" xfId="2" applyFont="1" applyFill="1" applyBorder="1"/>
    <xf numFmtId="42" fontId="5" fillId="0" borderId="0" xfId="2" applyNumberFormat="1" applyFont="1"/>
    <xf numFmtId="0" fontId="5" fillId="0" borderId="2" xfId="2" applyFont="1" applyBorder="1"/>
    <xf numFmtId="0" fontId="5" fillId="0" borderId="3" xfId="2" applyFont="1" applyBorder="1"/>
    <xf numFmtId="0" fontId="5" fillId="0" borderId="7" xfId="2" applyFont="1" applyBorder="1"/>
    <xf numFmtId="0" fontId="5" fillId="0" borderId="8" xfId="2" applyFont="1" applyBorder="1"/>
    <xf numFmtId="0" fontId="5" fillId="3" borderId="1" xfId="191" applyFont="1" applyFill="1" applyBorder="1"/>
    <xf numFmtId="0" fontId="5" fillId="3" borderId="1" xfId="191" applyFont="1" applyFill="1" applyBorder="1" applyAlignment="1">
      <alignment horizontal="center" wrapText="1"/>
    </xf>
    <xf numFmtId="0" fontId="6" fillId="0" borderId="0" xfId="312" applyFont="1" applyBorder="1"/>
    <xf numFmtId="164" fontId="6" fillId="0" borderId="0" xfId="98" applyNumberFormat="1" applyFont="1" applyFill="1" applyBorder="1"/>
    <xf numFmtId="3" fontId="5" fillId="3" borderId="34" xfId="191" applyNumberFormat="1" applyFont="1" applyFill="1" applyBorder="1" applyAlignment="1">
      <alignment horizontal="right"/>
    </xf>
    <xf numFmtId="164" fontId="5" fillId="3" borderId="34" xfId="191" applyNumberFormat="1" applyFont="1" applyFill="1" applyBorder="1"/>
    <xf numFmtId="4" fontId="5" fillId="0" borderId="0" xfId="191" applyNumberFormat="1" applyFont="1" applyFill="1" applyBorder="1"/>
    <xf numFmtId="3" fontId="5" fillId="0" borderId="0" xfId="191" applyNumberFormat="1" applyFont="1" applyFill="1" applyBorder="1"/>
    <xf numFmtId="0" fontId="6" fillId="0" borderId="0" xfId="312" applyFont="1" applyFill="1" applyBorder="1"/>
    <xf numFmtId="0" fontId="5" fillId="39" borderId="0" xfId="191" applyFont="1" applyFill="1" applyBorder="1"/>
    <xf numFmtId="0" fontId="6" fillId="0" borderId="0" xfId="309" applyFont="1" applyBorder="1" applyAlignment="1">
      <alignment horizontal="left"/>
    </xf>
    <xf numFmtId="0" fontId="7" fillId="0" borderId="0" xfId="309" applyFont="1" applyBorder="1" applyAlignment="1">
      <alignment horizontal="left"/>
    </xf>
    <xf numFmtId="164" fontId="5" fillId="0" borderId="1" xfId="98" applyNumberFormat="1" applyFont="1" applyBorder="1" applyAlignment="1">
      <alignment horizontal="center"/>
    </xf>
    <xf numFmtId="0" fontId="5" fillId="0" borderId="0" xfId="191" applyFont="1" applyBorder="1" applyAlignment="1">
      <alignment horizontal="center"/>
    </xf>
    <xf numFmtId="164" fontId="6" fillId="0" borderId="0" xfId="98" applyNumberFormat="1" applyFont="1" applyFill="1" applyBorder="1" applyAlignment="1">
      <alignment horizontal="left"/>
    </xf>
    <xf numFmtId="0" fontId="7" fillId="0" borderId="0" xfId="313" applyFont="1" applyFill="1" applyBorder="1" applyAlignment="1">
      <alignment horizontal="left"/>
    </xf>
    <xf numFmtId="0" fontId="57" fillId="0" borderId="0" xfId="98" applyNumberFormat="1" applyFont="1" applyFill="1" applyBorder="1" applyAlignment="1">
      <alignment horizontal="left"/>
    </xf>
    <xf numFmtId="0" fontId="6" fillId="0" borderId="0" xfId="313" applyFont="1" applyFill="1" applyBorder="1" applyAlignment="1">
      <alignment horizontal="left"/>
    </xf>
    <xf numFmtId="164" fontId="5" fillId="0" borderId="0" xfId="191" applyNumberFormat="1" applyFont="1" applyBorder="1"/>
    <xf numFmtId="0" fontId="5" fillId="0" borderId="1" xfId="191" applyFont="1" applyFill="1" applyBorder="1" applyAlignment="1">
      <alignment horizontal="center" wrapText="1"/>
    </xf>
    <xf numFmtId="0" fontId="5" fillId="0" borderId="0" xfId="191" applyFont="1" applyFill="1" applyBorder="1" applyAlignment="1">
      <alignment horizontal="center" wrapText="1"/>
    </xf>
    <xf numFmtId="3" fontId="5" fillId="0" borderId="0" xfId="191" applyNumberFormat="1" applyFont="1" applyFill="1" applyBorder="1" applyAlignment="1">
      <alignment horizontal="center" wrapText="1"/>
    </xf>
    <xf numFmtId="0" fontId="56" fillId="3" borderId="34" xfId="313" applyFont="1" applyFill="1" applyBorder="1" applyAlignment="1">
      <alignment horizontal="left"/>
    </xf>
    <xf numFmtId="3" fontId="5" fillId="3" borderId="34" xfId="191" applyNumberFormat="1" applyFont="1" applyFill="1" applyBorder="1"/>
    <xf numFmtId="164" fontId="5" fillId="3" borderId="34" xfId="98" applyNumberFormat="1" applyFont="1" applyFill="1" applyBorder="1"/>
    <xf numFmtId="44" fontId="5" fillId="3" borderId="34" xfId="128" applyFont="1" applyFill="1" applyBorder="1"/>
    <xf numFmtId="0" fontId="5" fillId="0" borderId="0" xfId="191" applyFont="1" applyBorder="1"/>
    <xf numFmtId="3" fontId="5" fillId="0" borderId="0" xfId="191" applyNumberFormat="1" applyFont="1" applyFill="1" applyBorder="1" applyAlignment="1">
      <alignment horizontal="center"/>
    </xf>
    <xf numFmtId="3" fontId="5" fillId="3" borderId="34" xfId="98" applyNumberFormat="1" applyFont="1" applyFill="1" applyBorder="1" applyAlignment="1">
      <alignment horizontal="right"/>
    </xf>
    <xf numFmtId="164" fontId="5" fillId="3" borderId="34" xfId="98" applyNumberFormat="1" applyFont="1" applyFill="1" applyBorder="1" applyAlignment="1">
      <alignment horizontal="right"/>
    </xf>
    <xf numFmtId="0" fontId="1" fillId="0" borderId="0" xfId="2" applyFont="1"/>
    <xf numFmtId="0" fontId="1" fillId="0" borderId="0" xfId="191" applyFont="1"/>
    <xf numFmtId="2" fontId="1" fillId="0" borderId="0" xfId="191" applyNumberFormat="1" applyFont="1"/>
    <xf numFmtId="0" fontId="1" fillId="0" borderId="0" xfId="191" applyFont="1" applyBorder="1"/>
    <xf numFmtId="0" fontId="1" fillId="0" borderId="0" xfId="191" applyFont="1" applyBorder="1" applyAlignment="1">
      <alignment horizontal="center"/>
    </xf>
    <xf numFmtId="0" fontId="1" fillId="0" borderId="0" xfId="191" applyFont="1" applyBorder="1" applyAlignment="1">
      <alignment horizontal="right"/>
    </xf>
    <xf numFmtId="44" fontId="1" fillId="0" borderId="0" xfId="191" applyNumberFormat="1" applyFont="1" applyBorder="1"/>
    <xf numFmtId="0" fontId="1" fillId="0" borderId="0" xfId="191" applyFont="1" applyBorder="1" applyAlignment="1">
      <alignment horizontal="left"/>
    </xf>
    <xf numFmtId="3" fontId="1" fillId="0" borderId="0" xfId="191" applyNumberFormat="1" applyFont="1" applyBorder="1"/>
    <xf numFmtId="4" fontId="1" fillId="0" borderId="0" xfId="191" applyNumberFormat="1" applyFont="1" applyBorder="1"/>
    <xf numFmtId="0" fontId="1" fillId="0" borderId="0" xfId="191" applyFont="1" applyFill="1" applyBorder="1"/>
    <xf numFmtId="3" fontId="1" fillId="0" borderId="0" xfId="191" applyNumberFormat="1" applyFont="1" applyFill="1" applyBorder="1"/>
    <xf numFmtId="4" fontId="1" fillId="0" borderId="0" xfId="191" applyNumberFormat="1" applyFont="1" applyFill="1" applyBorder="1"/>
    <xf numFmtId="2" fontId="1" fillId="0" borderId="0" xfId="191" applyNumberFormat="1" applyFont="1" applyFill="1" applyBorder="1"/>
    <xf numFmtId="0" fontId="1" fillId="0" borderId="0" xfId="191" applyFont="1" applyFill="1" applyBorder="1" applyAlignment="1">
      <alignment horizontal="center" vertical="center"/>
    </xf>
    <xf numFmtId="0" fontId="1" fillId="3" borderId="34" xfId="191" applyFont="1" applyFill="1" applyBorder="1" applyAlignment="1">
      <alignment horizontal="center" vertical="center"/>
    </xf>
    <xf numFmtId="43" fontId="1" fillId="3" borderId="34" xfId="191" applyNumberFormat="1" applyFont="1" applyFill="1" applyBorder="1"/>
    <xf numFmtId="10" fontId="1" fillId="0" borderId="0" xfId="191" applyNumberFormat="1" applyFont="1" applyFill="1" applyBorder="1"/>
    <xf numFmtId="0" fontId="1" fillId="0" borderId="0" xfId="191" applyFont="1" applyFill="1" applyBorder="1" applyAlignment="1">
      <alignment vertical="center" textRotation="90"/>
    </xf>
    <xf numFmtId="43" fontId="1" fillId="0" borderId="0" xfId="191" applyNumberFormat="1" applyFont="1" applyFill="1" applyBorder="1"/>
    <xf numFmtId="0" fontId="1" fillId="3" borderId="34" xfId="191" applyFont="1" applyFill="1" applyBorder="1"/>
    <xf numFmtId="0" fontId="1" fillId="3" borderId="34" xfId="191" applyFont="1" applyFill="1" applyBorder="1" applyAlignment="1">
      <alignment horizontal="center"/>
    </xf>
    <xf numFmtId="3" fontId="1" fillId="0" borderId="0" xfId="191" applyNumberFormat="1" applyFont="1" applyBorder="1" applyAlignment="1">
      <alignment horizontal="right"/>
    </xf>
    <xf numFmtId="171" fontId="1" fillId="0" borderId="0" xfId="191" applyNumberFormat="1" applyFont="1" applyBorder="1"/>
    <xf numFmtId="0" fontId="1" fillId="39" borderId="0" xfId="191" applyFont="1" applyFill="1" applyBorder="1"/>
    <xf numFmtId="0" fontId="1" fillId="39" borderId="0" xfId="191" applyFont="1" applyFill="1" applyBorder="1" applyAlignment="1">
      <alignment horizontal="center"/>
    </xf>
    <xf numFmtId="3" fontId="1" fillId="39" borderId="0" xfId="191" applyNumberFormat="1" applyFont="1" applyFill="1" applyBorder="1" applyAlignment="1">
      <alignment horizontal="right"/>
    </xf>
    <xf numFmtId="0" fontId="1" fillId="0" borderId="0" xfId="191" applyFont="1" applyFill="1" applyBorder="1" applyAlignment="1">
      <alignment horizontal="right"/>
    </xf>
    <xf numFmtId="4" fontId="1" fillId="0" borderId="0" xfId="191" applyNumberFormat="1" applyFont="1" applyFill="1" applyBorder="1" applyAlignment="1">
      <alignment horizontal="right"/>
    </xf>
    <xf numFmtId="0" fontId="1" fillId="0" borderId="0" xfId="191" applyFont="1" applyFill="1" applyBorder="1" applyAlignment="1">
      <alignment horizontal="center"/>
    </xf>
    <xf numFmtId="3" fontId="1" fillId="0" borderId="0" xfId="191" applyNumberFormat="1" applyFont="1" applyFill="1" applyBorder="1" applyAlignment="1">
      <alignment horizontal="right"/>
    </xf>
    <xf numFmtId="0" fontId="1" fillId="0" borderId="0" xfId="191" applyFont="1" applyFill="1" applyBorder="1" applyAlignment="1"/>
    <xf numFmtId="0" fontId="1" fillId="0" borderId="0" xfId="191" applyFont="1" applyFill="1" applyBorder="1" applyAlignment="1">
      <alignment horizontal="left"/>
    </xf>
    <xf numFmtId="0" fontId="1" fillId="0" borderId="0" xfId="191" applyFont="1" applyBorder="1" applyAlignment="1">
      <alignment horizontal="right" wrapText="1"/>
    </xf>
    <xf numFmtId="0" fontId="1" fillId="0" borderId="0" xfId="191" applyFont="1" applyBorder="1" applyAlignment="1">
      <alignment horizontal="center" wrapText="1"/>
    </xf>
    <xf numFmtId="43" fontId="1" fillId="0" borderId="0" xfId="191" applyNumberFormat="1" applyFont="1" applyBorder="1"/>
    <xf numFmtId="0" fontId="1" fillId="0" borderId="1" xfId="2" applyFont="1" applyBorder="1" applyAlignment="1">
      <alignment horizontal="center"/>
    </xf>
    <xf numFmtId="0" fontId="1" fillId="0" borderId="1" xfId="2" applyFont="1" applyFill="1" applyBorder="1" applyAlignment="1">
      <alignment horizontal="center"/>
    </xf>
    <xf numFmtId="43" fontId="1" fillId="0" borderId="0" xfId="2" applyNumberFormat="1" applyFont="1" applyBorder="1" applyAlignment="1">
      <alignment horizontal="center"/>
    </xf>
    <xf numFmtId="43" fontId="1" fillId="0" borderId="0" xfId="2" applyNumberFormat="1" applyFont="1"/>
    <xf numFmtId="44" fontId="1" fillId="0" borderId="0" xfId="372" applyFont="1"/>
    <xf numFmtId="0" fontId="1" fillId="0" borderId="0" xfId="2" applyFont="1" applyAlignment="1">
      <alignment horizontal="left" indent="1"/>
    </xf>
    <xf numFmtId="0" fontId="1" fillId="2" borderId="0" xfId="2" applyFont="1" applyFill="1" applyAlignment="1">
      <alignment horizontal="center"/>
    </xf>
    <xf numFmtId="0" fontId="1" fillId="3" borderId="1" xfId="2" applyFont="1" applyFill="1" applyBorder="1" applyAlignment="1">
      <alignment horizontal="center"/>
    </xf>
    <xf numFmtId="0" fontId="1" fillId="0" borderId="0" xfId="2" applyFont="1" applyAlignment="1">
      <alignment horizontal="left"/>
    </xf>
    <xf numFmtId="10" fontId="1" fillId="0" borderId="0" xfId="2" applyNumberFormat="1" applyFont="1"/>
    <xf numFmtId="167" fontId="1" fillId="0" borderId="0" xfId="2" applyNumberFormat="1" applyFont="1"/>
    <xf numFmtId="168" fontId="1" fillId="0" borderId="0" xfId="2" applyNumberFormat="1" applyFont="1"/>
    <xf numFmtId="166" fontId="1" fillId="0" borderId="0" xfId="2" applyNumberFormat="1" applyFont="1"/>
    <xf numFmtId="44" fontId="1" fillId="0" borderId="0" xfId="2" applyNumberFormat="1" applyFont="1"/>
    <xf numFmtId="169" fontId="1" fillId="0" borderId="0" xfId="2" applyNumberFormat="1" applyFont="1"/>
    <xf numFmtId="3" fontId="1" fillId="0" borderId="0" xfId="2" applyNumberFormat="1" applyFont="1"/>
    <xf numFmtId="37" fontId="1" fillId="0" borderId="0" xfId="2" applyNumberFormat="1" applyFont="1"/>
    <xf numFmtId="0" fontId="1" fillId="3" borderId="4" xfId="2" applyFont="1" applyFill="1" applyBorder="1" applyAlignment="1">
      <alignment horizontal="center"/>
    </xf>
    <xf numFmtId="41" fontId="1" fillId="0" borderId="0" xfId="2" applyNumberFormat="1" applyFont="1"/>
    <xf numFmtId="0" fontId="1" fillId="0" borderId="5" xfId="2" applyFont="1" applyBorder="1"/>
    <xf numFmtId="0" fontId="1" fillId="0" borderId="0" xfId="2" applyFont="1" applyBorder="1"/>
    <xf numFmtId="0" fontId="1" fillId="0" borderId="6" xfId="2" applyFont="1" applyBorder="1"/>
    <xf numFmtId="10" fontId="1" fillId="3" borderId="9" xfId="2" applyNumberFormat="1" applyFont="1" applyFill="1" applyBorder="1" applyAlignment="1">
      <alignment horizontal="right"/>
    </xf>
    <xf numFmtId="0" fontId="6" fillId="0" borderId="0" xfId="0" applyFont="1"/>
    <xf numFmtId="0" fontId="6" fillId="0" borderId="0" xfId="0" applyFont="1" applyBorder="1"/>
    <xf numFmtId="172" fontId="6" fillId="0" borderId="0" xfId="0" applyNumberFormat="1" applyFont="1"/>
    <xf numFmtId="0" fontId="56" fillId="0" borderId="0" xfId="311" applyFont="1" applyBorder="1"/>
    <xf numFmtId="2" fontId="6" fillId="0" borderId="0" xfId="311" applyNumberFormat="1" applyFont="1" applyFill="1" applyBorder="1"/>
    <xf numFmtId="0" fontId="6" fillId="0" borderId="0" xfId="314" applyFont="1"/>
    <xf numFmtId="0" fontId="56" fillId="0" borderId="0" xfId="314" applyFont="1"/>
    <xf numFmtId="2" fontId="6" fillId="0" borderId="0" xfId="314" applyNumberFormat="1" applyFont="1" applyFill="1"/>
    <xf numFmtId="0" fontId="6" fillId="0" borderId="0" xfId="314" applyFont="1" applyAlignment="1">
      <alignment horizontal="center"/>
    </xf>
    <xf numFmtId="4" fontId="6" fillId="0" borderId="0" xfId="314" applyNumberFormat="1" applyFont="1" applyFill="1"/>
    <xf numFmtId="4" fontId="6" fillId="0" borderId="0" xfId="314" applyNumberFormat="1" applyFont="1"/>
    <xf numFmtId="2" fontId="6" fillId="0" borderId="0" xfId="314" applyNumberFormat="1" applyFont="1"/>
    <xf numFmtId="43" fontId="6" fillId="0" borderId="0" xfId="314" applyNumberFormat="1" applyFont="1"/>
    <xf numFmtId="0" fontId="6" fillId="0" borderId="0" xfId="314" applyFont="1" applyFill="1"/>
    <xf numFmtId="164" fontId="6" fillId="0" borderId="0" xfId="98" applyNumberFormat="1" applyFont="1" applyBorder="1"/>
    <xf numFmtId="43" fontId="6" fillId="0" borderId="0" xfId="98" applyNumberFormat="1" applyFont="1" applyFill="1" applyBorder="1"/>
    <xf numFmtId="44" fontId="6" fillId="0" borderId="0" xfId="128" applyNumberFormat="1" applyFont="1" applyFill="1" applyBorder="1"/>
    <xf numFmtId="44" fontId="6" fillId="0" borderId="0" xfId="128" applyFont="1" applyFill="1" applyBorder="1"/>
    <xf numFmtId="44" fontId="6" fillId="38" borderId="0" xfId="128" applyFont="1" applyFill="1" applyBorder="1"/>
    <xf numFmtId="164" fontId="6" fillId="0" borderId="0" xfId="98" applyNumberFormat="1" applyFont="1" applyFill="1" applyBorder="1" applyAlignment="1">
      <alignment horizontal="center" wrapText="1"/>
    </xf>
    <xf numFmtId="4" fontId="6" fillId="38" borderId="0" xfId="128" applyNumberFormat="1" applyFont="1" applyFill="1" applyBorder="1"/>
    <xf numFmtId="43" fontId="6" fillId="3" borderId="34" xfId="98" applyFont="1" applyFill="1" applyBorder="1"/>
    <xf numFmtId="44" fontId="6" fillId="3" borderId="34" xfId="128" applyFont="1" applyFill="1" applyBorder="1"/>
    <xf numFmtId="43" fontId="6" fillId="0" borderId="0" xfId="98" applyFont="1" applyFill="1" applyBorder="1"/>
    <xf numFmtId="3" fontId="6" fillId="0" borderId="0" xfId="98" applyNumberFormat="1" applyFont="1" applyBorder="1"/>
    <xf numFmtId="3" fontId="6" fillId="0" borderId="0" xfId="98" applyNumberFormat="1" applyFont="1" applyFill="1" applyBorder="1"/>
    <xf numFmtId="44" fontId="6" fillId="0" borderId="0" xfId="98" applyNumberFormat="1" applyFont="1" applyFill="1" applyBorder="1"/>
    <xf numFmtId="164" fontId="6" fillId="39" borderId="0" xfId="98" applyNumberFormat="1" applyFont="1" applyFill="1" applyBorder="1"/>
    <xf numFmtId="44" fontId="6" fillId="39" borderId="0" xfId="98" applyNumberFormat="1" applyFont="1" applyFill="1" applyBorder="1"/>
    <xf numFmtId="44" fontId="6" fillId="0" borderId="0" xfId="128" applyFont="1" applyFill="1" applyBorder="1" applyAlignment="1">
      <alignment horizontal="right"/>
    </xf>
    <xf numFmtId="3" fontId="56" fillId="0" borderId="0" xfId="128" applyNumberFormat="1" applyFont="1" applyFill="1" applyBorder="1"/>
    <xf numFmtId="3" fontId="6" fillId="0" borderId="0" xfId="128" applyNumberFormat="1" applyFont="1" applyFill="1" applyBorder="1"/>
    <xf numFmtId="10" fontId="6" fillId="0" borderId="0" xfId="128" applyNumberFormat="1" applyFont="1" applyFill="1" applyBorder="1"/>
    <xf numFmtId="3" fontId="6" fillId="0" borderId="0" xfId="98" applyNumberFormat="1" applyFont="1" applyBorder="1" applyAlignment="1">
      <alignment horizontal="right"/>
    </xf>
    <xf numFmtId="44" fontId="6" fillId="0" borderId="0" xfId="128" applyFont="1" applyBorder="1"/>
    <xf numFmtId="164" fontId="6" fillId="0" borderId="0" xfId="98" applyNumberFormat="1" applyFont="1" applyBorder="1" applyAlignment="1">
      <alignment horizontal="right"/>
    </xf>
    <xf numFmtId="0" fontId="6" fillId="0" borderId="0" xfId="98" applyNumberFormat="1" applyFont="1" applyFill="1" applyBorder="1"/>
    <xf numFmtId="10" fontId="6" fillId="0" borderId="0" xfId="323" applyNumberFormat="1" applyFont="1" applyBorder="1" applyAlignment="1">
      <alignment horizontal="right"/>
    </xf>
    <xf numFmtId="10" fontId="6" fillId="0" borderId="0" xfId="323" applyNumberFormat="1" applyFont="1" applyFill="1" applyBorder="1"/>
    <xf numFmtId="171" fontId="6" fillId="0" borderId="0" xfId="128" applyNumberFormat="1" applyFont="1" applyBorder="1"/>
    <xf numFmtId="44" fontId="6" fillId="0" borderId="0" xfId="128" applyFont="1" applyBorder="1" applyAlignment="1">
      <alignment horizontal="right"/>
    </xf>
    <xf numFmtId="165" fontId="6" fillId="0" borderId="0" xfId="128" applyNumberFormat="1" applyFont="1" applyBorder="1"/>
    <xf numFmtId="43" fontId="6" fillId="0" borderId="0" xfId="98" applyFont="1" applyBorder="1"/>
    <xf numFmtId="43" fontId="6" fillId="0" borderId="0" xfId="3" applyFont="1"/>
    <xf numFmtId="43" fontId="6" fillId="0" borderId="0" xfId="3" applyNumberFormat="1" applyFont="1"/>
    <xf numFmtId="43" fontId="6" fillId="0" borderId="0" xfId="3" applyFont="1" applyAlignment="1">
      <alignment horizontal="center"/>
    </xf>
    <xf numFmtId="164" fontId="6" fillId="0" borderId="0" xfId="3" applyNumberFormat="1" applyFont="1"/>
    <xf numFmtId="41" fontId="6" fillId="0" borderId="0" xfId="3" applyNumberFormat="1" applyFont="1"/>
    <xf numFmtId="44" fontId="6" fillId="0" borderId="0" xfId="4" applyFont="1" applyFill="1"/>
    <xf numFmtId="165" fontId="6" fillId="0" borderId="0" xfId="4" applyNumberFormat="1" applyFont="1" applyFill="1"/>
    <xf numFmtId="166" fontId="6" fillId="0" borderId="0" xfId="3" applyNumberFormat="1" applyFont="1"/>
    <xf numFmtId="166" fontId="6" fillId="0" borderId="0" xfId="3" applyNumberFormat="1" applyFont="1" applyBorder="1"/>
    <xf numFmtId="166" fontId="6" fillId="0" borderId="1" xfId="3" applyNumberFormat="1" applyFont="1" applyBorder="1"/>
    <xf numFmtId="42" fontId="6" fillId="0" borderId="6" xfId="4" applyNumberFormat="1" applyFont="1" applyBorder="1"/>
    <xf numFmtId="3" fontId="6" fillId="0" borderId="0" xfId="0" applyNumberFormat="1" applyFont="1" applyBorder="1"/>
    <xf numFmtId="43" fontId="6" fillId="0" borderId="0" xfId="0" applyNumberFormat="1" applyFont="1" applyBorder="1"/>
    <xf numFmtId="44" fontId="6" fillId="0" borderId="0" xfId="0" applyNumberFormat="1" applyFont="1" applyBorder="1"/>
    <xf numFmtId="10" fontId="6" fillId="0" borderId="0" xfId="0" applyNumberFormat="1" applyFont="1" applyBorder="1"/>
    <xf numFmtId="173" fontId="6" fillId="0" borderId="0" xfId="0" applyNumberFormat="1" applyFont="1" applyBorder="1"/>
    <xf numFmtId="41" fontId="6" fillId="0" borderId="0" xfId="0" applyNumberFormat="1" applyFont="1" applyBorder="1"/>
    <xf numFmtId="0" fontId="56" fillId="0" borderId="0" xfId="313" applyFont="1" applyFill="1" applyBorder="1" applyAlignment="1">
      <alignment horizontal="left"/>
    </xf>
    <xf numFmtId="3" fontId="5" fillId="0" borderId="0" xfId="191" applyNumberFormat="1" applyFont="1" applyFill="1" applyBorder="1" applyAlignment="1">
      <alignment horizontal="right"/>
    </xf>
    <xf numFmtId="164" fontId="5" fillId="0" borderId="0" xfId="191" applyNumberFormat="1" applyFont="1" applyFill="1" applyBorder="1"/>
    <xf numFmtId="164" fontId="5" fillId="0" borderId="0" xfId="98" applyNumberFormat="1" applyFont="1" applyFill="1" applyBorder="1"/>
    <xf numFmtId="44" fontId="5" fillId="0" borderId="0" xfId="128" applyFont="1" applyFill="1" applyBorder="1"/>
    <xf numFmtId="4" fontId="5" fillId="0" borderId="0" xfId="128" applyNumberFormat="1" applyFont="1" applyFill="1" applyBorder="1"/>
    <xf numFmtId="3" fontId="56" fillId="0" borderId="33" xfId="128" applyNumberFormat="1" applyFont="1" applyFill="1" applyBorder="1"/>
    <xf numFmtId="44" fontId="6" fillId="0" borderId="0" xfId="4" applyFont="1" applyFill="1" applyBorder="1"/>
    <xf numFmtId="44" fontId="6" fillId="0" borderId="33" xfId="4" applyFont="1" applyFill="1" applyBorder="1"/>
    <xf numFmtId="167" fontId="6" fillId="0" borderId="33" xfId="4" applyNumberFormat="1" applyFont="1" applyFill="1" applyBorder="1"/>
    <xf numFmtId="164" fontId="6" fillId="0" borderId="0" xfId="98" applyNumberFormat="1" applyFont="1" applyFill="1" applyBorder="1" applyAlignment="1">
      <alignment horizontal="right"/>
    </xf>
    <xf numFmtId="164" fontId="6" fillId="0" borderId="1" xfId="3" applyNumberFormat="1" applyFont="1" applyFill="1" applyBorder="1"/>
    <xf numFmtId="2" fontId="56" fillId="3" borderId="0" xfId="314" applyNumberFormat="1" applyFont="1" applyFill="1" applyAlignment="1">
      <alignment horizontal="center" wrapText="1"/>
    </xf>
    <xf numFmtId="0" fontId="56" fillId="3" borderId="0" xfId="314" applyFont="1" applyFill="1" applyAlignment="1">
      <alignment horizontal="center" wrapText="1"/>
    </xf>
    <xf numFmtId="10" fontId="1" fillId="0" borderId="0" xfId="373" applyNumberFormat="1" applyFont="1" applyFill="1" applyBorder="1"/>
    <xf numFmtId="174" fontId="1" fillId="0" borderId="0" xfId="191" applyNumberFormat="1" applyFont="1" applyFill="1" applyBorder="1"/>
    <xf numFmtId="0" fontId="62" fillId="0" borderId="0" xfId="314" applyFont="1"/>
    <xf numFmtId="4" fontId="62" fillId="0" borderId="0" xfId="314" applyNumberFormat="1" applyFont="1"/>
    <xf numFmtId="0" fontId="62" fillId="0" borderId="0" xfId="191" applyFont="1"/>
    <xf numFmtId="0" fontId="62" fillId="0" borderId="0" xfId="314" applyFont="1" applyFill="1"/>
    <xf numFmtId="10" fontId="62" fillId="0" borderId="0" xfId="373" applyNumberFormat="1" applyFont="1"/>
    <xf numFmtId="43" fontId="62" fillId="0" borderId="0" xfId="314" applyNumberFormat="1" applyFont="1"/>
    <xf numFmtId="0" fontId="1" fillId="3" borderId="0" xfId="2" applyFont="1" applyFill="1" applyAlignment="1">
      <alignment horizontal="center"/>
    </xf>
    <xf numFmtId="0" fontId="1" fillId="0" borderId="0" xfId="2" applyFont="1" applyAlignment="1">
      <alignment horizontal="left"/>
    </xf>
    <xf numFmtId="0" fontId="5" fillId="3" borderId="1" xfId="2" applyFont="1" applyFill="1" applyBorder="1" applyAlignment="1">
      <alignment horizontal="center"/>
    </xf>
    <xf numFmtId="0" fontId="1" fillId="0" borderId="33" xfId="191" applyFont="1" applyFill="1" applyBorder="1" applyAlignment="1">
      <alignment horizontal="center" vertical="center" textRotation="90"/>
    </xf>
    <xf numFmtId="0" fontId="1" fillId="0" borderId="0" xfId="191" applyFont="1" applyFill="1" applyBorder="1" applyAlignment="1">
      <alignment horizontal="center" vertical="center" textRotation="90"/>
    </xf>
    <xf numFmtId="0" fontId="1" fillId="0" borderId="1" xfId="191" applyFont="1" applyFill="1" applyBorder="1" applyAlignment="1">
      <alignment horizontal="center" vertical="center" textRotation="90"/>
    </xf>
    <xf numFmtId="0" fontId="1" fillId="3" borderId="0" xfId="191" applyFont="1" applyFill="1" applyBorder="1" applyAlignment="1">
      <alignment horizontal="center"/>
    </xf>
    <xf numFmtId="0" fontId="56" fillId="38" borderId="0" xfId="0" applyFont="1" applyFill="1" applyBorder="1"/>
    <xf numFmtId="0" fontId="6" fillId="38" borderId="0" xfId="0" applyFont="1" applyFill="1" applyBorder="1" applyAlignment="1">
      <alignment horizontal="center"/>
    </xf>
    <xf numFmtId="0" fontId="6" fillId="38" borderId="0" xfId="0" applyFont="1" applyFill="1" applyBorder="1"/>
    <xf numFmtId="0" fontId="59" fillId="38" borderId="0" xfId="0" applyFont="1" applyFill="1" applyBorder="1"/>
    <xf numFmtId="3" fontId="56" fillId="38" borderId="0" xfId="0" applyNumberFormat="1" applyFont="1" applyFill="1" applyBorder="1" applyAlignment="1">
      <alignment horizontal="center"/>
    </xf>
    <xf numFmtId="0" fontId="56" fillId="38" borderId="0" xfId="0" applyFont="1" applyFill="1" applyBorder="1" applyAlignment="1">
      <alignment horizontal="center"/>
    </xf>
    <xf numFmtId="0" fontId="56" fillId="38" borderId="1" xfId="0" applyFont="1" applyFill="1" applyBorder="1" applyAlignment="1">
      <alignment horizontal="center"/>
    </xf>
    <xf numFmtId="3" fontId="56" fillId="38" borderId="1" xfId="0" applyNumberFormat="1" applyFont="1" applyFill="1" applyBorder="1" applyAlignment="1">
      <alignment horizontal="center" wrapText="1"/>
    </xf>
    <xf numFmtId="43" fontId="6" fillId="38" borderId="0" xfId="1" applyFont="1" applyFill="1" applyBorder="1"/>
    <xf numFmtId="3" fontId="6" fillId="38" borderId="0" xfId="0" applyNumberFormat="1" applyFont="1" applyFill="1" applyBorder="1" applyAlignment="1">
      <alignment horizontal="right"/>
    </xf>
    <xf numFmtId="3" fontId="6" fillId="38" borderId="0" xfId="0" applyNumberFormat="1" applyFont="1" applyFill="1" applyBorder="1"/>
    <xf numFmtId="43" fontId="56" fillId="38" borderId="33" xfId="1" applyFont="1" applyFill="1" applyBorder="1"/>
    <xf numFmtId="3" fontId="6" fillId="38" borderId="0" xfId="1" applyNumberFormat="1" applyFont="1" applyFill="1" applyBorder="1"/>
    <xf numFmtId="43" fontId="56" fillId="38" borderId="0" xfId="1" applyFont="1" applyFill="1" applyBorder="1"/>
    <xf numFmtId="2" fontId="6" fillId="38" borderId="0" xfId="0" applyNumberFormat="1" applyFont="1" applyFill="1" applyBorder="1"/>
    <xf numFmtId="43" fontId="6" fillId="38" borderId="0" xfId="0" applyNumberFormat="1" applyFont="1" applyFill="1" applyBorder="1"/>
    <xf numFmtId="0" fontId="56" fillId="38" borderId="0" xfId="0" applyFont="1" applyFill="1" applyBorder="1" applyAlignment="1"/>
    <xf numFmtId="43" fontId="6" fillId="38" borderId="0" xfId="1" applyFont="1" applyFill="1" applyBorder="1" applyAlignment="1"/>
    <xf numFmtId="43" fontId="56" fillId="38" borderId="0" xfId="1" applyFont="1" applyFill="1" applyBorder="1" applyAlignment="1">
      <alignment horizontal="center"/>
    </xf>
    <xf numFmtId="0" fontId="6" fillId="38" borderId="0" xfId="0" applyFont="1" applyFill="1" applyBorder="1" applyAlignment="1"/>
    <xf numFmtId="43" fontId="6" fillId="38" borderId="0" xfId="0" applyNumberFormat="1" applyFont="1" applyFill="1" applyBorder="1" applyAlignment="1"/>
    <xf numFmtId="43" fontId="56" fillId="38" borderId="0" xfId="1" applyFont="1" applyFill="1" applyBorder="1" applyAlignment="1"/>
    <xf numFmtId="43" fontId="56" fillId="38" borderId="35" xfId="1" applyFont="1" applyFill="1" applyBorder="1"/>
    <xf numFmtId="10" fontId="56" fillId="38" borderId="0" xfId="0" applyNumberFormat="1" applyFont="1" applyFill="1" applyBorder="1"/>
    <xf numFmtId="41" fontId="6" fillId="38" borderId="0" xfId="0" applyNumberFormat="1" applyFont="1" applyFill="1" applyBorder="1"/>
    <xf numFmtId="0" fontId="63" fillId="38" borderId="0" xfId="0" applyFont="1" applyFill="1" applyBorder="1" applyAlignment="1">
      <alignment horizontal="left" wrapText="1"/>
    </xf>
    <xf numFmtId="0" fontId="56" fillId="38" borderId="0" xfId="0" applyFont="1" applyFill="1"/>
    <xf numFmtId="0" fontId="6" fillId="38" borderId="0" xfId="0" applyFont="1" applyFill="1"/>
    <xf numFmtId="0" fontId="56" fillId="38" borderId="0" xfId="0" applyFont="1" applyFill="1" applyAlignment="1">
      <alignment horizontal="center"/>
    </xf>
    <xf numFmtId="0" fontId="6" fillId="38" borderId="0" xfId="0" quotePrefix="1" applyFont="1" applyFill="1"/>
    <xf numFmtId="43" fontId="6" fillId="38" borderId="0" xfId="1" applyFont="1" applyFill="1"/>
    <xf numFmtId="17" fontId="6" fillId="38" borderId="0" xfId="0" quotePrefix="1" applyNumberFormat="1" applyFont="1" applyFill="1"/>
    <xf numFmtId="43" fontId="56" fillId="38" borderId="0" xfId="1" applyFont="1" applyFill="1"/>
    <xf numFmtId="172" fontId="6" fillId="38" borderId="0" xfId="0" applyNumberFormat="1" applyFont="1" applyFill="1"/>
    <xf numFmtId="44" fontId="6" fillId="38" borderId="0" xfId="0" applyNumberFormat="1" applyFont="1" applyFill="1"/>
    <xf numFmtId="171" fontId="5" fillId="0" borderId="0" xfId="128" applyNumberFormat="1" applyFont="1" applyBorder="1" applyAlignment="1">
      <alignment horizontal="right"/>
    </xf>
  </cellXfs>
  <cellStyles count="374">
    <cellStyle name="20% - Accent1 2" xfId="5"/>
    <cellStyle name="20% - Accent1 2 2" xfId="6"/>
    <cellStyle name="20% - Accent1 3" xfId="7"/>
    <cellStyle name="20% - Accent1 3 2" xfId="8"/>
    <cellStyle name="20% - Accent2 2" xfId="9"/>
    <cellStyle name="20% - Accent2 3" xfId="10"/>
    <cellStyle name="20% - Accent3 2" xfId="11"/>
    <cellStyle name="20% - Accent3 3" xfId="12"/>
    <cellStyle name="20% - Accent4 2" xfId="13"/>
    <cellStyle name="20% - Accent4 2 2" xfId="14"/>
    <cellStyle name="20% - Accent4 3" xfId="15"/>
    <cellStyle name="20% - Accent4 3 2" xfId="16"/>
    <cellStyle name="20% - Accent5 2" xfId="17"/>
    <cellStyle name="20% - Accent5 3" xfId="18"/>
    <cellStyle name="20% - Accent6 2" xfId="19"/>
    <cellStyle name="20% - Accent6 3" xfId="20"/>
    <cellStyle name="40% - Accent1 2" xfId="21"/>
    <cellStyle name="40% - Accent1 3" xfId="22"/>
    <cellStyle name="40% - Accent1 3 2" xfId="23"/>
    <cellStyle name="40% - Accent2 2" xfId="24"/>
    <cellStyle name="40% - Accent2 3" xfId="25"/>
    <cellStyle name="40% - Accent3 2" xfId="26"/>
    <cellStyle name="40% - Accent3 3" xfId="27"/>
    <cellStyle name="40% - Accent4 2" xfId="28"/>
    <cellStyle name="40% - Accent4 3" xfId="29"/>
    <cellStyle name="40% - Accent4 3 2" xfId="30"/>
    <cellStyle name="40% - Accent5 2" xfId="31"/>
    <cellStyle name="40% - Accent5 3" xfId="32"/>
    <cellStyle name="40% - Accent6 2" xfId="33"/>
    <cellStyle name="40% - Accent6 3" xfId="34"/>
    <cellStyle name="40% - Accent6 3 2" xfId="35"/>
    <cellStyle name="60% - Accent1 2" xfId="36"/>
    <cellStyle name="60% - Accent1 2 2" xfId="37"/>
    <cellStyle name="60% - Accent1 3" xfId="38"/>
    <cellStyle name="60% - Accent1 3 2" xfId="39"/>
    <cellStyle name="60% - Accent2 2" xfId="40"/>
    <cellStyle name="60% - Accent2 3" xfId="41"/>
    <cellStyle name="60% - Accent3 2" xfId="42"/>
    <cellStyle name="60% - Accent3 3" xfId="43"/>
    <cellStyle name="60% - Accent3 3 2" xfId="44"/>
    <cellStyle name="60% - Accent4 2" xfId="45"/>
    <cellStyle name="60% - Accent4 3" xfId="46"/>
    <cellStyle name="60% - Accent4 3 2" xfId="47"/>
    <cellStyle name="60% - Accent5 2" xfId="48"/>
    <cellStyle name="60% - Accent5 2 2" xfId="49"/>
    <cellStyle name="60% - Accent5 3" xfId="50"/>
    <cellStyle name="60% - Accent6 2" xfId="51"/>
    <cellStyle name="60% - Accent6 3" xfId="52"/>
    <cellStyle name="Accent1 2" xfId="53"/>
    <cellStyle name="Accent1 2 2" xfId="54"/>
    <cellStyle name="Accent1 3" xfId="55"/>
    <cellStyle name="Accent1 3 2" xfId="56"/>
    <cellStyle name="Accent2 2" xfId="57"/>
    <cellStyle name="Accent2 3" xfId="58"/>
    <cellStyle name="Accent3 2" xfId="59"/>
    <cellStyle name="Accent3 2 2" xfId="60"/>
    <cellStyle name="Accent3 3" xfId="61"/>
    <cellStyle name="Accent4 2" xfId="62"/>
    <cellStyle name="Accent4 3" xfId="63"/>
    <cellStyle name="Accent5 2" xfId="64"/>
    <cellStyle name="Accent5 3" xfId="65"/>
    <cellStyle name="Accent6 2" xfId="66"/>
    <cellStyle name="Accent6 2 2" xfId="67"/>
    <cellStyle name="Accent6 3" xfId="68"/>
    <cellStyle name="Accounting" xfId="69"/>
    <cellStyle name="Accounting 2" xfId="70"/>
    <cellStyle name="Accounting 3" xfId="71"/>
    <cellStyle name="Accounting_2011-11" xfId="72"/>
    <cellStyle name="Bad 2" xfId="73"/>
    <cellStyle name="Bad 3" xfId="74"/>
    <cellStyle name="Budget" xfId="75"/>
    <cellStyle name="Budget 2" xfId="76"/>
    <cellStyle name="Budget 3" xfId="77"/>
    <cellStyle name="Budget_2011-11" xfId="78"/>
    <cellStyle name="Calculation 2" xfId="79"/>
    <cellStyle name="Calculation 2 2" xfId="80"/>
    <cellStyle name="Calculation 3" xfId="81"/>
    <cellStyle name="Calculation 3 2" xfId="82"/>
    <cellStyle name="Check Cell 2" xfId="83"/>
    <cellStyle name="Check Cell 3" xfId="84"/>
    <cellStyle name="combo" xfId="85"/>
    <cellStyle name="Comma" xfId="1" builtinId="3"/>
    <cellStyle name="Comma 10" xfId="86"/>
    <cellStyle name="Comma 11" xfId="87"/>
    <cellStyle name="Comma 12" xfId="88"/>
    <cellStyle name="Comma 12 2" xfId="89"/>
    <cellStyle name="Comma 12 3" xfId="90"/>
    <cellStyle name="Comma 13" xfId="91"/>
    <cellStyle name="Comma 14" xfId="92"/>
    <cellStyle name="Comma 15" xfId="93"/>
    <cellStyle name="Comma 16" xfId="94"/>
    <cellStyle name="Comma 17" xfId="95"/>
    <cellStyle name="Comma 18" xfId="96"/>
    <cellStyle name="Comma 18 2" xfId="97"/>
    <cellStyle name="Comma 19" xfId="98"/>
    <cellStyle name="Comma 2" xfId="3"/>
    <cellStyle name="Comma 2 2" xfId="99"/>
    <cellStyle name="Comma 2 2 2" xfId="100"/>
    <cellStyle name="Comma 2 3" xfId="101"/>
    <cellStyle name="Comma 2 4" xfId="102"/>
    <cellStyle name="Comma 2 6" xfId="103"/>
    <cellStyle name="Comma 2 6 2" xfId="104"/>
    <cellStyle name="Comma 3" xfId="105"/>
    <cellStyle name="Comma 3 2" xfId="106"/>
    <cellStyle name="Comma 3 2 2" xfId="107"/>
    <cellStyle name="Comma 3 3" xfId="108"/>
    <cellStyle name="Comma 3 4" xfId="109"/>
    <cellStyle name="Comma 4" xfId="110"/>
    <cellStyle name="Comma 4 2" xfId="111"/>
    <cellStyle name="Comma 4 2 2" xfId="112"/>
    <cellStyle name="Comma 4 3" xfId="113"/>
    <cellStyle name="Comma 4 3 2" xfId="114"/>
    <cellStyle name="Comma 4 4" xfId="115"/>
    <cellStyle name="Comma 4 5" xfId="116"/>
    <cellStyle name="Comma 4 6" xfId="117"/>
    <cellStyle name="Comma 5" xfId="118"/>
    <cellStyle name="Comma 6" xfId="119"/>
    <cellStyle name="Comma 6 2" xfId="120"/>
    <cellStyle name="Comma 7" xfId="121"/>
    <cellStyle name="Comma 8" xfId="122"/>
    <cellStyle name="Comma 9" xfId="123"/>
    <cellStyle name="Comma(2)" xfId="124"/>
    <cellStyle name="Comma0 - Style2" xfId="125"/>
    <cellStyle name="Comma1 - Style1" xfId="126"/>
    <cellStyle name="Comments" xfId="127"/>
    <cellStyle name="Currency" xfId="372" builtinId="4"/>
    <cellStyle name="Currency 10" xfId="128"/>
    <cellStyle name="Currency 2" xfId="4"/>
    <cellStyle name="Currency 2 2" xfId="129"/>
    <cellStyle name="Currency 2 2 2" xfId="130"/>
    <cellStyle name="Currency 2 3" xfId="131"/>
    <cellStyle name="Currency 2 3 2" xfId="132"/>
    <cellStyle name="Currency 2 6" xfId="133"/>
    <cellStyle name="Currency 2 6 2" xfId="134"/>
    <cellStyle name="Currency 3" xfId="135"/>
    <cellStyle name="Currency 3 2" xfId="136"/>
    <cellStyle name="Currency 3 3" xfId="137"/>
    <cellStyle name="Currency 3 4" xfId="138"/>
    <cellStyle name="Currency 4" xfId="139"/>
    <cellStyle name="Currency 4 2" xfId="140"/>
    <cellStyle name="Currency 5" xfId="141"/>
    <cellStyle name="Currency 5 2" xfId="142"/>
    <cellStyle name="Currency 5 3" xfId="143"/>
    <cellStyle name="Currency 6" xfId="144"/>
    <cellStyle name="Currency 7" xfId="145"/>
    <cellStyle name="Currency 8" xfId="146"/>
    <cellStyle name="Currency 9" xfId="147"/>
    <cellStyle name="Data Enter" xfId="148"/>
    <cellStyle name="date" xfId="149"/>
    <cellStyle name="Explanatory Text 2" xfId="150"/>
    <cellStyle name="Explanatory Text 3" xfId="151"/>
    <cellStyle name="FactSheet" xfId="152"/>
    <cellStyle name="fish" xfId="153"/>
    <cellStyle name="Good 2" xfId="154"/>
    <cellStyle name="Good 3" xfId="155"/>
    <cellStyle name="Heading 1 2" xfId="156"/>
    <cellStyle name="Heading 1 2 2" xfId="157"/>
    <cellStyle name="Heading 1 3" xfId="158"/>
    <cellStyle name="Heading 1 3 2" xfId="159"/>
    <cellStyle name="Heading 2 2" xfId="160"/>
    <cellStyle name="Heading 2 2 2" xfId="161"/>
    <cellStyle name="Heading 2 3" xfId="162"/>
    <cellStyle name="Heading 2 3 2" xfId="163"/>
    <cellStyle name="Heading 3 2" xfId="164"/>
    <cellStyle name="Heading 3 2 2" xfId="165"/>
    <cellStyle name="Heading 3 3" xfId="166"/>
    <cellStyle name="Heading 3 3 2" xfId="167"/>
    <cellStyle name="Heading 4 2" xfId="168"/>
    <cellStyle name="Heading 4 3" xfId="169"/>
    <cellStyle name="Hyperlink 2" xfId="170"/>
    <cellStyle name="Hyperlink 3" xfId="171"/>
    <cellStyle name="Hyperlink 3 2" xfId="172"/>
    <cellStyle name="Input 2" xfId="173"/>
    <cellStyle name="Input 3" xfId="174"/>
    <cellStyle name="input(0)" xfId="175"/>
    <cellStyle name="Input(2)" xfId="176"/>
    <cellStyle name="Linked Cell 2" xfId="177"/>
    <cellStyle name="Linked Cell 2 2" xfId="178"/>
    <cellStyle name="Linked Cell 3" xfId="179"/>
    <cellStyle name="Neutral 2" xfId="180"/>
    <cellStyle name="Neutral 2 2" xfId="181"/>
    <cellStyle name="Neutral 3" xfId="182"/>
    <cellStyle name="New_normal" xfId="183"/>
    <cellStyle name="Normal" xfId="0" builtinId="0"/>
    <cellStyle name="Normal - Style1" xfId="184"/>
    <cellStyle name="Normal - Style2" xfId="185"/>
    <cellStyle name="Normal - Style3" xfId="186"/>
    <cellStyle name="Normal - Style4" xfId="187"/>
    <cellStyle name="Normal - Style5" xfId="188"/>
    <cellStyle name="Normal 10" xfId="189"/>
    <cellStyle name="Normal 10 2" xfId="190"/>
    <cellStyle name="Normal 10 2 2" xfId="191"/>
    <cellStyle name="Normal 10 2 3" xfId="192"/>
    <cellStyle name="Normal 10_2112 DF Schedule" xfId="193"/>
    <cellStyle name="Normal 11" xfId="194"/>
    <cellStyle name="Normal 12" xfId="195"/>
    <cellStyle name="Normal 12 2" xfId="196"/>
    <cellStyle name="Normal 13" xfId="197"/>
    <cellStyle name="Normal 13 2" xfId="198"/>
    <cellStyle name="Normal 14" xfId="199"/>
    <cellStyle name="Normal 14 2" xfId="200"/>
    <cellStyle name="Normal 15" xfId="201"/>
    <cellStyle name="Normal 15 2" xfId="202"/>
    <cellStyle name="Normal 16" xfId="203"/>
    <cellStyle name="Normal 16 2" xfId="204"/>
    <cellStyle name="Normal 17" xfId="205"/>
    <cellStyle name="Normal 17 2" xfId="206"/>
    <cellStyle name="Normal 18" xfId="207"/>
    <cellStyle name="Normal 18 2" xfId="208"/>
    <cellStyle name="Normal 19" xfId="209"/>
    <cellStyle name="Normal 19 2" xfId="210"/>
    <cellStyle name="Normal 2" xfId="2"/>
    <cellStyle name="Normal 2 2" xfId="211"/>
    <cellStyle name="Normal 2 2 2" xfId="212"/>
    <cellStyle name="Normal 2 2 3" xfId="213"/>
    <cellStyle name="Normal 2 2_Actual_Fuel" xfId="214"/>
    <cellStyle name="Normal 2 3" xfId="215"/>
    <cellStyle name="Normal 2 3 2" xfId="216"/>
    <cellStyle name="Normal 2 3 3" xfId="217"/>
    <cellStyle name="Normal 2 4" xfId="218"/>
    <cellStyle name="Normal 2 5" xfId="219"/>
    <cellStyle name="Normal 2_2012-10" xfId="220"/>
    <cellStyle name="Normal 20" xfId="221"/>
    <cellStyle name="Normal 21" xfId="222"/>
    <cellStyle name="Normal 22" xfId="223"/>
    <cellStyle name="Normal 23" xfId="224"/>
    <cellStyle name="Normal 24" xfId="225"/>
    <cellStyle name="Normal 25" xfId="226"/>
    <cellStyle name="Normal 26" xfId="227"/>
    <cellStyle name="Normal 27" xfId="228"/>
    <cellStyle name="Normal 28" xfId="229"/>
    <cellStyle name="Normal 29" xfId="230"/>
    <cellStyle name="Normal 3" xfId="231"/>
    <cellStyle name="Normal 3 2" xfId="232"/>
    <cellStyle name="Normal 3 3" xfId="233"/>
    <cellStyle name="Normal 3 4" xfId="234"/>
    <cellStyle name="Normal 3_2012 PR" xfId="235"/>
    <cellStyle name="Normal 30" xfId="236"/>
    <cellStyle name="Normal 31" xfId="237"/>
    <cellStyle name="Normal 32" xfId="238"/>
    <cellStyle name="Normal 33" xfId="239"/>
    <cellStyle name="Normal 34" xfId="240"/>
    <cellStyle name="Normal 35" xfId="241"/>
    <cellStyle name="Normal 36" xfId="242"/>
    <cellStyle name="Normal 37" xfId="243"/>
    <cellStyle name="Normal 38" xfId="244"/>
    <cellStyle name="Normal 39" xfId="245"/>
    <cellStyle name="Normal 4" xfId="246"/>
    <cellStyle name="Normal 4 2" xfId="247"/>
    <cellStyle name="Normal 40" xfId="248"/>
    <cellStyle name="Normal 41" xfId="249"/>
    <cellStyle name="Normal 42" xfId="250"/>
    <cellStyle name="Normal 43" xfId="251"/>
    <cellStyle name="Normal 44" xfId="252"/>
    <cellStyle name="Normal 45" xfId="253"/>
    <cellStyle name="Normal 46" xfId="254"/>
    <cellStyle name="Normal 47" xfId="255"/>
    <cellStyle name="Normal 48" xfId="256"/>
    <cellStyle name="Normal 49" xfId="257"/>
    <cellStyle name="Normal 5" xfId="258"/>
    <cellStyle name="Normal 5 2" xfId="259"/>
    <cellStyle name="Normal 5_2112 DF Schedule" xfId="260"/>
    <cellStyle name="Normal 50" xfId="261"/>
    <cellStyle name="Normal 51" xfId="262"/>
    <cellStyle name="Normal 52" xfId="263"/>
    <cellStyle name="Normal 53" xfId="264"/>
    <cellStyle name="Normal 54" xfId="265"/>
    <cellStyle name="Normal 55" xfId="266"/>
    <cellStyle name="Normal 56" xfId="267"/>
    <cellStyle name="Normal 57" xfId="268"/>
    <cellStyle name="Normal 58" xfId="269"/>
    <cellStyle name="Normal 59" xfId="270"/>
    <cellStyle name="Normal 6" xfId="271"/>
    <cellStyle name="Normal 6 2" xfId="272"/>
    <cellStyle name="Normal 60" xfId="273"/>
    <cellStyle name="Normal 61" xfId="274"/>
    <cellStyle name="Normal 62" xfId="275"/>
    <cellStyle name="Normal 63" xfId="276"/>
    <cellStyle name="Normal 64" xfId="277"/>
    <cellStyle name="Normal 65" xfId="278"/>
    <cellStyle name="Normal 66" xfId="279"/>
    <cellStyle name="Normal 67" xfId="280"/>
    <cellStyle name="Normal 68" xfId="281"/>
    <cellStyle name="Normal 69" xfId="282"/>
    <cellStyle name="Normal 7" xfId="283"/>
    <cellStyle name="Normal 70" xfId="284"/>
    <cellStyle name="Normal 71" xfId="285"/>
    <cellStyle name="Normal 72" xfId="286"/>
    <cellStyle name="Normal 73" xfId="287"/>
    <cellStyle name="Normal 74" xfId="288"/>
    <cellStyle name="Normal 75" xfId="289"/>
    <cellStyle name="Normal 76" xfId="290"/>
    <cellStyle name="Normal 77" xfId="291"/>
    <cellStyle name="Normal 78" xfId="292"/>
    <cellStyle name="Normal 79" xfId="293"/>
    <cellStyle name="Normal 8" xfId="294"/>
    <cellStyle name="Normal 80" xfId="295"/>
    <cellStyle name="Normal 81" xfId="296"/>
    <cellStyle name="Normal 82" xfId="297"/>
    <cellStyle name="Normal 83" xfId="298"/>
    <cellStyle name="Normal 84" xfId="299"/>
    <cellStyle name="Normal 84 2" xfId="300"/>
    <cellStyle name="Normal 84 3" xfId="301"/>
    <cellStyle name="Normal 85" xfId="302"/>
    <cellStyle name="Normal 85 2" xfId="303"/>
    <cellStyle name="Normal 86" xfId="304"/>
    <cellStyle name="Normal 87" xfId="305"/>
    <cellStyle name="Normal 88" xfId="306"/>
    <cellStyle name="Normal 89" xfId="307"/>
    <cellStyle name="Normal 9" xfId="308"/>
    <cellStyle name="Normal 90" xfId="309"/>
    <cellStyle name="Normal 91" xfId="310"/>
    <cellStyle name="Normal_Book3" xfId="311"/>
    <cellStyle name="Normal_Murrey's Jan-Dec 2012" xfId="312"/>
    <cellStyle name="Normal_Price out" xfId="313"/>
    <cellStyle name="Normal_Sheet1" xfId="314"/>
    <cellStyle name="Note 2" xfId="315"/>
    <cellStyle name="Note 2 2" xfId="316"/>
    <cellStyle name="Note 3" xfId="317"/>
    <cellStyle name="Note 3 2" xfId="318"/>
    <cellStyle name="Notes" xfId="319"/>
    <cellStyle name="Output 2" xfId="320"/>
    <cellStyle name="Output 3" xfId="321"/>
    <cellStyle name="Percent" xfId="373" builtinId="5"/>
    <cellStyle name="Percent 2" xfId="322"/>
    <cellStyle name="Percent 2 2" xfId="323"/>
    <cellStyle name="Percent 2 2 2" xfId="324"/>
    <cellStyle name="Percent 2 3" xfId="325"/>
    <cellStyle name="Percent 2 6" xfId="326"/>
    <cellStyle name="Percent 3" xfId="327"/>
    <cellStyle name="Percent 3 2" xfId="328"/>
    <cellStyle name="Percent 4" xfId="329"/>
    <cellStyle name="Percent 4 2" xfId="330"/>
    <cellStyle name="Percent 4 3" xfId="331"/>
    <cellStyle name="Percent 5" xfId="332"/>
    <cellStyle name="Percent 6" xfId="333"/>
    <cellStyle name="Percent 7" xfId="334"/>
    <cellStyle name="Percent 7 2" xfId="335"/>
    <cellStyle name="Percent 7 3" xfId="336"/>
    <cellStyle name="Percent 8" xfId="337"/>
    <cellStyle name="Percent(1)" xfId="338"/>
    <cellStyle name="Percent(2)" xfId="339"/>
    <cellStyle name="PRM" xfId="340"/>
    <cellStyle name="PRM 2" xfId="341"/>
    <cellStyle name="PRM 3" xfId="342"/>
    <cellStyle name="PRM_2011-11" xfId="343"/>
    <cellStyle name="PS_Comma" xfId="344"/>
    <cellStyle name="PSChar" xfId="345"/>
    <cellStyle name="PSDate" xfId="346"/>
    <cellStyle name="PSDec" xfId="347"/>
    <cellStyle name="PSHeading" xfId="348"/>
    <cellStyle name="PSInt" xfId="349"/>
    <cellStyle name="PSSpacer" xfId="350"/>
    <cellStyle name="STYL0 - Style1" xfId="351"/>
    <cellStyle name="STYL1 - Style2" xfId="352"/>
    <cellStyle name="STYL2 - Style3" xfId="353"/>
    <cellStyle name="STYL3 - Style4" xfId="354"/>
    <cellStyle name="STYL4 - Style5" xfId="355"/>
    <cellStyle name="STYL5 - Style6" xfId="356"/>
    <cellStyle name="STYL6 - Style7" xfId="357"/>
    <cellStyle name="STYL7 - Style8" xfId="358"/>
    <cellStyle name="Style 1" xfId="359"/>
    <cellStyle name="Style 1 2" xfId="360"/>
    <cellStyle name="STYLE1" xfId="361"/>
    <cellStyle name="sub heading" xfId="362"/>
    <cellStyle name="Title 2" xfId="363"/>
    <cellStyle name="Title 3" xfId="364"/>
    <cellStyle name="Total 2" xfId="365"/>
    <cellStyle name="Total 2 2" xfId="366"/>
    <cellStyle name="Total 3" xfId="367"/>
    <cellStyle name="Total 3 2" xfId="368"/>
    <cellStyle name="Warning Text 2" xfId="369"/>
    <cellStyle name="Warning Text 3" xfId="370"/>
    <cellStyle name="WM_STANDARD" xfId="371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externalLink" Target="externalLinks/externalLink8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17" Type="http://schemas.openxmlformats.org/officeDocument/2006/relationships/externalLink" Target="externalLinks/externalLink12.xml"/><Relationship Id="rId25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1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24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0.xml"/><Relationship Id="rId23" Type="http://schemas.openxmlformats.org/officeDocument/2006/relationships/customXml" Target="../customXml/item2.xml"/><Relationship Id="rId10" Type="http://schemas.openxmlformats.org/officeDocument/2006/relationships/externalLink" Target="externalLinks/externalLink5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externalLink" Target="externalLinks/externalLink9.xml"/><Relationship Id="rId22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c_db5_srv\SRC\User\REPORTS\STANDARD%20REPORTS\CUSTOM%20REPORTS\PL_RollingTrend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LeMay\Master%20Truck%20Schedule\South_LeMay%20Master%20Truck%20Schedule-Shared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microsoft.com/office/2006/relationships/xlExternalLinkPath/xlPathMissing" Target="ExcelFinancials_v3c1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Vashon/Dump%20Fee/Murreys-American%20Disp%20Fee%20Calc%203-1-2016,r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SRC%20Reports\SRC%20Format\Bonus%20Schedule\PNWR%20SRC%20Bonus%20Schedule%20200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LeMay\2183-1%20Pacific%20Disp,%20Butlers%20Cove\Filing%20Possibly%202012\Filing\Audit\Final%20Outcome%208-14-2012\Pro%20Forma%20Pacific%20Disposal_Staff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Mason\Rate%20Increase%201-1-2013\1%20Filing%2011-14-2012\Revised%202-21-2013\staff%20Mason%20Proforma%209-30-2012-Linked%20Cust%20Count%20Fix%2012-27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cinf05\DistShares\WCNX%20Stuff\Excel\Financials\Excel%20Financials\ExcelFinancials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Vashon\Rate%20Incr%201-1-2012\Vashon%20Pro%20Forma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cinf06\sacshare\Data_Automation\DMS\RouteManagerReports\RM_MM001_Query_v4c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microsoft.com/office/2006/relationships/xlExternalLinkPath/xlPathMissing" Target="ExcelFinancials_v3b1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Annual%20Reports\2180%20LeMay\2009\LeMay%20Annual%20Report%200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  <sheetName val="Instructions"/>
      <sheetName val="User"/>
      <sheetName val="Settings"/>
      <sheetName val="Orientation"/>
      <sheetName val="Delivery"/>
      <sheetName val="RptClose"/>
      <sheetName val="Hidden"/>
    </sheetNames>
    <sheetDataSet>
      <sheetData sheetId="0" refreshError="1"/>
      <sheetData sheetId="1" refreshError="1"/>
      <sheetData sheetId="2" refreshError="1"/>
      <sheetData sheetId="3" refreshError="1">
        <row r="5">
          <cell r="D5">
            <v>10.71</v>
          </cell>
        </row>
        <row r="14">
          <cell r="C14" t="str">
            <v>dist</v>
          </cell>
          <cell r="E14" t="str">
            <v>=</v>
          </cell>
          <cell r="F14">
            <v>2149</v>
          </cell>
        </row>
      </sheetData>
      <sheetData sheetId="4" refreshError="1">
        <row r="6">
          <cell r="F6" t="str">
            <v>Time Series</v>
          </cell>
        </row>
        <row r="17">
          <cell r="B17" t="str">
            <v>ACCT</v>
          </cell>
          <cell r="C17" t="str">
            <v>-</v>
          </cell>
        </row>
        <row r="22">
          <cell r="C22" t="str">
            <v>Financial</v>
          </cell>
        </row>
        <row r="23">
          <cell r="C23" t="str">
            <v>ALL</v>
          </cell>
        </row>
        <row r="24">
          <cell r="C24" t="str">
            <v>Variable</v>
          </cell>
        </row>
      </sheetData>
      <sheetData sheetId="5" refreshError="1">
        <row r="8">
          <cell r="E8" t="str">
            <v>Report</v>
          </cell>
        </row>
        <row r="12">
          <cell r="B12" t="b">
            <v>0</v>
          </cell>
        </row>
      </sheetData>
      <sheetData sheetId="6" refreshError="1"/>
      <sheetData sheetId="7" refreshError="1">
        <row r="11">
          <cell r="D11">
            <v>10002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 t="str">
            <v>Cash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 Truck Schedule"/>
      <sheetName val="Jun 2011 FAR"/>
      <sheetName val="Scrap List"/>
      <sheetName val="Sheet1"/>
      <sheetName val="Sheet2"/>
      <sheetName val="Sheet3"/>
      <sheetName val="Sheet4"/>
      <sheetName val="Feb'12 FAR Data"/>
      <sheetName val="Sheet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rrorNote"/>
      <sheetName val="ControlPanel"/>
      <sheetName val="4MthProj1"/>
      <sheetName val="4MthProj2"/>
      <sheetName val="PL_ActReview"/>
      <sheetName val="PL_ActReview2"/>
      <sheetName val="BS_Close"/>
      <sheetName val="IS200PL"/>
      <sheetName val="PL_ActTranx"/>
      <sheetName val="IS210PL"/>
      <sheetName val="ProjRevCheck"/>
      <sheetName val="BDebtCheck"/>
      <sheetName val="52901Check"/>
      <sheetName val="ICCheck"/>
      <sheetName val="BSCheck"/>
      <sheetName val="BadJECheck"/>
      <sheetName val="JE_Review"/>
      <sheetName val="Proj1"/>
      <sheetName val="Proj2"/>
    </sheetNames>
    <sheetDataSet>
      <sheetData sheetId="0"/>
      <sheetData sheetId="1">
        <row r="2">
          <cell r="S2" t="str">
            <v>P&amp;L Close Report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ferences"/>
      <sheetName val="DF Calculation"/>
      <sheetName val="Consolidated Cust Cnt"/>
      <sheetName val="Disposal Schedule"/>
      <sheetName val="Proposed Rates"/>
      <sheetName val="Rev Recon"/>
      <sheetName val="Murrey's Rev 2015"/>
      <sheetName val="American Rev 2015"/>
      <sheetName val="Murrey's IS"/>
      <sheetName val="American IS"/>
    </sheetNames>
    <sheetDataSet>
      <sheetData sheetId="0">
        <row r="9">
          <cell r="C9">
            <v>1</v>
          </cell>
        </row>
        <row r="30">
          <cell r="C30">
            <v>324</v>
          </cell>
        </row>
      </sheetData>
      <sheetData sheetId="1"/>
      <sheetData sheetId="2"/>
      <sheetData sheetId="3"/>
      <sheetData sheetId="4">
        <row r="75">
          <cell r="C75">
            <v>22.96</v>
          </cell>
        </row>
      </sheetData>
      <sheetData sheetId="5"/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  <sheetName val="Instructions"/>
      <sheetName val="User"/>
      <sheetName val="Settings"/>
      <sheetName val="Orientation"/>
      <sheetName val="Delivery"/>
      <sheetName val="RptClose"/>
      <sheetName val="Hidd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 A IS"/>
      <sheetName val="2183 IS"/>
      <sheetName val="2184 IS"/>
      <sheetName val="2185 IS"/>
      <sheetName val="Consolidated IS"/>
      <sheetName val="Ratios Thurston"/>
      <sheetName val="2183 Pro forma"/>
      <sheetName val="2183 Ratios"/>
      <sheetName val="Restating Expl"/>
      <sheetName val="Pro forma Expl"/>
      <sheetName val="Pacific Regulated - Price Out"/>
      <sheetName val="Total Matrix"/>
      <sheetName val="Packer_RO Matrix"/>
      <sheetName val="COS Packer_RO"/>
      <sheetName val="Res YW Matix"/>
      <sheetName val="Res Recy Matrix"/>
      <sheetName val="MF Recy Matrix"/>
      <sheetName val="COS RR YW MFR"/>
      <sheetName val="Total Pac,Rural"/>
      <sheetName val="Rural"/>
      <sheetName val="LG-Pacific Pckr Rts"/>
      <sheetName val="LG-RO"/>
      <sheetName val="Res Recycl"/>
      <sheetName val="MF Recycl"/>
      <sheetName val="YW"/>
      <sheetName val="Depr Summary 2183"/>
      <sheetName val="Trucks 2183"/>
      <sheetName val="Containers 2183"/>
      <sheetName val="OTHER EQUIP 2183"/>
      <sheetName val="LeMay Global"/>
      <sheetName val="Fuel"/>
      <sheetName val="DF Schedule"/>
      <sheetName val="2183 Payroll"/>
      <sheetName val="2184 Payroll"/>
      <sheetName val="2185 Payroll"/>
      <sheetName val="Cust Cnt"/>
      <sheetName val="Unit Cnt"/>
      <sheetName val="70148 Summary"/>
      <sheetName val="Time Study"/>
      <sheetName val="Corp OH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49">
          <cell r="M49">
            <v>8000432.4617248299</v>
          </cell>
        </row>
        <row r="50">
          <cell r="F50">
            <v>8158680.0299999993</v>
          </cell>
        </row>
        <row r="58">
          <cell r="M58">
            <v>2625393.5068796892</v>
          </cell>
        </row>
        <row r="59">
          <cell r="F59">
            <v>2119461.4499999997</v>
          </cell>
        </row>
        <row r="69">
          <cell r="M69">
            <v>1361744.4391882615</v>
          </cell>
        </row>
        <row r="70">
          <cell r="F70">
            <v>1347163.92</v>
          </cell>
        </row>
        <row r="213">
          <cell r="M213">
            <v>4757117.5866496488</v>
          </cell>
        </row>
        <row r="214">
          <cell r="F214">
            <v>4859462.2200000007</v>
          </cell>
        </row>
        <row r="221">
          <cell r="M221">
            <v>395543.82663328515</v>
          </cell>
        </row>
        <row r="222">
          <cell r="F222">
            <v>332798.89999999997</v>
          </cell>
        </row>
        <row r="281">
          <cell r="M281">
            <v>1187221.5155152699</v>
          </cell>
        </row>
        <row r="282">
          <cell r="F282">
            <v>744277.47999999975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iff Rate Sheet"/>
      <sheetName val="Class A IS"/>
      <sheetName val="2149 BS"/>
      <sheetName val="9-30-11 BS"/>
      <sheetName val="2149 IS"/>
      <sheetName val="Consolidated IS"/>
      <sheetName val="Ratios"/>
      <sheetName val="Restating Adj"/>
      <sheetName val="Restating Expl"/>
      <sheetName val="Pro forma Adj"/>
      <sheetName val="Pro-forma"/>
      <sheetName val="LG-Combined"/>
      <sheetName val="LG-Pckr,RO"/>
      <sheetName val="LG-Recycl"/>
      <sheetName val="Price Out"/>
      <sheetName val="Rate Sheet"/>
      <sheetName val="Pckr, RO, Matrix"/>
      <sheetName val="COS Packer,RO "/>
      <sheetName val="Recycl Matrix"/>
      <sheetName val="COS Recycle"/>
      <sheetName val="Disposal Calc"/>
      <sheetName val="Disposal Schedule"/>
      <sheetName val="Fuel"/>
      <sheetName val="PR Summary"/>
      <sheetName val="Depr Summary"/>
      <sheetName val="Depreciation"/>
      <sheetName val="Cust Count"/>
      <sheetName val="Rt Study Summary"/>
      <sheetName val="Recycl Tons, Commodity Value"/>
      <sheetName val="Tribal Cnts"/>
      <sheetName val="Corp OH"/>
      <sheetName val="Corp Debt Equity"/>
      <sheetName val="Balance Sheet"/>
      <sheetName val="P&amp;L"/>
      <sheetName val="70195 JE-WRRA Dues"/>
      <sheetName val="56095 JE"/>
      <sheetName val="Non-Reg Price Out"/>
      <sheetName val="30% Commodity Justification"/>
      <sheetName val="TRC Processing Justfication"/>
      <sheetName val="Orig Price Out"/>
      <sheetName val="Rate Sheet Dec 2012"/>
      <sheetName val="Orig COS Packer,RO "/>
      <sheetName val="LG-Pckr w DF"/>
      <sheetName val="LG-Pckr w-out DF"/>
      <sheetName val="LG-RO"/>
    </sheetNames>
    <sheetDataSet>
      <sheetData sheetId="0">
        <row r="107">
          <cell r="L107">
            <v>1755086.2007667283</v>
          </cell>
        </row>
        <row r="214">
          <cell r="L214">
            <v>861493.18580596044</v>
          </cell>
        </row>
        <row r="278">
          <cell r="L278">
            <v>840474.49671344017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>
        <row r="23">
          <cell r="L23">
            <v>2329.3388396454475</v>
          </cell>
        </row>
      </sheetData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rrorNote"/>
      <sheetName val="ControlPanel"/>
      <sheetName val="PL_ActReview"/>
      <sheetName val="BS_Close"/>
      <sheetName val="PL_ActTranx"/>
      <sheetName val="JE_Review"/>
      <sheetName val="PL_CloseByDay"/>
      <sheetName val="PL_IS200"/>
      <sheetName val="PL_IS210"/>
      <sheetName val="PL_ActByDistrict"/>
      <sheetName val="PL_ProjReview"/>
    </sheetNames>
    <sheetDataSet>
      <sheetData sheetId="0"/>
      <sheetData sheetId="1">
        <row r="2">
          <cell r="X2" t="str">
            <v>P&amp;L Close Report</v>
          </cell>
          <cell r="Z2" t="str">
            <v>Consolidated</v>
          </cell>
        </row>
        <row r="3">
          <cell r="Z3" t="str">
            <v>Region</v>
          </cell>
        </row>
        <row r="4">
          <cell r="Z4" t="str">
            <v>District</v>
          </cell>
        </row>
        <row r="5">
          <cell r="Z5" t="str">
            <v>Multiple Districts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 A, IS "/>
      <sheetName val="Vashon BS"/>
      <sheetName val="Vashon IS"/>
      <sheetName val="Consolidated IS"/>
      <sheetName val="Restating Adj"/>
      <sheetName val="Prof Adj"/>
      <sheetName val="Price-out"/>
      <sheetName val="LG-Total Comp"/>
      <sheetName val="LG-Packer Rts"/>
      <sheetName val="LG-RO Rts"/>
      <sheetName val="LG-Recycl"/>
      <sheetName val="DF Schedule"/>
      <sheetName val="Depr-Summary"/>
      <sheetName val="2132 Trks"/>
      <sheetName val="2132 Cont, DB"/>
      <sheetName val="2132 Oth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M001Tranx"/>
      <sheetName val="JEexport"/>
      <sheetName val="Intro Memo"/>
      <sheetName val="JE_Summary"/>
      <sheetName val="Mth00"/>
      <sheetName val="Mth01"/>
      <sheetName val="Mth02"/>
      <sheetName val="Mth03"/>
      <sheetName val="Mth04"/>
      <sheetName val="Mth05"/>
      <sheetName val="Mth06"/>
      <sheetName val="Mth07"/>
      <sheetName val="Mth08"/>
      <sheetName val="Mth09"/>
      <sheetName val="Mth10"/>
      <sheetName val="Mth11"/>
      <sheetName val="Mth12"/>
      <sheetName val="TEST"/>
      <sheetName val="To Do"/>
      <sheetName val="GLMapping"/>
      <sheetName val="BatchLog"/>
      <sheetName val="Reference"/>
    </sheetNames>
    <sheetDataSet>
      <sheetData sheetId="0"/>
      <sheetData sheetId="1">
        <row r="9">
          <cell r="L9">
            <v>11501</v>
          </cell>
        </row>
        <row r="10">
          <cell r="L10" t="str">
            <v>11501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rrorNote"/>
      <sheetName val="ControlPanel"/>
      <sheetName val="PL_ActReview"/>
      <sheetName val="PL_ActReview2"/>
      <sheetName val="BS_Close"/>
      <sheetName val="PL_ActTranx"/>
      <sheetName val="IS200PL"/>
      <sheetName val="IS210PL"/>
      <sheetName val="ProjRevCheck"/>
      <sheetName val="BDebtCheck"/>
      <sheetName val="52901Check"/>
      <sheetName val="ICCheck"/>
      <sheetName val="BSCheck"/>
      <sheetName val="BadJECheck"/>
      <sheetName val="JE_Review"/>
      <sheetName val="Proj1"/>
      <sheetName val="Proj2"/>
    </sheetNames>
    <sheetDataSet>
      <sheetData sheetId="0"/>
      <sheetData sheetId="1">
        <row r="2">
          <cell r="S2" t="str">
            <v>P&amp;L Close Report</v>
          </cell>
        </row>
        <row r="3">
          <cell r="S3" t="str">
            <v>P&amp;L Close Report 2</v>
          </cell>
        </row>
        <row r="4">
          <cell r="S4" t="str">
            <v>BS Close Report</v>
          </cell>
        </row>
        <row r="5">
          <cell r="S5" t="str">
            <v>IS 200 - PL Review</v>
          </cell>
        </row>
        <row r="6">
          <cell r="S6" t="str">
            <v>IS 210 - PL Review</v>
          </cell>
        </row>
        <row r="7">
          <cell r="S7" t="str">
            <v>P&amp;L Tranx Report</v>
          </cell>
        </row>
        <row r="8">
          <cell r="S8" t="str">
            <v>JE Review Report</v>
          </cell>
        </row>
        <row r="9">
          <cell r="S9" t="str">
            <v>Corp: Rev/Proj Check</v>
          </cell>
        </row>
        <row r="10">
          <cell r="S10" t="str">
            <v>Corp: 52901 Check</v>
          </cell>
        </row>
        <row r="11">
          <cell r="S11" t="str">
            <v>Corp: BS Check</v>
          </cell>
        </row>
        <row r="12">
          <cell r="S12" t="str">
            <v>Corp: Bad Debt Check</v>
          </cell>
        </row>
        <row r="13">
          <cell r="S13" t="str">
            <v>Corp: IC Check</v>
          </cell>
        </row>
        <row r="14">
          <cell r="S14" t="str">
            <v>Corp: JE Neg Check</v>
          </cell>
        </row>
        <row r="15">
          <cell r="S15" t="str">
            <v>Proj Review Report</v>
          </cell>
        </row>
        <row r="16">
          <cell r="S16" t="str">
            <v>Proj Review Report 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A, Certification"/>
      <sheetName val="OrgControl"/>
      <sheetName val="InsuranceAccident"/>
      <sheetName val="bsasset"/>
      <sheetName val="bsliab"/>
      <sheetName val="FixedAssets"/>
      <sheetName val="RetainedEarnings"/>
      <sheetName val="Income Statement"/>
      <sheetName val="RevenuesCust"/>
      <sheetName val="Recycle"/>
      <sheetName val="contracts"/>
      <sheetName val="GarbageDisp"/>
      <sheetName val="RecycleProcessing"/>
      <sheetName val="Payroll"/>
      <sheetName val="FeeCal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4"/>
  <sheetViews>
    <sheetView tabSelected="1" zoomScale="85" zoomScaleNormal="85" workbookViewId="0">
      <selection activeCell="H27" sqref="H27"/>
    </sheetView>
  </sheetViews>
  <sheetFormatPr defaultRowHeight="15"/>
  <cols>
    <col min="1" max="1" width="31.28515625" style="44" customWidth="1"/>
    <col min="2" max="2" width="7" style="44" customWidth="1"/>
    <col min="3" max="3" width="19" style="44" bestFit="1" customWidth="1"/>
    <col min="4" max="4" width="11" style="44" customWidth="1"/>
    <col min="5" max="5" width="10.5703125" style="44" bestFit="1" customWidth="1"/>
    <col min="6" max="6" width="7" style="44" bestFit="1" customWidth="1"/>
    <col min="7" max="7" width="11.42578125" style="44" bestFit="1" customWidth="1"/>
    <col min="8" max="8" width="10.5703125" style="44" bestFit="1" customWidth="1"/>
    <col min="9" max="9" width="8" style="44" bestFit="1" customWidth="1"/>
    <col min="10" max="10" width="15.85546875" style="44" bestFit="1" customWidth="1"/>
    <col min="11" max="11" width="14.5703125" style="44" customWidth="1"/>
    <col min="12" max="16384" width="9.140625" style="44"/>
  </cols>
  <sheetData>
    <row r="1" spans="1:11">
      <c r="A1" s="185" t="s">
        <v>120</v>
      </c>
      <c r="B1" s="185"/>
      <c r="C1" s="185"/>
      <c r="D1" s="185"/>
      <c r="E1" s="185"/>
      <c r="F1" s="185"/>
      <c r="G1" s="185"/>
      <c r="H1" s="185"/>
      <c r="I1" s="185"/>
    </row>
    <row r="2" spans="1:11">
      <c r="A2" s="44" t="s">
        <v>121</v>
      </c>
      <c r="C2" s="80" t="s">
        <v>122</v>
      </c>
      <c r="D2" s="80" t="s">
        <v>123</v>
      </c>
      <c r="E2" s="80" t="s">
        <v>124</v>
      </c>
      <c r="F2" s="81" t="s">
        <v>125</v>
      </c>
      <c r="G2" s="81" t="s">
        <v>126</v>
      </c>
      <c r="H2" s="81" t="s">
        <v>127</v>
      </c>
      <c r="I2" s="80" t="s">
        <v>128</v>
      </c>
    </row>
    <row r="3" spans="1:11">
      <c r="A3" s="44" t="s">
        <v>129</v>
      </c>
      <c r="C3" s="146">
        <f>52*5/12</f>
        <v>21.666666666666668</v>
      </c>
      <c r="D3" s="82">
        <f>$C$3*2</f>
        <v>43.333333333333336</v>
      </c>
      <c r="E3" s="82">
        <f>$C$3*3</f>
        <v>65</v>
      </c>
      <c r="F3" s="82">
        <f>$C$3*4</f>
        <v>86.666666666666671</v>
      </c>
      <c r="G3" s="82">
        <f>$C$3*5</f>
        <v>108.33333333333334</v>
      </c>
      <c r="H3" s="82">
        <f>$C$3*6</f>
        <v>130</v>
      </c>
      <c r="I3" s="82">
        <f>$C$3*7</f>
        <v>151.66666666666669</v>
      </c>
    </row>
    <row r="4" spans="1:11">
      <c r="A4" s="44" t="s">
        <v>130</v>
      </c>
      <c r="C4" s="146">
        <f>52*4/12</f>
        <v>17.333333333333332</v>
      </c>
      <c r="D4" s="82">
        <f>$C$4*2</f>
        <v>34.666666666666664</v>
      </c>
      <c r="E4" s="82">
        <f>$C$4*3</f>
        <v>52</v>
      </c>
      <c r="F4" s="82">
        <f>$C$4*4</f>
        <v>69.333333333333329</v>
      </c>
      <c r="G4" s="82">
        <f>$C$4*5</f>
        <v>86.666666666666657</v>
      </c>
      <c r="H4" s="82">
        <f>$C$4*6</f>
        <v>104</v>
      </c>
      <c r="I4" s="82">
        <f>$C$4*7</f>
        <v>121.33333333333333</v>
      </c>
    </row>
    <row r="5" spans="1:11">
      <c r="A5" s="44" t="s">
        <v>131</v>
      </c>
      <c r="C5" s="146">
        <f>52*3/12</f>
        <v>13</v>
      </c>
      <c r="D5" s="82">
        <f>$C$5*2</f>
        <v>26</v>
      </c>
      <c r="E5" s="82">
        <f>$C$5*3</f>
        <v>39</v>
      </c>
      <c r="F5" s="82">
        <f>$C$5*4</f>
        <v>52</v>
      </c>
      <c r="G5" s="82">
        <f>$C$5*5</f>
        <v>65</v>
      </c>
      <c r="H5" s="82">
        <f>$C$5*6</f>
        <v>78</v>
      </c>
      <c r="I5" s="82">
        <f>$C$5*7</f>
        <v>91</v>
      </c>
    </row>
    <row r="6" spans="1:11">
      <c r="A6" s="44" t="s">
        <v>132</v>
      </c>
      <c r="C6" s="146">
        <f>52*2/12</f>
        <v>8.6666666666666661</v>
      </c>
      <c r="D6" s="83">
        <f>$C$6*2</f>
        <v>17.333333333333332</v>
      </c>
      <c r="E6" s="83">
        <f>$C$6*3</f>
        <v>26</v>
      </c>
      <c r="F6" s="83">
        <f>$C$6*4</f>
        <v>34.666666666666664</v>
      </c>
      <c r="G6" s="83">
        <f>$C$6*5</f>
        <v>43.333333333333329</v>
      </c>
      <c r="H6" s="83">
        <f>$C$6*6</f>
        <v>52</v>
      </c>
      <c r="I6" s="83">
        <f>$C$6*7</f>
        <v>60.666666666666664</v>
      </c>
    </row>
    <row r="7" spans="1:11">
      <c r="A7" s="44" t="s">
        <v>133</v>
      </c>
      <c r="C7" s="146">
        <f>52/12</f>
        <v>4.333333333333333</v>
      </c>
      <c r="D7" s="83">
        <f>$C$7*2</f>
        <v>8.6666666666666661</v>
      </c>
      <c r="E7" s="83">
        <f>$C$7*3</f>
        <v>13</v>
      </c>
      <c r="F7" s="83">
        <f>$C$7*4</f>
        <v>17.333333333333332</v>
      </c>
      <c r="G7" s="83">
        <f>$C$7*5</f>
        <v>21.666666666666664</v>
      </c>
      <c r="H7" s="83">
        <f>$C$7*6</f>
        <v>26</v>
      </c>
      <c r="I7" s="83">
        <f>$C$7*7</f>
        <v>30.333333333333332</v>
      </c>
    </row>
    <row r="8" spans="1:11">
      <c r="A8" s="44" t="s">
        <v>134</v>
      </c>
      <c r="C8" s="147">
        <f>26/12</f>
        <v>2.1666666666666665</v>
      </c>
      <c r="D8" s="83">
        <f>$C$8*2</f>
        <v>4.333333333333333</v>
      </c>
      <c r="E8" s="83">
        <f>$C$8*3</f>
        <v>6.5</v>
      </c>
      <c r="F8" s="83">
        <f>$C$8*4</f>
        <v>8.6666666666666661</v>
      </c>
      <c r="G8" s="83">
        <f>$C$8*5</f>
        <v>10.833333333333332</v>
      </c>
      <c r="H8" s="83">
        <f>$C$8*6</f>
        <v>13</v>
      </c>
      <c r="I8" s="83">
        <f>$C$8*7</f>
        <v>15.166666666666666</v>
      </c>
    </row>
    <row r="9" spans="1:11">
      <c r="A9" s="44" t="s">
        <v>135</v>
      </c>
      <c r="C9" s="146">
        <f>12/12</f>
        <v>1</v>
      </c>
      <c r="D9" s="83">
        <f>$C$9*2</f>
        <v>2</v>
      </c>
      <c r="E9" s="83">
        <f>$C$9*3</f>
        <v>3</v>
      </c>
      <c r="F9" s="83">
        <f>$C$9*4</f>
        <v>4</v>
      </c>
      <c r="G9" s="83">
        <f>$C$9*5</f>
        <v>5</v>
      </c>
      <c r="H9" s="83">
        <f>$C$9*6</f>
        <v>6</v>
      </c>
      <c r="I9" s="83">
        <f>$C$9*7</f>
        <v>7</v>
      </c>
    </row>
    <row r="10" spans="1:11">
      <c r="A10" s="44" t="s">
        <v>136</v>
      </c>
      <c r="C10" s="146">
        <v>1</v>
      </c>
      <c r="D10" s="83"/>
      <c r="E10" s="83"/>
      <c r="F10" s="83"/>
      <c r="G10" s="83"/>
      <c r="H10" s="83"/>
      <c r="I10" s="83"/>
    </row>
    <row r="11" spans="1:11">
      <c r="A11" s="44" t="s">
        <v>288</v>
      </c>
      <c r="C11" s="146">
        <v>4</v>
      </c>
      <c r="D11" s="83"/>
      <c r="E11" s="83"/>
      <c r="F11" s="83"/>
      <c r="G11" s="83"/>
      <c r="H11" s="83"/>
      <c r="I11" s="83"/>
    </row>
    <row r="12" spans="1:11">
      <c r="C12" s="146"/>
      <c r="D12" s="83"/>
      <c r="E12" s="83"/>
      <c r="F12" s="83"/>
      <c r="G12" s="83"/>
      <c r="H12" s="83"/>
      <c r="I12" s="83"/>
    </row>
    <row r="13" spans="1:11">
      <c r="A13" s="185" t="s">
        <v>137</v>
      </c>
      <c r="B13" s="185"/>
      <c r="C13" s="185"/>
      <c r="D13" s="83"/>
      <c r="E13" s="83"/>
      <c r="F13" s="83"/>
      <c r="G13" s="83"/>
      <c r="H13" s="83"/>
      <c r="I13" s="83"/>
    </row>
    <row r="14" spans="1:11">
      <c r="A14" s="1" t="s">
        <v>138</v>
      </c>
      <c r="B14" s="1"/>
      <c r="C14" s="148" t="s">
        <v>139</v>
      </c>
      <c r="D14" s="83"/>
      <c r="E14" s="83"/>
      <c r="F14" s="83"/>
      <c r="G14" s="83"/>
      <c r="H14" s="83"/>
      <c r="I14" s="83"/>
      <c r="K14" s="84"/>
    </row>
    <row r="15" spans="1:11">
      <c r="A15" s="85" t="s">
        <v>140</v>
      </c>
      <c r="B15" s="85"/>
      <c r="C15" s="149">
        <v>20</v>
      </c>
      <c r="D15" s="83"/>
      <c r="E15" s="83"/>
      <c r="F15" s="83"/>
      <c r="G15" s="83"/>
      <c r="H15" s="83"/>
      <c r="I15" s="83"/>
    </row>
    <row r="16" spans="1:11">
      <c r="A16" s="85" t="s">
        <v>141</v>
      </c>
      <c r="B16" s="85"/>
      <c r="C16" s="149">
        <v>34</v>
      </c>
      <c r="D16" s="83"/>
      <c r="E16" s="83"/>
      <c r="F16" s="83"/>
      <c r="G16" s="83"/>
      <c r="H16" s="83"/>
      <c r="I16" s="83"/>
    </row>
    <row r="17" spans="1:9">
      <c r="A17" s="85" t="s">
        <v>142</v>
      </c>
      <c r="B17" s="85"/>
      <c r="C17" s="149">
        <v>51</v>
      </c>
      <c r="D17" s="83"/>
      <c r="E17" s="83"/>
      <c r="F17" s="83"/>
      <c r="G17" s="83"/>
      <c r="H17" s="83"/>
      <c r="I17" s="83"/>
    </row>
    <row r="18" spans="1:9">
      <c r="A18" s="85" t="s">
        <v>143</v>
      </c>
      <c r="B18" s="85"/>
      <c r="C18" s="149">
        <v>77</v>
      </c>
      <c r="D18" s="83"/>
      <c r="E18" s="83"/>
      <c r="F18" s="83"/>
      <c r="G18" s="44" t="s">
        <v>144</v>
      </c>
      <c r="H18" s="149">
        <v>2000</v>
      </c>
      <c r="I18" s="83"/>
    </row>
    <row r="19" spans="1:9">
      <c r="A19" s="85" t="s">
        <v>145</v>
      </c>
      <c r="B19" s="85"/>
      <c r="C19" s="149">
        <v>97</v>
      </c>
      <c r="D19" s="83"/>
      <c r="E19" s="83"/>
      <c r="F19" s="83"/>
      <c r="G19" s="44" t="s">
        <v>146</v>
      </c>
      <c r="H19" s="86" t="s">
        <v>147</v>
      </c>
      <c r="I19" s="83"/>
    </row>
    <row r="20" spans="1:9">
      <c r="A20" s="85" t="s">
        <v>148</v>
      </c>
      <c r="B20" s="85"/>
      <c r="C20" s="149">
        <v>117</v>
      </c>
      <c r="D20" s="83"/>
      <c r="E20" s="83"/>
      <c r="F20" s="83"/>
      <c r="I20" s="83"/>
    </row>
    <row r="21" spans="1:9">
      <c r="A21" s="85" t="s">
        <v>149</v>
      </c>
      <c r="B21" s="85"/>
      <c r="C21" s="149">
        <v>137</v>
      </c>
      <c r="D21" s="83"/>
      <c r="E21" s="83"/>
      <c r="F21" s="83"/>
      <c r="G21" s="2" t="s">
        <v>150</v>
      </c>
      <c r="H21" s="3">
        <v>12</v>
      </c>
      <c r="I21" s="83"/>
    </row>
    <row r="22" spans="1:9">
      <c r="A22" s="85" t="s">
        <v>151</v>
      </c>
      <c r="B22" s="85"/>
      <c r="C22" s="149">
        <v>40</v>
      </c>
      <c r="D22" s="83" t="s">
        <v>152</v>
      </c>
      <c r="E22" s="83"/>
      <c r="F22" s="83"/>
      <c r="G22" s="4"/>
      <c r="H22" s="5"/>
      <c r="I22" s="83"/>
    </row>
    <row r="23" spans="1:9">
      <c r="A23" s="85" t="s">
        <v>153</v>
      </c>
      <c r="B23" s="85"/>
      <c r="C23" s="149">
        <v>47</v>
      </c>
      <c r="D23" s="83"/>
      <c r="E23" s="83"/>
      <c r="F23" s="83"/>
      <c r="G23" s="83"/>
      <c r="H23" s="83"/>
      <c r="I23" s="83"/>
    </row>
    <row r="24" spans="1:9">
      <c r="A24" s="85" t="s">
        <v>154</v>
      </c>
      <c r="B24" s="85"/>
      <c r="C24" s="149">
        <v>68</v>
      </c>
      <c r="D24" s="83"/>
      <c r="E24" s="83"/>
      <c r="F24" s="83"/>
      <c r="G24" s="83"/>
      <c r="H24" s="83"/>
      <c r="I24" s="83"/>
    </row>
    <row r="25" spans="1:9">
      <c r="A25" s="85" t="s">
        <v>155</v>
      </c>
      <c r="B25" s="85"/>
      <c r="C25" s="149">
        <v>34</v>
      </c>
      <c r="D25" s="83"/>
      <c r="E25" s="83"/>
      <c r="F25" s="83"/>
      <c r="G25" s="83"/>
      <c r="H25" s="83"/>
      <c r="I25" s="83"/>
    </row>
    <row r="26" spans="1:9">
      <c r="A26" s="85" t="s">
        <v>156</v>
      </c>
      <c r="B26" s="85"/>
      <c r="C26" s="149">
        <v>34</v>
      </c>
      <c r="D26" s="83"/>
      <c r="E26" s="83"/>
      <c r="F26" s="83"/>
      <c r="G26" s="83"/>
      <c r="H26" s="83"/>
      <c r="I26" s="83"/>
    </row>
    <row r="27" spans="1:9">
      <c r="A27" s="1" t="s">
        <v>157</v>
      </c>
      <c r="B27" s="1"/>
      <c r="C27" s="149"/>
      <c r="D27" s="83"/>
      <c r="E27" s="83"/>
      <c r="F27" s="83"/>
      <c r="G27" s="83"/>
      <c r="H27" s="83"/>
      <c r="I27" s="83"/>
    </row>
    <row r="28" spans="1:9">
      <c r="A28" s="85" t="s">
        <v>158</v>
      </c>
      <c r="B28" s="85"/>
      <c r="C28" s="149">
        <v>29</v>
      </c>
      <c r="D28" s="83"/>
      <c r="E28" s="83"/>
      <c r="F28" s="83"/>
      <c r="G28" s="83"/>
      <c r="H28" s="83"/>
      <c r="I28" s="83"/>
    </row>
    <row r="29" spans="1:9">
      <c r="A29" s="85" t="s">
        <v>159</v>
      </c>
      <c r="B29" s="85"/>
      <c r="C29" s="149">
        <v>125</v>
      </c>
      <c r="D29" s="83"/>
      <c r="E29" s="83"/>
      <c r="F29" s="83"/>
      <c r="G29" s="83"/>
      <c r="H29" s="83"/>
      <c r="I29" s="83"/>
    </row>
    <row r="30" spans="1:9">
      <c r="A30" s="85" t="s">
        <v>160</v>
      </c>
      <c r="B30" s="85"/>
      <c r="C30" s="149">
        <v>175</v>
      </c>
      <c r="D30" s="83"/>
      <c r="E30" s="83"/>
      <c r="F30" s="83"/>
      <c r="G30" s="83"/>
      <c r="H30" s="83"/>
      <c r="I30" s="83"/>
    </row>
    <row r="31" spans="1:9">
      <c r="A31" s="85" t="s">
        <v>161</v>
      </c>
      <c r="B31" s="85"/>
      <c r="C31" s="149">
        <v>250</v>
      </c>
      <c r="D31" s="83"/>
      <c r="E31" s="83"/>
      <c r="F31" s="83"/>
      <c r="G31" s="83"/>
      <c r="H31" s="83"/>
      <c r="I31" s="83"/>
    </row>
    <row r="32" spans="1:9">
      <c r="A32" s="85" t="s">
        <v>162</v>
      </c>
      <c r="B32" s="85"/>
      <c r="C32" s="149">
        <v>324</v>
      </c>
      <c r="D32" s="83"/>
      <c r="E32" s="83"/>
      <c r="F32" s="83"/>
      <c r="G32" s="83"/>
      <c r="H32" s="83"/>
      <c r="I32" s="83"/>
    </row>
    <row r="33" spans="1:9">
      <c r="A33" s="85" t="s">
        <v>163</v>
      </c>
      <c r="B33" s="85"/>
      <c r="C33" s="149">
        <v>473</v>
      </c>
      <c r="D33" s="83"/>
      <c r="E33" s="83"/>
      <c r="F33" s="83"/>
      <c r="G33" s="83"/>
      <c r="H33" s="83"/>
      <c r="I33" s="83"/>
    </row>
    <row r="34" spans="1:9">
      <c r="A34" s="85" t="s">
        <v>164</v>
      </c>
      <c r="B34" s="85"/>
      <c r="C34" s="149">
        <v>613</v>
      </c>
      <c r="D34" s="83"/>
      <c r="E34" s="83"/>
      <c r="F34" s="83"/>
      <c r="G34" s="83"/>
      <c r="H34" s="83"/>
      <c r="I34" s="83"/>
    </row>
    <row r="35" spans="1:9">
      <c r="A35" s="85" t="s">
        <v>165</v>
      </c>
      <c r="B35" s="85"/>
      <c r="C35" s="149">
        <v>840</v>
      </c>
      <c r="D35" s="83"/>
      <c r="E35" s="83"/>
      <c r="F35" s="83"/>
      <c r="G35" s="83"/>
      <c r="H35" s="83"/>
      <c r="I35" s="83"/>
    </row>
    <row r="36" spans="1:9">
      <c r="A36" s="85" t="s">
        <v>166</v>
      </c>
      <c r="B36" s="85"/>
      <c r="C36" s="149">
        <v>980</v>
      </c>
      <c r="D36" s="6"/>
      <c r="E36" s="83"/>
      <c r="F36" s="83"/>
      <c r="G36" s="83"/>
      <c r="H36" s="83"/>
      <c r="I36" s="83"/>
    </row>
    <row r="37" spans="1:9">
      <c r="A37" s="7" t="s">
        <v>167</v>
      </c>
      <c r="B37" s="7">
        <v>2.25</v>
      </c>
      <c r="C37" s="149"/>
      <c r="D37" s="6"/>
      <c r="E37" s="83"/>
      <c r="F37" s="83"/>
      <c r="G37" s="83"/>
      <c r="H37" s="83"/>
      <c r="I37" s="83"/>
    </row>
    <row r="38" spans="1:9">
      <c r="A38" s="85" t="s">
        <v>168</v>
      </c>
      <c r="B38" s="85"/>
      <c r="C38" s="149">
        <f>C32*$B$37</f>
        <v>729</v>
      </c>
      <c r="D38" s="83" t="s">
        <v>152</v>
      </c>
      <c r="E38" s="83"/>
      <c r="F38" s="83"/>
      <c r="G38" s="83"/>
      <c r="H38" s="83"/>
      <c r="I38" s="83"/>
    </row>
    <row r="39" spans="1:9">
      <c r="A39" s="85" t="s">
        <v>169</v>
      </c>
      <c r="B39" s="85"/>
      <c r="C39" s="149">
        <f>C34*$B$37</f>
        <v>1379.25</v>
      </c>
      <c r="D39" s="83" t="s">
        <v>152</v>
      </c>
      <c r="E39" s="83"/>
      <c r="F39" s="83"/>
      <c r="G39" s="83"/>
      <c r="H39" s="83"/>
      <c r="I39" s="83"/>
    </row>
    <row r="40" spans="1:9">
      <c r="A40" s="85" t="s">
        <v>170</v>
      </c>
      <c r="B40" s="85"/>
      <c r="C40" s="149">
        <f>C35*$B$37</f>
        <v>1890</v>
      </c>
      <c r="D40" s="83" t="s">
        <v>152</v>
      </c>
      <c r="E40" s="83"/>
      <c r="F40" s="83"/>
      <c r="G40" s="83"/>
      <c r="H40" s="83"/>
      <c r="I40" s="83"/>
    </row>
    <row r="41" spans="1:9">
      <c r="A41" s="7" t="s">
        <v>171</v>
      </c>
      <c r="B41" s="7">
        <v>3</v>
      </c>
      <c r="C41" s="149"/>
      <c r="D41" s="83"/>
      <c r="E41" s="83"/>
      <c r="F41" s="83"/>
      <c r="G41" s="83"/>
      <c r="H41" s="83"/>
      <c r="I41" s="83"/>
    </row>
    <row r="42" spans="1:9">
      <c r="A42" s="85" t="s">
        <v>168</v>
      </c>
      <c r="B42" s="85"/>
      <c r="C42" s="150">
        <f>C32*$B$41</f>
        <v>972</v>
      </c>
      <c r="D42" s="83" t="s">
        <v>152</v>
      </c>
      <c r="E42" s="83"/>
      <c r="F42" s="83"/>
      <c r="G42" s="83"/>
      <c r="H42" s="83"/>
      <c r="I42" s="83"/>
    </row>
    <row r="43" spans="1:9">
      <c r="A43" s="85" t="s">
        <v>172</v>
      </c>
      <c r="B43" s="85"/>
      <c r="C43" s="150">
        <f t="shared" ref="C43:C45" si="0">C33*$B$41</f>
        <v>1419</v>
      </c>
      <c r="D43" s="83" t="s">
        <v>152</v>
      </c>
      <c r="E43" s="83"/>
      <c r="F43" s="83"/>
      <c r="G43" s="83"/>
      <c r="H43" s="83"/>
      <c r="I43" s="83"/>
    </row>
    <row r="44" spans="1:9">
      <c r="A44" s="85" t="s">
        <v>169</v>
      </c>
      <c r="B44" s="85"/>
      <c r="C44" s="150">
        <f t="shared" si="0"/>
        <v>1839</v>
      </c>
      <c r="D44" s="83" t="s">
        <v>152</v>
      </c>
      <c r="E44" s="83"/>
      <c r="F44" s="83"/>
      <c r="G44" s="83"/>
      <c r="H44" s="83"/>
      <c r="I44" s="83"/>
    </row>
    <row r="45" spans="1:9">
      <c r="A45" s="85" t="s">
        <v>170</v>
      </c>
      <c r="B45" s="85"/>
      <c r="C45" s="150">
        <f t="shared" si="0"/>
        <v>2520</v>
      </c>
      <c r="D45" s="83" t="s">
        <v>152</v>
      </c>
      <c r="E45" s="83"/>
      <c r="F45" s="83"/>
      <c r="G45" s="83"/>
      <c r="H45" s="83"/>
      <c r="I45" s="83"/>
    </row>
    <row r="46" spans="1:9">
      <c r="A46" s="7" t="s">
        <v>173</v>
      </c>
      <c r="B46" s="7">
        <v>4</v>
      </c>
      <c r="C46" s="149"/>
      <c r="D46" s="83"/>
      <c r="E46" s="83"/>
      <c r="F46" s="83"/>
      <c r="G46" s="83"/>
      <c r="H46" s="83"/>
      <c r="I46" s="83"/>
    </row>
    <row r="47" spans="1:9">
      <c r="A47" s="85" t="s">
        <v>172</v>
      </c>
      <c r="B47" s="85"/>
      <c r="C47" s="150">
        <f t="shared" ref="C47:C49" si="1">C33*$B$46</f>
        <v>1892</v>
      </c>
      <c r="D47" s="83" t="s">
        <v>152</v>
      </c>
      <c r="E47" s="83"/>
      <c r="F47" s="83"/>
      <c r="G47" s="83"/>
      <c r="H47" s="83"/>
      <c r="I47" s="83"/>
    </row>
    <row r="48" spans="1:9">
      <c r="A48" s="85" t="s">
        <v>169</v>
      </c>
      <c r="B48" s="85"/>
      <c r="C48" s="150">
        <f t="shared" si="1"/>
        <v>2452</v>
      </c>
      <c r="D48" s="83" t="s">
        <v>152</v>
      </c>
      <c r="E48" s="83"/>
      <c r="F48" s="83"/>
      <c r="G48" s="83"/>
      <c r="H48" s="83"/>
      <c r="I48" s="83"/>
    </row>
    <row r="49" spans="1:10">
      <c r="A49" s="85" t="s">
        <v>170</v>
      </c>
      <c r="B49" s="85"/>
      <c r="C49" s="150">
        <f t="shared" si="1"/>
        <v>3360</v>
      </c>
      <c r="D49" s="83" t="s">
        <v>152</v>
      </c>
      <c r="E49" s="83"/>
      <c r="F49" s="83"/>
      <c r="G49" s="83"/>
      <c r="H49" s="83"/>
      <c r="I49" s="83"/>
    </row>
    <row r="50" spans="1:10">
      <c r="A50" s="7" t="s">
        <v>174</v>
      </c>
      <c r="B50" s="7">
        <v>5</v>
      </c>
      <c r="C50" s="149"/>
      <c r="D50" s="83"/>
      <c r="E50" s="83"/>
      <c r="F50" s="83"/>
      <c r="G50" s="83"/>
      <c r="H50" s="83"/>
      <c r="I50" s="83"/>
    </row>
    <row r="51" spans="1:10">
      <c r="A51" s="85" t="s">
        <v>168</v>
      </c>
      <c r="B51" s="7"/>
      <c r="C51" s="149">
        <f>C32*$B$50</f>
        <v>1620</v>
      </c>
      <c r="D51" s="83" t="s">
        <v>152</v>
      </c>
      <c r="E51" s="83"/>
      <c r="F51" s="83"/>
      <c r="G51" s="83"/>
      <c r="H51" s="83"/>
      <c r="I51" s="83"/>
    </row>
    <row r="52" spans="1:10">
      <c r="A52" s="85" t="s">
        <v>169</v>
      </c>
      <c r="B52" s="85"/>
      <c r="C52" s="150">
        <f>C34*$B$50</f>
        <v>3065</v>
      </c>
      <c r="D52" s="83" t="s">
        <v>152</v>
      </c>
      <c r="E52" s="83"/>
      <c r="F52" s="83"/>
      <c r="G52" s="83"/>
      <c r="H52" s="83"/>
      <c r="I52" s="83"/>
    </row>
    <row r="53" spans="1:10">
      <c r="A53" s="85" t="s">
        <v>170</v>
      </c>
      <c r="B53" s="85"/>
      <c r="C53" s="150">
        <f>C35*$B$50</f>
        <v>4200</v>
      </c>
      <c r="D53" s="83" t="s">
        <v>152</v>
      </c>
      <c r="E53" s="83"/>
      <c r="F53" s="83"/>
      <c r="G53" s="83"/>
      <c r="H53" s="83"/>
      <c r="I53" s="83"/>
    </row>
    <row r="54" spans="1:10">
      <c r="C54" s="186" t="s">
        <v>175</v>
      </c>
      <c r="D54" s="186"/>
    </row>
    <row r="55" spans="1:10">
      <c r="C55" s="44" t="s">
        <v>329</v>
      </c>
    </row>
    <row r="57" spans="1:10">
      <c r="A57" s="8" t="s">
        <v>176</v>
      </c>
      <c r="B57" s="8"/>
      <c r="C57" s="87" t="s">
        <v>177</v>
      </c>
      <c r="D57" s="87" t="s">
        <v>178</v>
      </c>
      <c r="G57" s="187" t="s">
        <v>179</v>
      </c>
      <c r="H57" s="187"/>
    </row>
    <row r="58" spans="1:10">
      <c r="A58" s="88" t="s">
        <v>180</v>
      </c>
      <c r="B58" s="88"/>
      <c r="C58" s="151">
        <v>134.59</v>
      </c>
      <c r="D58" s="152">
        <f>C58/$H$18</f>
        <v>6.7295000000000008E-2</v>
      </c>
      <c r="G58" s="44" t="s">
        <v>181</v>
      </c>
      <c r="H58" s="153">
        <f>0.015</f>
        <v>1.4999999999999999E-2</v>
      </c>
    </row>
    <row r="59" spans="1:10">
      <c r="A59" s="88" t="s">
        <v>182</v>
      </c>
      <c r="B59" s="88"/>
      <c r="C59" s="170">
        <v>140.82</v>
      </c>
      <c r="D59" s="152">
        <f>C59/$H$18</f>
        <v>7.041E-2</v>
      </c>
      <c r="G59" s="44" t="s">
        <v>183</v>
      </c>
      <c r="H59" s="154">
        <v>5.1000000000000004E-3</v>
      </c>
    </row>
    <row r="60" spans="1:10">
      <c r="A60" s="85" t="s">
        <v>184</v>
      </c>
      <c r="B60" s="85"/>
      <c r="C60" s="171">
        <f>C59-C58</f>
        <v>6.2299999999999898</v>
      </c>
      <c r="D60" s="172">
        <f>D59-D58</f>
        <v>3.1149999999999928E-3</v>
      </c>
      <c r="E60" s="89">
        <f>C60/C58</f>
        <v>4.6288728731703616E-2</v>
      </c>
      <c r="G60" s="44" t="s">
        <v>185</v>
      </c>
      <c r="H60" s="155"/>
    </row>
    <row r="61" spans="1:10">
      <c r="D61" s="90"/>
      <c r="G61" s="44" t="s">
        <v>23</v>
      </c>
      <c r="H61" s="91">
        <f>SUM(H58:H60)</f>
        <v>2.01E-2</v>
      </c>
      <c r="J61" s="92"/>
    </row>
    <row r="62" spans="1:10">
      <c r="C62" s="87" t="s">
        <v>186</v>
      </c>
    </row>
    <row r="63" spans="1:10">
      <c r="A63" s="44" t="s">
        <v>187</v>
      </c>
      <c r="C63" s="93">
        <f>C60</f>
        <v>6.2299999999999898</v>
      </c>
      <c r="G63" s="44" t="s">
        <v>188</v>
      </c>
      <c r="H63" s="94">
        <f>1-H61</f>
        <v>0.97989999999999999</v>
      </c>
    </row>
    <row r="64" spans="1:10">
      <c r="A64" s="44" t="s">
        <v>189</v>
      </c>
      <c r="C64" s="93">
        <f>C63/$H$63</f>
        <v>6.3577916113889072</v>
      </c>
      <c r="D64" s="93"/>
    </row>
    <row r="65" spans="1:8">
      <c r="A65" s="44" t="s">
        <v>190</v>
      </c>
      <c r="C65" s="174">
        <f>'DF Tons'!G23</f>
        <v>2266.0480985270869</v>
      </c>
      <c r="D65" s="93"/>
    </row>
    <row r="66" spans="1:8">
      <c r="A66" s="1" t="s">
        <v>191</v>
      </c>
      <c r="B66" s="1"/>
      <c r="C66" s="9">
        <f>C64*C65</f>
        <v>14407.061591819298</v>
      </c>
      <c r="H66" s="95"/>
    </row>
    <row r="67" spans="1:8">
      <c r="H67" s="96"/>
    </row>
    <row r="68" spans="1:8">
      <c r="H68" s="95"/>
    </row>
    <row r="69" spans="1:8" ht="15.75" thickBot="1">
      <c r="H69" s="95"/>
    </row>
    <row r="70" spans="1:8">
      <c r="A70" s="10" t="s">
        <v>192</v>
      </c>
      <c r="B70" s="11"/>
      <c r="C70" s="97" t="s">
        <v>193</v>
      </c>
      <c r="E70" s="93"/>
      <c r="H70" s="98"/>
    </row>
    <row r="71" spans="1:8">
      <c r="A71" s="99" t="s">
        <v>194</v>
      </c>
      <c r="B71" s="100"/>
      <c r="C71" s="156">
        <f>'DF Calculation'!R37</f>
        <v>14407.061591819296</v>
      </c>
    </row>
    <row r="72" spans="1:8">
      <c r="A72" s="99" t="s">
        <v>195</v>
      </c>
      <c r="B72" s="100"/>
      <c r="C72" s="156">
        <f>C71-C66</f>
        <v>0</v>
      </c>
    </row>
    <row r="73" spans="1:8">
      <c r="A73" s="99"/>
      <c r="B73" s="100"/>
      <c r="C73" s="101"/>
    </row>
    <row r="74" spans="1:8" ht="15.75" thickBot="1">
      <c r="A74" s="12" t="s">
        <v>196</v>
      </c>
      <c r="B74" s="13"/>
      <c r="C74" s="102">
        <f>C72/C66</f>
        <v>0</v>
      </c>
    </row>
  </sheetData>
  <mergeCells count="4">
    <mergeCell ref="A1:I1"/>
    <mergeCell ref="A13:C13"/>
    <mergeCell ref="C54:D54"/>
    <mergeCell ref="G57:H57"/>
  </mergeCells>
  <pageMargins left="0.28000000000000003" right="0.52" top="0.75" bottom="0.75" header="0.3" footer="0.3"/>
  <pageSetup scale="63" orientation="portrait" r:id="rId1"/>
  <headerFooter>
    <oddHeader xml:space="preserve">&amp;C&amp;"-,Bold"&amp;12Murrey's Disposal Co, Inc. 
American Disposal Co.,  Inc.
Dump Fee Increase Reference Page
</oddHeader>
    <oddFooter>&amp;L&amp;F - &amp;A&amp;C&amp;D&amp;R&amp;P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E65"/>
  <sheetViews>
    <sheetView tabSelected="1" zoomScale="85" zoomScaleNormal="85" workbookViewId="0">
      <selection activeCell="H27" sqref="H27"/>
    </sheetView>
  </sheetViews>
  <sheetFormatPr defaultColWidth="8.85546875" defaultRowHeight="15"/>
  <cols>
    <col min="1" max="1" width="4.5703125" style="47" customWidth="1"/>
    <col min="2" max="2" width="11" style="48" bestFit="1" customWidth="1"/>
    <col min="3" max="3" width="35.7109375" style="47" customWidth="1"/>
    <col min="4" max="4" width="13.28515625" style="49" customWidth="1"/>
    <col min="5" max="5" width="11.42578125" style="47" bestFit="1" customWidth="1"/>
    <col min="6" max="6" width="13.28515625" style="47" customWidth="1"/>
    <col min="7" max="7" width="12.42578125" style="47" customWidth="1"/>
    <col min="8" max="8" width="17.28515625" style="47" customWidth="1"/>
    <col min="9" max="9" width="16.28515625" style="117" customWidth="1"/>
    <col min="10" max="10" width="13.42578125" style="47" customWidth="1"/>
    <col min="11" max="11" width="13.5703125" style="47" customWidth="1"/>
    <col min="12" max="12" width="10.7109375" style="47" customWidth="1"/>
    <col min="13" max="13" width="16.5703125" style="47" customWidth="1"/>
    <col min="14" max="14" width="16.42578125" style="47" customWidth="1"/>
    <col min="15" max="15" width="18.140625" style="47" customWidth="1"/>
    <col min="16" max="16" width="19" style="47" customWidth="1"/>
    <col min="17" max="17" width="17.7109375" style="47" customWidth="1"/>
    <col min="18" max="18" width="16" style="52" customWidth="1"/>
    <col min="19" max="19" width="3.7109375" style="53" customWidth="1"/>
    <col min="20" max="20" width="13.85546875" style="54" customWidth="1"/>
    <col min="21" max="21" width="14.28515625" style="54" customWidth="1"/>
    <col min="22" max="22" width="3.28515625" style="54" customWidth="1"/>
    <col min="23" max="23" width="13.28515625" style="54" customWidth="1"/>
    <col min="24" max="24" width="12.5703125" style="54" customWidth="1"/>
    <col min="25" max="25" width="5.28515625" style="54" customWidth="1"/>
    <col min="26" max="26" width="12.5703125" style="55" customWidth="1"/>
    <col min="27" max="27" width="18.7109375" style="54" customWidth="1"/>
    <col min="28" max="28" width="8.85546875" style="54"/>
    <col min="29" max="29" width="14.28515625" style="54" customWidth="1"/>
    <col min="30" max="30" width="8.85546875" style="54"/>
    <col min="31" max="16384" width="8.85546875" style="47"/>
  </cols>
  <sheetData>
    <row r="1" spans="1:31" ht="45">
      <c r="A1" s="14"/>
      <c r="B1" s="15" t="s">
        <v>197</v>
      </c>
      <c r="C1" s="15" t="s">
        <v>198</v>
      </c>
      <c r="D1" s="15" t="s">
        <v>199</v>
      </c>
      <c r="E1" s="15" t="s">
        <v>200</v>
      </c>
      <c r="F1" s="15" t="s">
        <v>201</v>
      </c>
      <c r="G1" s="15" t="s">
        <v>137</v>
      </c>
      <c r="H1" s="15" t="s">
        <v>202</v>
      </c>
      <c r="I1" s="15" t="s">
        <v>203</v>
      </c>
      <c r="J1" s="15" t="s">
        <v>184</v>
      </c>
      <c r="K1" s="15" t="s">
        <v>204</v>
      </c>
      <c r="L1" s="15" t="s">
        <v>205</v>
      </c>
      <c r="M1" s="15" t="s">
        <v>206</v>
      </c>
      <c r="N1" s="15" t="s">
        <v>207</v>
      </c>
      <c r="O1" s="15" t="s">
        <v>208</v>
      </c>
      <c r="P1" s="15" t="s">
        <v>209</v>
      </c>
      <c r="Q1" s="15" t="s">
        <v>210</v>
      </c>
      <c r="R1" s="15" t="s">
        <v>211</v>
      </c>
      <c r="T1" s="33"/>
      <c r="U1" s="34"/>
      <c r="W1" s="33"/>
      <c r="X1" s="34"/>
      <c r="Z1" s="35"/>
    </row>
    <row r="2" spans="1:31" s="54" customFormat="1">
      <c r="A2" s="188" t="s">
        <v>72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56"/>
      <c r="T2" s="34"/>
      <c r="U2" s="34"/>
      <c r="W2" s="34"/>
      <c r="X2" s="34"/>
      <c r="Z2" s="35"/>
    </row>
    <row r="3" spans="1:31" s="54" customFormat="1" ht="15" customHeight="1">
      <c r="A3" s="189"/>
      <c r="B3" s="58">
        <v>22</v>
      </c>
      <c r="C3" s="16" t="s">
        <v>212</v>
      </c>
      <c r="D3" s="52">
        <f>'Vashon Total 16'!E6</f>
        <v>7738.7232876712324</v>
      </c>
      <c r="E3" s="118">
        <f>References!$C$10</f>
        <v>1</v>
      </c>
      <c r="F3" s="17">
        <f>D3*E3</f>
        <v>7738.7232876712324</v>
      </c>
      <c r="G3" s="17">
        <f>References!$C$16</f>
        <v>34</v>
      </c>
      <c r="H3" s="17">
        <f>F3*G3</f>
        <v>263116.59178082191</v>
      </c>
      <c r="I3" s="122">
        <f t="shared" ref="I3:I10" si="0">$D$57*H3</f>
        <v>181009.19836771896</v>
      </c>
      <c r="J3" s="120">
        <f>I3*References!$D$60</f>
        <v>563.84365291544327</v>
      </c>
      <c r="K3" s="120">
        <f>J3/References!$H$63</f>
        <v>575.40938148325677</v>
      </c>
      <c r="L3" s="120">
        <f>K3/F3*E3</f>
        <v>7.4354562127832757E-2</v>
      </c>
      <c r="M3" s="137">
        <f>'Proposed Rates'!C18</f>
        <v>3.82</v>
      </c>
      <c r="N3" s="119">
        <f>L3+M3</f>
        <v>3.8943545621278326</v>
      </c>
      <c r="O3" s="119">
        <f>'Proposed Rates'!E18</f>
        <v>3.8899999999999997</v>
      </c>
      <c r="P3" s="120">
        <f>D3*M3</f>
        <v>29561.922958904106</v>
      </c>
      <c r="Q3" s="121">
        <f>D3*N3</f>
        <v>30137.332340387362</v>
      </c>
      <c r="R3" s="123">
        <f t="shared" ref="R3:R10" si="1">Q3-P3</f>
        <v>575.40938148325586</v>
      </c>
      <c r="S3" s="56"/>
      <c r="T3" s="55"/>
      <c r="U3" s="55"/>
      <c r="V3" s="55"/>
      <c r="W3" s="55"/>
      <c r="X3" s="55"/>
      <c r="Y3" s="55"/>
      <c r="Z3" s="55"/>
      <c r="AA3" s="55"/>
      <c r="AC3" s="57"/>
    </row>
    <row r="4" spans="1:31" s="54" customFormat="1">
      <c r="A4" s="189"/>
      <c r="B4" s="58">
        <v>21</v>
      </c>
      <c r="C4" s="16" t="s">
        <v>213</v>
      </c>
      <c r="D4" s="52">
        <f>'Vashon Total 16'!E18</f>
        <v>1132.8099585062241</v>
      </c>
      <c r="E4" s="118">
        <f>References!$C$7</f>
        <v>4.333333333333333</v>
      </c>
      <c r="F4" s="17">
        <f t="shared" ref="F4:F25" si="2">D4*E4</f>
        <v>4908.843153526971</v>
      </c>
      <c r="G4" s="17">
        <f>References!C15</f>
        <v>20</v>
      </c>
      <c r="H4" s="17">
        <f>F4*G4</f>
        <v>98176.863070539417</v>
      </c>
      <c r="I4" s="122">
        <f t="shared" si="0"/>
        <v>67540.078572692059</v>
      </c>
      <c r="J4" s="120">
        <f>I4*References!$D$60</f>
        <v>210.38734475393528</v>
      </c>
      <c r="K4" s="120">
        <f>J4/References!$H$63</f>
        <v>214.70287249100448</v>
      </c>
      <c r="L4" s="120">
        <f>K4/F4*E4</f>
        <v>0.18953123679643641</v>
      </c>
      <c r="M4" s="120">
        <f>'Proposed Rates'!C11</f>
        <v>12.49</v>
      </c>
      <c r="N4" s="120">
        <f>L4+M4</f>
        <v>12.679531236796437</v>
      </c>
      <c r="O4" s="120">
        <f>'Proposed Rates'!E11</f>
        <v>12.68</v>
      </c>
      <c r="P4" s="120">
        <f>D4*M4</f>
        <v>14148.796381742739</v>
      </c>
      <c r="Q4" s="121">
        <f t="shared" ref="Q4:Q10" si="3">D4*N4</f>
        <v>14363.499254233744</v>
      </c>
      <c r="R4" s="123">
        <f t="shared" si="1"/>
        <v>214.70287249100511</v>
      </c>
      <c r="S4" s="56"/>
      <c r="T4" s="55"/>
      <c r="U4" s="55"/>
      <c r="V4" s="55"/>
      <c r="W4" s="55"/>
      <c r="X4" s="55"/>
      <c r="Y4" s="55"/>
      <c r="Z4" s="55"/>
      <c r="AA4" s="55"/>
      <c r="AC4" s="57"/>
    </row>
    <row r="5" spans="1:31" s="54" customFormat="1">
      <c r="A5" s="189"/>
      <c r="B5" s="58">
        <v>21</v>
      </c>
      <c r="C5" s="16" t="s">
        <v>214</v>
      </c>
      <c r="D5" s="52">
        <f>'Vashon Total 16'!E20</f>
        <v>1065.2014652014652</v>
      </c>
      <c r="E5" s="118">
        <f>References!$C$9</f>
        <v>1</v>
      </c>
      <c r="F5" s="17">
        <f t="shared" si="2"/>
        <v>1065.2014652014652</v>
      </c>
      <c r="G5" s="17">
        <f>References!$C$16</f>
        <v>34</v>
      </c>
      <c r="H5" s="17">
        <f t="shared" ref="H5:H10" si="4">F5*G5</f>
        <v>36216.849816849819</v>
      </c>
      <c r="I5" s="122">
        <f t="shared" si="0"/>
        <v>24915.125680150588</v>
      </c>
      <c r="J5" s="120">
        <f>I5*References!$D$60</f>
        <v>77.6106164936689</v>
      </c>
      <c r="K5" s="120">
        <f>J5/References!$H$63</f>
        <v>79.202588522980818</v>
      </c>
      <c r="L5" s="120">
        <f>K5/F5*E5</f>
        <v>7.4354562127832743E-2</v>
      </c>
      <c r="M5" s="120">
        <f>'Proposed Rates'!C9</f>
        <v>5.63</v>
      </c>
      <c r="N5" s="120">
        <f t="shared" ref="N5:N25" si="5">L5+M5</f>
        <v>5.7043545621278327</v>
      </c>
      <c r="O5" s="120">
        <f>'Proposed Rates'!E9</f>
        <v>5.7</v>
      </c>
      <c r="P5" s="120">
        <f t="shared" ref="P5:P10" si="6">D5*M5</f>
        <v>5997.0842490842488</v>
      </c>
      <c r="Q5" s="121">
        <f t="shared" si="3"/>
        <v>6076.2868376072302</v>
      </c>
      <c r="R5" s="123">
        <f t="shared" si="1"/>
        <v>79.202588522981387</v>
      </c>
      <c r="S5" s="56"/>
      <c r="T5" s="55"/>
      <c r="U5" s="55"/>
      <c r="V5" s="55"/>
      <c r="W5" s="55"/>
      <c r="X5" s="55"/>
      <c r="Y5" s="55"/>
      <c r="Z5" s="55"/>
      <c r="AA5" s="55"/>
      <c r="AC5" s="57"/>
    </row>
    <row r="6" spans="1:31" s="54" customFormat="1">
      <c r="A6" s="189"/>
      <c r="B6" s="58">
        <v>21</v>
      </c>
      <c r="C6" s="16" t="s">
        <v>260</v>
      </c>
      <c r="D6" s="52">
        <f>'Vashon Total 16'!E19</f>
        <v>2681.8248712288455</v>
      </c>
      <c r="E6" s="118">
        <f>References!$C$8</f>
        <v>2.1666666666666665</v>
      </c>
      <c r="F6" s="17">
        <f t="shared" ref="F6" si="7">D6*E6</f>
        <v>5810.6205543291644</v>
      </c>
      <c r="G6" s="17">
        <f>References!$C$16</f>
        <v>34</v>
      </c>
      <c r="H6" s="17">
        <f t="shared" ref="H6" si="8">F6*G6</f>
        <v>197561.09884719158</v>
      </c>
      <c r="I6" s="122">
        <f t="shared" si="0"/>
        <v>135910.76065915482</v>
      </c>
      <c r="J6" s="120">
        <f>I6*References!$D$60</f>
        <v>423.36201945326627</v>
      </c>
      <c r="K6" s="120">
        <f>J6/References!$H$63</f>
        <v>432.04614700812971</v>
      </c>
      <c r="L6" s="120">
        <f t="shared" ref="L6" si="9">K6/F6*E6</f>
        <v>0.1611015512769709</v>
      </c>
      <c r="M6" s="120">
        <f>'Proposed Rates'!C10</f>
        <v>13.959999999999999</v>
      </c>
      <c r="N6" s="120">
        <f t="shared" ref="N6" si="10">L6+M6</f>
        <v>14.12110155127697</v>
      </c>
      <c r="O6" s="120">
        <f>'Proposed Rates'!E10</f>
        <v>14.12</v>
      </c>
      <c r="P6" s="120">
        <f t="shared" ref="P6" si="11">D6*M6</f>
        <v>37438.275202354678</v>
      </c>
      <c r="Q6" s="121">
        <f t="shared" ref="Q6" si="12">D6*N6</f>
        <v>37870.321349362814</v>
      </c>
      <c r="R6" s="123">
        <f t="shared" ref="R6" si="13">Q6-P6</f>
        <v>432.04614700813545</v>
      </c>
      <c r="S6" s="56"/>
      <c r="T6" s="55"/>
      <c r="U6" s="55"/>
      <c r="V6" s="55"/>
      <c r="W6" s="55"/>
      <c r="X6" s="55"/>
      <c r="Y6" s="55"/>
      <c r="Z6" s="55"/>
      <c r="AA6" s="55"/>
      <c r="AC6" s="57"/>
    </row>
    <row r="7" spans="1:31" s="54" customFormat="1">
      <c r="A7" s="189"/>
      <c r="B7" s="58">
        <v>21</v>
      </c>
      <c r="C7" s="16" t="s">
        <v>215</v>
      </c>
      <c r="D7" s="52">
        <f>'Vashon Total 16'!E21</f>
        <v>14815.41918294849</v>
      </c>
      <c r="E7" s="118">
        <f>References!$C$7</f>
        <v>4.333333333333333</v>
      </c>
      <c r="F7" s="17">
        <f>D7*E7</f>
        <v>64200.149792776785</v>
      </c>
      <c r="G7" s="17">
        <f>References!$C$16</f>
        <v>34</v>
      </c>
      <c r="H7" s="17">
        <f t="shared" si="4"/>
        <v>2182805.0929544107</v>
      </c>
      <c r="I7" s="122">
        <f>$D$57*H7</f>
        <v>1501645.325346035</v>
      </c>
      <c r="J7" s="120">
        <f>I7*References!$D$60</f>
        <v>4677.6251884528883</v>
      </c>
      <c r="K7" s="120">
        <f>J7/References!$H$63</f>
        <v>4773.5740263831904</v>
      </c>
      <c r="L7" s="120">
        <f>K7/F7*E7</f>
        <v>0.32220310255394191</v>
      </c>
      <c r="M7" s="120">
        <f>'Proposed Rates'!C12</f>
        <v>17.64</v>
      </c>
      <c r="N7" s="120">
        <f t="shared" si="5"/>
        <v>17.962203102553943</v>
      </c>
      <c r="O7" s="120">
        <f>'Proposed Rates'!E12</f>
        <v>17.96</v>
      </c>
      <c r="P7" s="120">
        <f t="shared" si="6"/>
        <v>261343.99438721137</v>
      </c>
      <c r="Q7" s="121">
        <f t="shared" si="3"/>
        <v>266117.56841359456</v>
      </c>
      <c r="R7" s="123">
        <f t="shared" si="1"/>
        <v>4773.5740263831976</v>
      </c>
      <c r="S7" s="56"/>
      <c r="T7" s="55"/>
      <c r="U7" s="55"/>
      <c r="V7" s="55"/>
      <c r="W7" s="55"/>
      <c r="X7" s="55"/>
      <c r="Y7" s="55"/>
      <c r="Z7" s="55"/>
      <c r="AA7" s="55"/>
      <c r="AC7" s="57"/>
    </row>
    <row r="8" spans="1:31" s="54" customFormat="1">
      <c r="A8" s="189"/>
      <c r="B8" s="58">
        <v>21</v>
      </c>
      <c r="C8" s="16" t="s">
        <v>216</v>
      </c>
      <c r="D8" s="52">
        <f>'Vashon Total 16'!E22</f>
        <v>2967.7462813429661</v>
      </c>
      <c r="E8" s="118">
        <f>References!$C$7</f>
        <v>4.333333333333333</v>
      </c>
      <c r="F8" s="17">
        <f t="shared" si="2"/>
        <v>12860.233885819518</v>
      </c>
      <c r="G8" s="17">
        <f>References!$C$17</f>
        <v>51</v>
      </c>
      <c r="H8" s="17">
        <f t="shared" si="4"/>
        <v>655871.92817679537</v>
      </c>
      <c r="I8" s="122">
        <f t="shared" si="0"/>
        <v>451202.45419591619</v>
      </c>
      <c r="J8" s="120">
        <f>I8*References!$D$60</f>
        <v>1405.4956448202756</v>
      </c>
      <c r="K8" s="120">
        <f>J8/References!$H$63</f>
        <v>1434.3255891624408</v>
      </c>
      <c r="L8" s="120">
        <f t="shared" ref="L8:L10" si="14">K8/F8*E8</f>
        <v>0.48330465383091276</v>
      </c>
      <c r="M8" s="120">
        <f>'Proposed Rates'!C13</f>
        <v>24.650000000000002</v>
      </c>
      <c r="N8" s="120">
        <f t="shared" si="5"/>
        <v>25.133304653830915</v>
      </c>
      <c r="O8" s="120">
        <f>'Proposed Rates'!E13</f>
        <v>25.130000000000003</v>
      </c>
      <c r="P8" s="120">
        <f t="shared" si="6"/>
        <v>73154.945835104125</v>
      </c>
      <c r="Q8" s="121">
        <f t="shared" si="3"/>
        <v>74589.271424266568</v>
      </c>
      <c r="R8" s="123">
        <f t="shared" si="1"/>
        <v>1434.3255891624431</v>
      </c>
      <c r="S8" s="56"/>
      <c r="T8" s="55"/>
      <c r="U8" s="55"/>
      <c r="V8" s="55"/>
      <c r="W8" s="55"/>
      <c r="X8" s="55"/>
      <c r="Y8" s="55"/>
      <c r="Z8" s="55"/>
      <c r="AA8" s="55"/>
      <c r="AC8" s="57"/>
    </row>
    <row r="9" spans="1:31" s="54" customFormat="1">
      <c r="A9" s="189"/>
      <c r="B9" s="58">
        <v>21</v>
      </c>
      <c r="C9" s="16" t="s">
        <v>217</v>
      </c>
      <c r="D9" s="52">
        <f>'Vashon Total 16'!E23</f>
        <v>230.03804692454028</v>
      </c>
      <c r="E9" s="118">
        <f>References!$C$7</f>
        <v>4.333333333333333</v>
      </c>
      <c r="F9" s="17">
        <f t="shared" si="2"/>
        <v>996.8315366730078</v>
      </c>
      <c r="G9" s="17">
        <f>References!$C$18</f>
        <v>77</v>
      </c>
      <c r="H9" s="17">
        <f t="shared" si="4"/>
        <v>76756.028323821607</v>
      </c>
      <c r="I9" s="122">
        <f t="shared" si="0"/>
        <v>52803.766812084235</v>
      </c>
      <c r="J9" s="120">
        <f>I9*References!$D$60</f>
        <v>164.48373361964201</v>
      </c>
      <c r="K9" s="120">
        <f>J9/References!$H$63</f>
        <v>167.85767284380245</v>
      </c>
      <c r="L9" s="120">
        <f t="shared" si="14"/>
        <v>0.72969526166628018</v>
      </c>
      <c r="M9" s="120">
        <f>'Proposed Rates'!C14</f>
        <v>33.229999999999997</v>
      </c>
      <c r="N9" s="120">
        <f t="shared" si="5"/>
        <v>33.959695261666276</v>
      </c>
      <c r="O9" s="120">
        <f>'Proposed Rates'!E14</f>
        <v>33.959999999999994</v>
      </c>
      <c r="P9" s="120">
        <f t="shared" si="6"/>
        <v>7644.1642993024725</v>
      </c>
      <c r="Q9" s="121">
        <f t="shared" si="3"/>
        <v>7812.0219721462754</v>
      </c>
      <c r="R9" s="123">
        <f t="shared" si="1"/>
        <v>167.8576728438029</v>
      </c>
      <c r="S9" s="56"/>
      <c r="T9" s="55"/>
      <c r="U9" s="55"/>
      <c r="V9" s="55"/>
      <c r="W9" s="55"/>
      <c r="X9" s="55"/>
      <c r="Y9" s="55"/>
      <c r="Z9" s="55"/>
      <c r="AA9" s="55"/>
      <c r="AC9" s="57"/>
    </row>
    <row r="10" spans="1:31" s="54" customFormat="1">
      <c r="A10" s="190"/>
      <c r="B10" s="58">
        <v>21</v>
      </c>
      <c r="C10" s="16" t="s">
        <v>218</v>
      </c>
      <c r="D10" s="52">
        <f>'Vashon Total 16'!E24</f>
        <v>42</v>
      </c>
      <c r="E10" s="118">
        <f>References!$C$7</f>
        <v>4.333333333333333</v>
      </c>
      <c r="F10" s="17">
        <f t="shared" si="2"/>
        <v>182</v>
      </c>
      <c r="G10" s="17">
        <f>References!$C$19</f>
        <v>97</v>
      </c>
      <c r="H10" s="17">
        <f t="shared" si="4"/>
        <v>17654</v>
      </c>
      <c r="I10" s="122">
        <f t="shared" si="0"/>
        <v>12144.944438340917</v>
      </c>
      <c r="J10" s="120">
        <f>I10*References!$D$60</f>
        <v>37.831501925431873</v>
      </c>
      <c r="K10" s="120">
        <f>J10/References!$H$63</f>
        <v>38.607512935434102</v>
      </c>
      <c r="L10" s="120">
        <f t="shared" si="14"/>
        <v>0.91922649846271665</v>
      </c>
      <c r="M10" s="120">
        <f>'Proposed Rates'!C15</f>
        <v>41.59</v>
      </c>
      <c r="N10" s="120">
        <f t="shared" si="5"/>
        <v>42.509226498462723</v>
      </c>
      <c r="O10" s="120">
        <f>'Proposed Rates'!E15</f>
        <v>42.510000000000005</v>
      </c>
      <c r="P10" s="120">
        <f t="shared" si="6"/>
        <v>1746.7800000000002</v>
      </c>
      <c r="Q10" s="121">
        <f t="shared" si="3"/>
        <v>1785.3875129354344</v>
      </c>
      <c r="R10" s="123">
        <f t="shared" si="1"/>
        <v>38.607512935434215</v>
      </c>
      <c r="S10" s="56"/>
      <c r="T10" s="55"/>
      <c r="U10" s="55"/>
      <c r="V10" s="55"/>
      <c r="W10" s="55"/>
      <c r="X10" s="55"/>
      <c r="Y10" s="55"/>
      <c r="Z10" s="55"/>
      <c r="AA10" s="55"/>
      <c r="AC10" s="57"/>
    </row>
    <row r="11" spans="1:31" s="54" customFormat="1">
      <c r="A11" s="59"/>
      <c r="B11" s="59"/>
      <c r="C11" s="36" t="s">
        <v>325</v>
      </c>
      <c r="D11" s="18">
        <f>SUM(D3:D10)</f>
        <v>30673.763093823763</v>
      </c>
      <c r="E11" s="124"/>
      <c r="F11" s="19">
        <f>SUM(F3:F10)</f>
        <v>97762.603675998151</v>
      </c>
      <c r="G11" s="60"/>
      <c r="H11" s="37">
        <f>SUM(H3:H10)</f>
        <v>3528158.4529704303</v>
      </c>
      <c r="I11" s="38">
        <f>SUM(I3:I10)</f>
        <v>2427171.6540720928</v>
      </c>
      <c r="J11" s="39">
        <f>SUM(J3:J10)</f>
        <v>7560.6397024345515</v>
      </c>
      <c r="K11" s="39">
        <f>SUM(K3:K10)</f>
        <v>7715.7257908302381</v>
      </c>
      <c r="L11" s="125"/>
      <c r="M11" s="125"/>
      <c r="N11" s="125"/>
      <c r="O11" s="125"/>
      <c r="P11" s="39">
        <f>SUM(P3:P10)</f>
        <v>431035.96331370377</v>
      </c>
      <c r="Q11" s="39">
        <f>SUM(Q3:Q10)</f>
        <v>438751.68910453399</v>
      </c>
      <c r="R11" s="39">
        <f>SUM(R3:R10)</f>
        <v>7715.7257908302554</v>
      </c>
      <c r="S11" s="20"/>
      <c r="T11" s="177"/>
      <c r="V11" s="21"/>
      <c r="W11" s="21"/>
      <c r="X11" s="21"/>
      <c r="Y11" s="55"/>
      <c r="Z11" s="21"/>
      <c r="AA11" s="55"/>
      <c r="AC11" s="61"/>
      <c r="AE11" s="61"/>
    </row>
    <row r="12" spans="1:31" s="54" customFormat="1">
      <c r="A12" s="188" t="s">
        <v>24</v>
      </c>
      <c r="B12" s="58"/>
      <c r="C12" s="163"/>
      <c r="D12" s="164"/>
      <c r="E12" s="126"/>
      <c r="F12" s="165"/>
      <c r="G12" s="63"/>
      <c r="H12" s="21"/>
      <c r="I12" s="166"/>
      <c r="J12" s="166"/>
      <c r="K12" s="166"/>
      <c r="L12" s="120"/>
      <c r="M12" s="120"/>
      <c r="N12" s="120"/>
      <c r="O12" s="120"/>
      <c r="P12" s="167"/>
      <c r="Q12" s="167"/>
      <c r="R12" s="168"/>
      <c r="S12" s="20"/>
      <c r="T12" s="41"/>
      <c r="U12" s="41"/>
      <c r="V12" s="21"/>
      <c r="W12" s="21"/>
      <c r="X12" s="21"/>
      <c r="Y12" s="55"/>
      <c r="Z12" s="21"/>
      <c r="AA12" s="55"/>
      <c r="AC12" s="61"/>
      <c r="AE12" s="61"/>
    </row>
    <row r="13" spans="1:31" s="54" customFormat="1" ht="15" customHeight="1">
      <c r="A13" s="189"/>
      <c r="B13" s="58">
        <v>36</v>
      </c>
      <c r="C13" s="22" t="s">
        <v>220</v>
      </c>
      <c r="D13" s="127">
        <f>'Vashon Total 16'!E33</f>
        <v>1637.0246575342467</v>
      </c>
      <c r="E13" s="118">
        <f>References!$C$10</f>
        <v>1</v>
      </c>
      <c r="F13" s="17">
        <f t="shared" si="2"/>
        <v>1637.0246575342467</v>
      </c>
      <c r="G13" s="17">
        <f>References!$C$28</f>
        <v>29</v>
      </c>
      <c r="H13" s="17">
        <f>F13*G13</f>
        <v>47473.715068493155</v>
      </c>
      <c r="I13" s="122">
        <f t="shared" ref="I13:I34" si="15">$D$57*H13</f>
        <v>32659.206513451758</v>
      </c>
      <c r="J13" s="120">
        <f>I13*References!$D$60</f>
        <v>101.73342828940199</v>
      </c>
      <c r="K13" s="120">
        <f>J13/References!$H$63</f>
        <v>103.82021460292069</v>
      </c>
      <c r="L13" s="120">
        <f t="shared" ref="L13:L31" si="16">K13/F13</f>
        <v>6.34200676972691E-2</v>
      </c>
      <c r="M13" s="120">
        <f>'Proposed Rates'!C61</f>
        <v>3.8</v>
      </c>
      <c r="N13" s="120">
        <f t="shared" si="5"/>
        <v>3.8634200676972688</v>
      </c>
      <c r="O13" s="120">
        <f>'Proposed Rates'!E62</f>
        <v>3.86</v>
      </c>
      <c r="P13" s="120">
        <f>F13*M13</f>
        <v>6220.6936986301371</v>
      </c>
      <c r="Q13" s="121">
        <f t="shared" ref="Q13:Q31" si="17">F13*N13</f>
        <v>6324.5139132330578</v>
      </c>
      <c r="R13" s="123">
        <f t="shared" ref="R13:R34" si="18">Q13-P13</f>
        <v>103.82021460292071</v>
      </c>
      <c r="S13" s="56"/>
      <c r="T13" s="56"/>
      <c r="U13" s="55"/>
      <c r="V13" s="55"/>
      <c r="W13" s="55"/>
      <c r="X13" s="55"/>
      <c r="Y13" s="55"/>
      <c r="Z13" s="55"/>
      <c r="AA13" s="55"/>
      <c r="AB13" s="55"/>
      <c r="AC13" s="57"/>
    </row>
    <row r="14" spans="1:31" s="54" customFormat="1">
      <c r="A14" s="189"/>
      <c r="B14" s="58">
        <v>28</v>
      </c>
      <c r="C14" s="22" t="s">
        <v>221</v>
      </c>
      <c r="D14" s="127">
        <f>'Vashon Total 16'!E34</f>
        <v>8.5</v>
      </c>
      <c r="E14" s="118">
        <f>References!$C$10</f>
        <v>1</v>
      </c>
      <c r="F14" s="17">
        <f t="shared" si="2"/>
        <v>8.5</v>
      </c>
      <c r="G14" s="17">
        <f>References!C29</f>
        <v>125</v>
      </c>
      <c r="H14" s="17">
        <f t="shared" ref="H14:H34" si="19">F14*G14</f>
        <v>1062.5</v>
      </c>
      <c r="I14" s="122">
        <f t="shared" si="15"/>
        <v>730.9393602434136</v>
      </c>
      <c r="J14" s="120">
        <f>I14*References!$D$60</f>
        <v>2.2768761071582282</v>
      </c>
      <c r="K14" s="120">
        <f>J14/References!$H$63</f>
        <v>2.323580066494773</v>
      </c>
      <c r="L14" s="120">
        <f t="shared" si="16"/>
        <v>0.27336236076409093</v>
      </c>
      <c r="M14" s="120">
        <f>'Proposed Rates'!C26</f>
        <v>16.41</v>
      </c>
      <c r="N14" s="120">
        <f t="shared" si="5"/>
        <v>16.68336236076409</v>
      </c>
      <c r="O14" s="120">
        <f>'Proposed Rates'!E26</f>
        <v>16.68</v>
      </c>
      <c r="P14" s="120">
        <f t="shared" ref="P14:P31" si="20">F14*M14</f>
        <v>139.48500000000001</v>
      </c>
      <c r="Q14" s="121">
        <f t="shared" si="17"/>
        <v>141.80858006649476</v>
      </c>
      <c r="R14" s="123">
        <f t="shared" si="18"/>
        <v>2.3235800664947419</v>
      </c>
      <c r="S14" s="56"/>
      <c r="T14" s="56"/>
      <c r="U14" s="55"/>
      <c r="V14" s="55"/>
      <c r="W14" s="55"/>
      <c r="X14" s="55"/>
      <c r="Y14" s="55"/>
      <c r="Z14" s="55"/>
      <c r="AA14" s="55"/>
      <c r="AB14" s="55"/>
      <c r="AC14" s="57"/>
    </row>
    <row r="15" spans="1:31" s="54" customFormat="1">
      <c r="A15" s="189"/>
      <c r="B15" s="58">
        <v>36</v>
      </c>
      <c r="C15" s="22" t="s">
        <v>285</v>
      </c>
      <c r="D15" s="55">
        <f>'Vashon Total 16'!E32</f>
        <v>42.500361010830318</v>
      </c>
      <c r="E15" s="118">
        <f>References!$C$7</f>
        <v>4.333333333333333</v>
      </c>
      <c r="F15" s="17">
        <f t="shared" ref="F15" si="21">D15*E15</f>
        <v>184.16823104693137</v>
      </c>
      <c r="G15" s="17">
        <f>References!$C$28</f>
        <v>29</v>
      </c>
      <c r="H15" s="17">
        <f t="shared" ref="H15" si="22">F15*G15</f>
        <v>5340.8787003610096</v>
      </c>
      <c r="I15" s="122">
        <f t="shared" si="15"/>
        <v>3674.219727416048</v>
      </c>
      <c r="J15" s="120">
        <f>I15*References!$D$60</f>
        <v>11.445194450900964</v>
      </c>
      <c r="K15" s="120">
        <f>J15/References!$H$63</f>
        <v>11.679961680682686</v>
      </c>
      <c r="L15" s="120">
        <f>K15/F15*E15</f>
        <v>0.27482029335483282</v>
      </c>
      <c r="M15" s="120">
        <f>'Proposed Rates'!C60</f>
        <v>14.49</v>
      </c>
      <c r="N15" s="120">
        <f t="shared" ref="N15" si="23">L15+M15</f>
        <v>14.764820293354832</v>
      </c>
      <c r="O15" s="120">
        <f>'Proposed Rates'!E60</f>
        <v>14.76</v>
      </c>
      <c r="P15" s="120">
        <f t="shared" ref="P15" si="24">D15*M15</f>
        <v>615.83023104693132</v>
      </c>
      <c r="Q15" s="121">
        <f>D15*N15</f>
        <v>627.51019272761391</v>
      </c>
      <c r="R15" s="123">
        <f t="shared" ref="R15" si="25">Q15-P15</f>
        <v>11.679961680682595</v>
      </c>
      <c r="S15" s="56"/>
      <c r="T15" s="56"/>
      <c r="U15" s="55"/>
      <c r="V15" s="55"/>
      <c r="W15" s="55"/>
      <c r="X15" s="55"/>
      <c r="Y15" s="55"/>
      <c r="Z15" s="55"/>
      <c r="AA15" s="55"/>
      <c r="AB15" s="55"/>
      <c r="AC15" s="57"/>
    </row>
    <row r="16" spans="1:31" s="54" customFormat="1">
      <c r="A16" s="189"/>
      <c r="B16" s="58">
        <v>36</v>
      </c>
      <c r="C16" s="22" t="s">
        <v>215</v>
      </c>
      <c r="D16" s="55">
        <f>'Vashon Total 16'!E28</f>
        <v>141.99999999999997</v>
      </c>
      <c r="E16" s="118">
        <f>References!$C$7</f>
        <v>4.333333333333333</v>
      </c>
      <c r="F16" s="17">
        <f t="shared" si="2"/>
        <v>615.33333333333314</v>
      </c>
      <c r="G16" s="17">
        <f>References!$C$28</f>
        <v>29</v>
      </c>
      <c r="H16" s="17">
        <f t="shared" si="19"/>
        <v>17844.666666666661</v>
      </c>
      <c r="I16" s="122">
        <f t="shared" si="15"/>
        <v>12276.112223143809</v>
      </c>
      <c r="J16" s="120">
        <f>I16*References!$D$60</f>
        <v>38.240089575092881</v>
      </c>
      <c r="K16" s="120">
        <f>J16/References!$H$63</f>
        <v>39.024481656386243</v>
      </c>
      <c r="L16" s="120">
        <f>K16/F16</f>
        <v>6.34200676972691E-2</v>
      </c>
      <c r="M16" s="120">
        <f>'Proposed Rates'!C59</f>
        <v>3.4</v>
      </c>
      <c r="N16" s="120">
        <f t="shared" si="5"/>
        <v>3.4634200676972688</v>
      </c>
      <c r="O16" s="120">
        <f>'Proposed Rates'!E59</f>
        <v>3.46</v>
      </c>
      <c r="P16" s="120">
        <f>F16*M16</f>
        <v>2092.1333333333328</v>
      </c>
      <c r="Q16" s="121">
        <f>F16*N16</f>
        <v>2131.1578149897186</v>
      </c>
      <c r="R16" s="123">
        <f t="shared" si="18"/>
        <v>39.024481656385888</v>
      </c>
      <c r="S16" s="56"/>
      <c r="T16" s="56"/>
      <c r="U16" s="55"/>
      <c r="V16" s="55"/>
      <c r="W16" s="55"/>
      <c r="X16" s="55"/>
      <c r="Y16" s="55"/>
      <c r="Z16" s="55"/>
      <c r="AA16" s="55"/>
      <c r="AB16" s="55"/>
      <c r="AC16" s="57"/>
    </row>
    <row r="17" spans="1:29" s="54" customFormat="1">
      <c r="A17" s="189"/>
      <c r="B17" s="58" t="s">
        <v>219</v>
      </c>
      <c r="C17" s="22" t="s">
        <v>222</v>
      </c>
      <c r="D17" s="55">
        <f>'Vashon Total 16'!E29</f>
        <v>35.249733570159862</v>
      </c>
      <c r="E17" s="118">
        <f>References!$C$6</f>
        <v>8.6666666666666661</v>
      </c>
      <c r="F17" s="17">
        <f t="shared" si="2"/>
        <v>305.49769094138543</v>
      </c>
      <c r="G17" s="17">
        <f>References!$C$28</f>
        <v>29</v>
      </c>
      <c r="H17" s="17">
        <f t="shared" si="19"/>
        <v>8859.4330373001776</v>
      </c>
      <c r="I17" s="122">
        <f t="shared" si="15"/>
        <v>6094.7842977915807</v>
      </c>
      <c r="J17" s="120">
        <f>I17*References!$D$60</f>
        <v>18.98525308762073</v>
      </c>
      <c r="K17" s="120">
        <f>J17/References!$H$63</f>
        <v>19.374684240862059</v>
      </c>
      <c r="L17" s="120">
        <f t="shared" si="16"/>
        <v>6.3420067697269114E-2</v>
      </c>
      <c r="M17" s="120">
        <f>'Proposed Rates'!C59</f>
        <v>3.4</v>
      </c>
      <c r="N17" s="120">
        <f t="shared" si="5"/>
        <v>3.4634200676972688</v>
      </c>
      <c r="O17" s="120">
        <f>'Proposed Rates'!E59</f>
        <v>3.46</v>
      </c>
      <c r="P17" s="120">
        <f t="shared" ref="P17:P19" si="26">F17*M17</f>
        <v>1038.6921492007104</v>
      </c>
      <c r="Q17" s="121">
        <f t="shared" si="17"/>
        <v>1058.0668334415725</v>
      </c>
      <c r="R17" s="123">
        <f t="shared" si="18"/>
        <v>19.374684240862052</v>
      </c>
      <c r="S17" s="56"/>
      <c r="T17" s="56"/>
      <c r="U17" s="55"/>
      <c r="V17" s="55"/>
      <c r="W17" s="55"/>
      <c r="X17" s="55"/>
      <c r="Y17" s="55"/>
      <c r="Z17" s="55"/>
      <c r="AA17" s="55"/>
      <c r="AB17" s="55"/>
      <c r="AC17" s="57"/>
    </row>
    <row r="18" spans="1:29" s="54" customFormat="1">
      <c r="A18" s="189"/>
      <c r="B18" s="58" t="s">
        <v>219</v>
      </c>
      <c r="C18" s="22" t="s">
        <v>223</v>
      </c>
      <c r="D18" s="55">
        <f>'Vashon Total 16'!E30</f>
        <v>24.250118427285656</v>
      </c>
      <c r="E18" s="118">
        <f>References!$C$5</f>
        <v>13</v>
      </c>
      <c r="F18" s="17">
        <f t="shared" si="2"/>
        <v>315.25153955471353</v>
      </c>
      <c r="G18" s="17">
        <f>References!$C$28</f>
        <v>29</v>
      </c>
      <c r="H18" s="17">
        <f t="shared" si="19"/>
        <v>9142.2946470866918</v>
      </c>
      <c r="I18" s="122">
        <f t="shared" si="15"/>
        <v>6289.3769416454888</v>
      </c>
      <c r="J18" s="120">
        <f>I18*References!$D$60</f>
        <v>19.591409173225653</v>
      </c>
      <c r="K18" s="120">
        <f>J18/References!$H$63</f>
        <v>19.993273980228242</v>
      </c>
      <c r="L18" s="120">
        <f t="shared" si="16"/>
        <v>6.3420067697269114E-2</v>
      </c>
      <c r="M18" s="120">
        <f>'Proposed Rates'!C59</f>
        <v>3.4</v>
      </c>
      <c r="N18" s="120">
        <f t="shared" si="5"/>
        <v>3.4634200676972688</v>
      </c>
      <c r="O18" s="120">
        <f>'Proposed Rates'!E59</f>
        <v>3.46</v>
      </c>
      <c r="P18" s="120">
        <f t="shared" si="26"/>
        <v>1071.8552344860259</v>
      </c>
      <c r="Q18" s="121">
        <f t="shared" si="17"/>
        <v>1091.8485084662541</v>
      </c>
      <c r="R18" s="123">
        <f t="shared" si="18"/>
        <v>19.993273980228196</v>
      </c>
      <c r="S18" s="56"/>
      <c r="T18" s="56"/>
      <c r="U18" s="55"/>
      <c r="V18" s="55"/>
      <c r="W18" s="55"/>
      <c r="X18" s="55"/>
      <c r="Y18" s="55"/>
      <c r="Z18" s="55"/>
      <c r="AA18" s="55"/>
      <c r="AB18" s="55"/>
      <c r="AC18" s="57"/>
    </row>
    <row r="19" spans="1:29" s="54" customFormat="1">
      <c r="A19" s="189"/>
      <c r="B19" s="58" t="s">
        <v>219</v>
      </c>
      <c r="C19" s="22" t="s">
        <v>224</v>
      </c>
      <c r="D19" s="55">
        <f>'Vashon Total 16'!E31</f>
        <v>14</v>
      </c>
      <c r="E19" s="118">
        <f>References!$C$4</f>
        <v>17.333333333333332</v>
      </c>
      <c r="F19" s="17">
        <f t="shared" si="2"/>
        <v>242.66666666666666</v>
      </c>
      <c r="G19" s="17">
        <f>References!$C$28</f>
        <v>29</v>
      </c>
      <c r="H19" s="17">
        <f t="shared" si="19"/>
        <v>7037.333333333333</v>
      </c>
      <c r="I19" s="122">
        <f t="shared" si="15"/>
        <v>4841.2836936341801</v>
      </c>
      <c r="J19" s="120">
        <f>I19*References!$D$60</f>
        <v>15.080598705670436</v>
      </c>
      <c r="K19" s="120">
        <f>J19/References!$H$63</f>
        <v>15.389936427870635</v>
      </c>
      <c r="L19" s="120">
        <f t="shared" si="16"/>
        <v>6.34200676972691E-2</v>
      </c>
      <c r="M19" s="120">
        <f>'Proposed Rates'!C59</f>
        <v>3.4</v>
      </c>
      <c r="N19" s="120">
        <f t="shared" si="5"/>
        <v>3.4634200676972688</v>
      </c>
      <c r="O19" s="120">
        <f>'Proposed Rates'!E59</f>
        <v>3.46</v>
      </c>
      <c r="P19" s="120">
        <f t="shared" si="26"/>
        <v>825.06666666666661</v>
      </c>
      <c r="Q19" s="121">
        <f t="shared" si="17"/>
        <v>840.45660309453717</v>
      </c>
      <c r="R19" s="123">
        <f t="shared" si="18"/>
        <v>15.389936427870566</v>
      </c>
      <c r="S19" s="56"/>
      <c r="T19" s="56"/>
      <c r="U19" s="55"/>
      <c r="V19" s="55"/>
      <c r="W19" s="55"/>
      <c r="X19" s="55"/>
      <c r="Y19" s="55"/>
      <c r="Z19" s="55"/>
      <c r="AA19" s="55"/>
      <c r="AB19" s="55"/>
      <c r="AC19" s="57"/>
    </row>
    <row r="20" spans="1:29" s="54" customFormat="1">
      <c r="A20" s="189"/>
      <c r="B20" s="58">
        <v>35</v>
      </c>
      <c r="C20" s="16" t="s">
        <v>292</v>
      </c>
      <c r="D20" s="128">
        <f>'Vashon Total 16'!E42</f>
        <v>605.5058444175736</v>
      </c>
      <c r="E20" s="118">
        <f>References!$C$7</f>
        <v>4.333333333333333</v>
      </c>
      <c r="F20" s="17">
        <f t="shared" si="2"/>
        <v>2623.8586591428189</v>
      </c>
      <c r="G20" s="17">
        <f>References!$C$30</f>
        <v>175</v>
      </c>
      <c r="H20" s="17">
        <f t="shared" si="19"/>
        <v>459175.26534999331</v>
      </c>
      <c r="I20" s="122">
        <f t="shared" si="15"/>
        <v>315886.37618308124</v>
      </c>
      <c r="J20" s="120">
        <f>I20*References!$D$60</f>
        <v>983.98606181029584</v>
      </c>
      <c r="K20" s="120">
        <f>J20/References!$H$63</f>
        <v>1004.1698763244166</v>
      </c>
      <c r="L20" s="120">
        <f t="shared" ref="L20:L23" si="27">K20/F20*E20</f>
        <v>1.6583983219688185</v>
      </c>
      <c r="M20" s="120">
        <f>'Proposed Rates'!C42</f>
        <v>78.265310901143522</v>
      </c>
      <c r="N20" s="120">
        <f t="shared" si="5"/>
        <v>79.92370922311234</v>
      </c>
      <c r="O20" s="120">
        <f>'Proposed Rates'!E42</f>
        <v>79.92370922311234</v>
      </c>
      <c r="P20" s="120">
        <f t="shared" ref="P20:P23" si="28">D20*M20</f>
        <v>47390.103165800836</v>
      </c>
      <c r="Q20" s="121">
        <f>D20*N20</f>
        <v>48394.273042125249</v>
      </c>
      <c r="R20" s="123">
        <f t="shared" si="18"/>
        <v>1004.1698763244131</v>
      </c>
      <c r="S20" s="56"/>
      <c r="T20" s="56"/>
      <c r="U20" s="55"/>
      <c r="V20" s="55"/>
      <c r="W20" s="55"/>
      <c r="X20" s="55"/>
      <c r="Y20" s="55"/>
      <c r="Z20" s="55"/>
      <c r="AA20" s="55"/>
      <c r="AB20" s="55"/>
      <c r="AC20" s="57"/>
    </row>
    <row r="21" spans="1:29" s="54" customFormat="1">
      <c r="A21" s="189"/>
      <c r="B21" s="58">
        <v>35</v>
      </c>
      <c r="C21" s="16" t="s">
        <v>293</v>
      </c>
      <c r="D21" s="128">
        <f>'Vashon Total 16'!E46</f>
        <v>170.68069650678348</v>
      </c>
      <c r="E21" s="118">
        <f>References!$C$7</f>
        <v>4.333333333333333</v>
      </c>
      <c r="F21" s="17">
        <f t="shared" si="2"/>
        <v>739.61635152939505</v>
      </c>
      <c r="G21" s="17">
        <f>References!$C$31</f>
        <v>250</v>
      </c>
      <c r="H21" s="17">
        <f t="shared" si="19"/>
        <v>184904.08788234877</v>
      </c>
      <c r="I21" s="122">
        <f t="shared" si="15"/>
        <v>127203.4594852856</v>
      </c>
      <c r="J21" s="120">
        <f>I21*References!$D$60</f>
        <v>396.23877629666373</v>
      </c>
      <c r="K21" s="120">
        <f>J21/References!$H$63</f>
        <v>404.36654382759843</v>
      </c>
      <c r="L21" s="120">
        <f t="shared" si="27"/>
        <v>2.3691404599554549</v>
      </c>
      <c r="M21" s="120">
        <f>'Proposed Rates'!C43</f>
        <v>99.08901557306217</v>
      </c>
      <c r="N21" s="120">
        <f t="shared" si="5"/>
        <v>101.45815603301763</v>
      </c>
      <c r="O21" s="120">
        <f>'Proposed Rates'!E43</f>
        <v>101.45815603301763</v>
      </c>
      <c r="P21" s="120">
        <f t="shared" si="28"/>
        <v>16912.582194181767</v>
      </c>
      <c r="Q21" s="121">
        <f>D21*N21</f>
        <v>17316.948738009367</v>
      </c>
      <c r="R21" s="123">
        <f t="shared" si="18"/>
        <v>404.36654382760025</v>
      </c>
      <c r="S21" s="56"/>
      <c r="T21" s="56"/>
      <c r="U21" s="55"/>
      <c r="V21" s="55"/>
      <c r="W21" s="55"/>
      <c r="X21" s="55"/>
      <c r="Y21" s="55"/>
      <c r="Z21" s="55"/>
      <c r="AA21" s="55"/>
      <c r="AB21" s="55"/>
      <c r="AC21" s="57"/>
    </row>
    <row r="22" spans="1:29" s="54" customFormat="1">
      <c r="A22" s="189"/>
      <c r="B22" s="58" t="s">
        <v>219</v>
      </c>
      <c r="C22" s="16" t="s">
        <v>280</v>
      </c>
      <c r="D22" s="128">
        <f>'Vashon Total 16'!E47</f>
        <v>35.750026706548439</v>
      </c>
      <c r="E22" s="118">
        <f>References!$C$6</f>
        <v>8.6666666666666661</v>
      </c>
      <c r="F22" s="17">
        <f t="shared" ref="F22" si="29">D22*E22</f>
        <v>309.83356479008643</v>
      </c>
      <c r="G22" s="17">
        <f>References!$C$31</f>
        <v>250</v>
      </c>
      <c r="H22" s="17">
        <f t="shared" ref="H22" si="30">F22*G22</f>
        <v>77458.391197521603</v>
      </c>
      <c r="I22" s="122">
        <f t="shared" si="15"/>
        <v>53286.952383435768</v>
      </c>
      <c r="J22" s="120">
        <f>I22*References!$D$60</f>
        <v>165.98885667440203</v>
      </c>
      <c r="K22" s="120">
        <f>J22/References!$H$63</f>
        <v>169.39366942994391</v>
      </c>
      <c r="L22" s="120">
        <f>K22/F22</f>
        <v>0.54672472152818197</v>
      </c>
      <c r="M22" s="120">
        <f>'Proposed Rates'!C38</f>
        <v>22.880000000000003</v>
      </c>
      <c r="N22" s="120">
        <f t="shared" ref="N22" si="31">L22+M22</f>
        <v>23.426724721528185</v>
      </c>
      <c r="O22" s="120">
        <f>'Proposed Rates'!E38</f>
        <v>23.430000000000003</v>
      </c>
      <c r="P22" s="120">
        <f t="shared" ref="P22" si="32">F22*M22</f>
        <v>7088.9919623971782</v>
      </c>
      <c r="Q22" s="121">
        <f t="shared" ref="Q22" si="33">F22*N22</f>
        <v>7258.3856318271219</v>
      </c>
      <c r="R22" s="123">
        <f t="shared" ref="R22" si="34">Q22-P22</f>
        <v>169.39366942994366</v>
      </c>
      <c r="S22" s="56"/>
      <c r="T22" s="56"/>
      <c r="U22" s="55"/>
      <c r="V22" s="55"/>
      <c r="W22" s="55"/>
      <c r="X22" s="55"/>
      <c r="Y22" s="55"/>
      <c r="Z22" s="55"/>
      <c r="AA22" s="55"/>
      <c r="AB22" s="55"/>
      <c r="AC22" s="57"/>
    </row>
    <row r="23" spans="1:29" s="54" customFormat="1">
      <c r="A23" s="189"/>
      <c r="B23" s="58">
        <v>35</v>
      </c>
      <c r="C23" s="16" t="s">
        <v>294</v>
      </c>
      <c r="D23" s="128">
        <f>'Vashon Total 16'!E48</f>
        <v>642.5</v>
      </c>
      <c r="E23" s="118">
        <f>References!$C$7</f>
        <v>4.333333333333333</v>
      </c>
      <c r="F23" s="17">
        <f t="shared" si="2"/>
        <v>2784.1666666666665</v>
      </c>
      <c r="G23" s="17">
        <f>References!$C$32</f>
        <v>324</v>
      </c>
      <c r="H23" s="17">
        <f t="shared" si="19"/>
        <v>902070</v>
      </c>
      <c r="I23" s="122">
        <f t="shared" si="15"/>
        <v>620572.67641861283</v>
      </c>
      <c r="J23" s="120">
        <f>I23*References!$D$60</f>
        <v>1933.0838870439745</v>
      </c>
      <c r="K23" s="120">
        <f>J23/References!$H$63</f>
        <v>1972.7358781957082</v>
      </c>
      <c r="L23" s="120">
        <f t="shared" si="27"/>
        <v>3.0704060361022694</v>
      </c>
      <c r="M23" s="120">
        <f>'Proposed Rates'!C44</f>
        <v>137.78080418268857</v>
      </c>
      <c r="N23" s="120">
        <f t="shared" si="5"/>
        <v>140.85121021879084</v>
      </c>
      <c r="O23" s="120">
        <f>'Proposed Rates'!$E$39</f>
        <v>32.53</v>
      </c>
      <c r="P23" s="120">
        <f t="shared" si="28"/>
        <v>88524.166687377408</v>
      </c>
      <c r="Q23" s="121">
        <f>D23*N23</f>
        <v>90496.902565573109</v>
      </c>
      <c r="R23" s="123">
        <f t="shared" si="18"/>
        <v>1972.7358781957009</v>
      </c>
      <c r="S23" s="56"/>
      <c r="T23" s="56"/>
      <c r="U23" s="55"/>
      <c r="V23" s="55"/>
      <c r="W23" s="55"/>
      <c r="X23" s="55"/>
      <c r="Y23" s="55"/>
      <c r="Z23" s="55"/>
      <c r="AA23" s="55"/>
      <c r="AB23" s="55"/>
      <c r="AC23" s="57"/>
    </row>
    <row r="24" spans="1:29" s="54" customFormat="1">
      <c r="A24" s="189"/>
      <c r="B24" s="58" t="s">
        <v>219</v>
      </c>
      <c r="C24" s="22" t="s">
        <v>225</v>
      </c>
      <c r="D24" s="128">
        <f>'Vashon Total 16'!E49</f>
        <v>244.49999999999994</v>
      </c>
      <c r="E24" s="118">
        <f>References!$C$6</f>
        <v>8.6666666666666661</v>
      </c>
      <c r="F24" s="17">
        <f t="shared" si="2"/>
        <v>2118.9999999999995</v>
      </c>
      <c r="G24" s="17">
        <f>References!$C$32</f>
        <v>324</v>
      </c>
      <c r="H24" s="17">
        <f t="shared" si="19"/>
        <v>686555.99999999988</v>
      </c>
      <c r="I24" s="122">
        <f t="shared" si="15"/>
        <v>472311.34438708425</v>
      </c>
      <c r="J24" s="120">
        <f>I24*References!$D$60</f>
        <v>1471.2498377657639</v>
      </c>
      <c r="K24" s="120">
        <f>J24/References!$H$63</f>
        <v>1501.4285516540094</v>
      </c>
      <c r="L24" s="120">
        <f t="shared" si="16"/>
        <v>0.70855523910052376</v>
      </c>
      <c r="M24" s="120">
        <f>'Proposed Rates'!C39</f>
        <v>31.82</v>
      </c>
      <c r="N24" s="120">
        <f t="shared" si="5"/>
        <v>32.528555239100527</v>
      </c>
      <c r="O24" s="120">
        <f>'Proposed Rates'!$E$39</f>
        <v>32.53</v>
      </c>
      <c r="P24" s="120">
        <f t="shared" si="20"/>
        <v>67426.579999999987</v>
      </c>
      <c r="Q24" s="121">
        <f t="shared" si="17"/>
        <v>68928.008551653998</v>
      </c>
      <c r="R24" s="123">
        <f t="shared" si="18"/>
        <v>1501.4285516540112</v>
      </c>
      <c r="S24" s="56"/>
      <c r="T24" s="56"/>
      <c r="U24" s="55"/>
      <c r="V24" s="55"/>
      <c r="W24" s="55"/>
      <c r="X24" s="55"/>
      <c r="Y24" s="55"/>
      <c r="Z24" s="55"/>
      <c r="AA24" s="55"/>
      <c r="AB24" s="55"/>
      <c r="AC24" s="57"/>
    </row>
    <row r="25" spans="1:29" s="54" customFormat="1">
      <c r="A25" s="189"/>
      <c r="B25" s="58" t="s">
        <v>219</v>
      </c>
      <c r="C25" s="16" t="s">
        <v>226</v>
      </c>
      <c r="D25" s="128">
        <f>'Vashon Total 16'!E50</f>
        <v>73.166666666666643</v>
      </c>
      <c r="E25" s="118">
        <f>References!$C$5</f>
        <v>13</v>
      </c>
      <c r="F25" s="17">
        <f t="shared" si="2"/>
        <v>951.1666666666664</v>
      </c>
      <c r="G25" s="17">
        <f>References!$C$32</f>
        <v>324</v>
      </c>
      <c r="H25" s="17">
        <f t="shared" si="19"/>
        <v>308177.99999999994</v>
      </c>
      <c r="I25" s="122">
        <f t="shared" si="15"/>
        <v>212008.87544573616</v>
      </c>
      <c r="J25" s="120">
        <f>I25*References!$D$60</f>
        <v>660.40764701346666</v>
      </c>
      <c r="K25" s="120">
        <f>J25/References!$H$63</f>
        <v>673.95412492444802</v>
      </c>
      <c r="L25" s="120">
        <f t="shared" si="16"/>
        <v>0.70855523910052376</v>
      </c>
      <c r="M25" s="120">
        <f>'Proposed Rates'!C39</f>
        <v>31.82</v>
      </c>
      <c r="N25" s="120">
        <f t="shared" si="5"/>
        <v>32.528555239100527</v>
      </c>
      <c r="O25" s="120">
        <f>'Proposed Rates'!$E$39</f>
        <v>32.53</v>
      </c>
      <c r="P25" s="120">
        <f t="shared" si="20"/>
        <v>30266.123333333326</v>
      </c>
      <c r="Q25" s="121">
        <f t="shared" si="17"/>
        <v>30940.077458257776</v>
      </c>
      <c r="R25" s="123">
        <f t="shared" si="18"/>
        <v>673.9541249244503</v>
      </c>
      <c r="S25" s="56"/>
      <c r="T25" s="56"/>
      <c r="U25" s="55"/>
      <c r="V25" s="55"/>
      <c r="W25" s="55"/>
      <c r="X25" s="55"/>
      <c r="Y25" s="55"/>
      <c r="Z25" s="55"/>
      <c r="AA25" s="55"/>
      <c r="AB25" s="55"/>
      <c r="AC25" s="57"/>
    </row>
    <row r="26" spans="1:29" s="54" customFormat="1">
      <c r="A26" s="189"/>
      <c r="B26" s="58" t="s">
        <v>219</v>
      </c>
      <c r="C26" s="16" t="s">
        <v>277</v>
      </c>
      <c r="D26" s="128">
        <f>'Vashon Total 16'!E51</f>
        <v>24.000000000000007</v>
      </c>
      <c r="E26" s="118">
        <f>References!$C$4</f>
        <v>17.333333333333332</v>
      </c>
      <c r="F26" s="17">
        <f t="shared" ref="F26" si="35">D26*E26</f>
        <v>416.00000000000011</v>
      </c>
      <c r="G26" s="17">
        <f>References!$C$32</f>
        <v>324</v>
      </c>
      <c r="H26" s="17">
        <f t="shared" ref="H26" si="36">F26*G26</f>
        <v>134784.00000000003</v>
      </c>
      <c r="I26" s="122">
        <f t="shared" si="15"/>
        <v>92723.699511574858</v>
      </c>
      <c r="J26" s="120">
        <f>I26*References!$D$60</f>
        <v>288.83432397855501</v>
      </c>
      <c r="K26" s="120">
        <f>J26/References!$H$63</f>
        <v>294.75897946581796</v>
      </c>
      <c r="L26" s="120">
        <f t="shared" ref="L26" si="37">K26/F26</f>
        <v>0.70855523910052376</v>
      </c>
      <c r="M26" s="120">
        <f>'Proposed Rates'!C39</f>
        <v>31.82</v>
      </c>
      <c r="N26" s="120">
        <f t="shared" ref="N26" si="38">L26+M26</f>
        <v>32.528555239100527</v>
      </c>
      <c r="O26" s="120">
        <f>'Proposed Rates'!$E$39</f>
        <v>32.53</v>
      </c>
      <c r="P26" s="120">
        <f t="shared" ref="P26" si="39">F26*M26</f>
        <v>13237.120000000004</v>
      </c>
      <c r="Q26" s="121">
        <f t="shared" ref="Q26" si="40">F26*N26</f>
        <v>13531.878979465822</v>
      </c>
      <c r="R26" s="123">
        <f t="shared" ref="R26" si="41">Q26-P26</f>
        <v>294.7589794658179</v>
      </c>
      <c r="S26" s="56"/>
      <c r="T26" s="56"/>
      <c r="U26" s="55"/>
      <c r="V26" s="55"/>
      <c r="W26" s="55"/>
      <c r="X26" s="55"/>
      <c r="Y26" s="55"/>
      <c r="Z26" s="55"/>
      <c r="AA26" s="55"/>
      <c r="AB26" s="55"/>
      <c r="AC26" s="57"/>
    </row>
    <row r="27" spans="1:29" s="54" customFormat="1">
      <c r="A27" s="189"/>
      <c r="B27" s="58">
        <v>35</v>
      </c>
      <c r="C27" s="16" t="s">
        <v>278</v>
      </c>
      <c r="D27" s="128">
        <f>'Vashon Total 16'!E52</f>
        <v>2.75</v>
      </c>
      <c r="E27" s="118">
        <f>References!C11</f>
        <v>4</v>
      </c>
      <c r="F27" s="17">
        <f t="shared" ref="F27:F34" si="42">D27*E27</f>
        <v>11</v>
      </c>
      <c r="G27" s="17">
        <f>References!$C$30</f>
        <v>175</v>
      </c>
      <c r="H27" s="17">
        <f t="shared" si="19"/>
        <v>1925</v>
      </c>
      <c r="I27" s="122">
        <f t="shared" si="15"/>
        <v>1324.2901350292436</v>
      </c>
      <c r="J27" s="120">
        <f>I27*References!$D$60</f>
        <v>4.1251637706160844</v>
      </c>
      <c r="K27" s="120">
        <f>J27/References!$H$63</f>
        <v>4.209780355767001</v>
      </c>
      <c r="L27" s="120">
        <f t="shared" si="16"/>
        <v>0.38270730506972739</v>
      </c>
      <c r="M27" s="120">
        <f>'Proposed Rates'!C52</f>
        <v>20.080000000000002</v>
      </c>
      <c r="N27" s="120">
        <f t="shared" ref="N27:N34" si="43">L27+M27</f>
        <v>20.462707305069728</v>
      </c>
      <c r="O27" s="120">
        <f>'Proposed Rates'!E52</f>
        <v>20.46</v>
      </c>
      <c r="P27" s="120">
        <f t="shared" si="20"/>
        <v>220.88000000000002</v>
      </c>
      <c r="Q27" s="121">
        <f t="shared" si="17"/>
        <v>225.089780355767</v>
      </c>
      <c r="R27" s="123">
        <f t="shared" si="18"/>
        <v>4.2097803557669806</v>
      </c>
      <c r="S27" s="56"/>
      <c r="T27" s="56"/>
      <c r="U27" s="55"/>
      <c r="V27" s="55"/>
      <c r="W27" s="55"/>
      <c r="X27" s="55"/>
      <c r="Y27" s="55"/>
      <c r="Z27" s="55"/>
      <c r="AA27" s="55"/>
      <c r="AB27" s="55"/>
      <c r="AC27" s="57"/>
    </row>
    <row r="28" spans="1:29" s="54" customFormat="1">
      <c r="A28" s="189"/>
      <c r="B28" s="58">
        <v>35</v>
      </c>
      <c r="C28" s="16" t="s">
        <v>279</v>
      </c>
      <c r="D28" s="128">
        <f>'Vashon Total 16'!E53</f>
        <v>5.4999999999999991</v>
      </c>
      <c r="E28" s="118">
        <f>References!C11</f>
        <v>4</v>
      </c>
      <c r="F28" s="17">
        <f t="shared" si="42"/>
        <v>21.999999999999996</v>
      </c>
      <c r="G28" s="17">
        <f>References!$C$32</f>
        <v>324</v>
      </c>
      <c r="H28" s="17">
        <f t="shared" si="19"/>
        <v>7127.9999999999991</v>
      </c>
      <c r="I28" s="122">
        <f t="shared" si="15"/>
        <v>4903.6571857082845</v>
      </c>
      <c r="J28" s="120">
        <f>I28*References!$D$60</f>
        <v>15.27489213348127</v>
      </c>
      <c r="K28" s="120">
        <f>J28/References!$H$63</f>
        <v>15.588215260211522</v>
      </c>
      <c r="L28" s="120">
        <f t="shared" si="16"/>
        <v>0.70855523910052387</v>
      </c>
      <c r="M28" s="120">
        <f>'Proposed Rates'!C54</f>
        <v>33.82</v>
      </c>
      <c r="N28" s="120">
        <f t="shared" si="43"/>
        <v>34.528555239100527</v>
      </c>
      <c r="O28" s="120">
        <f>'Proposed Rates'!E54</f>
        <v>34.53</v>
      </c>
      <c r="P28" s="120">
        <f t="shared" si="20"/>
        <v>744.03999999999985</v>
      </c>
      <c r="Q28" s="121">
        <f t="shared" si="17"/>
        <v>759.6282152602115</v>
      </c>
      <c r="R28" s="123">
        <f t="shared" si="18"/>
        <v>15.588215260211655</v>
      </c>
      <c r="S28" s="56"/>
      <c r="T28" s="56"/>
      <c r="U28" s="55"/>
      <c r="V28" s="55"/>
      <c r="W28" s="55"/>
      <c r="X28" s="55"/>
      <c r="Y28" s="55"/>
      <c r="Z28" s="55"/>
      <c r="AA28" s="55"/>
      <c r="AB28" s="55"/>
      <c r="AC28" s="57"/>
    </row>
    <row r="29" spans="1:29" s="54" customFormat="1">
      <c r="A29" s="189"/>
      <c r="B29" s="58">
        <v>35</v>
      </c>
      <c r="C29" s="16" t="s">
        <v>281</v>
      </c>
      <c r="D29" s="128">
        <f>'Vashon Total 16'!E54</f>
        <v>19</v>
      </c>
      <c r="E29" s="118">
        <f>References!$C$10</f>
        <v>1</v>
      </c>
      <c r="F29" s="17">
        <f t="shared" si="42"/>
        <v>19</v>
      </c>
      <c r="G29" s="17">
        <f>References!$C$30</f>
        <v>175</v>
      </c>
      <c r="H29" s="17">
        <f t="shared" si="19"/>
        <v>3325</v>
      </c>
      <c r="I29" s="122">
        <f t="shared" si="15"/>
        <v>2287.4102332323296</v>
      </c>
      <c r="J29" s="120">
        <f>I29*References!$D$60</f>
        <v>7.12528287651869</v>
      </c>
      <c r="K29" s="120">
        <f>J29/References!$H$63</f>
        <v>7.2714387963248193</v>
      </c>
      <c r="L29" s="120">
        <f t="shared" si="16"/>
        <v>0.38270730506972733</v>
      </c>
      <c r="M29" s="120">
        <f>'Proposed Rates'!C37</f>
        <v>18.080000000000002</v>
      </c>
      <c r="N29" s="120">
        <f t="shared" si="43"/>
        <v>18.462707305069728</v>
      </c>
      <c r="O29" s="120">
        <f>'Proposed Rates'!E37</f>
        <v>18.46</v>
      </c>
      <c r="P29" s="120">
        <f t="shared" si="20"/>
        <v>343.52000000000004</v>
      </c>
      <c r="Q29" s="121">
        <f t="shared" si="17"/>
        <v>350.79143879632483</v>
      </c>
      <c r="R29" s="123">
        <f t="shared" si="18"/>
        <v>7.2714387963247873</v>
      </c>
      <c r="S29" s="56"/>
      <c r="T29" s="56"/>
      <c r="U29" s="55"/>
      <c r="V29" s="55"/>
      <c r="W29" s="55"/>
      <c r="X29" s="55"/>
      <c r="Y29" s="55"/>
      <c r="Z29" s="55"/>
      <c r="AA29" s="55"/>
      <c r="AB29" s="55"/>
      <c r="AC29" s="57"/>
    </row>
    <row r="30" spans="1:29" s="54" customFormat="1">
      <c r="A30" s="189"/>
      <c r="B30" s="58">
        <v>35</v>
      </c>
      <c r="C30" s="16" t="s">
        <v>282</v>
      </c>
      <c r="D30" s="128">
        <f>'Vashon Total 16'!E55</f>
        <v>2</v>
      </c>
      <c r="E30" s="118">
        <f>References!$C$10</f>
        <v>1</v>
      </c>
      <c r="F30" s="17">
        <f t="shared" si="42"/>
        <v>2</v>
      </c>
      <c r="G30" s="17">
        <f>References!$C$31</f>
        <v>250</v>
      </c>
      <c r="H30" s="17">
        <f t="shared" si="19"/>
        <v>500</v>
      </c>
      <c r="I30" s="122">
        <f t="shared" si="15"/>
        <v>343.97146364395934</v>
      </c>
      <c r="J30" s="120">
        <f>I30*References!$D$60</f>
        <v>1.0714711092509308</v>
      </c>
      <c r="K30" s="120">
        <f>J30/References!$H$63</f>
        <v>1.0934494430563637</v>
      </c>
      <c r="L30" s="120">
        <f t="shared" si="16"/>
        <v>0.54672472152818186</v>
      </c>
      <c r="M30" s="120">
        <f>'Proposed Rates'!C38</f>
        <v>22.880000000000003</v>
      </c>
      <c r="N30" s="120">
        <f t="shared" si="43"/>
        <v>23.426724721528185</v>
      </c>
      <c r="O30" s="120">
        <f>'Proposed Rates'!E38</f>
        <v>23.430000000000003</v>
      </c>
      <c r="P30" s="120">
        <f t="shared" si="20"/>
        <v>45.760000000000005</v>
      </c>
      <c r="Q30" s="121">
        <f t="shared" si="17"/>
        <v>46.85344944305637</v>
      </c>
      <c r="R30" s="123">
        <f t="shared" si="18"/>
        <v>1.0934494430563646</v>
      </c>
      <c r="S30" s="56"/>
      <c r="T30" s="56"/>
      <c r="U30" s="55"/>
      <c r="V30" s="55"/>
      <c r="W30" s="55"/>
      <c r="X30" s="55"/>
      <c r="Y30" s="55"/>
      <c r="Z30" s="55"/>
      <c r="AA30" s="55"/>
      <c r="AB30" s="55"/>
      <c r="AC30" s="57"/>
    </row>
    <row r="31" spans="1:29" s="54" customFormat="1">
      <c r="A31" s="189"/>
      <c r="B31" s="58">
        <v>35</v>
      </c>
      <c r="C31" s="16" t="s">
        <v>283</v>
      </c>
      <c r="D31" s="128">
        <f>'Vashon Total 16'!E56</f>
        <v>28.999999999999996</v>
      </c>
      <c r="E31" s="118">
        <f>References!$C$10</f>
        <v>1</v>
      </c>
      <c r="F31" s="17">
        <f t="shared" si="42"/>
        <v>28.999999999999996</v>
      </c>
      <c r="G31" s="17">
        <f>References!$C$32</f>
        <v>324</v>
      </c>
      <c r="H31" s="17">
        <f t="shared" si="19"/>
        <v>9395.9999999999982</v>
      </c>
      <c r="I31" s="122">
        <f t="shared" si="15"/>
        <v>6463.9117447972831</v>
      </c>
      <c r="J31" s="120">
        <f>I31*References!$D$60</f>
        <v>20.135085085043489</v>
      </c>
      <c r="K31" s="120">
        <f>J31/References!$H$63</f>
        <v>20.548101933915184</v>
      </c>
      <c r="L31" s="120">
        <f t="shared" si="16"/>
        <v>0.70855523910052365</v>
      </c>
      <c r="M31" s="120">
        <f>'Proposed Rates'!C39</f>
        <v>31.82</v>
      </c>
      <c r="N31" s="120">
        <f t="shared" si="43"/>
        <v>32.528555239100527</v>
      </c>
      <c r="O31" s="120">
        <f>'Proposed Rates'!E39</f>
        <v>32.53</v>
      </c>
      <c r="P31" s="120">
        <f t="shared" si="20"/>
        <v>922.77999999999986</v>
      </c>
      <c r="Q31" s="121">
        <f t="shared" si="17"/>
        <v>943.32810193391515</v>
      </c>
      <c r="R31" s="123">
        <f t="shared" si="18"/>
        <v>20.548101933915291</v>
      </c>
      <c r="S31" s="56"/>
      <c r="T31" s="56"/>
      <c r="U31" s="55"/>
      <c r="V31" s="55"/>
      <c r="W31" s="55"/>
      <c r="X31" s="55"/>
      <c r="Y31" s="55"/>
      <c r="Z31" s="55"/>
      <c r="AA31" s="55"/>
      <c r="AB31" s="55"/>
      <c r="AC31" s="57"/>
    </row>
    <row r="32" spans="1:29" s="54" customFormat="1">
      <c r="A32" s="189"/>
      <c r="B32" s="58">
        <v>35</v>
      </c>
      <c r="C32" s="16" t="s">
        <v>295</v>
      </c>
      <c r="D32" s="128">
        <f>'Vashon Total 16'!E41</f>
        <v>415.06166219839145</v>
      </c>
      <c r="E32" s="118">
        <f>References!$C$8</f>
        <v>2.1666666666666665</v>
      </c>
      <c r="F32" s="17">
        <f t="shared" si="42"/>
        <v>899.30026809651474</v>
      </c>
      <c r="G32" s="17">
        <f>References!$C$30</f>
        <v>175</v>
      </c>
      <c r="H32" s="17">
        <f t="shared" si="19"/>
        <v>157377.54691689007</v>
      </c>
      <c r="I32" s="122">
        <f t="shared" si="15"/>
        <v>108266.77031539712</v>
      </c>
      <c r="J32" s="120">
        <f>I32*References!$D$60</f>
        <v>337.25098953246123</v>
      </c>
      <c r="K32" s="120">
        <f>J32/References!$H$63</f>
        <v>344.16878205170042</v>
      </c>
      <c r="L32" s="120">
        <f t="shared" ref="L32:L34" si="44">K32/F32*E32</f>
        <v>0.82919916098440904</v>
      </c>
      <c r="M32" s="120">
        <f>'Proposed Rates'!C47</f>
        <v>39.22</v>
      </c>
      <c r="N32" s="120">
        <f t="shared" si="43"/>
        <v>40.049199160984408</v>
      </c>
      <c r="O32" s="120">
        <f>'Proposed Rates'!E47</f>
        <v>40.049999999999997</v>
      </c>
      <c r="P32" s="120">
        <f>D32*M32</f>
        <v>16278.718391420913</v>
      </c>
      <c r="Q32" s="121">
        <f>D32*N32</f>
        <v>16622.887173472613</v>
      </c>
      <c r="R32" s="123">
        <f t="shared" si="18"/>
        <v>344.16878205169996</v>
      </c>
      <c r="S32" s="56"/>
      <c r="T32" s="56"/>
      <c r="U32" s="55"/>
      <c r="V32" s="55"/>
      <c r="W32" s="55"/>
      <c r="X32" s="55"/>
      <c r="Y32" s="55"/>
      <c r="Z32" s="55"/>
      <c r="AA32" s="55"/>
      <c r="AB32" s="55"/>
      <c r="AC32" s="57"/>
    </row>
    <row r="33" spans="1:29" s="54" customFormat="1">
      <c r="A33" s="189"/>
      <c r="B33" s="58">
        <v>35</v>
      </c>
      <c r="C33" s="16" t="s">
        <v>286</v>
      </c>
      <c r="D33" s="128">
        <f>'Vashon Total 16'!E45</f>
        <v>24.000000000000004</v>
      </c>
      <c r="E33" s="118">
        <f>References!$C$8</f>
        <v>2.1666666666666665</v>
      </c>
      <c r="F33" s="17">
        <f t="shared" ref="F33" si="45">D33*E33</f>
        <v>52.000000000000007</v>
      </c>
      <c r="G33" s="17">
        <f>References!$C$31</f>
        <v>250</v>
      </c>
      <c r="H33" s="17">
        <f t="shared" ref="H33" si="46">F33*G33</f>
        <v>13000.000000000002</v>
      </c>
      <c r="I33" s="122">
        <f t="shared" si="15"/>
        <v>8943.2580547429443</v>
      </c>
      <c r="J33" s="120">
        <f>I33*References!$D$60</f>
        <v>27.858248840524208</v>
      </c>
      <c r="K33" s="120">
        <f>J33/References!$H$63</f>
        <v>28.429685519465465</v>
      </c>
      <c r="L33" s="120">
        <f t="shared" si="44"/>
        <v>1.1845702299777274</v>
      </c>
      <c r="M33" s="120">
        <f>'Proposed Rates'!C48</f>
        <v>49.660000000000004</v>
      </c>
      <c r="N33" s="120">
        <f t="shared" ref="N33" si="47">L33+M33</f>
        <v>50.844570229977734</v>
      </c>
      <c r="O33" s="120">
        <f>'Proposed Rates'!E48</f>
        <v>50.84</v>
      </c>
      <c r="P33" s="120">
        <f t="shared" ref="P33:P34" si="48">D33*M33</f>
        <v>1191.8400000000004</v>
      </c>
      <c r="Q33" s="121">
        <f t="shared" ref="Q33:Q34" si="49">D33*N33</f>
        <v>1220.2696855194658</v>
      </c>
      <c r="R33" s="123">
        <f t="shared" ref="R33" si="50">Q33-P33</f>
        <v>28.429685519465465</v>
      </c>
      <c r="S33" s="56"/>
      <c r="T33" s="56"/>
      <c r="U33" s="55"/>
      <c r="V33" s="55"/>
      <c r="W33" s="55"/>
      <c r="X33" s="55"/>
      <c r="Y33" s="55"/>
      <c r="Z33" s="55"/>
      <c r="AA33" s="55"/>
      <c r="AB33" s="55"/>
      <c r="AC33" s="57"/>
    </row>
    <row r="34" spans="1:29" s="54" customFormat="1">
      <c r="A34" s="190"/>
      <c r="B34" s="58">
        <v>35</v>
      </c>
      <c r="C34" s="16" t="s">
        <v>284</v>
      </c>
      <c r="D34" s="128">
        <f>'Vashon Total 16'!E57</f>
        <v>24.500076347533977</v>
      </c>
      <c r="E34" s="118">
        <f>References!$C$8</f>
        <v>2.1666666666666665</v>
      </c>
      <c r="F34" s="17">
        <f t="shared" si="42"/>
        <v>53.08349875299028</v>
      </c>
      <c r="G34" s="17">
        <f>[12]References!$C$30</f>
        <v>324</v>
      </c>
      <c r="H34" s="17">
        <f t="shared" si="19"/>
        <v>17199.05359596885</v>
      </c>
      <c r="I34" s="122">
        <f t="shared" si="15"/>
        <v>11831.967277392616</v>
      </c>
      <c r="J34" s="120">
        <f>I34*References!$D$60</f>
        <v>36.856578069077912</v>
      </c>
      <c r="K34" s="120">
        <f>J34/References!$H$63</f>
        <v>37.61259115121738</v>
      </c>
      <c r="L34" s="120">
        <f t="shared" si="44"/>
        <v>1.5352030180511347</v>
      </c>
      <c r="M34" s="120">
        <f>'Proposed Rates'!C49</f>
        <v>69.039999999999992</v>
      </c>
      <c r="N34" s="120">
        <f t="shared" si="43"/>
        <v>70.575203018051127</v>
      </c>
      <c r="O34" s="120">
        <f>'Proposed Rates'!E49</f>
        <v>70.58</v>
      </c>
      <c r="P34" s="120">
        <f t="shared" si="48"/>
        <v>1691.4852710337454</v>
      </c>
      <c r="Q34" s="121">
        <f t="shared" si="49"/>
        <v>1729.0978621849629</v>
      </c>
      <c r="R34" s="123">
        <f t="shared" si="18"/>
        <v>37.61259115121743</v>
      </c>
      <c r="S34" s="56"/>
      <c r="T34" s="56"/>
      <c r="U34" s="55"/>
      <c r="V34" s="55"/>
      <c r="W34" s="55"/>
      <c r="X34" s="55"/>
      <c r="Y34" s="55"/>
      <c r="Z34" s="55"/>
      <c r="AA34" s="55"/>
      <c r="AB34" s="55"/>
      <c r="AC34" s="57"/>
    </row>
    <row r="35" spans="1:29">
      <c r="A35" s="64"/>
      <c r="B35" s="65"/>
      <c r="C35" s="36" t="s">
        <v>326</v>
      </c>
      <c r="D35" s="42">
        <f>SUM(D13:D34)</f>
        <v>4221.4398433860197</v>
      </c>
      <c r="E35" s="43"/>
      <c r="F35" s="42">
        <f>SUM(F13:F34)</f>
        <v>14339.467794722414</v>
      </c>
      <c r="G35" s="43"/>
      <c r="H35" s="42">
        <f>SUM(H13:H34)</f>
        <v>3059737.1663959636</v>
      </c>
      <c r="I35" s="42">
        <f>SUM(I13:I34)</f>
        <v>2104924.542982081</v>
      </c>
      <c r="J35" s="39">
        <f>SUM(J13:J34)</f>
        <v>6556.8399513891673</v>
      </c>
      <c r="K35" s="39">
        <f>SUM(K13:K34)</f>
        <v>6691.3358009890462</v>
      </c>
      <c r="L35" s="125"/>
      <c r="M35" s="125"/>
      <c r="N35" s="125"/>
      <c r="O35" s="125"/>
      <c r="P35" s="39">
        <f>SUM(P13:P34)</f>
        <v>304288.44731890905</v>
      </c>
      <c r="Q35" s="39">
        <f>SUM(Q13:Q34)</f>
        <v>310979.783119898</v>
      </c>
      <c r="R35" s="39">
        <f>SUM(R13:R34)</f>
        <v>6691.3358009890399</v>
      </c>
      <c r="T35" s="227"/>
      <c r="U35" s="227"/>
      <c r="V35" s="21"/>
      <c r="W35" s="21"/>
      <c r="X35" s="21"/>
      <c r="Y35" s="21"/>
      <c r="Z35" s="21"/>
      <c r="AA35" s="21"/>
      <c r="AC35" s="57"/>
    </row>
    <row r="36" spans="1:29">
      <c r="D36" s="66"/>
      <c r="H36" s="52"/>
      <c r="J36" s="129"/>
      <c r="K36" s="50"/>
      <c r="M36" s="50"/>
      <c r="T36" s="55"/>
      <c r="U36" s="55"/>
      <c r="V36" s="55"/>
      <c r="W36" s="55"/>
      <c r="X36" s="55"/>
      <c r="Y36" s="55"/>
      <c r="AC36" s="61"/>
    </row>
    <row r="37" spans="1:29">
      <c r="A37" s="64"/>
      <c r="B37" s="65"/>
      <c r="C37" s="36" t="s">
        <v>317</v>
      </c>
      <c r="D37" s="42">
        <f>D11+D35</f>
        <v>34895.202937209782</v>
      </c>
      <c r="E37" s="43"/>
      <c r="F37" s="42">
        <f>F11+F35</f>
        <v>112102.07147072056</v>
      </c>
      <c r="G37" s="43"/>
      <c r="H37" s="42">
        <f>H11+H35</f>
        <v>6587895.6193663944</v>
      </c>
      <c r="I37" s="42">
        <f>I11+I35</f>
        <v>4532096.1970541738</v>
      </c>
      <c r="J37" s="39">
        <f>J11+J35</f>
        <v>14117.479653823719</v>
      </c>
      <c r="K37" s="39">
        <f>K11+K35</f>
        <v>14407.061591819285</v>
      </c>
      <c r="L37" s="125"/>
      <c r="M37" s="125"/>
      <c r="N37" s="125"/>
      <c r="O37" s="125"/>
      <c r="P37" s="39">
        <f>P11+P35</f>
        <v>735324.41063261288</v>
      </c>
      <c r="Q37" s="39">
        <f>Q11+Q35</f>
        <v>749731.47222443204</v>
      </c>
      <c r="R37" s="39">
        <f>R11+R35</f>
        <v>14407.061591819296</v>
      </c>
      <c r="T37" s="178"/>
      <c r="U37" s="55"/>
      <c r="V37" s="55"/>
      <c r="W37" s="55"/>
      <c r="X37" s="55"/>
      <c r="Y37" s="55"/>
      <c r="AC37" s="57"/>
    </row>
    <row r="38" spans="1:29">
      <c r="C38" s="40"/>
      <c r="D38" s="66"/>
      <c r="F38" s="32"/>
      <c r="H38" s="32"/>
      <c r="I38" s="32"/>
      <c r="J38" s="32"/>
      <c r="K38" s="32"/>
      <c r="P38" s="32"/>
      <c r="Q38" s="32"/>
      <c r="R38" s="32"/>
      <c r="T38" s="55"/>
      <c r="U38" s="55"/>
      <c r="V38" s="55"/>
      <c r="W38" s="55"/>
      <c r="X38" s="55"/>
      <c r="Y38" s="55"/>
      <c r="AC38" s="57"/>
    </row>
    <row r="39" spans="1:29">
      <c r="C39" s="40"/>
      <c r="D39" s="66"/>
      <c r="F39" s="32"/>
      <c r="H39" s="32"/>
      <c r="I39" s="32"/>
      <c r="J39" s="32"/>
      <c r="K39" s="32"/>
      <c r="P39" s="32"/>
      <c r="Q39" s="32"/>
      <c r="R39" s="32"/>
      <c r="T39" s="55"/>
      <c r="U39" s="55"/>
      <c r="V39" s="55"/>
      <c r="W39" s="55"/>
      <c r="X39" s="55"/>
      <c r="Y39" s="55"/>
      <c r="AC39" s="57"/>
    </row>
    <row r="40" spans="1:29">
      <c r="A40" s="68"/>
      <c r="B40" s="69"/>
      <c r="C40" s="23" t="s">
        <v>228</v>
      </c>
      <c r="D40" s="70"/>
      <c r="E40" s="68"/>
      <c r="F40" s="68"/>
      <c r="G40" s="68"/>
      <c r="H40" s="68"/>
      <c r="I40" s="130"/>
      <c r="J40" s="131"/>
      <c r="K40" s="68"/>
      <c r="L40" s="68"/>
      <c r="M40" s="68"/>
      <c r="N40" s="68"/>
      <c r="O40" s="68"/>
      <c r="P40" s="71" t="s">
        <v>72</v>
      </c>
      <c r="Q40" s="55">
        <f>R11</f>
        <v>7715.7257908302554</v>
      </c>
      <c r="R40" s="61">
        <f>Q40/P11</f>
        <v>1.790042234878398E-2</v>
      </c>
      <c r="T40" s="72"/>
      <c r="U40" s="55"/>
      <c r="V40" s="61"/>
      <c r="W40" s="55"/>
      <c r="X40" s="55"/>
      <c r="Y40" s="55"/>
      <c r="Z40" s="61"/>
      <c r="AA40" s="61"/>
      <c r="AC40" s="57"/>
    </row>
    <row r="41" spans="1:29" s="54" customFormat="1" ht="15" customHeight="1">
      <c r="A41" s="189" t="s">
        <v>24</v>
      </c>
      <c r="B41" s="73">
        <v>16</v>
      </c>
      <c r="C41" s="54" t="s">
        <v>316</v>
      </c>
      <c r="D41" s="74">
        <v>0</v>
      </c>
      <c r="E41" s="63">
        <f>References!$C$10</f>
        <v>1</v>
      </c>
      <c r="F41" s="17">
        <v>12</v>
      </c>
      <c r="G41" s="17">
        <f>References!$C$16</f>
        <v>34</v>
      </c>
      <c r="H41" s="17">
        <f t="shared" ref="H41" si="51">F41*G41</f>
        <v>408</v>
      </c>
      <c r="I41" s="122">
        <f>$D$57*H41</f>
        <v>280.68071433347086</v>
      </c>
      <c r="J41" s="120">
        <f>I41*References!$D$60</f>
        <v>0.87432042514875974</v>
      </c>
      <c r="K41" s="120">
        <f>J41/References!$H$63</f>
        <v>0.89225474553399298</v>
      </c>
      <c r="L41" s="120">
        <f t="shared" ref="L41:L45" si="52">K41/F41</f>
        <v>7.4354562127832743E-2</v>
      </c>
      <c r="M41" s="120">
        <f>'Proposed Rates'!C6</f>
        <v>2.56</v>
      </c>
      <c r="N41" s="120">
        <f t="shared" ref="N41:N45" si="53">L41+M41</f>
        <v>2.6343545621278328</v>
      </c>
      <c r="O41" s="120">
        <f>'Proposed Rates'!E6</f>
        <v>2.63</v>
      </c>
      <c r="P41" s="71" t="s">
        <v>323</v>
      </c>
      <c r="Q41" s="55">
        <f>R35</f>
        <v>6691.3358009890399</v>
      </c>
      <c r="R41" s="61">
        <f>Q41/P35</f>
        <v>2.1990107938525169E-2</v>
      </c>
      <c r="S41" s="56"/>
      <c r="T41" s="72"/>
      <c r="U41" s="55"/>
      <c r="V41" s="61"/>
      <c r="W41" s="55"/>
      <c r="X41" s="55"/>
      <c r="Y41" s="55"/>
      <c r="Z41" s="61"/>
      <c r="AA41" s="61"/>
      <c r="AC41" s="57"/>
    </row>
    <row r="42" spans="1:29" s="54" customFormat="1">
      <c r="A42" s="189"/>
      <c r="B42" s="58">
        <v>28</v>
      </c>
      <c r="C42" s="16" t="s">
        <v>253</v>
      </c>
      <c r="D42" s="127">
        <v>0</v>
      </c>
      <c r="E42" s="118">
        <v>1</v>
      </c>
      <c r="F42" s="17">
        <v>12</v>
      </c>
      <c r="G42" s="17">
        <f>References!$C$29</f>
        <v>125</v>
      </c>
      <c r="H42" s="17">
        <f t="shared" ref="H42:H45" si="54">F42*G42</f>
        <v>1500</v>
      </c>
      <c r="I42" s="122">
        <f>$D$57*H42</f>
        <v>1031.9143909318782</v>
      </c>
      <c r="J42" s="120">
        <f>I42*References!$D$60</f>
        <v>3.2144133277527933</v>
      </c>
      <c r="K42" s="120">
        <f>J42/References!$H$63</f>
        <v>3.280348329169092</v>
      </c>
      <c r="L42" s="120">
        <f t="shared" si="52"/>
        <v>0.27336236076409098</v>
      </c>
      <c r="M42" s="120">
        <f>'Proposed Rates'!C22</f>
        <v>14.57</v>
      </c>
      <c r="N42" s="120">
        <f t="shared" si="53"/>
        <v>14.843362360764091</v>
      </c>
      <c r="O42" s="120">
        <f>'Proposed Rates'!E22</f>
        <v>14.84</v>
      </c>
      <c r="P42" s="132"/>
      <c r="Q42" s="169">
        <f>SUM(Q40:Q41)</f>
        <v>14407.061591819296</v>
      </c>
      <c r="R42" s="134"/>
      <c r="S42" s="56"/>
      <c r="T42" s="56"/>
      <c r="U42" s="55"/>
      <c r="V42" s="55"/>
      <c r="W42" s="55"/>
      <c r="X42" s="55"/>
      <c r="Y42" s="55"/>
      <c r="Z42" s="55"/>
      <c r="AC42" s="57"/>
    </row>
    <row r="43" spans="1:29" s="54" customFormat="1">
      <c r="A43" s="189"/>
      <c r="B43" s="58">
        <v>35</v>
      </c>
      <c r="C43" s="22" t="s">
        <v>227</v>
      </c>
      <c r="D43" s="128">
        <v>0</v>
      </c>
      <c r="E43" s="118">
        <f>References!$C$11</f>
        <v>4</v>
      </c>
      <c r="F43" s="17">
        <v>12</v>
      </c>
      <c r="G43" s="17">
        <f>References!$C$31</f>
        <v>250</v>
      </c>
      <c r="H43" s="17">
        <f t="shared" ref="H43" si="55">F43*G43</f>
        <v>3000</v>
      </c>
      <c r="I43" s="122">
        <f>$D$57*H43</f>
        <v>2063.8287818637564</v>
      </c>
      <c r="J43" s="120">
        <f>I43*References!$D$60</f>
        <v>6.4288266555055866</v>
      </c>
      <c r="K43" s="120">
        <f>J43/References!$H$63</f>
        <v>6.5606966583381841</v>
      </c>
      <c r="L43" s="120">
        <f t="shared" ref="L43" si="56">K43/F43</f>
        <v>0.54672472152818197</v>
      </c>
      <c r="M43" s="120">
        <f>'Proposed Rates'!C53</f>
        <v>24.884388209168193</v>
      </c>
      <c r="N43" s="120">
        <f t="shared" ref="N43" si="57">L43+M43</f>
        <v>25.431112930696376</v>
      </c>
      <c r="O43" s="120">
        <f>'Proposed Rates'!E53</f>
        <v>25.431112930696376</v>
      </c>
      <c r="P43" s="132"/>
      <c r="Q43" s="134"/>
      <c r="R43" s="134"/>
      <c r="S43" s="56"/>
      <c r="T43" s="55"/>
      <c r="U43" s="55"/>
      <c r="V43" s="55"/>
      <c r="W43" s="55"/>
      <c r="X43" s="55"/>
      <c r="Y43" s="55"/>
      <c r="Z43" s="55"/>
      <c r="AC43" s="57"/>
    </row>
    <row r="44" spans="1:29" s="54" customFormat="1">
      <c r="A44" s="189"/>
      <c r="B44" s="58">
        <v>38</v>
      </c>
      <c r="C44" s="22" t="s">
        <v>229</v>
      </c>
      <c r="D44" s="128">
        <v>0</v>
      </c>
      <c r="E44" s="118">
        <f>References!$C$10</f>
        <v>1</v>
      </c>
      <c r="F44" s="17">
        <v>12</v>
      </c>
      <c r="G44" s="17">
        <f>References!$C$42</f>
        <v>972</v>
      </c>
      <c r="H44" s="17">
        <f t="shared" si="54"/>
        <v>11664</v>
      </c>
      <c r="I44" s="122">
        <f t="shared" ref="I44" si="58">$D$57*H44</f>
        <v>8024.1663038862844</v>
      </c>
      <c r="J44" s="120">
        <f>I44*References!$D$60</f>
        <v>24.995278036605718</v>
      </c>
      <c r="K44" s="120">
        <f>J44/References!$H$63</f>
        <v>25.507988607618856</v>
      </c>
      <c r="L44" s="120">
        <f t="shared" si="52"/>
        <v>2.1256657173015712</v>
      </c>
      <c r="M44" s="120">
        <f>'Proposed Rates'!C65</f>
        <v>83.320000000000007</v>
      </c>
      <c r="N44" s="120">
        <f t="shared" si="53"/>
        <v>85.44566571730158</v>
      </c>
      <c r="O44" s="120">
        <f>'Proposed Rates'!E65</f>
        <v>85.45</v>
      </c>
      <c r="P44" s="132" t="s">
        <v>324</v>
      </c>
      <c r="Q44" s="133">
        <f>'DF Tons'!D23*References!C60</f>
        <v>1271.6623949404989</v>
      </c>
      <c r="R44" s="135">
        <f>References!E60</f>
        <v>4.6288728731703616E-2</v>
      </c>
      <c r="S44" s="56"/>
      <c r="T44" s="56"/>
      <c r="U44" s="55"/>
      <c r="V44" s="55"/>
      <c r="W44" s="55"/>
      <c r="X44" s="55"/>
      <c r="Y44" s="55"/>
      <c r="Z44" s="55"/>
      <c r="AC44" s="57"/>
    </row>
    <row r="45" spans="1:29" s="54" customFormat="1">
      <c r="A45" s="189"/>
      <c r="B45" s="58">
        <v>38</v>
      </c>
      <c r="C45" s="22" t="s">
        <v>296</v>
      </c>
      <c r="D45" s="128">
        <v>0</v>
      </c>
      <c r="E45" s="118">
        <f>References!$C$10</f>
        <v>1</v>
      </c>
      <c r="F45" s="17">
        <v>12</v>
      </c>
      <c r="G45" s="17">
        <f>References!$C$51</f>
        <v>1620</v>
      </c>
      <c r="H45" s="17">
        <f t="shared" si="54"/>
        <v>19440</v>
      </c>
      <c r="I45" s="122">
        <f>$D$57*H45</f>
        <v>13373.61050647714</v>
      </c>
      <c r="J45" s="120">
        <f>I45*References!$D$60</f>
        <v>41.658796727676197</v>
      </c>
      <c r="K45" s="120">
        <f>J45/References!$H$63</f>
        <v>42.513314346031429</v>
      </c>
      <c r="L45" s="120">
        <f t="shared" si="52"/>
        <v>3.5427761955026189</v>
      </c>
      <c r="M45" s="120">
        <f>'Proposed Rates'!C68</f>
        <v>128.25</v>
      </c>
      <c r="N45" s="120">
        <f t="shared" si="53"/>
        <v>131.79277619550263</v>
      </c>
      <c r="O45" s="120">
        <f>'Proposed Rates'!E68</f>
        <v>131.79</v>
      </c>
      <c r="P45" s="132"/>
      <c r="Q45" s="120"/>
      <c r="R45" s="134"/>
      <c r="S45" s="56"/>
      <c r="T45" s="55"/>
      <c r="U45" s="55"/>
      <c r="V45" s="55"/>
      <c r="W45" s="55"/>
      <c r="X45" s="55"/>
      <c r="Y45" s="55"/>
      <c r="Z45" s="55"/>
      <c r="AC45" s="57"/>
    </row>
    <row r="46" spans="1:29" s="54" customFormat="1">
      <c r="A46" s="62"/>
      <c r="B46" s="58"/>
      <c r="C46" s="22"/>
      <c r="D46" s="128"/>
      <c r="E46" s="118"/>
      <c r="F46" s="17"/>
      <c r="G46" s="17"/>
      <c r="H46" s="17"/>
      <c r="I46" s="122"/>
      <c r="J46" s="120"/>
      <c r="K46" s="120"/>
      <c r="L46" s="120"/>
      <c r="M46" s="120"/>
      <c r="N46" s="120"/>
      <c r="O46" s="120"/>
      <c r="P46" s="132"/>
      <c r="Q46" s="134">
        <f>Q42+Q44</f>
        <v>15678.723986759795</v>
      </c>
      <c r="R46" s="134"/>
      <c r="S46" s="56"/>
      <c r="T46" s="56"/>
      <c r="U46" s="55"/>
      <c r="V46" s="55"/>
      <c r="W46" s="55"/>
      <c r="X46" s="55"/>
      <c r="Y46" s="55"/>
      <c r="Z46" s="55"/>
      <c r="AC46" s="57"/>
    </row>
    <row r="47" spans="1:29" s="54" customFormat="1">
      <c r="A47" s="62"/>
      <c r="B47" s="58"/>
      <c r="C47" s="16"/>
      <c r="D47" s="127"/>
      <c r="E47" s="118"/>
      <c r="F47" s="17"/>
      <c r="G47" s="17"/>
      <c r="H47" s="17"/>
      <c r="I47" s="122"/>
      <c r="J47" s="120"/>
      <c r="K47" s="120"/>
      <c r="L47" s="120"/>
      <c r="M47" s="120"/>
      <c r="N47" s="120"/>
      <c r="O47" s="120"/>
      <c r="P47" s="132"/>
      <c r="Q47" s="120"/>
      <c r="R47" s="134"/>
      <c r="S47" s="56"/>
      <c r="T47" s="55"/>
      <c r="U47" s="55"/>
      <c r="V47" s="55"/>
      <c r="W47" s="55"/>
      <c r="X47" s="55"/>
      <c r="Y47" s="55"/>
      <c r="Z47" s="55"/>
      <c r="AC47" s="57"/>
    </row>
    <row r="48" spans="1:29" s="54" customFormat="1">
      <c r="A48" s="62"/>
      <c r="B48" s="58"/>
      <c r="C48" s="16"/>
      <c r="D48" s="127"/>
      <c r="E48" s="118"/>
      <c r="F48" s="17"/>
      <c r="G48" s="17"/>
      <c r="H48" s="17"/>
      <c r="I48" s="122"/>
      <c r="J48" s="120"/>
      <c r="K48" s="120"/>
      <c r="L48" s="120"/>
      <c r="M48" s="120"/>
      <c r="N48" s="120"/>
      <c r="O48" s="120"/>
      <c r="P48" s="132"/>
      <c r="Q48" s="120"/>
      <c r="R48" s="134"/>
      <c r="S48" s="56"/>
      <c r="T48" s="55"/>
      <c r="U48" s="55"/>
      <c r="V48" s="55"/>
      <c r="W48" s="55"/>
      <c r="X48" s="55"/>
      <c r="Y48" s="55"/>
      <c r="Z48" s="55"/>
      <c r="AC48" s="57"/>
    </row>
    <row r="49" spans="1:29">
      <c r="A49" s="62"/>
      <c r="C49" s="24"/>
      <c r="D49" s="136"/>
      <c r="E49" s="126"/>
      <c r="F49" s="117"/>
      <c r="G49" s="17"/>
      <c r="H49" s="117"/>
      <c r="J49" s="120"/>
      <c r="K49" s="137"/>
      <c r="L49" s="137"/>
      <c r="M49" s="137"/>
      <c r="N49" s="137"/>
      <c r="O49" s="120"/>
      <c r="P49" s="49"/>
      <c r="T49" s="55"/>
      <c r="U49" s="55"/>
      <c r="V49" s="55"/>
      <c r="W49" s="55"/>
      <c r="X49" s="55"/>
      <c r="Y49" s="55"/>
      <c r="AC49" s="57"/>
    </row>
    <row r="50" spans="1:29">
      <c r="A50" s="62"/>
      <c r="C50" s="25"/>
      <c r="P50" s="49"/>
      <c r="T50" s="55"/>
      <c r="U50" s="55"/>
      <c r="V50" s="55"/>
      <c r="W50" s="55"/>
      <c r="X50" s="55"/>
      <c r="Y50" s="55"/>
      <c r="AC50" s="57"/>
    </row>
    <row r="51" spans="1:29">
      <c r="A51" s="62"/>
      <c r="C51" s="25"/>
      <c r="T51" s="55"/>
      <c r="U51" s="55"/>
      <c r="V51" s="55"/>
      <c r="W51" s="55"/>
      <c r="X51" s="55"/>
      <c r="Y51" s="55"/>
      <c r="AC51" s="57"/>
    </row>
    <row r="52" spans="1:29">
      <c r="A52" s="62"/>
      <c r="C52" s="191" t="s">
        <v>230</v>
      </c>
      <c r="D52" s="191"/>
      <c r="E52" s="75"/>
      <c r="F52" s="75"/>
      <c r="H52" s="76"/>
      <c r="I52" s="17"/>
      <c r="J52" s="54"/>
      <c r="T52" s="55"/>
      <c r="U52" s="55"/>
      <c r="V52" s="55"/>
      <c r="W52" s="55"/>
      <c r="X52" s="55"/>
      <c r="Y52" s="55"/>
      <c r="AC52" s="57"/>
    </row>
    <row r="53" spans="1:29">
      <c r="A53" s="62"/>
      <c r="D53" s="26" t="s">
        <v>23</v>
      </c>
      <c r="E53" s="27"/>
      <c r="F53" s="27"/>
      <c r="H53" s="76"/>
      <c r="I53" s="17"/>
      <c r="J53" s="63"/>
      <c r="P53" s="49"/>
      <c r="T53" s="55"/>
      <c r="U53" s="55"/>
      <c r="V53" s="55"/>
      <c r="W53" s="55"/>
      <c r="X53" s="55"/>
      <c r="Y53" s="55"/>
      <c r="AC53" s="57"/>
    </row>
    <row r="54" spans="1:29">
      <c r="A54" s="62"/>
      <c r="C54" s="47" t="s">
        <v>231</v>
      </c>
      <c r="D54" s="173">
        <f>'DF Tons'!G23</f>
        <v>2266.0480985270869</v>
      </c>
      <c r="E54" s="117"/>
      <c r="F54" s="117"/>
      <c r="G54" s="28"/>
      <c r="H54" s="29"/>
      <c r="I54" s="17"/>
      <c r="J54" s="63"/>
      <c r="P54" s="49"/>
      <c r="T54" s="55"/>
      <c r="U54" s="55"/>
      <c r="V54" s="55"/>
      <c r="W54" s="55"/>
      <c r="X54" s="55"/>
      <c r="Y54" s="55"/>
      <c r="AC54" s="57"/>
    </row>
    <row r="55" spans="1:29">
      <c r="A55" s="62"/>
      <c r="C55" s="47" t="s">
        <v>232</v>
      </c>
      <c r="D55" s="138">
        <f>D54*References!H18</f>
        <v>4532096.1970541738</v>
      </c>
      <c r="E55" s="138"/>
      <c r="F55" s="138"/>
      <c r="G55" s="138"/>
      <c r="H55" s="30"/>
      <c r="I55" s="17"/>
      <c r="J55" s="63"/>
      <c r="T55" s="55"/>
      <c r="U55" s="55"/>
      <c r="V55" s="55"/>
      <c r="W55" s="55"/>
      <c r="X55" s="55"/>
      <c r="Y55" s="55"/>
      <c r="AC55" s="57"/>
    </row>
    <row r="56" spans="1:29">
      <c r="C56" s="47" t="s">
        <v>233</v>
      </c>
      <c r="D56" s="138">
        <f>F37</f>
        <v>112102.07147072056</v>
      </c>
      <c r="E56" s="117"/>
      <c r="F56" s="117"/>
      <c r="G56" s="117"/>
      <c r="H56" s="139"/>
      <c r="I56" s="17"/>
      <c r="J56" s="63"/>
      <c r="P56" s="49"/>
      <c r="T56" s="55"/>
      <c r="U56" s="55"/>
      <c r="V56" s="55"/>
      <c r="W56" s="55"/>
      <c r="X56" s="55"/>
      <c r="Y56" s="55"/>
      <c r="AC56" s="57"/>
    </row>
    <row r="57" spans="1:29">
      <c r="C57" s="51" t="s">
        <v>234</v>
      </c>
      <c r="D57" s="140">
        <f>D55/$H$37</f>
        <v>0.68794292728791873</v>
      </c>
      <c r="E57" s="140"/>
      <c r="F57" s="140"/>
      <c r="G57" s="140"/>
      <c r="H57" s="141"/>
      <c r="I57" s="17"/>
      <c r="J57" s="63"/>
      <c r="M57" s="77"/>
      <c r="N57" s="77"/>
      <c r="O57" s="77"/>
      <c r="P57" s="78"/>
      <c r="T57" s="55"/>
      <c r="U57" s="55"/>
      <c r="V57" s="55"/>
      <c r="W57" s="55"/>
      <c r="X57" s="55"/>
      <c r="Y57" s="55"/>
      <c r="AC57" s="57"/>
    </row>
    <row r="58" spans="1:29">
      <c r="G58" s="31"/>
      <c r="H58" s="126"/>
      <c r="I58" s="17"/>
      <c r="J58" s="63"/>
      <c r="M58" s="50"/>
      <c r="N58" s="142"/>
      <c r="O58" s="142"/>
      <c r="P58" s="67"/>
      <c r="T58" s="55"/>
      <c r="U58" s="55"/>
      <c r="V58" s="55"/>
      <c r="W58" s="55"/>
      <c r="X58" s="55"/>
      <c r="Y58" s="55"/>
      <c r="AC58" s="57"/>
    </row>
    <row r="59" spans="1:29">
      <c r="D59" s="143"/>
      <c r="E59" s="144"/>
      <c r="G59" s="31"/>
      <c r="H59" s="126"/>
      <c r="I59" s="17"/>
      <c r="J59" s="63"/>
      <c r="M59" s="50"/>
      <c r="N59" s="142"/>
      <c r="O59" s="142"/>
      <c r="P59" s="67"/>
      <c r="T59" s="55"/>
      <c r="U59" s="55"/>
      <c r="V59" s="55"/>
      <c r="W59" s="55"/>
      <c r="X59" s="55"/>
      <c r="Y59" s="55"/>
      <c r="AC59" s="57"/>
    </row>
    <row r="60" spans="1:29">
      <c r="D60" s="143"/>
      <c r="E60" s="144"/>
      <c r="G60" s="31"/>
      <c r="H60" s="145"/>
      <c r="J60" s="79"/>
      <c r="M60" s="50"/>
      <c r="N60" s="142"/>
      <c r="O60" s="142"/>
      <c r="P60" s="67"/>
      <c r="T60" s="55"/>
      <c r="U60" s="55"/>
      <c r="V60" s="55"/>
      <c r="W60" s="55"/>
      <c r="X60" s="55"/>
      <c r="Y60" s="55"/>
    </row>
    <row r="61" spans="1:29">
      <c r="D61" s="47"/>
      <c r="I61" s="47"/>
      <c r="T61" s="55"/>
      <c r="U61" s="55"/>
      <c r="V61" s="55"/>
      <c r="W61" s="55"/>
      <c r="X61" s="55"/>
      <c r="Y61" s="55"/>
    </row>
    <row r="62" spans="1:29">
      <c r="D62" s="47"/>
      <c r="E62" s="79"/>
      <c r="I62" s="47"/>
      <c r="T62" s="55"/>
      <c r="U62" s="55"/>
      <c r="V62" s="55"/>
      <c r="W62" s="55"/>
      <c r="X62" s="55"/>
      <c r="Y62" s="55"/>
    </row>
    <row r="63" spans="1:29">
      <c r="D63" s="47"/>
      <c r="I63" s="47"/>
      <c r="T63" s="55"/>
      <c r="U63" s="55"/>
      <c r="V63" s="55"/>
      <c r="W63" s="55"/>
      <c r="X63" s="55"/>
      <c r="Y63" s="55"/>
    </row>
    <row r="64" spans="1:29">
      <c r="D64" s="47"/>
      <c r="I64" s="47"/>
      <c r="T64" s="55"/>
      <c r="U64" s="55"/>
      <c r="V64" s="55"/>
      <c r="W64" s="55"/>
      <c r="X64" s="55"/>
      <c r="Y64" s="55"/>
    </row>
    <row r="65" spans="4:4">
      <c r="D65" s="47"/>
    </row>
  </sheetData>
  <mergeCells count="4">
    <mergeCell ref="A2:A10"/>
    <mergeCell ref="A12:A34"/>
    <mergeCell ref="C52:D52"/>
    <mergeCell ref="A41:A45"/>
  </mergeCells>
  <pageMargins left="0.45" right="0.45" top="0.75" bottom="0.75" header="0.3" footer="0.3"/>
  <pageSetup scale="55" fitToHeight="2" pageOrder="overThenDown" orientation="landscape" r:id="rId1"/>
  <headerFooter>
    <oddHeader>&amp;C&amp;"-,Bold"&amp;12Vashon Disposal&amp;"-,Regular"
&amp;"-,Bold"Dump Fee Calculation</oddHeader>
    <oddFooter>&amp;L&amp;F - &amp;A&amp;C&amp;D&amp;R&amp;P of &amp;N</oddFooter>
  </headerFooter>
  <ignoredErrors>
    <ignoredError sqref="E22:E23" formula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9"/>
  <sheetViews>
    <sheetView tabSelected="1" zoomScale="85" zoomScaleNormal="85" workbookViewId="0">
      <selection activeCell="H27" sqref="H27"/>
    </sheetView>
  </sheetViews>
  <sheetFormatPr defaultRowHeight="15"/>
  <cols>
    <col min="1" max="1" width="28.28515625" style="45" customWidth="1"/>
    <col min="2" max="2" width="8.140625" style="45" bestFit="1" customWidth="1"/>
    <col min="3" max="3" width="10.140625" style="46" customWidth="1"/>
    <col min="4" max="4" width="12" style="45" customWidth="1"/>
    <col min="5" max="5" width="8.7109375" style="45" bestFit="1" customWidth="1"/>
    <col min="6" max="6" width="18" style="45" customWidth="1"/>
    <col min="7" max="7" width="9.140625" style="45"/>
    <col min="8" max="8" width="9.140625" style="181"/>
    <col min="9" max="16384" width="9.140625" style="45"/>
  </cols>
  <sheetData>
    <row r="1" spans="1:9">
      <c r="A1" s="106" t="s">
        <v>235</v>
      </c>
      <c r="B1" s="106"/>
      <c r="C1" s="107"/>
      <c r="D1" s="108"/>
      <c r="E1" s="108"/>
      <c r="F1" s="108"/>
      <c r="G1" s="108"/>
      <c r="H1" s="179"/>
      <c r="I1" s="108"/>
    </row>
    <row r="2" spans="1:9">
      <c r="A2" s="106" t="s">
        <v>276</v>
      </c>
      <c r="B2" s="106"/>
      <c r="C2" s="107"/>
      <c r="D2" s="108"/>
      <c r="E2" s="108"/>
      <c r="F2" s="108"/>
      <c r="G2" s="108"/>
      <c r="H2" s="179"/>
      <c r="I2" s="108"/>
    </row>
    <row r="3" spans="1:9">
      <c r="A3" s="109" t="s">
        <v>336</v>
      </c>
      <c r="B3" s="108"/>
      <c r="C3" s="110"/>
      <c r="D3" s="108"/>
      <c r="E3" s="108"/>
      <c r="F3" s="108"/>
      <c r="G3" s="111"/>
      <c r="H3" s="179"/>
      <c r="I3" s="108"/>
    </row>
    <row r="4" spans="1:9" ht="45">
      <c r="A4" s="108"/>
      <c r="B4" s="108"/>
      <c r="C4" s="175" t="s">
        <v>332</v>
      </c>
      <c r="D4" s="176" t="s">
        <v>333</v>
      </c>
      <c r="E4" s="176" t="s">
        <v>337</v>
      </c>
      <c r="F4" s="111"/>
      <c r="G4" s="111"/>
      <c r="H4" s="179"/>
      <c r="I4" s="108"/>
    </row>
    <row r="5" spans="1:9">
      <c r="A5" s="109" t="s">
        <v>236</v>
      </c>
      <c r="B5" s="109"/>
      <c r="C5" s="110"/>
      <c r="D5" s="108"/>
      <c r="E5" s="108"/>
      <c r="F5" s="108"/>
      <c r="G5" s="108"/>
      <c r="H5" s="179"/>
      <c r="I5" s="108"/>
    </row>
    <row r="6" spans="1:9">
      <c r="A6" s="108" t="s">
        <v>237</v>
      </c>
      <c r="B6" s="108" t="s">
        <v>238</v>
      </c>
      <c r="C6" s="110">
        <v>2.56</v>
      </c>
      <c r="D6" s="112">
        <f>ROUND('DF Calculation'!L41,2)</f>
        <v>7.0000000000000007E-2</v>
      </c>
      <c r="E6" s="113">
        <f>SUM(C6:D6)</f>
        <v>2.63</v>
      </c>
      <c r="F6" s="113"/>
      <c r="G6" s="113"/>
      <c r="H6" s="183"/>
      <c r="I6" s="108"/>
    </row>
    <row r="7" spans="1:9">
      <c r="A7" s="108"/>
      <c r="B7" s="108"/>
      <c r="C7" s="114"/>
      <c r="D7" s="108"/>
      <c r="E7" s="108"/>
      <c r="F7" s="108"/>
      <c r="G7" s="108"/>
      <c r="H7" s="179"/>
      <c r="I7" s="108"/>
    </row>
    <row r="8" spans="1:9">
      <c r="A8" s="109" t="s">
        <v>239</v>
      </c>
      <c r="B8" s="109"/>
      <c r="C8" s="110"/>
      <c r="D8" s="108"/>
      <c r="E8" s="108"/>
      <c r="F8" s="108"/>
      <c r="G8" s="108"/>
      <c r="H8" s="179"/>
      <c r="I8" s="108"/>
    </row>
    <row r="9" spans="1:9">
      <c r="A9" s="108" t="s">
        <v>241</v>
      </c>
      <c r="B9" s="108" t="s">
        <v>245</v>
      </c>
      <c r="C9" s="114">
        <v>5.63</v>
      </c>
      <c r="D9" s="113">
        <f>ROUND('DF Calculation'!L5,2)</f>
        <v>7.0000000000000007E-2</v>
      </c>
      <c r="E9" s="113">
        <f>SUM(C9:D9)</f>
        <v>5.7</v>
      </c>
      <c r="F9" s="108"/>
      <c r="G9" s="108"/>
      <c r="H9" s="183"/>
      <c r="I9" s="108"/>
    </row>
    <row r="10" spans="1:9">
      <c r="A10" s="108" t="s">
        <v>241</v>
      </c>
      <c r="B10" s="108" t="s">
        <v>261</v>
      </c>
      <c r="C10" s="114">
        <v>13.959999999999999</v>
      </c>
      <c r="D10" s="113">
        <f>ROUND('DF Calculation'!L6,2)</f>
        <v>0.16</v>
      </c>
      <c r="E10" s="113">
        <f t="shared" ref="E10" si="0">SUM(C10:D10)</f>
        <v>14.12</v>
      </c>
      <c r="F10" s="108"/>
      <c r="G10" s="108"/>
      <c r="H10" s="183"/>
      <c r="I10" s="108"/>
    </row>
    <row r="11" spans="1:9">
      <c r="A11" s="108" t="s">
        <v>240</v>
      </c>
      <c r="B11" s="108" t="s">
        <v>238</v>
      </c>
      <c r="C11" s="114">
        <v>12.49</v>
      </c>
      <c r="D11" s="113">
        <f>ROUND('DF Calculation'!L4,2)</f>
        <v>0.19</v>
      </c>
      <c r="E11" s="113">
        <f t="shared" ref="E11:E15" si="1">SUM(C11:D11)</f>
        <v>12.68</v>
      </c>
      <c r="F11" s="108"/>
      <c r="G11" s="113"/>
      <c r="H11" s="183"/>
      <c r="I11" s="108"/>
    </row>
    <row r="12" spans="1:9">
      <c r="A12" s="108" t="s">
        <v>241</v>
      </c>
      <c r="B12" s="108" t="s">
        <v>238</v>
      </c>
      <c r="C12" s="114">
        <v>17.64</v>
      </c>
      <c r="D12" s="113">
        <f>ROUND('DF Calculation'!L7,2)</f>
        <v>0.32</v>
      </c>
      <c r="E12" s="113">
        <f t="shared" si="1"/>
        <v>17.96</v>
      </c>
      <c r="F12" s="108"/>
      <c r="G12" s="113"/>
      <c r="H12" s="183"/>
      <c r="I12" s="108"/>
    </row>
    <row r="13" spans="1:9">
      <c r="A13" s="108" t="s">
        <v>242</v>
      </c>
      <c r="B13" s="108" t="s">
        <v>238</v>
      </c>
      <c r="C13" s="114">
        <v>24.650000000000002</v>
      </c>
      <c r="D13" s="113">
        <f>ROUND('DF Calculation'!L8,2)</f>
        <v>0.48</v>
      </c>
      <c r="E13" s="113">
        <f t="shared" si="1"/>
        <v>25.130000000000003</v>
      </c>
      <c r="F13" s="108"/>
      <c r="G13" s="113"/>
      <c r="H13" s="183"/>
      <c r="I13" s="108"/>
    </row>
    <row r="14" spans="1:9">
      <c r="A14" s="108" t="s">
        <v>243</v>
      </c>
      <c r="B14" s="108" t="s">
        <v>238</v>
      </c>
      <c r="C14" s="114">
        <v>33.229999999999997</v>
      </c>
      <c r="D14" s="113">
        <f>ROUND('DF Calculation'!L9,2)</f>
        <v>0.73</v>
      </c>
      <c r="E14" s="113">
        <f t="shared" si="1"/>
        <v>33.959999999999994</v>
      </c>
      <c r="F14" s="108"/>
      <c r="G14" s="113"/>
      <c r="H14" s="183"/>
      <c r="I14" s="108"/>
    </row>
    <row r="15" spans="1:9">
      <c r="A15" s="108" t="s">
        <v>244</v>
      </c>
      <c r="B15" s="108" t="s">
        <v>238</v>
      </c>
      <c r="C15" s="114">
        <v>41.59</v>
      </c>
      <c r="D15" s="113">
        <f>ROUND('DF Calculation'!L10,2)</f>
        <v>0.92</v>
      </c>
      <c r="E15" s="113">
        <f t="shared" si="1"/>
        <v>42.510000000000005</v>
      </c>
      <c r="F15" s="108"/>
      <c r="G15" s="113"/>
      <c r="H15" s="183"/>
      <c r="I15" s="108"/>
    </row>
    <row r="16" spans="1:9">
      <c r="A16" s="108"/>
      <c r="B16" s="108"/>
      <c r="C16" s="110"/>
      <c r="D16" s="108"/>
      <c r="E16" s="108"/>
      <c r="F16" s="108"/>
      <c r="G16" s="113"/>
      <c r="H16" s="179"/>
      <c r="I16" s="108"/>
    </row>
    <row r="17" spans="1:9">
      <c r="A17" s="109" t="s">
        <v>246</v>
      </c>
      <c r="B17" s="108"/>
      <c r="C17" s="110"/>
      <c r="D17" s="108"/>
      <c r="E17" s="108"/>
      <c r="F17" s="108"/>
      <c r="G17" s="113"/>
      <c r="H17" s="179"/>
      <c r="I17" s="108"/>
    </row>
    <row r="18" spans="1:9">
      <c r="A18" s="108" t="s">
        <v>136</v>
      </c>
      <c r="B18" s="108" t="s">
        <v>247</v>
      </c>
      <c r="C18" s="110">
        <v>3.82</v>
      </c>
      <c r="D18" s="113">
        <f>ROUND('DF Calculation'!L3,2)</f>
        <v>7.0000000000000007E-2</v>
      </c>
      <c r="E18" s="113">
        <f t="shared" ref="E18:E19" si="2">SUM(C18:D18)</f>
        <v>3.8899999999999997</v>
      </c>
      <c r="F18" s="108"/>
      <c r="G18" s="113"/>
      <c r="H18" s="183"/>
      <c r="I18" s="108"/>
    </row>
    <row r="19" spans="1:9">
      <c r="A19" s="108" t="s">
        <v>248</v>
      </c>
      <c r="B19" s="108" t="s">
        <v>247</v>
      </c>
      <c r="C19" s="110">
        <v>5.7299999999999995</v>
      </c>
      <c r="D19" s="113">
        <f>ROUND('DF Calculation'!L3,2)</f>
        <v>7.0000000000000007E-2</v>
      </c>
      <c r="E19" s="113">
        <f t="shared" si="2"/>
        <v>5.8</v>
      </c>
      <c r="F19" s="108" t="s">
        <v>289</v>
      </c>
      <c r="G19" s="113"/>
      <c r="H19" s="183"/>
      <c r="I19" s="108"/>
    </row>
    <row r="20" spans="1:9">
      <c r="A20" s="108"/>
      <c r="B20" s="108"/>
      <c r="C20" s="110"/>
      <c r="D20" s="108"/>
      <c r="E20" s="108"/>
      <c r="F20" s="108"/>
      <c r="G20" s="113"/>
      <c r="H20" s="179"/>
      <c r="I20" s="108"/>
    </row>
    <row r="21" spans="1:9">
      <c r="A21" s="109" t="s">
        <v>262</v>
      </c>
      <c r="B21" s="108"/>
      <c r="C21" s="110"/>
      <c r="D21" s="108"/>
      <c r="E21" s="108"/>
      <c r="F21" s="108"/>
      <c r="G21" s="113"/>
      <c r="H21" s="179"/>
      <c r="I21" s="108"/>
    </row>
    <row r="22" spans="1:9">
      <c r="A22" s="108" t="s">
        <v>253</v>
      </c>
      <c r="B22" s="108" t="s">
        <v>247</v>
      </c>
      <c r="C22" s="114">
        <v>14.57</v>
      </c>
      <c r="D22" s="113">
        <f>ROUND('DF Calculation'!L14,2)</f>
        <v>0.27</v>
      </c>
      <c r="E22" s="113">
        <f t="shared" ref="E22:E27" si="3">SUM(C22:D22)</f>
        <v>14.84</v>
      </c>
      <c r="F22" s="108" t="s">
        <v>289</v>
      </c>
      <c r="G22" s="113"/>
      <c r="H22" s="183"/>
      <c r="I22" s="108"/>
    </row>
    <row r="23" spans="1:9">
      <c r="A23" s="108" t="s">
        <v>254</v>
      </c>
      <c r="B23" s="108" t="s">
        <v>247</v>
      </c>
      <c r="C23" s="114">
        <v>14.57</v>
      </c>
      <c r="D23" s="113">
        <f>ROUND('DF Calculation'!L14,2)</f>
        <v>0.27</v>
      </c>
      <c r="E23" s="113">
        <f t="shared" si="3"/>
        <v>14.84</v>
      </c>
      <c r="F23" s="108" t="s">
        <v>289</v>
      </c>
      <c r="G23" s="113"/>
      <c r="H23" s="183"/>
      <c r="I23" s="108"/>
    </row>
    <row r="24" spans="1:9">
      <c r="A24" s="108" t="s">
        <v>255</v>
      </c>
      <c r="B24" s="108" t="s">
        <v>247</v>
      </c>
      <c r="C24" s="114">
        <v>14.57</v>
      </c>
      <c r="D24" s="113">
        <f>ROUND('DF Calculation'!L14,2)</f>
        <v>0.27</v>
      </c>
      <c r="E24" s="113">
        <f t="shared" si="3"/>
        <v>14.84</v>
      </c>
      <c r="F24" s="108" t="s">
        <v>289</v>
      </c>
      <c r="G24" s="113"/>
      <c r="H24" s="183"/>
      <c r="I24" s="108"/>
    </row>
    <row r="25" spans="1:9">
      <c r="A25" s="108" t="s">
        <v>255</v>
      </c>
      <c r="B25" s="108" t="s">
        <v>247</v>
      </c>
      <c r="C25" s="114">
        <v>14.57</v>
      </c>
      <c r="D25" s="113">
        <f>ROUND('DF Calculation'!L14,2)</f>
        <v>0.27</v>
      </c>
      <c r="E25" s="113">
        <f t="shared" si="3"/>
        <v>14.84</v>
      </c>
      <c r="F25" s="108" t="s">
        <v>289</v>
      </c>
      <c r="G25" s="113"/>
      <c r="H25" s="183"/>
      <c r="I25" s="108"/>
    </row>
    <row r="26" spans="1:9">
      <c r="A26" s="108" t="s">
        <v>256</v>
      </c>
      <c r="B26" s="108" t="s">
        <v>247</v>
      </c>
      <c r="C26" s="114">
        <v>16.41</v>
      </c>
      <c r="D26" s="113">
        <f>ROUND('DF Calculation'!L14,2)</f>
        <v>0.27</v>
      </c>
      <c r="E26" s="113">
        <f t="shared" si="3"/>
        <v>16.68</v>
      </c>
      <c r="F26" s="108"/>
      <c r="G26" s="113"/>
      <c r="H26" s="183"/>
      <c r="I26" s="108"/>
    </row>
    <row r="27" spans="1:9">
      <c r="A27" s="108" t="s">
        <v>256</v>
      </c>
      <c r="B27" s="108" t="s">
        <v>247</v>
      </c>
      <c r="C27" s="114">
        <v>16.41</v>
      </c>
      <c r="D27" s="113">
        <f>ROUND('DF Calculation'!L14,2)</f>
        <v>0.27</v>
      </c>
      <c r="E27" s="113">
        <f t="shared" si="3"/>
        <v>16.68</v>
      </c>
      <c r="F27" s="108" t="s">
        <v>289</v>
      </c>
      <c r="G27" s="113"/>
      <c r="H27" s="183"/>
      <c r="I27" s="108"/>
    </row>
    <row r="28" spans="1:9">
      <c r="A28" s="108"/>
      <c r="B28" s="108"/>
      <c r="C28" s="114"/>
      <c r="D28" s="108"/>
      <c r="E28" s="108"/>
      <c r="F28" s="108"/>
      <c r="G28" s="113"/>
      <c r="H28" s="179"/>
      <c r="I28" s="108"/>
    </row>
    <row r="29" spans="1:9">
      <c r="A29" s="109" t="s">
        <v>263</v>
      </c>
      <c r="B29" s="108"/>
      <c r="C29" s="114"/>
      <c r="D29" s="108"/>
      <c r="E29" s="108"/>
      <c r="F29" s="108"/>
      <c r="G29" s="113"/>
      <c r="H29" s="179"/>
      <c r="I29" s="108"/>
    </row>
    <row r="30" spans="1:9">
      <c r="A30" s="108" t="s">
        <v>264</v>
      </c>
      <c r="B30" s="108" t="s">
        <v>247</v>
      </c>
      <c r="C30" s="114">
        <v>17.84</v>
      </c>
      <c r="D30" s="113">
        <f>ROUND('DF Calculation'!L14,2)</f>
        <v>0.27</v>
      </c>
      <c r="E30" s="113">
        <f t="shared" ref="E30" si="4">SUM(C30:D30)</f>
        <v>18.11</v>
      </c>
      <c r="F30" s="108" t="s">
        <v>289</v>
      </c>
      <c r="G30" s="113"/>
      <c r="H30" s="183"/>
      <c r="I30" s="108"/>
    </row>
    <row r="31" spans="1:9">
      <c r="A31" s="108"/>
      <c r="B31" s="108"/>
      <c r="C31" s="114"/>
      <c r="D31" s="108"/>
      <c r="E31" s="108"/>
      <c r="F31" s="108"/>
      <c r="G31" s="113"/>
      <c r="H31" s="179"/>
      <c r="I31" s="108"/>
    </row>
    <row r="32" spans="1:9">
      <c r="A32" s="109" t="s">
        <v>265</v>
      </c>
      <c r="B32" s="108"/>
      <c r="C32" s="110"/>
      <c r="D32" s="108"/>
      <c r="E32" s="108"/>
      <c r="F32" s="108"/>
      <c r="G32" s="113"/>
      <c r="H32" s="179"/>
      <c r="I32" s="108"/>
    </row>
    <row r="33" spans="1:9">
      <c r="A33" s="108" t="s">
        <v>257</v>
      </c>
      <c r="B33" s="108" t="s">
        <v>258</v>
      </c>
      <c r="C33" s="110">
        <v>134.59</v>
      </c>
      <c r="D33" s="115">
        <f>References!C60</f>
        <v>6.2299999999999898</v>
      </c>
      <c r="E33" s="113">
        <f t="shared" ref="E33" si="5">SUM(C33:D33)</f>
        <v>140.82</v>
      </c>
      <c r="F33" s="108"/>
      <c r="G33" s="113"/>
      <c r="H33" s="183"/>
      <c r="I33" s="108"/>
    </row>
    <row r="34" spans="1:9">
      <c r="A34" s="108"/>
      <c r="B34" s="108"/>
      <c r="C34" s="114"/>
      <c r="D34" s="108"/>
      <c r="E34" s="108"/>
      <c r="F34" s="108"/>
      <c r="G34" s="113"/>
      <c r="H34" s="179"/>
      <c r="I34" s="108"/>
    </row>
    <row r="35" spans="1:9">
      <c r="A35" s="109" t="s">
        <v>266</v>
      </c>
      <c r="B35" s="108"/>
      <c r="C35" s="110"/>
      <c r="D35" s="108"/>
      <c r="E35" s="108"/>
      <c r="F35" s="108"/>
      <c r="G35" s="113"/>
      <c r="H35" s="179"/>
      <c r="I35" s="108"/>
    </row>
    <row r="36" spans="1:9">
      <c r="A36" s="108" t="s">
        <v>269</v>
      </c>
      <c r="B36" s="108"/>
      <c r="C36" s="110"/>
      <c r="D36" s="108"/>
      <c r="E36" s="108"/>
      <c r="F36" s="108"/>
      <c r="G36" s="113"/>
      <c r="H36" s="179"/>
      <c r="I36" s="108"/>
    </row>
    <row r="37" spans="1:9">
      <c r="A37" s="108" t="s">
        <v>249</v>
      </c>
      <c r="B37" s="108" t="s">
        <v>247</v>
      </c>
      <c r="C37" s="110">
        <v>18.080000000000002</v>
      </c>
      <c r="D37" s="113">
        <f>ROUND('DF Calculation'!L29,2)</f>
        <v>0.38</v>
      </c>
      <c r="E37" s="113">
        <f t="shared" ref="E37:E39" si="6">SUM(C37:D37)</f>
        <v>18.46</v>
      </c>
      <c r="F37" s="108"/>
      <c r="G37" s="113"/>
      <c r="H37" s="183"/>
      <c r="I37" s="108"/>
    </row>
    <row r="38" spans="1:9">
      <c r="A38" s="108" t="s">
        <v>250</v>
      </c>
      <c r="B38" s="108" t="s">
        <v>247</v>
      </c>
      <c r="C38" s="110">
        <v>22.880000000000003</v>
      </c>
      <c r="D38" s="113">
        <f>ROUND('DF Calculation'!L30,2)</f>
        <v>0.55000000000000004</v>
      </c>
      <c r="E38" s="113">
        <f t="shared" si="6"/>
        <v>23.430000000000003</v>
      </c>
      <c r="F38" s="108"/>
      <c r="G38" s="113"/>
      <c r="H38" s="183"/>
      <c r="I38" s="108"/>
    </row>
    <row r="39" spans="1:9">
      <c r="A39" s="108" t="s">
        <v>251</v>
      </c>
      <c r="B39" s="108" t="s">
        <v>247</v>
      </c>
      <c r="C39" s="110">
        <v>31.82</v>
      </c>
      <c r="D39" s="113">
        <f>ROUND('DF Calculation'!L31,2)</f>
        <v>0.71</v>
      </c>
      <c r="E39" s="113">
        <f t="shared" si="6"/>
        <v>32.53</v>
      </c>
      <c r="F39" s="113"/>
      <c r="G39" s="113"/>
      <c r="H39" s="183"/>
      <c r="I39" s="108"/>
    </row>
    <row r="40" spans="1:9">
      <c r="A40" s="108"/>
      <c r="B40" s="108"/>
      <c r="C40" s="114"/>
      <c r="D40" s="108"/>
      <c r="E40" s="108"/>
      <c r="F40" s="108"/>
      <c r="G40" s="113"/>
      <c r="H40" s="179"/>
      <c r="I40" s="108"/>
    </row>
    <row r="41" spans="1:9">
      <c r="A41" s="108" t="s">
        <v>267</v>
      </c>
      <c r="B41" s="108"/>
      <c r="C41" s="110"/>
      <c r="D41" s="108"/>
      <c r="E41" s="108"/>
      <c r="F41" s="108"/>
      <c r="G41" s="113"/>
      <c r="H41" s="179"/>
      <c r="I41" s="108"/>
    </row>
    <row r="42" spans="1:9">
      <c r="A42" s="108" t="s">
        <v>249</v>
      </c>
      <c r="B42" s="108" t="s">
        <v>268</v>
      </c>
      <c r="C42" s="110">
        <v>78.265310901143522</v>
      </c>
      <c r="D42" s="113">
        <f>'DF Calculation'!L20</f>
        <v>1.6583983219688185</v>
      </c>
      <c r="E42" s="113">
        <f t="shared" ref="E42:E44" si="7">SUM(C42:D42)</f>
        <v>79.92370922311234</v>
      </c>
      <c r="F42" s="108"/>
      <c r="G42" s="113"/>
      <c r="H42" s="183"/>
      <c r="I42" s="108"/>
    </row>
    <row r="43" spans="1:9">
      <c r="A43" s="108" t="s">
        <v>250</v>
      </c>
      <c r="B43" s="108" t="s">
        <v>268</v>
      </c>
      <c r="C43" s="110">
        <v>99.08901557306217</v>
      </c>
      <c r="D43" s="113">
        <f>'DF Calculation'!L21</f>
        <v>2.3691404599554549</v>
      </c>
      <c r="E43" s="113">
        <f t="shared" si="7"/>
        <v>101.45815603301763</v>
      </c>
      <c r="F43" s="108"/>
      <c r="G43" s="113"/>
      <c r="H43" s="183"/>
      <c r="I43" s="108"/>
    </row>
    <row r="44" spans="1:9">
      <c r="A44" s="108" t="s">
        <v>251</v>
      </c>
      <c r="B44" s="108" t="s">
        <v>268</v>
      </c>
      <c r="C44" s="110">
        <v>137.78080418268857</v>
      </c>
      <c r="D44" s="113">
        <f>'DF Calculation'!L23</f>
        <v>3.0704060361022694</v>
      </c>
      <c r="E44" s="113">
        <f t="shared" si="7"/>
        <v>140.85121021879084</v>
      </c>
      <c r="F44" s="108"/>
      <c r="G44" s="113"/>
      <c r="H44" s="183"/>
      <c r="I44" s="108"/>
    </row>
    <row r="45" spans="1:9">
      <c r="A45" s="108"/>
      <c r="B45" s="108"/>
      <c r="C45" s="110"/>
      <c r="D45" s="113"/>
      <c r="E45" s="113"/>
      <c r="F45" s="108"/>
      <c r="G45" s="113"/>
      <c r="H45" s="184"/>
      <c r="I45" s="108"/>
    </row>
    <row r="46" spans="1:9">
      <c r="A46" s="108" t="s">
        <v>270</v>
      </c>
      <c r="B46" s="108"/>
      <c r="C46" s="110"/>
      <c r="D46" s="108"/>
      <c r="E46" s="108"/>
      <c r="F46" s="108"/>
      <c r="G46" s="113"/>
      <c r="H46" s="184"/>
      <c r="I46" s="108"/>
    </row>
    <row r="47" spans="1:9">
      <c r="A47" s="108" t="s">
        <v>249</v>
      </c>
      <c r="B47" s="108" t="s">
        <v>268</v>
      </c>
      <c r="C47" s="110">
        <v>39.22</v>
      </c>
      <c r="D47" s="113">
        <f>ROUND('DF Calculation'!L32,2)</f>
        <v>0.83</v>
      </c>
      <c r="E47" s="113">
        <f t="shared" ref="E47:E49" si="8">SUM(C47:D47)</f>
        <v>40.049999999999997</v>
      </c>
      <c r="F47" s="108"/>
      <c r="G47" s="113"/>
      <c r="H47" s="183"/>
      <c r="I47" s="108"/>
    </row>
    <row r="48" spans="1:9">
      <c r="A48" s="108" t="s">
        <v>250</v>
      </c>
      <c r="B48" s="108" t="s">
        <v>268</v>
      </c>
      <c r="C48" s="110">
        <v>49.660000000000004</v>
      </c>
      <c r="D48" s="113">
        <f>ROUND('DF Calculation'!L33,2)</f>
        <v>1.18</v>
      </c>
      <c r="E48" s="113">
        <f t="shared" si="8"/>
        <v>50.84</v>
      </c>
      <c r="F48" s="108"/>
      <c r="G48" s="113"/>
      <c r="H48" s="183"/>
      <c r="I48" s="108"/>
    </row>
    <row r="49" spans="1:9">
      <c r="A49" s="108" t="s">
        <v>251</v>
      </c>
      <c r="B49" s="108" t="s">
        <v>268</v>
      </c>
      <c r="C49" s="110">
        <v>69.039999999999992</v>
      </c>
      <c r="D49" s="113">
        <f>ROUND('DF Calculation'!L34,2)</f>
        <v>1.54</v>
      </c>
      <c r="E49" s="113">
        <f t="shared" si="8"/>
        <v>70.58</v>
      </c>
      <c r="F49" s="108"/>
      <c r="G49" s="113"/>
      <c r="H49" s="183"/>
      <c r="I49" s="108"/>
    </row>
    <row r="50" spans="1:9">
      <c r="A50" s="108"/>
      <c r="B50" s="108"/>
      <c r="C50" s="114"/>
      <c r="D50" s="108"/>
      <c r="E50" s="108"/>
      <c r="F50" s="108"/>
      <c r="G50" s="113"/>
      <c r="H50" s="179"/>
      <c r="I50" s="108"/>
    </row>
    <row r="51" spans="1:9">
      <c r="A51" s="108" t="s">
        <v>252</v>
      </c>
      <c r="B51" s="108"/>
      <c r="C51" s="110"/>
      <c r="D51" s="108"/>
      <c r="E51" s="108"/>
      <c r="F51" s="108"/>
      <c r="G51" s="113"/>
      <c r="H51" s="179"/>
      <c r="I51" s="108"/>
    </row>
    <row r="52" spans="1:9">
      <c r="A52" s="108" t="s">
        <v>249</v>
      </c>
      <c r="B52" s="108" t="s">
        <v>247</v>
      </c>
      <c r="C52" s="110">
        <v>20.080000000000002</v>
      </c>
      <c r="D52" s="113">
        <f>ROUND('DF Calculation'!L27,2)</f>
        <v>0.38</v>
      </c>
      <c r="E52" s="113">
        <f t="shared" ref="E52:E54" si="9">SUM(C52:D52)</f>
        <v>20.46</v>
      </c>
      <c r="F52" s="108"/>
      <c r="G52" s="113"/>
      <c r="H52" s="183"/>
      <c r="I52" s="108"/>
    </row>
    <row r="53" spans="1:9">
      <c r="A53" s="108" t="s">
        <v>250</v>
      </c>
      <c r="B53" s="108" t="s">
        <v>247</v>
      </c>
      <c r="C53" s="110">
        <v>24.884388209168193</v>
      </c>
      <c r="D53" s="113">
        <f>'DF Calculation'!L43</f>
        <v>0.54672472152818197</v>
      </c>
      <c r="E53" s="113">
        <f t="shared" si="9"/>
        <v>25.431112930696376</v>
      </c>
      <c r="F53" s="108" t="s">
        <v>289</v>
      </c>
      <c r="G53" s="113"/>
      <c r="H53" s="183"/>
      <c r="I53" s="108"/>
    </row>
    <row r="54" spans="1:9">
      <c r="A54" s="108" t="s">
        <v>251</v>
      </c>
      <c r="B54" s="108" t="s">
        <v>247</v>
      </c>
      <c r="C54" s="110">
        <v>33.82</v>
      </c>
      <c r="D54" s="113">
        <f>ROUND('DF Calculation'!L28,2)</f>
        <v>0.71</v>
      </c>
      <c r="E54" s="113">
        <f t="shared" si="9"/>
        <v>34.53</v>
      </c>
      <c r="F54" s="108"/>
      <c r="G54" s="113"/>
      <c r="H54" s="183"/>
      <c r="I54" s="108"/>
    </row>
    <row r="55" spans="1:9">
      <c r="A55" s="108"/>
      <c r="B55" s="108"/>
      <c r="C55" s="114"/>
      <c r="D55" s="108"/>
      <c r="E55" s="108"/>
      <c r="F55" s="108"/>
      <c r="G55" s="113"/>
      <c r="H55" s="179"/>
      <c r="I55" s="108"/>
    </row>
    <row r="56" spans="1:9">
      <c r="A56" s="109" t="s">
        <v>271</v>
      </c>
      <c r="B56" s="108"/>
      <c r="C56" s="110"/>
      <c r="D56" s="108"/>
      <c r="E56" s="108"/>
      <c r="F56" s="108"/>
      <c r="G56" s="113"/>
      <c r="H56" s="179"/>
      <c r="I56" s="108"/>
    </row>
    <row r="57" spans="1:9">
      <c r="A57" s="108" t="s">
        <v>290</v>
      </c>
      <c r="B57" s="108" t="s">
        <v>247</v>
      </c>
      <c r="C57" s="110">
        <v>3.35</v>
      </c>
      <c r="D57" s="113">
        <f>ROUND('DF Calculation'!L16,2)</f>
        <v>0.06</v>
      </c>
      <c r="E57" s="113">
        <f t="shared" ref="E57:E62" si="10">SUM(C57:D57)</f>
        <v>3.41</v>
      </c>
      <c r="F57" s="108" t="s">
        <v>289</v>
      </c>
      <c r="G57" s="113"/>
      <c r="H57" s="183"/>
      <c r="I57" s="108"/>
    </row>
    <row r="58" spans="1:9">
      <c r="A58" s="108" t="s">
        <v>259</v>
      </c>
      <c r="B58" s="108" t="s">
        <v>247</v>
      </c>
      <c r="C58" s="110">
        <v>6.0600000000000005</v>
      </c>
      <c r="D58" s="112">
        <f>ROUND('DF Calculation'!L16,2)</f>
        <v>0.06</v>
      </c>
      <c r="E58" s="113">
        <f t="shared" si="10"/>
        <v>6.12</v>
      </c>
      <c r="F58" s="108" t="s">
        <v>289</v>
      </c>
      <c r="G58" s="113"/>
      <c r="H58" s="183"/>
      <c r="I58" s="108"/>
    </row>
    <row r="59" spans="1:9">
      <c r="A59" s="108" t="s">
        <v>291</v>
      </c>
      <c r="B59" s="108" t="s">
        <v>247</v>
      </c>
      <c r="C59" s="110">
        <v>3.4</v>
      </c>
      <c r="D59" s="112">
        <f>ROUND('DF Calculation'!L16,2)</f>
        <v>0.06</v>
      </c>
      <c r="E59" s="113">
        <f t="shared" si="10"/>
        <v>3.46</v>
      </c>
      <c r="F59" s="108"/>
      <c r="G59" s="113"/>
      <c r="H59" s="183"/>
      <c r="I59" s="108"/>
    </row>
    <row r="60" spans="1:9">
      <c r="A60" s="108" t="s">
        <v>287</v>
      </c>
      <c r="B60" s="108" t="s">
        <v>268</v>
      </c>
      <c r="C60" s="110">
        <v>14.49</v>
      </c>
      <c r="D60" s="113">
        <f>ROUND('DF Calculation'!L15,2)</f>
        <v>0.27</v>
      </c>
      <c r="E60" s="113">
        <f t="shared" si="10"/>
        <v>14.76</v>
      </c>
      <c r="F60" s="108"/>
      <c r="G60" s="113"/>
      <c r="H60" s="183"/>
      <c r="I60" s="108"/>
    </row>
    <row r="61" spans="1:9">
      <c r="A61" s="108" t="s">
        <v>272</v>
      </c>
      <c r="B61" s="108" t="s">
        <v>247</v>
      </c>
      <c r="C61" s="110">
        <v>3.8</v>
      </c>
      <c r="D61" s="113">
        <f>ROUND('DF Calculation'!L13,2)</f>
        <v>0.06</v>
      </c>
      <c r="E61" s="113">
        <f t="shared" si="10"/>
        <v>3.86</v>
      </c>
      <c r="F61" s="108"/>
      <c r="G61" s="113"/>
      <c r="H61" s="183"/>
      <c r="I61" s="108"/>
    </row>
    <row r="62" spans="1:9">
      <c r="A62" s="108" t="s">
        <v>273</v>
      </c>
      <c r="B62" s="108" t="s">
        <v>247</v>
      </c>
      <c r="C62" s="110">
        <v>3.8</v>
      </c>
      <c r="D62" s="113">
        <f>ROUND('DF Calculation'!L13,2)</f>
        <v>0.06</v>
      </c>
      <c r="E62" s="113">
        <f t="shared" si="10"/>
        <v>3.86</v>
      </c>
      <c r="F62" s="108"/>
      <c r="G62" s="113"/>
      <c r="H62" s="183"/>
      <c r="I62" s="108"/>
    </row>
    <row r="63" spans="1:9">
      <c r="A63" s="108"/>
      <c r="B63" s="108"/>
      <c r="C63" s="110"/>
      <c r="D63" s="112"/>
      <c r="E63" s="113"/>
      <c r="F63" s="108"/>
      <c r="G63" s="113"/>
      <c r="H63" s="179"/>
      <c r="I63" s="108"/>
    </row>
    <row r="64" spans="1:9">
      <c r="A64" s="109" t="s">
        <v>274</v>
      </c>
      <c r="B64" s="108"/>
      <c r="C64" s="110"/>
      <c r="D64" s="108"/>
      <c r="E64" s="108"/>
      <c r="F64" s="108"/>
      <c r="G64" s="113"/>
      <c r="H64" s="179"/>
      <c r="I64" s="108"/>
    </row>
    <row r="65" spans="1:9">
      <c r="A65" s="108" t="s">
        <v>251</v>
      </c>
      <c r="B65" s="111">
        <v>3</v>
      </c>
      <c r="C65" s="110">
        <v>83.320000000000007</v>
      </c>
      <c r="D65" s="113">
        <f>ROUND('DF Calculation'!L44,2)</f>
        <v>2.13</v>
      </c>
      <c r="E65" s="113">
        <f t="shared" ref="E65:E68" si="11">SUM(C65:D65)</f>
        <v>85.45</v>
      </c>
      <c r="F65" s="108" t="s">
        <v>289</v>
      </c>
      <c r="G65" s="113"/>
      <c r="H65" s="183"/>
      <c r="I65" s="108"/>
    </row>
    <row r="66" spans="1:9">
      <c r="A66" s="108"/>
      <c r="B66" s="111"/>
      <c r="C66" s="110"/>
      <c r="D66" s="113"/>
      <c r="E66" s="113"/>
      <c r="F66" s="108"/>
      <c r="G66" s="113"/>
      <c r="H66" s="184"/>
      <c r="I66" s="108"/>
    </row>
    <row r="67" spans="1:9">
      <c r="A67" s="109" t="s">
        <v>275</v>
      </c>
      <c r="B67" s="111"/>
      <c r="C67" s="110"/>
      <c r="D67" s="113"/>
      <c r="E67" s="113"/>
      <c r="F67" s="116"/>
      <c r="G67" s="113"/>
      <c r="H67" s="184"/>
      <c r="I67" s="108"/>
    </row>
    <row r="68" spans="1:9">
      <c r="A68" s="108" t="s">
        <v>251</v>
      </c>
      <c r="B68" s="111">
        <v>5</v>
      </c>
      <c r="C68" s="110">
        <v>128.25</v>
      </c>
      <c r="D68" s="113">
        <f>ROUND('DF Calculation'!L45,2)</f>
        <v>3.54</v>
      </c>
      <c r="E68" s="113">
        <f t="shared" si="11"/>
        <v>131.79</v>
      </c>
      <c r="F68" s="108" t="s">
        <v>289</v>
      </c>
      <c r="G68" s="113"/>
      <c r="H68" s="183"/>
      <c r="I68" s="108"/>
    </row>
    <row r="69" spans="1:9">
      <c r="A69" s="108"/>
      <c r="B69" s="108"/>
      <c r="C69" s="114"/>
      <c r="D69" s="108"/>
      <c r="E69" s="182"/>
      <c r="F69" s="116"/>
      <c r="G69" s="113"/>
      <c r="H69" s="179"/>
      <c r="I69" s="108"/>
    </row>
    <row r="70" spans="1:9">
      <c r="A70" s="108"/>
      <c r="B70" s="108"/>
      <c r="C70" s="110"/>
      <c r="D70" s="108"/>
      <c r="E70" s="182"/>
      <c r="F70" s="116"/>
      <c r="G70" s="113"/>
      <c r="H70" s="179"/>
      <c r="I70" s="108"/>
    </row>
    <row r="71" spans="1:9">
      <c r="A71" s="108"/>
      <c r="B71" s="111"/>
      <c r="C71" s="110"/>
      <c r="D71" s="112"/>
      <c r="E71" s="180"/>
      <c r="F71" s="116"/>
      <c r="G71" s="113"/>
      <c r="H71" s="184"/>
      <c r="I71" s="108"/>
    </row>
    <row r="72" spans="1:9">
      <c r="A72" s="108"/>
      <c r="B72" s="111"/>
      <c r="C72" s="110"/>
      <c r="D72" s="112"/>
      <c r="E72" s="180"/>
      <c r="F72" s="116"/>
      <c r="G72" s="113"/>
      <c r="H72" s="184"/>
      <c r="I72" s="108"/>
    </row>
    <row r="73" spans="1:9">
      <c r="A73" s="108"/>
      <c r="B73" s="111"/>
      <c r="C73" s="110"/>
      <c r="D73" s="112"/>
      <c r="E73" s="180"/>
      <c r="F73" s="116"/>
      <c r="G73" s="113"/>
      <c r="H73" s="184"/>
      <c r="I73" s="108"/>
    </row>
    <row r="74" spans="1:9">
      <c r="A74" s="108"/>
      <c r="B74" s="111"/>
      <c r="C74" s="110"/>
      <c r="D74" s="112"/>
      <c r="E74" s="113"/>
      <c r="F74" s="116"/>
      <c r="G74" s="113"/>
      <c r="H74" s="184"/>
      <c r="I74" s="108"/>
    </row>
    <row r="75" spans="1:9">
      <c r="A75" s="109"/>
      <c r="B75" s="111"/>
      <c r="C75" s="110"/>
      <c r="D75" s="113"/>
      <c r="E75" s="116"/>
      <c r="F75" s="116"/>
      <c r="G75" s="113"/>
      <c r="H75" s="184"/>
      <c r="I75" s="108"/>
    </row>
    <row r="76" spans="1:9">
      <c r="A76" s="108"/>
      <c r="B76" s="111"/>
      <c r="C76" s="110"/>
      <c r="D76" s="113"/>
      <c r="E76" s="113"/>
      <c r="F76" s="116"/>
      <c r="G76" s="113"/>
      <c r="H76" s="184"/>
      <c r="I76" s="108"/>
    </row>
    <row r="77" spans="1:9">
      <c r="A77" s="108"/>
      <c r="B77" s="111"/>
      <c r="C77" s="110"/>
      <c r="D77" s="113"/>
      <c r="E77" s="113"/>
      <c r="F77" s="116"/>
      <c r="G77" s="113"/>
      <c r="H77" s="184"/>
      <c r="I77" s="108"/>
    </row>
    <row r="78" spans="1:9">
      <c r="A78" s="108"/>
      <c r="B78" s="111"/>
      <c r="C78" s="110"/>
      <c r="D78" s="113"/>
      <c r="E78" s="113"/>
      <c r="F78" s="116"/>
      <c r="G78" s="113"/>
      <c r="H78" s="184"/>
      <c r="I78" s="108"/>
    </row>
    <row r="79" spans="1:9">
      <c r="A79" s="108"/>
      <c r="B79" s="111"/>
      <c r="C79" s="110"/>
      <c r="D79" s="113"/>
      <c r="E79" s="113"/>
      <c r="F79" s="116"/>
      <c r="G79" s="113"/>
      <c r="H79" s="184"/>
      <c r="I79" s="108"/>
    </row>
    <row r="80" spans="1:9">
      <c r="A80" s="108"/>
      <c r="B80" s="108"/>
      <c r="C80" s="114"/>
      <c r="D80" s="108"/>
      <c r="E80" s="116"/>
      <c r="F80" s="116"/>
      <c r="G80" s="113"/>
      <c r="H80" s="179"/>
      <c r="I80" s="108"/>
    </row>
    <row r="81" spans="1:9">
      <c r="A81" s="109"/>
      <c r="B81" s="108"/>
      <c r="C81" s="110"/>
      <c r="D81" s="108"/>
      <c r="E81" s="116"/>
      <c r="F81" s="116"/>
      <c r="G81" s="113"/>
      <c r="H81" s="179"/>
      <c r="I81" s="108"/>
    </row>
    <row r="82" spans="1:9">
      <c r="A82" s="108"/>
      <c r="B82" s="111"/>
      <c r="C82" s="110"/>
      <c r="D82" s="113"/>
      <c r="E82" s="113"/>
      <c r="F82" s="116"/>
      <c r="G82" s="113"/>
      <c r="H82" s="184"/>
      <c r="I82" s="108"/>
    </row>
    <row r="83" spans="1:9">
      <c r="A83" s="108"/>
      <c r="B83" s="111"/>
      <c r="C83" s="110"/>
      <c r="D83" s="113"/>
      <c r="E83" s="113"/>
      <c r="F83" s="112"/>
      <c r="G83" s="113"/>
      <c r="H83" s="184"/>
      <c r="I83" s="108"/>
    </row>
    <row r="84" spans="1:9">
      <c r="A84" s="108"/>
      <c r="B84" s="111"/>
      <c r="C84" s="110"/>
      <c r="D84" s="112"/>
      <c r="E84" s="113"/>
      <c r="F84" s="116"/>
      <c r="G84" s="113"/>
      <c r="H84" s="184"/>
      <c r="I84" s="108"/>
    </row>
    <row r="85" spans="1:9">
      <c r="A85" s="108"/>
      <c r="B85" s="111"/>
      <c r="C85" s="110"/>
      <c r="D85" s="113"/>
      <c r="E85" s="116"/>
      <c r="F85" s="116"/>
      <c r="G85" s="113"/>
      <c r="H85" s="184"/>
      <c r="I85" s="108"/>
    </row>
    <row r="86" spans="1:9">
      <c r="A86" s="108"/>
      <c r="B86" s="111"/>
      <c r="C86" s="110"/>
      <c r="D86" s="113"/>
      <c r="E86" s="113"/>
      <c r="F86" s="116"/>
      <c r="G86" s="113"/>
      <c r="H86" s="184"/>
      <c r="I86" s="108"/>
    </row>
    <row r="87" spans="1:9">
      <c r="A87" s="108"/>
      <c r="B87" s="111"/>
      <c r="C87" s="110"/>
      <c r="D87" s="113"/>
      <c r="E87" s="113"/>
      <c r="F87" s="116"/>
      <c r="G87" s="113"/>
      <c r="H87" s="184"/>
      <c r="I87" s="108"/>
    </row>
    <row r="88" spans="1:9">
      <c r="A88" s="108"/>
      <c r="B88" s="111"/>
      <c r="C88" s="110"/>
      <c r="D88" s="112"/>
      <c r="E88" s="113"/>
      <c r="F88" s="116"/>
      <c r="G88" s="113"/>
      <c r="H88" s="184"/>
      <c r="I88" s="108"/>
    </row>
    <row r="89" spans="1:9">
      <c r="A89" s="108"/>
      <c r="B89" s="108"/>
      <c r="C89" s="114"/>
      <c r="D89" s="108"/>
      <c r="E89" s="116"/>
      <c r="F89" s="116"/>
      <c r="G89" s="113"/>
      <c r="H89" s="179"/>
      <c r="I89" s="108"/>
    </row>
    <row r="90" spans="1:9">
      <c r="A90" s="109"/>
      <c r="B90" s="108"/>
      <c r="C90" s="110"/>
      <c r="D90" s="108"/>
      <c r="E90" s="116"/>
      <c r="F90" s="116"/>
      <c r="G90" s="113"/>
      <c r="H90" s="179"/>
      <c r="I90" s="108"/>
    </row>
    <row r="91" spans="1:9">
      <c r="A91" s="108"/>
      <c r="B91" s="111"/>
      <c r="C91" s="110"/>
      <c r="D91" s="113"/>
      <c r="E91" s="113"/>
      <c r="F91" s="116"/>
      <c r="G91" s="113"/>
      <c r="H91" s="184"/>
      <c r="I91" s="108"/>
    </row>
    <row r="92" spans="1:9">
      <c r="A92" s="108"/>
      <c r="B92" s="111"/>
      <c r="C92" s="110"/>
      <c r="D92" s="112"/>
      <c r="E92" s="113"/>
      <c r="F92" s="116"/>
      <c r="G92" s="113"/>
      <c r="H92" s="184"/>
      <c r="I92" s="108"/>
    </row>
    <row r="93" spans="1:9">
      <c r="A93" s="108"/>
      <c r="B93" s="111"/>
      <c r="C93" s="110"/>
      <c r="D93" s="113"/>
      <c r="E93" s="116"/>
      <c r="F93" s="116"/>
      <c r="G93" s="113"/>
      <c r="H93" s="184"/>
      <c r="I93" s="108"/>
    </row>
    <row r="94" spans="1:9">
      <c r="A94" s="108"/>
      <c r="B94" s="111"/>
      <c r="C94" s="110"/>
      <c r="D94" s="113"/>
      <c r="E94" s="113"/>
      <c r="F94" s="116"/>
      <c r="G94" s="113"/>
      <c r="H94" s="184"/>
      <c r="I94" s="108"/>
    </row>
    <row r="95" spans="1:9">
      <c r="A95" s="108"/>
      <c r="B95" s="111"/>
      <c r="C95" s="110"/>
      <c r="D95" s="113"/>
      <c r="E95" s="113"/>
      <c r="F95" s="116"/>
      <c r="G95" s="113"/>
      <c r="H95" s="184"/>
      <c r="I95" s="108"/>
    </row>
    <row r="96" spans="1:9">
      <c r="A96" s="108"/>
      <c r="B96" s="108"/>
      <c r="C96" s="114"/>
      <c r="D96" s="108"/>
      <c r="E96" s="116"/>
      <c r="F96" s="116"/>
      <c r="G96" s="113"/>
      <c r="H96" s="179"/>
      <c r="I96" s="108"/>
    </row>
    <row r="97" spans="1:9">
      <c r="A97" s="109"/>
      <c r="B97" s="108"/>
      <c r="C97" s="110"/>
      <c r="D97" s="108"/>
      <c r="E97" s="116"/>
      <c r="F97" s="116"/>
      <c r="G97" s="113"/>
      <c r="H97" s="179"/>
      <c r="I97" s="108"/>
    </row>
    <row r="98" spans="1:9">
      <c r="A98" s="108"/>
      <c r="B98" s="111"/>
      <c r="C98" s="110"/>
      <c r="D98" s="113"/>
      <c r="E98" s="113"/>
      <c r="F98" s="116"/>
      <c r="G98" s="113"/>
      <c r="H98" s="180"/>
      <c r="I98" s="113"/>
    </row>
    <row r="99" spans="1:9">
      <c r="A99" s="108"/>
      <c r="B99" s="111"/>
      <c r="C99" s="110"/>
      <c r="D99" s="113"/>
      <c r="E99" s="113"/>
      <c r="F99" s="116"/>
      <c r="G99" s="113"/>
      <c r="H99" s="180"/>
      <c r="I99" s="113"/>
    </row>
    <row r="100" spans="1:9">
      <c r="A100" s="108"/>
      <c r="B100" s="111"/>
      <c r="C100" s="110"/>
      <c r="D100" s="113"/>
      <c r="E100" s="113"/>
      <c r="F100" s="116"/>
      <c r="G100" s="113"/>
      <c r="H100" s="180"/>
      <c r="I100" s="113"/>
    </row>
    <row r="101" spans="1:9">
      <c r="A101" s="108"/>
      <c r="B101" s="111"/>
      <c r="C101" s="110"/>
      <c r="D101" s="113"/>
      <c r="E101" s="116"/>
      <c r="F101" s="116"/>
      <c r="G101" s="113"/>
      <c r="H101" s="179"/>
      <c r="I101" s="108"/>
    </row>
    <row r="102" spans="1:9">
      <c r="A102" s="108"/>
      <c r="B102" s="111"/>
      <c r="C102" s="110"/>
      <c r="D102" s="113"/>
      <c r="E102" s="113"/>
      <c r="F102" s="116"/>
      <c r="G102" s="113"/>
      <c r="H102" s="180"/>
      <c r="I102" s="113"/>
    </row>
    <row r="103" spans="1:9">
      <c r="A103" s="108"/>
      <c r="B103" s="111"/>
      <c r="C103" s="110"/>
      <c r="D103" s="113"/>
      <c r="E103" s="113"/>
      <c r="F103" s="116"/>
      <c r="G103" s="113"/>
      <c r="H103" s="180"/>
      <c r="I103" s="113"/>
    </row>
    <row r="104" spans="1:9">
      <c r="A104" s="108"/>
      <c r="B104" s="111"/>
      <c r="C104" s="110"/>
      <c r="D104" s="113"/>
      <c r="E104" s="113"/>
      <c r="F104" s="116"/>
      <c r="G104" s="113"/>
      <c r="H104" s="180"/>
      <c r="I104" s="113"/>
    </row>
    <row r="105" spans="1:9">
      <c r="A105" s="108"/>
      <c r="B105" s="108"/>
      <c r="C105" s="114"/>
      <c r="D105" s="108"/>
      <c r="E105" s="116"/>
      <c r="F105" s="116"/>
      <c r="G105" s="113"/>
      <c r="H105" s="179"/>
      <c r="I105" s="108"/>
    </row>
    <row r="106" spans="1:9">
      <c r="A106" s="109"/>
      <c r="B106" s="108"/>
      <c r="C106" s="110"/>
      <c r="D106" s="108"/>
      <c r="E106" s="116"/>
      <c r="F106" s="116"/>
      <c r="G106" s="113"/>
      <c r="H106" s="179"/>
      <c r="I106" s="108"/>
    </row>
    <row r="107" spans="1:9">
      <c r="A107" s="108"/>
      <c r="B107" s="111"/>
      <c r="C107" s="110"/>
      <c r="D107" s="113"/>
      <c r="E107" s="113"/>
      <c r="F107" s="116"/>
      <c r="G107" s="113"/>
      <c r="H107" s="180"/>
      <c r="I107" s="113"/>
    </row>
    <row r="108" spans="1:9">
      <c r="A108" s="108"/>
      <c r="B108" s="111"/>
      <c r="C108" s="110"/>
      <c r="D108" s="113"/>
      <c r="E108" s="113"/>
      <c r="F108" s="116"/>
      <c r="G108" s="113"/>
      <c r="H108" s="180"/>
      <c r="I108" s="113"/>
    </row>
    <row r="109" spans="1:9">
      <c r="A109" s="108"/>
      <c r="B109" s="111"/>
      <c r="C109" s="110"/>
      <c r="D109" s="113"/>
      <c r="E109" s="113"/>
      <c r="F109" s="116"/>
      <c r="G109" s="113"/>
      <c r="H109" s="180"/>
      <c r="I109" s="113"/>
    </row>
    <row r="110" spans="1:9">
      <c r="A110" s="108"/>
      <c r="B110" s="111"/>
      <c r="C110" s="110"/>
      <c r="D110" s="113"/>
      <c r="E110" s="113"/>
      <c r="F110" s="116"/>
      <c r="G110" s="113"/>
      <c r="H110" s="180"/>
      <c r="I110" s="113"/>
    </row>
    <row r="111" spans="1:9">
      <c r="A111" s="109"/>
      <c r="B111" s="111"/>
      <c r="C111" s="110"/>
      <c r="D111" s="113"/>
      <c r="E111" s="116"/>
      <c r="F111" s="116"/>
      <c r="G111" s="113"/>
      <c r="H111" s="179"/>
      <c r="I111" s="108"/>
    </row>
    <row r="112" spans="1:9">
      <c r="A112" s="108"/>
      <c r="B112" s="111"/>
      <c r="C112" s="110"/>
      <c r="D112" s="113"/>
      <c r="E112" s="113"/>
      <c r="F112" s="116"/>
      <c r="G112" s="113"/>
      <c r="H112" s="179"/>
      <c r="I112" s="108"/>
    </row>
    <row r="113" spans="1:9">
      <c r="A113" s="108"/>
      <c r="B113" s="111"/>
      <c r="C113" s="110"/>
      <c r="D113" s="113"/>
      <c r="E113" s="113"/>
      <c r="F113" s="116"/>
      <c r="G113" s="113"/>
      <c r="H113" s="179"/>
      <c r="I113" s="108"/>
    </row>
    <row r="114" spans="1:9">
      <c r="A114" s="108"/>
      <c r="B114" s="111"/>
      <c r="C114" s="110"/>
      <c r="D114" s="113"/>
      <c r="E114" s="113"/>
      <c r="F114" s="116"/>
      <c r="G114" s="113"/>
      <c r="H114" s="179"/>
      <c r="I114" s="108"/>
    </row>
    <row r="115" spans="1:9">
      <c r="A115" s="108"/>
      <c r="B115" s="111"/>
      <c r="C115" s="110"/>
      <c r="D115" s="113"/>
      <c r="E115" s="113"/>
      <c r="F115" s="116"/>
      <c r="G115" s="113"/>
      <c r="H115" s="179"/>
      <c r="I115" s="108"/>
    </row>
    <row r="116" spans="1:9">
      <c r="A116" s="108"/>
      <c r="B116" s="108"/>
      <c r="C116" s="114"/>
      <c r="D116" s="108"/>
      <c r="E116" s="116"/>
      <c r="F116" s="116"/>
      <c r="G116" s="113"/>
      <c r="H116" s="179"/>
      <c r="I116" s="108"/>
    </row>
    <row r="117" spans="1:9">
      <c r="A117" s="109"/>
      <c r="B117" s="108"/>
      <c r="C117" s="110"/>
      <c r="D117" s="108"/>
      <c r="E117" s="116"/>
      <c r="F117" s="116"/>
      <c r="G117" s="113"/>
      <c r="H117" s="179"/>
      <c r="I117" s="108"/>
    </row>
    <row r="118" spans="1:9">
      <c r="A118" s="108"/>
      <c r="B118" s="111"/>
      <c r="C118" s="110"/>
      <c r="D118" s="112"/>
      <c r="E118" s="113"/>
      <c r="F118" s="116"/>
      <c r="G118" s="113"/>
      <c r="H118" s="179"/>
      <c r="I118" s="108"/>
    </row>
    <row r="119" spans="1:9">
      <c r="A119" s="108"/>
      <c r="B119" s="111"/>
      <c r="C119" s="110"/>
      <c r="D119" s="112"/>
      <c r="E119" s="113"/>
      <c r="F119" s="116"/>
      <c r="G119" s="113"/>
      <c r="H119" s="179"/>
      <c r="I119" s="108"/>
    </row>
    <row r="120" spans="1:9">
      <c r="A120" s="108"/>
      <c r="B120" s="111"/>
      <c r="C120" s="110"/>
      <c r="D120" s="112"/>
      <c r="E120" s="113"/>
      <c r="F120" s="116"/>
      <c r="G120" s="113"/>
      <c r="H120" s="179"/>
      <c r="I120" s="108"/>
    </row>
    <row r="121" spans="1:9">
      <c r="A121" s="108"/>
      <c r="B121" s="111"/>
      <c r="C121" s="110"/>
      <c r="D121" s="112"/>
      <c r="E121" s="112"/>
      <c r="F121" s="116"/>
      <c r="G121" s="113"/>
      <c r="H121" s="179"/>
      <c r="I121" s="108"/>
    </row>
    <row r="122" spans="1:9">
      <c r="A122" s="108"/>
      <c r="B122" s="111"/>
      <c r="C122" s="110"/>
      <c r="D122" s="112"/>
      <c r="E122" s="113"/>
      <c r="F122" s="116"/>
      <c r="G122" s="113"/>
      <c r="H122" s="179"/>
      <c r="I122" s="108"/>
    </row>
    <row r="123" spans="1:9">
      <c r="A123" s="108"/>
      <c r="B123" s="111"/>
      <c r="C123" s="110"/>
      <c r="D123" s="112"/>
      <c r="E123" s="113"/>
      <c r="F123" s="116"/>
      <c r="G123" s="113"/>
      <c r="H123" s="179"/>
      <c r="I123" s="108"/>
    </row>
    <row r="124" spans="1:9">
      <c r="A124" s="108"/>
      <c r="B124" s="111"/>
      <c r="C124" s="110"/>
      <c r="D124" s="112"/>
      <c r="E124" s="113"/>
      <c r="F124" s="116"/>
      <c r="G124" s="113"/>
      <c r="H124" s="179"/>
      <c r="I124" s="108"/>
    </row>
    <row r="125" spans="1:9">
      <c r="A125" s="108"/>
      <c r="B125" s="108"/>
      <c r="C125" s="114"/>
      <c r="D125" s="108"/>
      <c r="E125" s="112"/>
      <c r="F125" s="116"/>
      <c r="G125" s="113"/>
      <c r="H125" s="179"/>
      <c r="I125" s="108"/>
    </row>
    <row r="126" spans="1:9">
      <c r="A126" s="109"/>
      <c r="B126" s="108"/>
      <c r="C126" s="110"/>
      <c r="D126" s="108"/>
      <c r="E126" s="112"/>
      <c r="F126" s="116"/>
      <c r="G126" s="113"/>
      <c r="H126" s="179"/>
      <c r="I126" s="108"/>
    </row>
    <row r="127" spans="1:9">
      <c r="A127" s="108"/>
      <c r="B127" s="111"/>
      <c r="C127" s="110"/>
      <c r="D127" s="113"/>
      <c r="E127" s="113"/>
      <c r="F127" s="116"/>
      <c r="G127" s="113"/>
      <c r="H127" s="179"/>
      <c r="I127" s="108"/>
    </row>
    <row r="128" spans="1:9">
      <c r="A128" s="108"/>
      <c r="B128" s="111"/>
      <c r="C128" s="110"/>
      <c r="D128" s="113"/>
      <c r="E128" s="113"/>
      <c r="F128" s="116"/>
      <c r="G128" s="113"/>
      <c r="H128" s="179"/>
      <c r="I128" s="108"/>
    </row>
    <row r="129" spans="1:9">
      <c r="A129" s="108"/>
      <c r="B129" s="111"/>
      <c r="C129" s="110"/>
      <c r="D129" s="113"/>
      <c r="E129" s="112"/>
      <c r="F129" s="116"/>
      <c r="G129" s="113"/>
      <c r="H129" s="179"/>
      <c r="I129" s="108"/>
    </row>
    <row r="130" spans="1:9">
      <c r="A130" s="108"/>
      <c r="B130" s="111"/>
      <c r="C130" s="110"/>
      <c r="D130" s="113"/>
      <c r="E130" s="113"/>
      <c r="F130" s="116"/>
      <c r="G130" s="113"/>
      <c r="H130" s="179"/>
      <c r="I130" s="108"/>
    </row>
    <row r="131" spans="1:9">
      <c r="A131" s="108"/>
      <c r="B131" s="111"/>
      <c r="C131" s="110"/>
      <c r="D131" s="113"/>
      <c r="E131" s="113"/>
      <c r="F131" s="116"/>
      <c r="G131" s="113"/>
      <c r="H131" s="179"/>
      <c r="I131" s="108"/>
    </row>
    <row r="132" spans="1:9">
      <c r="A132" s="108"/>
      <c r="B132" s="108"/>
      <c r="C132" s="114"/>
      <c r="D132" s="108"/>
      <c r="E132" s="116"/>
      <c r="F132" s="116"/>
      <c r="G132" s="113"/>
      <c r="H132" s="179"/>
      <c r="I132" s="108"/>
    </row>
    <row r="133" spans="1:9">
      <c r="A133" s="108"/>
      <c r="B133" s="108"/>
      <c r="C133" s="110"/>
      <c r="D133" s="108"/>
      <c r="E133" s="116"/>
      <c r="F133" s="116"/>
      <c r="G133" s="113"/>
      <c r="H133" s="179"/>
      <c r="I133" s="108"/>
    </row>
    <row r="134" spans="1:9">
      <c r="A134" s="108"/>
      <c r="B134" s="108"/>
      <c r="C134" s="110"/>
      <c r="D134" s="108"/>
      <c r="E134" s="116"/>
      <c r="F134" s="116"/>
      <c r="G134" s="113"/>
      <c r="H134" s="179"/>
      <c r="I134" s="108"/>
    </row>
    <row r="135" spans="1:9">
      <c r="A135" s="108"/>
      <c r="B135" s="108"/>
      <c r="C135" s="114"/>
      <c r="D135" s="108"/>
      <c r="E135" s="116"/>
      <c r="F135" s="116"/>
      <c r="G135" s="113"/>
      <c r="H135" s="179"/>
      <c r="I135" s="108"/>
    </row>
    <row r="136" spans="1:9">
      <c r="A136" s="116"/>
      <c r="B136" s="116"/>
      <c r="C136" s="114"/>
      <c r="D136" s="108"/>
      <c r="E136" s="116"/>
      <c r="F136" s="116"/>
      <c r="G136" s="113"/>
      <c r="H136" s="179"/>
      <c r="I136" s="108"/>
    </row>
    <row r="137" spans="1:9">
      <c r="A137" s="108"/>
      <c r="B137" s="108"/>
      <c r="C137" s="114"/>
      <c r="D137" s="108"/>
      <c r="E137" s="116"/>
      <c r="F137" s="116"/>
      <c r="G137" s="113"/>
      <c r="H137" s="179"/>
      <c r="I137" s="108"/>
    </row>
    <row r="138" spans="1:9">
      <c r="A138" s="109"/>
      <c r="B138" s="108"/>
      <c r="C138" s="114"/>
      <c r="D138" s="108"/>
      <c r="E138" s="116"/>
      <c r="F138" s="116"/>
      <c r="G138" s="113"/>
      <c r="H138" s="179"/>
      <c r="I138" s="108"/>
    </row>
    <row r="139" spans="1:9">
      <c r="A139" s="109"/>
      <c r="B139" s="108"/>
      <c r="C139" s="114"/>
      <c r="D139" s="108"/>
      <c r="E139" s="116"/>
      <c r="F139" s="116"/>
      <c r="G139" s="113"/>
      <c r="H139" s="179"/>
      <c r="I139" s="108"/>
    </row>
  </sheetData>
  <pageMargins left="0.7" right="0.7" top="0.75" bottom="0.75" header="0.3" footer="0.3"/>
  <pageSetup scale="85" orientation="portrait" r:id="rId1"/>
  <headerFooter>
    <oddFooter>&amp;L&amp;F - &amp;A&amp;C&amp;D&amp;R&amp;P of &amp;N</oddFooter>
  </headerFooter>
  <rowBreaks count="2" manualBreakCount="2">
    <brk id="50" max="16383" man="1"/>
    <brk id="96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tabSelected="1" topLeftCell="A10" zoomScale="85" zoomScaleNormal="85" workbookViewId="0">
      <selection activeCell="H27" sqref="H27"/>
    </sheetView>
  </sheetViews>
  <sheetFormatPr defaultRowHeight="15"/>
  <cols>
    <col min="1" max="1" width="19.140625" style="103" customWidth="1"/>
    <col min="2" max="2" width="2.42578125" style="103" customWidth="1"/>
    <col min="3" max="3" width="14.140625" style="103" customWidth="1"/>
    <col min="4" max="4" width="13.42578125" style="103" customWidth="1"/>
    <col min="5" max="5" width="2" style="103" customWidth="1"/>
    <col min="6" max="6" width="12.140625" style="103" customWidth="1"/>
    <col min="7" max="7" width="11.85546875" style="103" customWidth="1"/>
    <col min="8" max="16384" width="9.140625" style="103"/>
  </cols>
  <sheetData>
    <row r="1" spans="1:8" ht="46.5" customHeight="1">
      <c r="A1" s="218" t="s">
        <v>298</v>
      </c>
      <c r="B1" s="218"/>
      <c r="C1" s="218"/>
      <c r="D1" s="217" t="s">
        <v>338</v>
      </c>
      <c r="E1" s="217"/>
      <c r="F1" s="217"/>
      <c r="G1" s="217"/>
      <c r="H1" s="219"/>
    </row>
    <row r="2" spans="1:8">
      <c r="A2" s="218" t="s">
        <v>299</v>
      </c>
      <c r="B2" s="218"/>
      <c r="C2" s="218"/>
      <c r="D2" s="219"/>
      <c r="E2" s="219"/>
      <c r="F2" s="219"/>
      <c r="G2" s="219"/>
      <c r="H2" s="219"/>
    </row>
    <row r="3" spans="1:8">
      <c r="A3" s="218"/>
      <c r="B3" s="218"/>
      <c r="C3" s="218"/>
      <c r="D3" s="219"/>
      <c r="E3" s="219"/>
      <c r="F3" s="219"/>
      <c r="G3" s="219"/>
      <c r="H3" s="219"/>
    </row>
    <row r="4" spans="1:8">
      <c r="A4" s="218" t="s">
        <v>300</v>
      </c>
      <c r="B4" s="218"/>
      <c r="C4" s="218"/>
      <c r="D4" s="219"/>
      <c r="E4" s="219"/>
      <c r="F4" s="219"/>
      <c r="G4" s="219"/>
      <c r="H4" s="219"/>
    </row>
    <row r="5" spans="1:8">
      <c r="A5" s="219"/>
      <c r="B5" s="219"/>
      <c r="C5" s="219"/>
      <c r="D5" s="219"/>
      <c r="E5" s="219"/>
      <c r="F5" s="219"/>
      <c r="G5" s="219"/>
      <c r="H5" s="219"/>
    </row>
    <row r="6" spans="1:8">
      <c r="A6" s="218" t="s">
        <v>314</v>
      </c>
      <c r="B6" s="219"/>
      <c r="C6" s="218">
        <v>120.17</v>
      </c>
      <c r="D6" s="219"/>
      <c r="E6" s="219"/>
      <c r="F6" s="219"/>
      <c r="G6" s="219"/>
      <c r="H6" s="219"/>
    </row>
    <row r="7" spans="1:8">
      <c r="A7" s="219"/>
      <c r="B7" s="219"/>
      <c r="C7" s="218"/>
      <c r="D7" s="219"/>
      <c r="E7" s="219"/>
      <c r="F7" s="219"/>
      <c r="G7" s="219"/>
      <c r="H7" s="219"/>
    </row>
    <row r="8" spans="1:8">
      <c r="A8" s="218" t="s">
        <v>313</v>
      </c>
      <c r="B8" s="219"/>
      <c r="C8" s="218">
        <v>134.59</v>
      </c>
      <c r="D8" s="219"/>
      <c r="E8" s="219"/>
      <c r="F8" s="219"/>
      <c r="G8" s="219"/>
      <c r="H8" s="219"/>
    </row>
    <row r="9" spans="1:8">
      <c r="A9" s="219"/>
      <c r="B9" s="219"/>
      <c r="C9" s="219"/>
      <c r="D9" s="219"/>
      <c r="E9" s="219"/>
      <c r="F9" s="219"/>
      <c r="G9" s="219"/>
      <c r="H9" s="219"/>
    </row>
    <row r="10" spans="1:8">
      <c r="A10" s="219"/>
      <c r="B10" s="219"/>
      <c r="C10" s="220" t="s">
        <v>312</v>
      </c>
      <c r="D10" s="220" t="s">
        <v>297</v>
      </c>
      <c r="E10" s="219"/>
      <c r="F10" s="220" t="s">
        <v>331</v>
      </c>
      <c r="G10" s="220" t="s">
        <v>297</v>
      </c>
      <c r="H10" s="219"/>
    </row>
    <row r="11" spans="1:8">
      <c r="A11" s="221" t="s">
        <v>73</v>
      </c>
      <c r="B11" s="219"/>
      <c r="C11" s="222">
        <v>1058</v>
      </c>
      <c r="D11" s="222">
        <f>C11/$C$6</f>
        <v>8.8041940584172416</v>
      </c>
      <c r="E11" s="222"/>
      <c r="F11" s="222">
        <v>23053</v>
      </c>
      <c r="G11" s="222">
        <f>F11/$C$6</f>
        <v>191.8365648664392</v>
      </c>
      <c r="H11" s="219"/>
    </row>
    <row r="12" spans="1:8">
      <c r="A12" s="219" t="s">
        <v>301</v>
      </c>
      <c r="B12" s="219"/>
      <c r="C12" s="222">
        <v>2615</v>
      </c>
      <c r="D12" s="222">
        <f t="shared" ref="D12:D22" si="0">C12/$C$6</f>
        <v>21.760838811683449</v>
      </c>
      <c r="E12" s="222"/>
      <c r="F12" s="222">
        <v>21318</v>
      </c>
      <c r="G12" s="222">
        <f t="shared" ref="G12:G22" si="1">F12/$C$6</f>
        <v>177.39868519597238</v>
      </c>
      <c r="H12" s="219"/>
    </row>
    <row r="13" spans="1:8">
      <c r="A13" s="219" t="s">
        <v>302</v>
      </c>
      <c r="B13" s="219"/>
      <c r="C13" s="222">
        <v>2408</v>
      </c>
      <c r="D13" s="222">
        <f t="shared" si="0"/>
        <v>20.038279104601813</v>
      </c>
      <c r="E13" s="222"/>
      <c r="F13" s="222">
        <v>25671</v>
      </c>
      <c r="G13" s="222">
        <f t="shared" si="1"/>
        <v>213.62236831155863</v>
      </c>
      <c r="H13" s="219"/>
    </row>
    <row r="14" spans="1:8">
      <c r="A14" s="223" t="s">
        <v>303</v>
      </c>
      <c r="B14" s="219"/>
      <c r="C14" s="222">
        <v>1116</v>
      </c>
      <c r="D14" s="222">
        <f t="shared" si="0"/>
        <v>9.2868436381792456</v>
      </c>
      <c r="E14" s="222"/>
      <c r="F14" s="222">
        <v>22817</v>
      </c>
      <c r="G14" s="222">
        <f t="shared" si="1"/>
        <v>189.87268036947657</v>
      </c>
      <c r="H14" s="219"/>
    </row>
    <row r="15" spans="1:8">
      <c r="A15" s="219" t="s">
        <v>304</v>
      </c>
      <c r="B15" s="219"/>
      <c r="C15" s="222">
        <v>2542</v>
      </c>
      <c r="D15" s="222">
        <f t="shared" si="0"/>
        <v>21.153366064741615</v>
      </c>
      <c r="E15" s="222"/>
      <c r="F15" s="222">
        <v>21202</v>
      </c>
      <c r="G15" s="222">
        <f t="shared" si="1"/>
        <v>176.43338603644835</v>
      </c>
      <c r="H15" s="219"/>
    </row>
    <row r="16" spans="1:8">
      <c r="A16" s="219" t="s">
        <v>305</v>
      </c>
      <c r="B16" s="219"/>
      <c r="C16" s="222">
        <v>2981</v>
      </c>
      <c r="D16" s="222">
        <f t="shared" si="0"/>
        <v>24.806524090871264</v>
      </c>
      <c r="E16" s="222"/>
      <c r="F16" s="222">
        <v>22015</v>
      </c>
      <c r="G16" s="222">
        <f t="shared" si="1"/>
        <v>183.19880169759506</v>
      </c>
      <c r="H16" s="219"/>
    </row>
    <row r="17" spans="1:9">
      <c r="A17" s="219" t="s">
        <v>306</v>
      </c>
      <c r="B17" s="219"/>
      <c r="C17" s="222">
        <v>3932</v>
      </c>
      <c r="D17" s="222">
        <f t="shared" si="0"/>
        <v>32.7203128900724</v>
      </c>
      <c r="E17" s="222"/>
      <c r="F17" s="222">
        <v>18906</v>
      </c>
      <c r="G17" s="222">
        <f t="shared" si="1"/>
        <v>157.32711991345593</v>
      </c>
      <c r="H17" s="219"/>
    </row>
    <row r="18" spans="1:9">
      <c r="A18" s="219" t="s">
        <v>307</v>
      </c>
      <c r="B18" s="219"/>
      <c r="C18" s="222">
        <v>1175</v>
      </c>
      <c r="D18" s="222">
        <f t="shared" si="0"/>
        <v>9.7778147624199043</v>
      </c>
      <c r="E18" s="222"/>
      <c r="F18" s="222">
        <v>25744</v>
      </c>
      <c r="G18" s="222">
        <f t="shared" si="1"/>
        <v>214.22984105850045</v>
      </c>
      <c r="H18" s="219"/>
    </row>
    <row r="19" spans="1:9">
      <c r="A19" s="219" t="s">
        <v>308</v>
      </c>
      <c r="B19" s="219"/>
      <c r="C19" s="222">
        <v>2619</v>
      </c>
      <c r="D19" s="222">
        <f t="shared" si="0"/>
        <v>21.794124989598068</v>
      </c>
      <c r="E19" s="222"/>
      <c r="F19" s="222">
        <v>21757</v>
      </c>
      <c r="G19" s="222">
        <f t="shared" si="1"/>
        <v>181.05184322210201</v>
      </c>
      <c r="H19" s="219"/>
    </row>
    <row r="20" spans="1:9">
      <c r="A20" s="219" t="s">
        <v>309</v>
      </c>
      <c r="B20" s="219"/>
      <c r="C20" s="222">
        <v>1537</v>
      </c>
      <c r="D20" s="222">
        <f t="shared" si="0"/>
        <v>12.790213863693101</v>
      </c>
      <c r="E20" s="222"/>
      <c r="F20" s="222">
        <v>25199</v>
      </c>
      <c r="G20" s="222">
        <f t="shared" si="1"/>
        <v>209.69459931763336</v>
      </c>
      <c r="H20" s="219"/>
    </row>
    <row r="21" spans="1:9">
      <c r="A21" s="219" t="s">
        <v>310</v>
      </c>
      <c r="B21" s="219"/>
      <c r="C21" s="222">
        <v>824</v>
      </c>
      <c r="D21" s="222">
        <f t="shared" si="0"/>
        <v>6.856952650411916</v>
      </c>
      <c r="E21" s="222"/>
      <c r="F21" s="222">
        <v>19193</v>
      </c>
      <c r="G21" s="222">
        <f t="shared" si="1"/>
        <v>159.71540317883</v>
      </c>
      <c r="H21" s="219"/>
    </row>
    <row r="22" spans="1:9">
      <c r="A22" s="219" t="s">
        <v>311</v>
      </c>
      <c r="B22" s="219"/>
      <c r="C22" s="222">
        <v>1722</v>
      </c>
      <c r="D22" s="222">
        <f t="shared" si="0"/>
        <v>14.329699592244321</v>
      </c>
      <c r="E22" s="222"/>
      <c r="F22" s="222">
        <v>25436</v>
      </c>
      <c r="G22" s="222">
        <f t="shared" si="1"/>
        <v>211.66680535907463</v>
      </c>
      <c r="H22" s="219"/>
    </row>
    <row r="23" spans="1:9">
      <c r="A23" s="218" t="s">
        <v>23</v>
      </c>
      <c r="B23" s="219"/>
      <c r="C23" s="203">
        <f>SUM(C11:C22)</f>
        <v>24529</v>
      </c>
      <c r="D23" s="203">
        <f>SUM(D11:D22)</f>
        <v>204.11916451693435</v>
      </c>
      <c r="E23" s="222"/>
      <c r="F23" s="203">
        <f>SUM(F11:F22)</f>
        <v>272311</v>
      </c>
      <c r="G23" s="203">
        <f>SUM(G11:G22)</f>
        <v>2266.0480985270869</v>
      </c>
      <c r="H23" s="219"/>
      <c r="I23" s="105"/>
    </row>
    <row r="24" spans="1:9">
      <c r="A24" s="219"/>
      <c r="B24" s="219"/>
      <c r="C24" s="219"/>
      <c r="D24" s="219"/>
      <c r="E24" s="219"/>
      <c r="F24" s="219"/>
      <c r="G24" s="219"/>
      <c r="H24" s="219"/>
    </row>
    <row r="25" spans="1:9">
      <c r="A25" s="218" t="s">
        <v>315</v>
      </c>
      <c r="B25" s="218"/>
      <c r="C25" s="224">
        <f>D23*C8</f>
        <v>27472.398352334196</v>
      </c>
      <c r="D25" s="218"/>
      <c r="E25" s="218"/>
      <c r="F25" s="224">
        <f>G23*C8</f>
        <v>304987.41358076065</v>
      </c>
      <c r="G25" s="225"/>
      <c r="H25" s="219"/>
    </row>
    <row r="26" spans="1:9">
      <c r="A26" s="218"/>
      <c r="B26" s="218"/>
      <c r="C26" s="218"/>
      <c r="D26" s="218"/>
      <c r="E26" s="218"/>
      <c r="F26" s="218"/>
      <c r="G26" s="219"/>
      <c r="H26" s="219"/>
    </row>
    <row r="27" spans="1:9">
      <c r="A27" s="218" t="s">
        <v>184</v>
      </c>
      <c r="B27" s="218"/>
      <c r="C27" s="224">
        <f>C25-C23</f>
        <v>2943.3983523341958</v>
      </c>
      <c r="D27" s="218"/>
      <c r="E27" s="218"/>
      <c r="F27" s="224">
        <f>F25-F23</f>
        <v>32676.413580760651</v>
      </c>
      <c r="G27" s="225"/>
      <c r="H27" s="219"/>
    </row>
    <row r="28" spans="1:9">
      <c r="A28" s="218"/>
      <c r="B28" s="218"/>
      <c r="C28" s="218"/>
      <c r="D28" s="218"/>
      <c r="E28" s="218"/>
      <c r="F28" s="218"/>
      <c r="G28" s="219"/>
      <c r="H28" s="219"/>
    </row>
    <row r="29" spans="1:9">
      <c r="A29" s="218" t="s">
        <v>204</v>
      </c>
      <c r="B29" s="218"/>
      <c r="C29" s="218"/>
      <c r="D29" s="218"/>
      <c r="E29" s="218"/>
      <c r="F29" s="224">
        <f>F27/References!H63</f>
        <v>33346.681886682978</v>
      </c>
      <c r="G29" s="219"/>
      <c r="H29" s="219"/>
    </row>
    <row r="30" spans="1:9">
      <c r="A30" s="219"/>
      <c r="B30" s="219"/>
      <c r="C30" s="219"/>
      <c r="D30" s="219"/>
      <c r="E30" s="219"/>
      <c r="F30" s="219"/>
      <c r="G30" s="219"/>
      <c r="H30" s="219"/>
    </row>
    <row r="31" spans="1:9">
      <c r="A31" s="219"/>
      <c r="B31" s="219"/>
      <c r="C31" s="219"/>
      <c r="D31" s="226"/>
      <c r="E31" s="219"/>
      <c r="F31" s="219"/>
      <c r="G31" s="219"/>
      <c r="H31" s="219"/>
    </row>
    <row r="32" spans="1:9">
      <c r="A32" s="219"/>
      <c r="B32" s="219"/>
      <c r="C32" s="219"/>
      <c r="D32" s="219"/>
      <c r="E32" s="219"/>
      <c r="F32" s="219"/>
      <c r="G32" s="219"/>
      <c r="H32" s="219"/>
    </row>
    <row r="33" spans="1:8">
      <c r="A33" s="219"/>
      <c r="B33" s="219"/>
      <c r="C33" s="219"/>
      <c r="D33" s="219"/>
      <c r="E33" s="219"/>
      <c r="F33" s="219"/>
      <c r="G33" s="219"/>
      <c r="H33" s="219"/>
    </row>
  </sheetData>
  <mergeCells count="1">
    <mergeCell ref="D1:G1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11"/>
  <sheetViews>
    <sheetView tabSelected="1" zoomScale="85" zoomScaleNormal="85" workbookViewId="0">
      <pane ySplit="4" topLeftCell="A5" activePane="bottomLeft" state="frozen"/>
      <selection activeCell="H27" sqref="H27"/>
      <selection pane="bottomLeft" activeCell="H27" sqref="H27"/>
    </sheetView>
  </sheetViews>
  <sheetFormatPr defaultRowHeight="15"/>
  <cols>
    <col min="1" max="1" width="20" style="104" customWidth="1"/>
    <col min="2" max="2" width="21.5703125" style="104" customWidth="1"/>
    <col min="3" max="3" width="10.7109375" style="104" customWidth="1"/>
    <col min="4" max="4" width="12.85546875" style="104" customWidth="1"/>
    <col min="5" max="5" width="13.42578125" style="104" customWidth="1"/>
    <col min="6" max="6" width="13.28515625" style="104" customWidth="1"/>
    <col min="7" max="7" width="13.5703125" style="104" customWidth="1"/>
    <col min="8" max="9" width="11.28515625" style="104" bestFit="1" customWidth="1"/>
    <col min="10" max="10" width="10.28515625" style="104" bestFit="1" customWidth="1"/>
    <col min="11" max="16384" width="9.140625" style="104"/>
  </cols>
  <sheetData>
    <row r="1" spans="1:10" ht="31.5" customHeight="1">
      <c r="A1" s="192" t="s">
        <v>327</v>
      </c>
      <c r="B1" s="192"/>
      <c r="C1" s="217" t="s">
        <v>338</v>
      </c>
      <c r="D1" s="217"/>
      <c r="E1" s="217"/>
      <c r="F1" s="217"/>
    </row>
    <row r="2" spans="1:10">
      <c r="A2" s="192" t="s">
        <v>322</v>
      </c>
      <c r="B2" s="194"/>
      <c r="C2" s="194"/>
      <c r="D2" s="194"/>
      <c r="E2" s="194"/>
      <c r="F2" s="194"/>
    </row>
    <row r="3" spans="1:10">
      <c r="A3" s="195" t="s">
        <v>328</v>
      </c>
      <c r="B3" s="193"/>
      <c r="C3" s="193"/>
      <c r="D3" s="194"/>
      <c r="E3" s="196"/>
      <c r="F3" s="197"/>
    </row>
    <row r="4" spans="1:10" ht="30">
      <c r="A4" s="194"/>
      <c r="B4" s="194"/>
      <c r="C4" s="198" t="s">
        <v>0</v>
      </c>
      <c r="D4" s="198" t="s">
        <v>1</v>
      </c>
      <c r="E4" s="199" t="s">
        <v>334</v>
      </c>
      <c r="F4" s="199" t="s">
        <v>335</v>
      </c>
    </row>
    <row r="5" spans="1:10">
      <c r="A5" s="192" t="s">
        <v>72</v>
      </c>
      <c r="B5" s="192"/>
      <c r="C5" s="194"/>
      <c r="D5" s="200"/>
      <c r="E5" s="201"/>
      <c r="F5" s="194"/>
    </row>
    <row r="6" spans="1:10">
      <c r="A6" s="194" t="s">
        <v>14</v>
      </c>
      <c r="B6" s="194" t="s">
        <v>90</v>
      </c>
      <c r="C6" s="200">
        <v>3.65</v>
      </c>
      <c r="D6" s="200">
        <v>28246.339999999997</v>
      </c>
      <c r="E6" s="201">
        <f>D6/C6</f>
        <v>7738.7232876712324</v>
      </c>
      <c r="F6" s="202">
        <f>D6/C6/12</f>
        <v>644.89360730593603</v>
      </c>
      <c r="J6" s="158"/>
    </row>
    <row r="7" spans="1:10">
      <c r="A7" s="194" t="s">
        <v>11</v>
      </c>
      <c r="B7" s="194" t="s">
        <v>91</v>
      </c>
      <c r="C7" s="200">
        <v>2.66</v>
      </c>
      <c r="D7" s="200">
        <v>85.12</v>
      </c>
      <c r="E7" s="201">
        <f t="shared" ref="E7:E16" si="0">D7/C7</f>
        <v>32</v>
      </c>
      <c r="F7" s="202">
        <f t="shared" ref="F7:F16" si="1">D7/C7/12</f>
        <v>2.6666666666666665</v>
      </c>
    </row>
    <row r="8" spans="1:10">
      <c r="A8" s="194" t="s">
        <v>47</v>
      </c>
      <c r="B8" s="194" t="s">
        <v>75</v>
      </c>
      <c r="C8" s="200">
        <v>2.66</v>
      </c>
      <c r="D8" s="200">
        <v>626.81999999999994</v>
      </c>
      <c r="E8" s="201">
        <f t="shared" si="0"/>
        <v>235.64661654135335</v>
      </c>
      <c r="F8" s="202">
        <f t="shared" si="1"/>
        <v>19.637218045112778</v>
      </c>
      <c r="H8" s="158"/>
    </row>
    <row r="9" spans="1:10">
      <c r="A9" s="194" t="s">
        <v>15</v>
      </c>
      <c r="B9" s="194" t="s">
        <v>74</v>
      </c>
      <c r="C9" s="200">
        <v>2.66</v>
      </c>
      <c r="D9" s="200">
        <v>1946.99</v>
      </c>
      <c r="E9" s="201">
        <f t="shared" si="0"/>
        <v>731.95112781954879</v>
      </c>
      <c r="F9" s="202">
        <f t="shared" si="1"/>
        <v>60.995927318295735</v>
      </c>
      <c r="H9" s="159"/>
    </row>
    <row r="10" spans="1:10">
      <c r="A10" s="194" t="s">
        <v>48</v>
      </c>
      <c r="B10" s="194" t="s">
        <v>96</v>
      </c>
      <c r="C10" s="200">
        <v>5.32</v>
      </c>
      <c r="D10" s="200">
        <v>189.52000000000004</v>
      </c>
      <c r="E10" s="201">
        <f t="shared" si="0"/>
        <v>35.624060150375946</v>
      </c>
      <c r="F10" s="202">
        <f t="shared" si="1"/>
        <v>2.9686716791979957</v>
      </c>
    </row>
    <row r="11" spans="1:10">
      <c r="A11" s="194" t="s">
        <v>16</v>
      </c>
      <c r="B11" s="194" t="s">
        <v>76</v>
      </c>
      <c r="C11" s="200">
        <v>0.53</v>
      </c>
      <c r="D11" s="200">
        <v>946.3</v>
      </c>
      <c r="E11" s="201">
        <f t="shared" si="0"/>
        <v>1785.4716981132074</v>
      </c>
      <c r="F11" s="202">
        <f t="shared" si="1"/>
        <v>148.7893081761006</v>
      </c>
      <c r="H11" s="159"/>
    </row>
    <row r="12" spans="1:10">
      <c r="A12" s="194" t="s">
        <v>57</v>
      </c>
      <c r="B12" s="194" t="s">
        <v>77</v>
      </c>
      <c r="C12" s="200">
        <v>1.06</v>
      </c>
      <c r="D12" s="200">
        <v>52.400000000000006</v>
      </c>
      <c r="E12" s="201">
        <f t="shared" si="0"/>
        <v>49.433962264150949</v>
      </c>
      <c r="F12" s="202">
        <f t="shared" si="1"/>
        <v>4.1194968553459121</v>
      </c>
    </row>
    <row r="13" spans="1:10">
      <c r="A13" s="194" t="s">
        <v>58</v>
      </c>
      <c r="B13" s="194" t="s">
        <v>78</v>
      </c>
      <c r="C13" s="200">
        <v>0.21</v>
      </c>
      <c r="D13" s="200">
        <v>13.74</v>
      </c>
      <c r="E13" s="201">
        <f t="shared" si="0"/>
        <v>65.428571428571431</v>
      </c>
      <c r="F13" s="202">
        <f t="shared" si="1"/>
        <v>5.4523809523809526</v>
      </c>
    </row>
    <row r="14" spans="1:10">
      <c r="A14" s="194" t="s">
        <v>61</v>
      </c>
      <c r="B14" s="194" t="s">
        <v>79</v>
      </c>
      <c r="C14" s="200">
        <v>15</v>
      </c>
      <c r="D14" s="200">
        <v>960</v>
      </c>
      <c r="E14" s="201">
        <f t="shared" si="0"/>
        <v>64</v>
      </c>
      <c r="F14" s="202">
        <f t="shared" si="1"/>
        <v>5.333333333333333</v>
      </c>
    </row>
    <row r="15" spans="1:10">
      <c r="A15" s="194" t="s">
        <v>13</v>
      </c>
      <c r="B15" s="194" t="s">
        <v>80</v>
      </c>
      <c r="C15" s="200">
        <v>9.74</v>
      </c>
      <c r="D15" s="200">
        <v>56321.979999999996</v>
      </c>
      <c r="E15" s="201">
        <f t="shared" si="0"/>
        <v>5782.5441478439416</v>
      </c>
      <c r="F15" s="202">
        <f t="shared" si="1"/>
        <v>481.87867898699511</v>
      </c>
    </row>
    <row r="16" spans="1:10">
      <c r="A16" s="194" t="s">
        <v>12</v>
      </c>
      <c r="B16" s="194" t="s">
        <v>81</v>
      </c>
      <c r="C16" s="200">
        <v>11.24</v>
      </c>
      <c r="D16" s="200">
        <v>348.44</v>
      </c>
      <c r="E16" s="201">
        <f t="shared" si="0"/>
        <v>31</v>
      </c>
      <c r="F16" s="202">
        <f t="shared" si="1"/>
        <v>2.5833333333333335</v>
      </c>
    </row>
    <row r="17" spans="1:8">
      <c r="A17" s="194"/>
      <c r="B17" s="194"/>
      <c r="C17" s="200"/>
      <c r="D17" s="200"/>
      <c r="E17" s="201"/>
      <c r="F17" s="194"/>
    </row>
    <row r="18" spans="1:8">
      <c r="A18" s="194" t="s">
        <v>17</v>
      </c>
      <c r="B18" s="194" t="s">
        <v>82</v>
      </c>
      <c r="C18" s="200">
        <v>12.05</v>
      </c>
      <c r="D18" s="200">
        <v>13650.36</v>
      </c>
      <c r="E18" s="201">
        <f t="shared" ref="E18:E24" si="2">D18/C18</f>
        <v>1132.8099585062241</v>
      </c>
      <c r="F18" s="202">
        <f t="shared" ref="F18:F24" si="3">D18/C18/12</f>
        <v>94.400829875518681</v>
      </c>
    </row>
    <row r="19" spans="1:8">
      <c r="A19" s="194" t="s">
        <v>49</v>
      </c>
      <c r="B19" s="194" t="s">
        <v>83</v>
      </c>
      <c r="C19" s="200">
        <v>13.59</v>
      </c>
      <c r="D19" s="200">
        <v>36446.000000000007</v>
      </c>
      <c r="E19" s="201">
        <f t="shared" si="2"/>
        <v>2681.8248712288455</v>
      </c>
      <c r="F19" s="202">
        <f t="shared" si="3"/>
        <v>223.48540593573713</v>
      </c>
    </row>
    <row r="20" spans="1:8">
      <c r="A20" s="194" t="s">
        <v>18</v>
      </c>
      <c r="B20" s="194" t="s">
        <v>84</v>
      </c>
      <c r="C20" s="200">
        <v>5.46</v>
      </c>
      <c r="D20" s="200">
        <v>5816</v>
      </c>
      <c r="E20" s="201">
        <f t="shared" si="2"/>
        <v>1065.2014652014652</v>
      </c>
      <c r="F20" s="202">
        <f t="shared" si="3"/>
        <v>88.766788766788764</v>
      </c>
    </row>
    <row r="21" spans="1:8">
      <c r="A21" s="194" t="s">
        <v>19</v>
      </c>
      <c r="B21" s="194" t="s">
        <v>88</v>
      </c>
      <c r="C21" s="200">
        <v>16.89</v>
      </c>
      <c r="D21" s="200">
        <v>250232.43</v>
      </c>
      <c r="E21" s="201">
        <f t="shared" si="2"/>
        <v>14815.41918294849</v>
      </c>
      <c r="F21" s="202">
        <f t="shared" si="3"/>
        <v>1234.6182652457076</v>
      </c>
    </row>
    <row r="22" spans="1:8">
      <c r="A22" s="194" t="s">
        <v>20</v>
      </c>
      <c r="B22" s="194" t="s">
        <v>85</v>
      </c>
      <c r="C22" s="200">
        <v>23.53</v>
      </c>
      <c r="D22" s="200">
        <v>69831.069999999992</v>
      </c>
      <c r="E22" s="201">
        <f t="shared" si="2"/>
        <v>2967.7462813429661</v>
      </c>
      <c r="F22" s="202">
        <f t="shared" si="3"/>
        <v>247.31219011191385</v>
      </c>
    </row>
    <row r="23" spans="1:8">
      <c r="A23" s="194" t="s">
        <v>21</v>
      </c>
      <c r="B23" s="194" t="s">
        <v>86</v>
      </c>
      <c r="C23" s="200">
        <v>31.54</v>
      </c>
      <c r="D23" s="200">
        <v>7255.4000000000005</v>
      </c>
      <c r="E23" s="201">
        <f t="shared" si="2"/>
        <v>230.03804692454028</v>
      </c>
      <c r="F23" s="202">
        <f t="shared" si="3"/>
        <v>19.16983724371169</v>
      </c>
    </row>
    <row r="24" spans="1:8">
      <c r="A24" s="194" t="s">
        <v>22</v>
      </c>
      <c r="B24" s="194" t="s">
        <v>87</v>
      </c>
      <c r="C24" s="200">
        <v>39.46</v>
      </c>
      <c r="D24" s="200">
        <v>1657.3200000000002</v>
      </c>
      <c r="E24" s="201">
        <f t="shared" si="2"/>
        <v>42</v>
      </c>
      <c r="F24" s="202">
        <f t="shared" si="3"/>
        <v>3.5</v>
      </c>
    </row>
    <row r="25" spans="1:8">
      <c r="A25" s="192" t="s">
        <v>325</v>
      </c>
      <c r="B25" s="194"/>
      <c r="C25" s="200"/>
      <c r="D25" s="203">
        <f>SUM(D6:D24)</f>
        <v>474626.23000000004</v>
      </c>
      <c r="E25" s="204"/>
      <c r="F25" s="205"/>
      <c r="G25" s="158"/>
    </row>
    <row r="26" spans="1:8">
      <c r="A26" s="194"/>
      <c r="B26" s="194"/>
      <c r="C26" s="200"/>
      <c r="D26" s="200"/>
      <c r="E26" s="204"/>
      <c r="F26" s="194"/>
      <c r="G26" s="158"/>
    </row>
    <row r="27" spans="1:8">
      <c r="A27" s="192" t="s">
        <v>24</v>
      </c>
      <c r="B27" s="192"/>
      <c r="C27" s="200"/>
      <c r="D27" s="200"/>
      <c r="E27" s="204"/>
      <c r="F27" s="194"/>
    </row>
    <row r="28" spans="1:8">
      <c r="A28" s="194" t="s">
        <v>62</v>
      </c>
      <c r="B28" s="194" t="s">
        <v>88</v>
      </c>
      <c r="C28" s="200">
        <v>14.07</v>
      </c>
      <c r="D28" s="200">
        <v>1997.9399999999998</v>
      </c>
      <c r="E28" s="202">
        <f>D28/C28</f>
        <v>141.99999999999997</v>
      </c>
      <c r="F28" s="202">
        <f t="shared" ref="F28:F57" si="4">D28/C28/12</f>
        <v>11.83333333333333</v>
      </c>
    </row>
    <row r="29" spans="1:8">
      <c r="A29" s="194" t="s">
        <v>63</v>
      </c>
      <c r="B29" s="194" t="s">
        <v>85</v>
      </c>
      <c r="C29" s="200">
        <v>28.15</v>
      </c>
      <c r="D29" s="200">
        <v>992.28000000000009</v>
      </c>
      <c r="E29" s="202">
        <f t="shared" ref="E29:E32" si="5">D29/C29</f>
        <v>35.249733570159862</v>
      </c>
      <c r="F29" s="202">
        <f t="shared" si="4"/>
        <v>2.9374777975133219</v>
      </c>
    </row>
    <row r="30" spans="1:8">
      <c r="A30" s="194" t="s">
        <v>64</v>
      </c>
      <c r="B30" s="194" t="s">
        <v>86</v>
      </c>
      <c r="C30" s="200">
        <v>42.22</v>
      </c>
      <c r="D30" s="200">
        <v>1023.8400000000004</v>
      </c>
      <c r="E30" s="202">
        <f t="shared" si="5"/>
        <v>24.250118427285656</v>
      </c>
      <c r="F30" s="202">
        <f t="shared" si="4"/>
        <v>2.0208432022738045</v>
      </c>
    </row>
    <row r="31" spans="1:8">
      <c r="A31" s="194" t="s">
        <v>65</v>
      </c>
      <c r="B31" s="194" t="s">
        <v>87</v>
      </c>
      <c r="C31" s="200">
        <v>56.29</v>
      </c>
      <c r="D31" s="200">
        <v>788.06</v>
      </c>
      <c r="E31" s="202">
        <f t="shared" si="5"/>
        <v>14</v>
      </c>
      <c r="F31" s="202">
        <f t="shared" si="4"/>
        <v>1.1666666666666667</v>
      </c>
    </row>
    <row r="32" spans="1:8">
      <c r="A32" s="194" t="s">
        <v>66</v>
      </c>
      <c r="B32" s="194" t="s">
        <v>89</v>
      </c>
      <c r="C32" s="200">
        <v>13.85</v>
      </c>
      <c r="D32" s="200">
        <v>588.62999999999988</v>
      </c>
      <c r="E32" s="202">
        <f t="shared" si="5"/>
        <v>42.500361010830318</v>
      </c>
      <c r="F32" s="202">
        <f t="shared" si="4"/>
        <v>3.5416967509025263</v>
      </c>
      <c r="H32" s="158"/>
    </row>
    <row r="33" spans="1:8">
      <c r="A33" s="194" t="s">
        <v>2</v>
      </c>
      <c r="B33" s="194" t="s">
        <v>90</v>
      </c>
      <c r="C33" s="200">
        <v>3.65</v>
      </c>
      <c r="D33" s="200">
        <v>5975.14</v>
      </c>
      <c r="E33" s="202">
        <f t="shared" ref="E33:E40" si="6">D33/C33</f>
        <v>1637.0246575342467</v>
      </c>
      <c r="F33" s="202">
        <f t="shared" si="4"/>
        <v>136.41872146118723</v>
      </c>
    </row>
    <row r="34" spans="1:8">
      <c r="A34" s="194" t="s">
        <v>3</v>
      </c>
      <c r="B34" s="194" t="s">
        <v>92</v>
      </c>
      <c r="C34" s="200">
        <v>15.78</v>
      </c>
      <c r="D34" s="200">
        <v>134.13</v>
      </c>
      <c r="E34" s="202">
        <f t="shared" si="6"/>
        <v>8.5</v>
      </c>
      <c r="F34" s="202">
        <f t="shared" si="4"/>
        <v>0.70833333333333337</v>
      </c>
    </row>
    <row r="35" spans="1:8">
      <c r="A35" s="194" t="s">
        <v>51</v>
      </c>
      <c r="B35" s="194" t="s">
        <v>93</v>
      </c>
      <c r="C35" s="200">
        <v>26.56</v>
      </c>
      <c r="D35" s="200">
        <v>345.28000000000003</v>
      </c>
      <c r="E35" s="202">
        <f t="shared" si="6"/>
        <v>13.000000000000002</v>
      </c>
      <c r="F35" s="202">
        <f t="shared" si="4"/>
        <v>1.0833333333333335</v>
      </c>
    </row>
    <row r="36" spans="1:8">
      <c r="A36" s="194" t="s">
        <v>53</v>
      </c>
      <c r="B36" s="194" t="s">
        <v>94</v>
      </c>
      <c r="C36" s="200">
        <v>5.31</v>
      </c>
      <c r="D36" s="200">
        <v>53.099999999999994</v>
      </c>
      <c r="E36" s="202">
        <f t="shared" si="6"/>
        <v>10</v>
      </c>
      <c r="F36" s="202">
        <f t="shared" si="4"/>
        <v>0.83333333333333337</v>
      </c>
    </row>
    <row r="37" spans="1:8">
      <c r="A37" s="194" t="s">
        <v>61</v>
      </c>
      <c r="B37" s="194" t="s">
        <v>79</v>
      </c>
      <c r="C37" s="200">
        <v>15</v>
      </c>
      <c r="D37" s="200">
        <v>195</v>
      </c>
      <c r="E37" s="202">
        <f t="shared" si="6"/>
        <v>13</v>
      </c>
      <c r="F37" s="202">
        <f t="shared" si="4"/>
        <v>1.0833333333333333</v>
      </c>
    </row>
    <row r="38" spans="1:8">
      <c r="A38" s="194" t="s">
        <v>69</v>
      </c>
      <c r="B38" s="194" t="s">
        <v>95</v>
      </c>
      <c r="C38" s="200">
        <v>2.77</v>
      </c>
      <c r="D38" s="200">
        <v>116.71</v>
      </c>
      <c r="E38" s="202">
        <f t="shared" si="6"/>
        <v>42.133574007220211</v>
      </c>
      <c r="F38" s="202">
        <f t="shared" si="4"/>
        <v>3.5111311672683509</v>
      </c>
    </row>
    <row r="39" spans="1:8">
      <c r="A39" s="194" t="s">
        <v>70</v>
      </c>
      <c r="B39" s="194" t="s">
        <v>96</v>
      </c>
      <c r="C39" s="200">
        <v>5.76</v>
      </c>
      <c r="D39" s="200">
        <v>51.839999999999989</v>
      </c>
      <c r="E39" s="202">
        <f t="shared" si="6"/>
        <v>8.9999999999999982</v>
      </c>
      <c r="F39" s="202">
        <f t="shared" si="4"/>
        <v>0.74999999999999989</v>
      </c>
    </row>
    <row r="40" spans="1:8">
      <c r="A40" s="194" t="s">
        <v>71</v>
      </c>
      <c r="B40" s="194" t="s">
        <v>97</v>
      </c>
      <c r="C40" s="200">
        <v>0.69</v>
      </c>
      <c r="D40" s="200">
        <v>38.64</v>
      </c>
      <c r="E40" s="202">
        <f t="shared" si="6"/>
        <v>56.000000000000007</v>
      </c>
      <c r="F40" s="202">
        <f t="shared" si="4"/>
        <v>4.666666666666667</v>
      </c>
    </row>
    <row r="41" spans="1:8">
      <c r="A41" s="194" t="s">
        <v>40</v>
      </c>
      <c r="B41" s="194" t="s">
        <v>101</v>
      </c>
      <c r="C41" s="200">
        <v>37.299999999999997</v>
      </c>
      <c r="D41" s="200">
        <v>15481.8</v>
      </c>
      <c r="E41" s="202">
        <f t="shared" ref="E41:E53" si="7">D41/C41</f>
        <v>415.06166219839145</v>
      </c>
      <c r="F41" s="202">
        <f t="shared" si="4"/>
        <v>34.588471849865954</v>
      </c>
    </row>
    <row r="42" spans="1:8">
      <c r="A42" s="194" t="s">
        <v>5</v>
      </c>
      <c r="B42" s="194" t="s">
        <v>98</v>
      </c>
      <c r="C42" s="200">
        <v>74.430000000000007</v>
      </c>
      <c r="D42" s="200">
        <v>45067.8</v>
      </c>
      <c r="E42" s="202">
        <f t="shared" si="7"/>
        <v>605.5058444175736</v>
      </c>
      <c r="F42" s="202">
        <f t="shared" si="4"/>
        <v>50.458820368131136</v>
      </c>
    </row>
    <row r="43" spans="1:8">
      <c r="A43" s="194" t="s">
        <v>59</v>
      </c>
      <c r="B43" s="194" t="s">
        <v>99</v>
      </c>
      <c r="C43" s="206">
        <v>148.86000000000001</v>
      </c>
      <c r="D43" s="200">
        <v>0</v>
      </c>
      <c r="E43" s="202">
        <f t="shared" si="7"/>
        <v>0</v>
      </c>
      <c r="F43" s="202">
        <f t="shared" si="4"/>
        <v>0</v>
      </c>
    </row>
    <row r="44" spans="1:8">
      <c r="A44" s="194" t="s">
        <v>38</v>
      </c>
      <c r="B44" s="194" t="s">
        <v>100</v>
      </c>
      <c r="C44" s="200">
        <v>46.92</v>
      </c>
      <c r="D44" s="200">
        <v>0</v>
      </c>
      <c r="E44" s="202">
        <f t="shared" si="7"/>
        <v>0</v>
      </c>
      <c r="F44" s="202">
        <f t="shared" si="4"/>
        <v>0</v>
      </c>
    </row>
    <row r="45" spans="1:8">
      <c r="A45" s="194" t="s">
        <v>52</v>
      </c>
      <c r="B45" s="194" t="s">
        <v>102</v>
      </c>
      <c r="C45" s="200">
        <v>46.92</v>
      </c>
      <c r="D45" s="200">
        <v>1126.0800000000002</v>
      </c>
      <c r="E45" s="202">
        <f t="shared" si="7"/>
        <v>24.000000000000004</v>
      </c>
      <c r="F45" s="202">
        <f t="shared" si="4"/>
        <v>2.0000000000000004</v>
      </c>
    </row>
    <row r="46" spans="1:8">
      <c r="A46" s="194" t="s">
        <v>39</v>
      </c>
      <c r="B46" s="194" t="s">
        <v>103</v>
      </c>
      <c r="C46" s="200">
        <v>93.61</v>
      </c>
      <c r="D46" s="200">
        <v>15977.420000000002</v>
      </c>
      <c r="E46" s="202">
        <f t="shared" si="7"/>
        <v>170.68069650678348</v>
      </c>
      <c r="F46" s="202">
        <f t="shared" si="4"/>
        <v>14.22339137556529</v>
      </c>
    </row>
    <row r="47" spans="1:8">
      <c r="A47" s="194" t="s">
        <v>4</v>
      </c>
      <c r="B47" s="194" t="s">
        <v>104</v>
      </c>
      <c r="C47" s="200">
        <v>187.22</v>
      </c>
      <c r="D47" s="200">
        <v>6693.119999999999</v>
      </c>
      <c r="E47" s="202">
        <f t="shared" si="7"/>
        <v>35.750026706548439</v>
      </c>
      <c r="F47" s="202">
        <f t="shared" si="4"/>
        <v>2.9791688922123698</v>
      </c>
    </row>
    <row r="48" spans="1:8">
      <c r="A48" s="194" t="s">
        <v>6</v>
      </c>
      <c r="B48" s="194" t="s">
        <v>105</v>
      </c>
      <c r="C48" s="200">
        <v>130.68</v>
      </c>
      <c r="D48" s="200">
        <v>83961.900000000009</v>
      </c>
      <c r="E48" s="202">
        <f t="shared" si="7"/>
        <v>642.5</v>
      </c>
      <c r="F48" s="202">
        <f t="shared" si="4"/>
        <v>53.541666666666664</v>
      </c>
      <c r="H48" s="158"/>
    </row>
    <row r="49" spans="1:9">
      <c r="A49" s="194" t="s">
        <v>7</v>
      </c>
      <c r="B49" s="194" t="s">
        <v>106</v>
      </c>
      <c r="C49" s="200">
        <v>261.36</v>
      </c>
      <c r="D49" s="200">
        <v>63902.51999999999</v>
      </c>
      <c r="E49" s="202">
        <f t="shared" si="7"/>
        <v>244.49999999999994</v>
      </c>
      <c r="F49" s="202">
        <f t="shared" si="4"/>
        <v>20.374999999999996</v>
      </c>
      <c r="G49" s="158"/>
    </row>
    <row r="50" spans="1:9">
      <c r="A50" s="194" t="s">
        <v>8</v>
      </c>
      <c r="B50" s="194" t="s">
        <v>107</v>
      </c>
      <c r="C50" s="200">
        <v>392.04</v>
      </c>
      <c r="D50" s="200">
        <v>28684.259999999995</v>
      </c>
      <c r="E50" s="202">
        <f t="shared" si="7"/>
        <v>73.166666666666643</v>
      </c>
      <c r="F50" s="202">
        <f t="shared" si="4"/>
        <v>6.0972222222222205</v>
      </c>
      <c r="H50" s="158"/>
    </row>
    <row r="51" spans="1:9">
      <c r="A51" s="194" t="s">
        <v>25</v>
      </c>
      <c r="B51" s="194" t="s">
        <v>108</v>
      </c>
      <c r="C51" s="200">
        <v>522.72</v>
      </c>
      <c r="D51" s="200">
        <v>12545.280000000004</v>
      </c>
      <c r="E51" s="202">
        <f t="shared" si="7"/>
        <v>24.000000000000007</v>
      </c>
      <c r="F51" s="202">
        <f t="shared" si="4"/>
        <v>2.0000000000000004</v>
      </c>
    </row>
    <row r="52" spans="1:9">
      <c r="A52" s="194" t="s">
        <v>68</v>
      </c>
      <c r="B52" s="207" t="s">
        <v>113</v>
      </c>
      <c r="C52" s="200">
        <v>76.760000000000005</v>
      </c>
      <c r="D52" s="200">
        <v>211.09</v>
      </c>
      <c r="E52" s="202">
        <f t="shared" si="7"/>
        <v>2.75</v>
      </c>
      <c r="F52" s="202">
        <f t="shared" si="4"/>
        <v>0.22916666666666666</v>
      </c>
    </row>
    <row r="53" spans="1:9">
      <c r="A53" s="194" t="s">
        <v>60</v>
      </c>
      <c r="B53" s="207" t="s">
        <v>114</v>
      </c>
      <c r="C53" s="200">
        <v>128.72</v>
      </c>
      <c r="D53" s="200">
        <v>707.95999999999992</v>
      </c>
      <c r="E53" s="202">
        <f t="shared" si="7"/>
        <v>5.4999999999999991</v>
      </c>
      <c r="F53" s="202">
        <f t="shared" si="4"/>
        <v>0.45833333333333326</v>
      </c>
    </row>
    <row r="54" spans="1:9">
      <c r="A54" s="194" t="s">
        <v>26</v>
      </c>
      <c r="B54" s="194" t="s">
        <v>109</v>
      </c>
      <c r="C54" s="200">
        <v>17.190000000000001</v>
      </c>
      <c r="D54" s="200">
        <v>326.61</v>
      </c>
      <c r="E54" s="202">
        <f>D54/C54</f>
        <v>19</v>
      </c>
      <c r="F54" s="202">
        <f t="shared" si="4"/>
        <v>1.5833333333333333</v>
      </c>
    </row>
    <row r="55" spans="1:9">
      <c r="A55" s="194" t="s">
        <v>9</v>
      </c>
      <c r="B55" s="194" t="s">
        <v>110</v>
      </c>
      <c r="C55" s="200">
        <v>21.62</v>
      </c>
      <c r="D55" s="200">
        <v>43.24</v>
      </c>
      <c r="E55" s="202">
        <f>D55/C55</f>
        <v>2</v>
      </c>
      <c r="F55" s="202">
        <f t="shared" si="4"/>
        <v>0.16666666666666666</v>
      </c>
    </row>
    <row r="56" spans="1:9">
      <c r="A56" s="194" t="s">
        <v>10</v>
      </c>
      <c r="B56" s="194" t="s">
        <v>111</v>
      </c>
      <c r="C56" s="200">
        <v>30.18</v>
      </c>
      <c r="D56" s="200">
        <v>875.21999999999991</v>
      </c>
      <c r="E56" s="202">
        <f>D56/C56</f>
        <v>28.999999999999996</v>
      </c>
      <c r="F56" s="202">
        <f t="shared" si="4"/>
        <v>2.4166666666666665</v>
      </c>
    </row>
    <row r="57" spans="1:9">
      <c r="A57" s="194" t="s">
        <v>67</v>
      </c>
      <c r="B57" s="194" t="s">
        <v>112</v>
      </c>
      <c r="C57" s="200">
        <v>65.489999999999995</v>
      </c>
      <c r="D57" s="200">
        <v>1604.51</v>
      </c>
      <c r="E57" s="202">
        <f>D57/C57</f>
        <v>24.500076347533977</v>
      </c>
      <c r="F57" s="202">
        <f t="shared" si="4"/>
        <v>2.0416730289611649</v>
      </c>
    </row>
    <row r="58" spans="1:9">
      <c r="A58" s="192" t="s">
        <v>326</v>
      </c>
      <c r="B58" s="192"/>
      <c r="C58" s="200"/>
      <c r="D58" s="203">
        <f>SUM(D28:D57)</f>
        <v>289509.40000000002</v>
      </c>
      <c r="E58" s="202"/>
      <c r="F58" s="194"/>
      <c r="G58" s="157"/>
      <c r="I58" s="158"/>
    </row>
    <row r="59" spans="1:9">
      <c r="A59" s="194"/>
      <c r="B59" s="194"/>
      <c r="C59" s="200"/>
      <c r="D59" s="200"/>
      <c r="E59" s="202"/>
      <c r="F59" s="194"/>
      <c r="G59" s="158"/>
    </row>
    <row r="60" spans="1:9">
      <c r="A60" s="208" t="s">
        <v>27</v>
      </c>
      <c r="B60" s="208"/>
      <c r="C60" s="209"/>
      <c r="D60" s="200"/>
      <c r="E60" s="202"/>
      <c r="F60" s="194"/>
      <c r="G60" s="158"/>
      <c r="I60" s="158"/>
    </row>
    <row r="61" spans="1:9">
      <c r="A61" s="208" t="s">
        <v>28</v>
      </c>
      <c r="B61" s="208"/>
      <c r="C61" s="210"/>
      <c r="D61" s="200"/>
      <c r="E61" s="197"/>
      <c r="F61" s="194"/>
      <c r="I61" s="160"/>
    </row>
    <row r="62" spans="1:9">
      <c r="A62" s="211" t="s">
        <v>29</v>
      </c>
      <c r="B62" s="211"/>
      <c r="C62" s="209">
        <v>137.58000000000001</v>
      </c>
      <c r="D62" s="200">
        <v>0</v>
      </c>
      <c r="E62" s="202">
        <f>D62/C62</f>
        <v>0</v>
      </c>
      <c r="F62" s="194"/>
      <c r="G62" s="158"/>
    </row>
    <row r="63" spans="1:9">
      <c r="A63" s="211" t="s">
        <v>30</v>
      </c>
      <c r="B63" s="211"/>
      <c r="C63" s="209">
        <v>137.58000000000001</v>
      </c>
      <c r="D63" s="200">
        <v>0</v>
      </c>
      <c r="E63" s="202">
        <f>D63/C63</f>
        <v>0</v>
      </c>
      <c r="F63" s="194"/>
    </row>
    <row r="64" spans="1:9">
      <c r="A64" s="211" t="s">
        <v>31</v>
      </c>
      <c r="B64" s="211"/>
      <c r="C64" s="209">
        <v>137.58000000000001</v>
      </c>
      <c r="D64" s="200">
        <v>137.58000000000001</v>
      </c>
      <c r="E64" s="202">
        <f>D64/C64</f>
        <v>1</v>
      </c>
      <c r="F64" s="194"/>
    </row>
    <row r="65" spans="1:6">
      <c r="A65" s="211"/>
      <c r="B65" s="211"/>
      <c r="C65" s="209"/>
      <c r="D65" s="200"/>
      <c r="E65" s="212"/>
      <c r="F65" s="194"/>
    </row>
    <row r="66" spans="1:6">
      <c r="A66" s="208" t="s">
        <v>32</v>
      </c>
      <c r="B66" s="208"/>
      <c r="C66" s="213"/>
      <c r="D66" s="200"/>
      <c r="E66" s="212"/>
      <c r="F66" s="194"/>
    </row>
    <row r="67" spans="1:6">
      <c r="A67" s="211" t="s">
        <v>29</v>
      </c>
      <c r="B67" s="211"/>
      <c r="C67" s="209">
        <v>114.65</v>
      </c>
      <c r="D67" s="200">
        <v>573.25</v>
      </c>
      <c r="E67" s="202">
        <f>D67/C67</f>
        <v>5</v>
      </c>
      <c r="F67" s="194"/>
    </row>
    <row r="68" spans="1:6">
      <c r="A68" s="211" t="s">
        <v>30</v>
      </c>
      <c r="B68" s="211"/>
      <c r="C68" s="209">
        <v>114.65</v>
      </c>
      <c r="D68" s="200">
        <v>3210.2000000000003</v>
      </c>
      <c r="E68" s="202">
        <f>D68/C68</f>
        <v>28</v>
      </c>
      <c r="F68" s="194"/>
    </row>
    <row r="69" spans="1:6">
      <c r="A69" s="211" t="s">
        <v>31</v>
      </c>
      <c r="B69" s="211"/>
      <c r="C69" s="209">
        <v>114.65</v>
      </c>
      <c r="D69" s="200">
        <v>2866.2500000000005</v>
      </c>
      <c r="E69" s="202">
        <f>D69/C69</f>
        <v>25.000000000000004</v>
      </c>
      <c r="F69" s="194"/>
    </row>
    <row r="70" spans="1:6">
      <c r="A70" s="211"/>
      <c r="B70" s="211"/>
      <c r="C70" s="209"/>
      <c r="D70" s="200"/>
      <c r="E70" s="212"/>
      <c r="F70" s="194"/>
    </row>
    <row r="71" spans="1:6">
      <c r="A71" s="208" t="s">
        <v>33</v>
      </c>
      <c r="B71" s="208"/>
      <c r="C71" s="213"/>
      <c r="D71" s="200"/>
      <c r="E71" s="212"/>
      <c r="F71" s="194"/>
    </row>
    <row r="72" spans="1:6">
      <c r="A72" s="211" t="s">
        <v>41</v>
      </c>
      <c r="B72" s="211"/>
      <c r="C72" s="209">
        <v>11.47</v>
      </c>
      <c r="D72" s="200">
        <v>156.76</v>
      </c>
      <c r="E72" s="202">
        <f t="shared" ref="E72:E77" si="8">D72/C72</f>
        <v>13.666957279860505</v>
      </c>
      <c r="F72" s="194"/>
    </row>
    <row r="73" spans="1:6">
      <c r="A73" s="211" t="s">
        <v>42</v>
      </c>
      <c r="B73" s="211"/>
      <c r="C73" s="209">
        <v>114.7</v>
      </c>
      <c r="D73" s="200">
        <v>573.5</v>
      </c>
      <c r="E73" s="202">
        <f t="shared" si="8"/>
        <v>5</v>
      </c>
      <c r="F73" s="194"/>
    </row>
    <row r="74" spans="1:6">
      <c r="A74" s="211" t="s">
        <v>43</v>
      </c>
      <c r="B74" s="211"/>
      <c r="C74" s="209">
        <v>14.33</v>
      </c>
      <c r="D74" s="200">
        <v>243.67000000000002</v>
      </c>
      <c r="E74" s="202">
        <f t="shared" si="8"/>
        <v>17.004187020237264</v>
      </c>
      <c r="F74" s="194"/>
    </row>
    <row r="75" spans="1:6">
      <c r="A75" s="211" t="s">
        <v>44</v>
      </c>
      <c r="B75" s="211"/>
      <c r="C75" s="209">
        <v>114.7</v>
      </c>
      <c r="D75" s="200">
        <v>1430.71</v>
      </c>
      <c r="E75" s="202">
        <f t="shared" si="8"/>
        <v>12.473496076721883</v>
      </c>
      <c r="F75" s="194"/>
    </row>
    <row r="76" spans="1:6">
      <c r="A76" s="211" t="s">
        <v>46</v>
      </c>
      <c r="B76" s="211"/>
      <c r="C76" s="209">
        <v>17.2</v>
      </c>
      <c r="D76" s="200">
        <v>120.4</v>
      </c>
      <c r="E76" s="202">
        <f t="shared" si="8"/>
        <v>7.0000000000000009</v>
      </c>
      <c r="F76" s="194"/>
    </row>
    <row r="77" spans="1:6">
      <c r="A77" s="211" t="s">
        <v>45</v>
      </c>
      <c r="B77" s="211"/>
      <c r="C77" s="209">
        <v>114.7</v>
      </c>
      <c r="D77" s="200">
        <v>2221.3200000000006</v>
      </c>
      <c r="E77" s="202">
        <f t="shared" si="8"/>
        <v>19.366346992153449</v>
      </c>
      <c r="F77" s="194"/>
    </row>
    <row r="78" spans="1:6">
      <c r="A78" s="211"/>
      <c r="B78" s="211"/>
      <c r="C78" s="209"/>
      <c r="D78" s="200"/>
      <c r="E78" s="212"/>
      <c r="F78" s="194"/>
    </row>
    <row r="79" spans="1:6">
      <c r="A79" s="208" t="s">
        <v>34</v>
      </c>
      <c r="B79" s="208"/>
      <c r="C79" s="213"/>
      <c r="D79" s="200"/>
      <c r="E79" s="212"/>
      <c r="F79" s="194"/>
    </row>
    <row r="80" spans="1:6">
      <c r="A80" s="211" t="s">
        <v>35</v>
      </c>
      <c r="B80" s="211"/>
      <c r="C80" s="209">
        <v>77.39</v>
      </c>
      <c r="D80" s="200">
        <v>2476.4800000000005</v>
      </c>
      <c r="E80" s="202">
        <f t="shared" ref="E80:E85" si="9">D80/C80</f>
        <v>32.000000000000007</v>
      </c>
      <c r="F80" s="194"/>
    </row>
    <row r="81" spans="1:7">
      <c r="A81" s="211" t="s">
        <v>36</v>
      </c>
      <c r="B81" s="211"/>
      <c r="C81" s="209">
        <v>17.66</v>
      </c>
      <c r="D81" s="200">
        <v>247.23999999999998</v>
      </c>
      <c r="E81" s="202">
        <f t="shared" si="9"/>
        <v>13.999999999999998</v>
      </c>
      <c r="F81" s="194"/>
    </row>
    <row r="82" spans="1:7">
      <c r="A82" s="211" t="s">
        <v>37</v>
      </c>
      <c r="B82" s="211"/>
      <c r="C82" s="209">
        <v>120.17</v>
      </c>
      <c r="D82" s="200">
        <v>24529.110000000004</v>
      </c>
      <c r="E82" s="202">
        <f t="shared" si="9"/>
        <v>204.12007988682703</v>
      </c>
      <c r="F82" s="194"/>
    </row>
    <row r="83" spans="1:7">
      <c r="A83" s="211" t="s">
        <v>56</v>
      </c>
      <c r="B83" s="211"/>
      <c r="C83" s="209">
        <v>120.17</v>
      </c>
      <c r="D83" s="200">
        <v>0</v>
      </c>
      <c r="E83" s="202">
        <f t="shared" si="9"/>
        <v>0</v>
      </c>
      <c r="F83" s="194"/>
    </row>
    <row r="84" spans="1:7">
      <c r="A84" s="211" t="s">
        <v>50</v>
      </c>
      <c r="B84" s="211"/>
      <c r="C84" s="209">
        <v>75</v>
      </c>
      <c r="D84" s="200">
        <v>0</v>
      </c>
      <c r="E84" s="202">
        <f t="shared" si="9"/>
        <v>0</v>
      </c>
      <c r="F84" s="194"/>
    </row>
    <row r="85" spans="1:7">
      <c r="A85" s="211" t="s">
        <v>55</v>
      </c>
      <c r="B85" s="211"/>
      <c r="C85" s="209">
        <v>150</v>
      </c>
      <c r="D85" s="200">
        <v>150</v>
      </c>
      <c r="E85" s="202">
        <f t="shared" si="9"/>
        <v>1</v>
      </c>
      <c r="F85" s="194"/>
      <c r="G85" s="161"/>
    </row>
    <row r="86" spans="1:7">
      <c r="A86" s="211" t="s">
        <v>54</v>
      </c>
      <c r="B86" s="211"/>
      <c r="C86" s="200"/>
      <c r="D86" s="200">
        <v>0</v>
      </c>
      <c r="E86" s="201"/>
      <c r="F86" s="194"/>
    </row>
    <row r="87" spans="1:7">
      <c r="A87" s="192" t="s">
        <v>330</v>
      </c>
      <c r="B87" s="192"/>
      <c r="C87" s="200"/>
      <c r="D87" s="203">
        <f>SUM(D62:D86)</f>
        <v>38936.470000000008</v>
      </c>
      <c r="E87" s="194"/>
      <c r="F87" s="194"/>
      <c r="G87" s="157"/>
    </row>
    <row r="88" spans="1:7">
      <c r="A88" s="192"/>
      <c r="B88" s="192"/>
      <c r="C88" s="200"/>
      <c r="D88" s="205"/>
      <c r="E88" s="194"/>
      <c r="F88" s="194"/>
      <c r="G88" s="157"/>
    </row>
    <row r="89" spans="1:7" ht="15.75" thickBot="1">
      <c r="A89" s="194"/>
      <c r="B89" s="194"/>
      <c r="C89" s="200"/>
      <c r="D89" s="214">
        <f>D25+D58+D87</f>
        <v>803072.10000000009</v>
      </c>
      <c r="E89" s="194"/>
      <c r="F89" s="194"/>
    </row>
    <row r="90" spans="1:7" ht="15.75" thickTop="1">
      <c r="A90" s="194"/>
      <c r="B90" s="194"/>
      <c r="C90" s="194"/>
      <c r="D90" s="194"/>
      <c r="E90" s="194"/>
      <c r="F90" s="194"/>
    </row>
    <row r="91" spans="1:7">
      <c r="A91" s="194"/>
      <c r="B91" s="194"/>
      <c r="C91" s="200"/>
      <c r="D91" s="205"/>
      <c r="E91" s="194"/>
      <c r="F91" s="194"/>
    </row>
    <row r="92" spans="1:7">
      <c r="A92" s="194"/>
      <c r="B92" s="194"/>
      <c r="C92" s="200"/>
      <c r="D92" s="194"/>
      <c r="E92" s="194"/>
      <c r="F92" s="194"/>
    </row>
    <row r="93" spans="1:7">
      <c r="A93" s="194"/>
      <c r="B93" s="192" t="s">
        <v>321</v>
      </c>
      <c r="C93" s="194"/>
      <c r="D93" s="194"/>
      <c r="E93" s="194"/>
      <c r="F93" s="194"/>
    </row>
    <row r="94" spans="1:7">
      <c r="A94" s="194"/>
      <c r="B94" s="194" t="s">
        <v>115</v>
      </c>
      <c r="C94" s="194"/>
      <c r="D94" s="200">
        <f>D25-D15-D16</f>
        <v>417955.81000000006</v>
      </c>
      <c r="E94" s="194"/>
      <c r="F94" s="194"/>
    </row>
    <row r="95" spans="1:7">
      <c r="A95" s="194"/>
      <c r="B95" s="194" t="s">
        <v>116</v>
      </c>
      <c r="C95" s="194"/>
      <c r="D95" s="200">
        <f>D58</f>
        <v>289509.40000000002</v>
      </c>
      <c r="E95" s="194"/>
      <c r="F95" s="194"/>
    </row>
    <row r="96" spans="1:7">
      <c r="A96" s="194"/>
      <c r="B96" s="194" t="s">
        <v>117</v>
      </c>
      <c r="C96" s="194"/>
      <c r="D96" s="200">
        <f>D87-D82</f>
        <v>14407.360000000004</v>
      </c>
      <c r="E96" s="194"/>
      <c r="F96" s="194"/>
    </row>
    <row r="97" spans="1:6">
      <c r="A97" s="194"/>
      <c r="B97" s="194" t="s">
        <v>118</v>
      </c>
      <c r="C97" s="194"/>
      <c r="D97" s="200">
        <f>D82</f>
        <v>24529.110000000004</v>
      </c>
      <c r="E97" s="194"/>
      <c r="F97" s="194"/>
    </row>
    <row r="98" spans="1:6">
      <c r="A98" s="194"/>
      <c r="B98" s="194" t="s">
        <v>80</v>
      </c>
      <c r="C98" s="194"/>
      <c r="D98" s="200">
        <f>D15+D16</f>
        <v>56670.42</v>
      </c>
      <c r="E98" s="194"/>
      <c r="F98" s="194"/>
    </row>
    <row r="99" spans="1:6">
      <c r="A99" s="194"/>
      <c r="B99" s="192" t="s">
        <v>119</v>
      </c>
      <c r="C99" s="194"/>
      <c r="D99" s="203">
        <f>SUM(D94:D98)</f>
        <v>803072.10000000009</v>
      </c>
      <c r="E99" s="207">
        <f>D99-D89</f>
        <v>0</v>
      </c>
      <c r="F99" s="194"/>
    </row>
    <row r="100" spans="1:6">
      <c r="A100" s="194"/>
      <c r="B100" s="194"/>
      <c r="C100" s="194"/>
      <c r="D100" s="194"/>
      <c r="E100" s="194"/>
      <c r="F100" s="194"/>
    </row>
    <row r="101" spans="1:6">
      <c r="A101" s="194"/>
      <c r="B101" s="192" t="s">
        <v>320</v>
      </c>
      <c r="C101" s="194"/>
      <c r="D101" s="194"/>
      <c r="E101" s="194"/>
      <c r="F101" s="194"/>
    </row>
    <row r="102" spans="1:6">
      <c r="A102" s="194"/>
      <c r="B102" s="194" t="s">
        <v>72</v>
      </c>
      <c r="C102" s="194"/>
      <c r="D102" s="200">
        <f>446756+27295</f>
        <v>474051</v>
      </c>
      <c r="E102" s="194"/>
      <c r="F102" s="194"/>
    </row>
    <row r="103" spans="1:6">
      <c r="A103" s="194"/>
      <c r="B103" s="194" t="s">
        <v>24</v>
      </c>
      <c r="C103" s="194"/>
      <c r="D103" s="200">
        <f>283202+5907</f>
        <v>289109</v>
      </c>
      <c r="E103" s="194"/>
      <c r="F103" s="194"/>
    </row>
    <row r="104" spans="1:6">
      <c r="A104" s="194"/>
      <c r="B104" s="194" t="s">
        <v>318</v>
      </c>
      <c r="C104" s="194"/>
      <c r="D104" s="200">
        <f>11534+2874</f>
        <v>14408</v>
      </c>
      <c r="E104" s="194"/>
      <c r="F104" s="194"/>
    </row>
    <row r="105" spans="1:6">
      <c r="A105" s="194"/>
      <c r="B105" s="194" t="s">
        <v>319</v>
      </c>
      <c r="C105" s="194"/>
      <c r="D105" s="200">
        <v>24529</v>
      </c>
      <c r="E105" s="194"/>
      <c r="F105" s="194"/>
    </row>
    <row r="106" spans="1:6">
      <c r="A106" s="194"/>
      <c r="B106" s="192" t="s">
        <v>119</v>
      </c>
      <c r="C106" s="194"/>
      <c r="D106" s="203">
        <f>SUM(D102:D105)</f>
        <v>802097</v>
      </c>
      <c r="E106" s="194"/>
      <c r="F106" s="194"/>
    </row>
    <row r="107" spans="1:6">
      <c r="A107" s="194"/>
      <c r="B107" s="194"/>
      <c r="C107" s="194"/>
      <c r="D107" s="194"/>
      <c r="E107" s="194"/>
      <c r="F107" s="194"/>
    </row>
    <row r="108" spans="1:6">
      <c r="A108" s="194"/>
      <c r="B108" s="192" t="s">
        <v>196</v>
      </c>
      <c r="C108" s="194"/>
      <c r="D108" s="215">
        <f>(D99-D106)/D99</f>
        <v>1.2142122730948977E-3</v>
      </c>
      <c r="E108" s="216"/>
      <c r="F108" s="194"/>
    </row>
    <row r="109" spans="1:6">
      <c r="A109" s="194"/>
      <c r="B109" s="194"/>
      <c r="C109" s="194"/>
      <c r="D109" s="194"/>
      <c r="E109" s="194"/>
      <c r="F109" s="194"/>
    </row>
    <row r="110" spans="1:6">
      <c r="A110" s="194"/>
      <c r="B110" s="194"/>
      <c r="C110" s="194"/>
      <c r="D110" s="194"/>
      <c r="E110" s="194"/>
      <c r="F110" s="194"/>
    </row>
    <row r="111" spans="1:6">
      <c r="D111" s="162"/>
    </row>
  </sheetData>
  <mergeCells count="1">
    <mergeCell ref="C1:F1"/>
  </mergeCells>
  <phoneticPr fontId="0" type="noConversion"/>
  <pageMargins left="0.75" right="0.75" top="1" bottom="1" header="0.5" footer="0.5"/>
  <pageSetup scale="99" fitToHeight="3" orientation="portrait" r:id="rId1"/>
  <headerFooter alignWithMargins="0"/>
  <rowBreaks count="2" manualBreakCount="2">
    <brk id="26" max="16383" man="1"/>
    <brk id="59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TG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227</IndustryCode>
    <CaseStatus xmlns="dc463f71-b30c-4ab2-9473-d307f9d35888">Closed</CaseStatus>
    <OpenedDate xmlns="dc463f71-b30c-4ab2-9473-d307f9d35888">2018-11-14T08:00:00+00:00</OpenedDate>
    <SignificantOrder xmlns="dc463f71-b30c-4ab2-9473-d307f9d35888">false</SignificantOrder>
    <Date1 xmlns="dc463f71-b30c-4ab2-9473-d307f9d35888">2018-11-14T08:00:00+00:00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AMERICAN DISPOSAL COMPANY, INC.</CaseCompanyNames>
    <Nickname xmlns="http://schemas.microsoft.com/sharepoint/v3" xsi:nil="true"/>
    <DocketNumber xmlns="dc463f71-b30c-4ab2-9473-d307f9d35888">180929</DocketNumber>
    <DelegatedOrder xmlns="dc463f71-b30c-4ab2-9473-d307f9d35888">false</DelegatedOrder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EE495567239D4946AB4EBA8E391950DF" ma:contentTypeVersion="68" ma:contentTypeDescription="" ma:contentTypeScope="" ma:versionID="e5a17bff338b6b6558859bc1fc344070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a924c8152a3ca6d41f5defb10cfa585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8AEB7B9-EAE1-4BA6-8B27-E06CB55EF393}"/>
</file>

<file path=customXml/itemProps2.xml><?xml version="1.0" encoding="utf-8"?>
<ds:datastoreItem xmlns:ds="http://schemas.openxmlformats.org/officeDocument/2006/customXml" ds:itemID="{5B7C5096-A844-4F72-8731-F8083630508D}"/>
</file>

<file path=customXml/itemProps3.xml><?xml version="1.0" encoding="utf-8"?>
<ds:datastoreItem xmlns:ds="http://schemas.openxmlformats.org/officeDocument/2006/customXml" ds:itemID="{8C1388F1-6E53-4740-8922-725261BCB6D3}"/>
</file>

<file path=customXml/itemProps4.xml><?xml version="1.0" encoding="utf-8"?>
<ds:datastoreItem xmlns:ds="http://schemas.openxmlformats.org/officeDocument/2006/customXml" ds:itemID="{D0A4E58E-1AFC-4D2F-8EA5-47506C8D936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6</vt:i4>
      </vt:variant>
    </vt:vector>
  </HeadingPairs>
  <TitlesOfParts>
    <vt:vector size="11" baseType="lpstr">
      <vt:lpstr>References</vt:lpstr>
      <vt:lpstr>DF Calculation</vt:lpstr>
      <vt:lpstr>Proposed Rates</vt:lpstr>
      <vt:lpstr>DF Tons</vt:lpstr>
      <vt:lpstr>Vashon Total 16</vt:lpstr>
      <vt:lpstr>'DF Calculation'!Print_Area</vt:lpstr>
      <vt:lpstr>'Proposed Rates'!Print_Area</vt:lpstr>
      <vt:lpstr>'Vashon Total 16'!Print_Area</vt:lpstr>
      <vt:lpstr>'DF Calculation'!Print_Titles</vt:lpstr>
      <vt:lpstr>'Proposed Rates'!Print_Titles</vt:lpstr>
      <vt:lpstr>'Vashon Total 16'!Print_Titles</vt:lpstr>
    </vt:vector>
  </TitlesOfParts>
  <Company>Waste Connections,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WCNX</dc:creator>
  <cp:lastModifiedBy>Heather Garland</cp:lastModifiedBy>
  <cp:lastPrinted>2018-11-11T19:12:41Z</cp:lastPrinted>
  <dcterms:created xsi:type="dcterms:W3CDTF">2006-01-10T22:58:30Z</dcterms:created>
  <dcterms:modified xsi:type="dcterms:W3CDTF">2018-11-11T19:13:01Z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0x0101006E56B4D1795A2E4DB2F0B01679ED314A00EE495567239D4946AB4EBA8E391950DF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