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ates215\OneDrive - Washington State Executive Branch Agencies\2018\Dockets (Monthly)\November\01\New folder\"/>
    </mc:Choice>
  </mc:AlternateContent>
  <bookViews>
    <workbookView xWindow="120" yWindow="105" windowWidth="15180" windowHeight="8520"/>
  </bookViews>
  <sheets>
    <sheet name="Lead Sheet" sheetId="27" r:id="rId1"/>
    <sheet name="Rate Impacts" sheetId="33" r:id="rId2"/>
    <sheet name="Peak Credit Spread" sheetId="72" r:id="rId3"/>
    <sheet name="Estimated Proforma Net Revenue" sheetId="83" r:id="rId4"/>
    <sheet name="Street &amp; Area Lighting" sheetId="98" r:id="rId5"/>
    <sheet name="Typical Res" sheetId="81" r:id="rId6"/>
    <sheet name="Rev Req Eff 1-1-2019" sheetId="88" r:id="rId7"/>
    <sheet name="F2018 Del Load &amp; Cust" sheetId="97" r:id="rId8"/>
    <sheet name="UE-170033 LR Data Summary" sheetId="99" r:id="rId9"/>
    <sheet name="UE-170033 LR Data- Dem 4CP" sheetId="100" r:id="rId10"/>
    <sheet name="UE-170033 LR Data -Energy" sheetId="101" r:id="rId11"/>
    <sheet name="Sch 95A Eff 5-1-18" sheetId="76" r:id="rId12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6">{"'Sheet1'!$A$1:$J$121"}</definedName>
    <definedName name="HTML_Control" localSheetId="4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_xlnm.Print_Area" localSheetId="3">'Estimated Proforma Net Revenue'!$A$1:$N$37</definedName>
    <definedName name="_xlnm.Print_Area" localSheetId="0">'Lead Sheet'!$A$1:$A$15</definedName>
    <definedName name="_xlnm.Print_Area" localSheetId="2">'Peak Credit Spread'!$A$1:$L$33</definedName>
    <definedName name="_xlnm.Print_Area" localSheetId="1">'Rate Impacts'!$A$1:$K$42</definedName>
    <definedName name="_xlnm.Print_Area" localSheetId="6">'Rev Req Eff 1-1-2019'!$A$1:$L$37</definedName>
    <definedName name="_xlnm.Print_Area" localSheetId="11">'Sch 95A Eff 5-1-18'!$A$1:$K$40</definedName>
    <definedName name="_xlnm.Print_Area" localSheetId="4">'Street &amp; Area Lighting'!$A$1:$J$200</definedName>
    <definedName name="_xlnm.Print_Area" localSheetId="5">'Typical Res'!$A$1:$S$61</definedName>
    <definedName name="_xlnm.Print_Area" localSheetId="9">'UE-170033 LR Data- Dem 4CP'!$A$1:$V$23</definedName>
    <definedName name="_xlnm.Print_Area" localSheetId="10">'UE-170033 LR Data -Energy'!$A$1:$K$81</definedName>
    <definedName name="_xlnm.Print_Area" localSheetId="8">'UE-170033 LR Data Summary'!$A$1:$N$26</definedName>
    <definedName name="_xlnm.Print_Titles" localSheetId="4">'Street &amp; Area Lighting'!$1:$13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I27" i="72" l="1"/>
  <c r="F40" i="81" l="1"/>
  <c r="F46" i="81"/>
  <c r="F45" i="81"/>
  <c r="F44" i="81"/>
  <c r="F43" i="81"/>
  <c r="D17" i="33"/>
  <c r="D12" i="33"/>
  <c r="K10" i="72"/>
  <c r="D10" i="33"/>
  <c r="N10" i="83"/>
  <c r="M10" i="83"/>
  <c r="L10" i="83"/>
  <c r="K10" i="83"/>
  <c r="J10" i="83"/>
  <c r="I27" i="83"/>
  <c r="I10" i="83"/>
  <c r="H10" i="83"/>
  <c r="G10" i="83"/>
  <c r="F10" i="83"/>
  <c r="A10" i="83"/>
  <c r="A11" i="83" s="1"/>
  <c r="A12" i="83" s="1"/>
  <c r="A13" i="83" s="1"/>
  <c r="A14" i="83" s="1"/>
  <c r="A15" i="83" s="1"/>
  <c r="A16" i="83" s="1"/>
  <c r="A17" i="83" s="1"/>
  <c r="A18" i="83" s="1"/>
  <c r="A19" i="83" s="1"/>
  <c r="A20" i="83" s="1"/>
  <c r="A21" i="83" s="1"/>
  <c r="A22" i="83" s="1"/>
  <c r="A23" i="83" s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A36" i="83" s="1"/>
  <c r="A37" i="83" s="1"/>
  <c r="F47" i="81" l="1"/>
  <c r="F27" i="83"/>
  <c r="H27" i="83"/>
  <c r="J27" i="83"/>
  <c r="M21" i="83"/>
  <c r="F21" i="83"/>
  <c r="L21" i="83"/>
  <c r="N21" i="83"/>
  <c r="L27" i="83"/>
  <c r="N27" i="83"/>
  <c r="N33" i="83" s="1"/>
  <c r="N37" i="83" s="1"/>
  <c r="M27" i="83"/>
  <c r="G16" i="83"/>
  <c r="G21" i="83"/>
  <c r="G27" i="83"/>
  <c r="H21" i="83"/>
  <c r="J21" i="83"/>
  <c r="D11" i="33"/>
  <c r="M16" i="83"/>
  <c r="N16" i="83"/>
  <c r="I21" i="83"/>
  <c r="F16" i="83"/>
  <c r="F33" i="83" s="1"/>
  <c r="F37" i="83" s="1"/>
  <c r="L16" i="83"/>
  <c r="H16" i="83"/>
  <c r="I16" i="83"/>
  <c r="I33" i="83" s="1"/>
  <c r="I37" i="83" s="1"/>
  <c r="J16" i="83"/>
  <c r="K16" i="83"/>
  <c r="K21" i="83"/>
  <c r="K27" i="83"/>
  <c r="H33" i="83" l="1"/>
  <c r="H37" i="83" s="1"/>
  <c r="M33" i="83"/>
  <c r="M37" i="83" s="1"/>
  <c r="G33" i="83"/>
  <c r="G37" i="83" s="1"/>
  <c r="K33" i="83"/>
  <c r="K37" i="83" s="1"/>
  <c r="L33" i="83"/>
  <c r="L37" i="83" s="1"/>
  <c r="J33" i="83"/>
  <c r="J37" i="83" s="1"/>
  <c r="D9" i="83"/>
  <c r="F25" i="72"/>
  <c r="F21" i="72"/>
  <c r="L21" i="99"/>
  <c r="H21" i="99" s="1"/>
  <c r="I21" i="99" s="1"/>
  <c r="L16" i="99"/>
  <c r="H16" i="99" s="1"/>
  <c r="I16" i="99" s="1"/>
  <c r="F18" i="72" s="1"/>
  <c r="L12" i="99"/>
  <c r="H12" i="99" s="1"/>
  <c r="I12" i="99" s="1"/>
  <c r="F11" i="72" s="1"/>
  <c r="L9" i="99"/>
  <c r="D24" i="99"/>
  <c r="C24" i="99"/>
  <c r="K24" i="99"/>
  <c r="K20" i="99"/>
  <c r="K19" i="99"/>
  <c r="K12" i="99"/>
  <c r="C12" i="99" s="1"/>
  <c r="D12" i="99" s="1"/>
  <c r="D11" i="72" s="1"/>
  <c r="K9" i="99"/>
  <c r="O34" i="101"/>
  <c r="J32" i="101"/>
  <c r="K18" i="99" s="1"/>
  <c r="C18" i="99" s="1"/>
  <c r="D18" i="99" s="1"/>
  <c r="D23" i="72" s="1"/>
  <c r="J31" i="101"/>
  <c r="K21" i="99" s="1"/>
  <c r="C21" i="99" s="1"/>
  <c r="D21" i="99" s="1"/>
  <c r="D25" i="72" s="1"/>
  <c r="J30" i="101"/>
  <c r="D21" i="72" s="1"/>
  <c r="J29" i="101"/>
  <c r="D20" i="72" s="1"/>
  <c r="J28" i="101"/>
  <c r="K15" i="99" s="1"/>
  <c r="C15" i="99" s="1"/>
  <c r="D15" i="99" s="1"/>
  <c r="D16" i="72" s="1"/>
  <c r="O27" i="101"/>
  <c r="N27" i="101"/>
  <c r="N34" i="101" s="1"/>
  <c r="J26" i="101"/>
  <c r="K14" i="99" s="1"/>
  <c r="C14" i="99" s="1"/>
  <c r="D14" i="99" s="1"/>
  <c r="D15" i="72" s="1"/>
  <c r="P25" i="101"/>
  <c r="P34" i="101" s="1"/>
  <c r="J25" i="101"/>
  <c r="K13" i="99" s="1"/>
  <c r="C13" i="99" s="1"/>
  <c r="D13" i="99" s="1"/>
  <c r="D14" i="72" s="1"/>
  <c r="J24" i="101"/>
  <c r="D12" i="72" s="1"/>
  <c r="J23" i="101"/>
  <c r="J22" i="101"/>
  <c r="K11" i="99" s="1"/>
  <c r="C11" i="99" s="1"/>
  <c r="D11" i="99" s="1"/>
  <c r="J21" i="101"/>
  <c r="K10" i="99" s="1"/>
  <c r="C10" i="99" s="1"/>
  <c r="D10" i="99" s="1"/>
  <c r="D9" i="72" s="1"/>
  <c r="J20" i="101"/>
  <c r="C29" i="100"/>
  <c r="C28" i="100"/>
  <c r="C27" i="100"/>
  <c r="A27" i="100"/>
  <c r="V26" i="100"/>
  <c r="U26" i="100"/>
  <c r="U19" i="100" s="1"/>
  <c r="U21" i="100" s="1"/>
  <c r="U23" i="100" s="1"/>
  <c r="T26" i="100"/>
  <c r="T19" i="100" s="1"/>
  <c r="T21" i="100" s="1"/>
  <c r="T23" i="100" s="1"/>
  <c r="S26" i="100"/>
  <c r="S19" i="100" s="1"/>
  <c r="S21" i="100" s="1"/>
  <c r="S23" i="100" s="1"/>
  <c r="R26" i="100"/>
  <c r="Q26" i="100"/>
  <c r="P26" i="100"/>
  <c r="P19" i="100" s="1"/>
  <c r="L17" i="99" s="1"/>
  <c r="O26" i="100"/>
  <c r="O19" i="100" s="1"/>
  <c r="O21" i="100" s="1"/>
  <c r="N26" i="100"/>
  <c r="M26" i="100"/>
  <c r="M19" i="100" s="1"/>
  <c r="L26" i="100"/>
  <c r="L19" i="100" s="1"/>
  <c r="L15" i="99" s="1"/>
  <c r="K26" i="100"/>
  <c r="K19" i="100" s="1"/>
  <c r="K21" i="100" s="1"/>
  <c r="K23" i="100" s="1"/>
  <c r="J26" i="100"/>
  <c r="I26" i="100"/>
  <c r="H26" i="100"/>
  <c r="H19" i="100" s="1"/>
  <c r="H21" i="100" s="1"/>
  <c r="H23" i="100" s="1"/>
  <c r="F12" i="72" s="1"/>
  <c r="G26" i="100"/>
  <c r="G19" i="100" s="1"/>
  <c r="G21" i="100" s="1"/>
  <c r="G23" i="100" s="1"/>
  <c r="F26" i="100"/>
  <c r="E26" i="100"/>
  <c r="E19" i="100" s="1"/>
  <c r="P23" i="100"/>
  <c r="F20" i="72" s="1"/>
  <c r="L23" i="100"/>
  <c r="V19" i="100"/>
  <c r="R19" i="100"/>
  <c r="R21" i="100" s="1"/>
  <c r="R23" i="100" s="1"/>
  <c r="Q19" i="100"/>
  <c r="Q21" i="100" s="1"/>
  <c r="Q23" i="100" s="1"/>
  <c r="N19" i="100"/>
  <c r="N21" i="100" s="1"/>
  <c r="J19" i="100"/>
  <c r="L14" i="99" s="1"/>
  <c r="H14" i="99" s="1"/>
  <c r="I14" i="99" s="1"/>
  <c r="F15" i="72" s="1"/>
  <c r="I19" i="100"/>
  <c r="I21" i="100" s="1"/>
  <c r="I23" i="100" s="1"/>
  <c r="F19" i="100"/>
  <c r="L11" i="99" s="1"/>
  <c r="H11" i="99" s="1"/>
  <c r="I11" i="99" s="1"/>
  <c r="C20" i="99"/>
  <c r="C19" i="99"/>
  <c r="I15" i="99"/>
  <c r="F16" i="72" s="1"/>
  <c r="C9" i="99"/>
  <c r="M21" i="100" l="1"/>
  <c r="L20" i="99"/>
  <c r="H20" i="99" s="1"/>
  <c r="E21" i="100"/>
  <c r="D21" i="100" s="1"/>
  <c r="H24" i="99" s="1"/>
  <c r="L10" i="99"/>
  <c r="F21" i="100"/>
  <c r="F23" i="100" s="1"/>
  <c r="F10" i="72" s="1"/>
  <c r="K17" i="99"/>
  <c r="C17" i="99" s="1"/>
  <c r="D17" i="99" s="1"/>
  <c r="L13" i="99"/>
  <c r="H13" i="99" s="1"/>
  <c r="I13" i="99" s="1"/>
  <c r="F14" i="72" s="1"/>
  <c r="J21" i="100"/>
  <c r="J23" i="100" s="1"/>
  <c r="L18" i="99"/>
  <c r="H18" i="99" s="1"/>
  <c r="I18" i="99" s="1"/>
  <c r="F23" i="72" s="1"/>
  <c r="H17" i="99"/>
  <c r="I17" i="99" s="1"/>
  <c r="K23" i="99"/>
  <c r="K25" i="99" s="1"/>
  <c r="D10" i="72"/>
  <c r="J27" i="101"/>
  <c r="K16" i="99" s="1"/>
  <c r="C16" i="99" s="1"/>
  <c r="D16" i="99" s="1"/>
  <c r="D18" i="72" s="1"/>
  <c r="L19" i="99"/>
  <c r="H19" i="99" s="1"/>
  <c r="C23" i="99"/>
  <c r="C25" i="99" s="1"/>
  <c r="E23" i="100"/>
  <c r="D23" i="100" s="1"/>
  <c r="I24" i="99" s="1"/>
  <c r="D26" i="100"/>
  <c r="D19" i="100"/>
  <c r="L24" i="99" s="1"/>
  <c r="D9" i="99"/>
  <c r="H9" i="99"/>
  <c r="D23" i="99" l="1"/>
  <c r="D7" i="72"/>
  <c r="L23" i="99"/>
  <c r="L25" i="99" s="1"/>
  <c r="H10" i="99"/>
  <c r="I10" i="99" s="1"/>
  <c r="F9" i="72" s="1"/>
  <c r="I9" i="99"/>
  <c r="D25" i="99"/>
  <c r="I23" i="99" l="1"/>
  <c r="F7" i="72"/>
  <c r="H23" i="99"/>
  <c r="H25" i="99" s="1"/>
  <c r="I25" i="99"/>
  <c r="E200" i="98" l="1"/>
  <c r="E199" i="98"/>
  <c r="H199" i="98" s="1"/>
  <c r="E198" i="98"/>
  <c r="E197" i="98"/>
  <c r="H197" i="98" s="1"/>
  <c r="E196" i="98"/>
  <c r="H196" i="98" s="1"/>
  <c r="E195" i="98"/>
  <c r="H195" i="98" s="1"/>
  <c r="E194" i="98"/>
  <c r="E193" i="98"/>
  <c r="H193" i="98" s="1"/>
  <c r="E192" i="98"/>
  <c r="H191" i="98"/>
  <c r="E191" i="98"/>
  <c r="E190" i="98"/>
  <c r="E189" i="98"/>
  <c r="H189" i="98" s="1"/>
  <c r="E188" i="98"/>
  <c r="H188" i="98" s="1"/>
  <c r="E187" i="98"/>
  <c r="H187" i="98" s="1"/>
  <c r="B187" i="98"/>
  <c r="B188" i="98" s="1"/>
  <c r="B189" i="98" s="1"/>
  <c r="B190" i="98" s="1"/>
  <c r="B191" i="98" s="1"/>
  <c r="B192" i="98" s="1"/>
  <c r="B193" i="98" s="1"/>
  <c r="B194" i="98" s="1"/>
  <c r="B195" i="98" s="1"/>
  <c r="B196" i="98" s="1"/>
  <c r="B197" i="98" s="1"/>
  <c r="B198" i="98" s="1"/>
  <c r="B199" i="98" s="1"/>
  <c r="B200" i="98" s="1"/>
  <c r="E186" i="98"/>
  <c r="E183" i="98"/>
  <c r="H183" i="98" s="1"/>
  <c r="B183" i="98"/>
  <c r="E182" i="98"/>
  <c r="H182" i="98" s="1"/>
  <c r="B182" i="98"/>
  <c r="E180" i="98"/>
  <c r="E179" i="98"/>
  <c r="H179" i="98" s="1"/>
  <c r="E178" i="98"/>
  <c r="H178" i="98" s="1"/>
  <c r="E177" i="98"/>
  <c r="H177" i="98" s="1"/>
  <c r="E175" i="98"/>
  <c r="E174" i="98"/>
  <c r="E173" i="98"/>
  <c r="H173" i="98" s="1"/>
  <c r="E172" i="98"/>
  <c r="H172" i="98" s="1"/>
  <c r="B172" i="98"/>
  <c r="B173" i="98" s="1"/>
  <c r="B174" i="98" s="1"/>
  <c r="B175" i="98" s="1"/>
  <c r="E171" i="98"/>
  <c r="H171" i="98" s="1"/>
  <c r="E169" i="98"/>
  <c r="H169" i="98" s="1"/>
  <c r="E168" i="98"/>
  <c r="E167" i="98"/>
  <c r="E166" i="98"/>
  <c r="H166" i="98" s="1"/>
  <c r="E165" i="98"/>
  <c r="B165" i="98"/>
  <c r="B166" i="98" s="1"/>
  <c r="B167" i="98" s="1"/>
  <c r="B168" i="98" s="1"/>
  <c r="B169" i="98" s="1"/>
  <c r="E164" i="98"/>
  <c r="H164" i="98" s="1"/>
  <c r="E161" i="98"/>
  <c r="H161" i="98" s="1"/>
  <c r="E158" i="98"/>
  <c r="E157" i="98"/>
  <c r="E156" i="98"/>
  <c r="E155" i="98"/>
  <c r="H155" i="98" s="1"/>
  <c r="E154" i="98"/>
  <c r="E153" i="98"/>
  <c r="E152" i="98"/>
  <c r="E151" i="98"/>
  <c r="H151" i="98" s="1"/>
  <c r="E150" i="98"/>
  <c r="E148" i="98"/>
  <c r="H148" i="98" s="1"/>
  <c r="E146" i="98"/>
  <c r="H146" i="98" s="1"/>
  <c r="H145" i="98"/>
  <c r="E145" i="98"/>
  <c r="E144" i="98"/>
  <c r="E143" i="98"/>
  <c r="H143" i="98" s="1"/>
  <c r="B143" i="98"/>
  <c r="B144" i="98" s="1"/>
  <c r="B145" i="98" s="1"/>
  <c r="B146" i="98" s="1"/>
  <c r="B148" i="98" s="1"/>
  <c r="E142" i="98"/>
  <c r="H142" i="98" s="1"/>
  <c r="B142" i="98"/>
  <c r="E141" i="98"/>
  <c r="H141" i="98" s="1"/>
  <c r="E138" i="98"/>
  <c r="E137" i="98"/>
  <c r="E136" i="98"/>
  <c r="H136" i="98" s="1"/>
  <c r="E135" i="98"/>
  <c r="H135" i="98" s="1"/>
  <c r="E134" i="98"/>
  <c r="H134" i="98" s="1"/>
  <c r="E133" i="98"/>
  <c r="H133" i="98" s="1"/>
  <c r="E132" i="98"/>
  <c r="H132" i="98" s="1"/>
  <c r="E131" i="98"/>
  <c r="E130" i="98"/>
  <c r="H130" i="98" s="1"/>
  <c r="E127" i="98"/>
  <c r="H127" i="98" s="1"/>
  <c r="E126" i="98"/>
  <c r="H126" i="98" s="1"/>
  <c r="E125" i="98"/>
  <c r="H125" i="98" s="1"/>
  <c r="E124" i="98"/>
  <c r="E123" i="98"/>
  <c r="H123" i="98" s="1"/>
  <c r="E122" i="98"/>
  <c r="H122" i="98" s="1"/>
  <c r="E121" i="98"/>
  <c r="E120" i="98"/>
  <c r="B120" i="98"/>
  <c r="B121" i="98" s="1"/>
  <c r="B122" i="98" s="1"/>
  <c r="B123" i="98" s="1"/>
  <c r="B124" i="98" s="1"/>
  <c r="B125" i="98" s="1"/>
  <c r="B126" i="98" s="1"/>
  <c r="B127" i="98" s="1"/>
  <c r="B130" i="98" s="1"/>
  <c r="B131" i="98" s="1"/>
  <c r="B132" i="98" s="1"/>
  <c r="B133" i="98" s="1"/>
  <c r="B134" i="98" s="1"/>
  <c r="B135" i="98" s="1"/>
  <c r="B136" i="98" s="1"/>
  <c r="B137" i="98" s="1"/>
  <c r="B138" i="98" s="1"/>
  <c r="E119" i="98"/>
  <c r="H119" i="98" s="1"/>
  <c r="E116" i="98"/>
  <c r="H116" i="98" s="1"/>
  <c r="E115" i="98"/>
  <c r="H115" i="98" s="1"/>
  <c r="E114" i="98"/>
  <c r="E113" i="98"/>
  <c r="E112" i="98"/>
  <c r="H112" i="98" s="1"/>
  <c r="E111" i="98"/>
  <c r="E110" i="98"/>
  <c r="H110" i="98" s="1"/>
  <c r="E109" i="98"/>
  <c r="H109" i="98" s="1"/>
  <c r="E108" i="98"/>
  <c r="H108" i="98" s="1"/>
  <c r="E106" i="98"/>
  <c r="E105" i="98"/>
  <c r="H105" i="98" s="1"/>
  <c r="E104" i="98"/>
  <c r="H104" i="98" s="1"/>
  <c r="H103" i="98"/>
  <c r="E103" i="98"/>
  <c r="E102" i="98"/>
  <c r="E101" i="98"/>
  <c r="H101" i="98" s="1"/>
  <c r="E99" i="98"/>
  <c r="H99" i="98" s="1"/>
  <c r="E98" i="98"/>
  <c r="H98" i="98" s="1"/>
  <c r="E97" i="98"/>
  <c r="E96" i="98"/>
  <c r="E95" i="98"/>
  <c r="H94" i="98"/>
  <c r="E94" i="98"/>
  <c r="E93" i="98"/>
  <c r="H93" i="98" s="1"/>
  <c r="E92" i="98"/>
  <c r="H92" i="98" s="1"/>
  <c r="B92" i="98"/>
  <c r="B93" i="98" s="1"/>
  <c r="B94" i="98" s="1"/>
  <c r="B95" i="98" s="1"/>
  <c r="B96" i="98" s="1"/>
  <c r="B97" i="98" s="1"/>
  <c r="B98" i="98" s="1"/>
  <c r="B99" i="98" s="1"/>
  <c r="B101" i="98" s="1"/>
  <c r="B102" i="98" s="1"/>
  <c r="B103" i="98" s="1"/>
  <c r="B104" i="98" s="1"/>
  <c r="B105" i="98" s="1"/>
  <c r="B106" i="98" s="1"/>
  <c r="B108" i="98" s="1"/>
  <c r="B109" i="98" s="1"/>
  <c r="B110" i="98" s="1"/>
  <c r="B111" i="98" s="1"/>
  <c r="B112" i="98" s="1"/>
  <c r="B113" i="98" s="1"/>
  <c r="B114" i="98" s="1"/>
  <c r="B115" i="98" s="1"/>
  <c r="B116" i="98" s="1"/>
  <c r="E91" i="98"/>
  <c r="E89" i="98"/>
  <c r="H89" i="98" s="1"/>
  <c r="E88" i="98"/>
  <c r="H88" i="98" s="1"/>
  <c r="H87" i="98"/>
  <c r="E87" i="98"/>
  <c r="E86" i="98"/>
  <c r="E85" i="98"/>
  <c r="H85" i="98" s="1"/>
  <c r="E84" i="98"/>
  <c r="H84" i="98" s="1"/>
  <c r="E83" i="98"/>
  <c r="H83" i="98" s="1"/>
  <c r="E82" i="98"/>
  <c r="E81" i="98"/>
  <c r="H81" i="98" s="1"/>
  <c r="E79" i="98"/>
  <c r="H79" i="98" s="1"/>
  <c r="E78" i="98"/>
  <c r="E77" i="98"/>
  <c r="E76" i="98"/>
  <c r="E75" i="98"/>
  <c r="H75" i="98" s="1"/>
  <c r="E73" i="98"/>
  <c r="H73" i="98" s="1"/>
  <c r="H72" i="98"/>
  <c r="E72" i="98"/>
  <c r="E71" i="98"/>
  <c r="E70" i="98"/>
  <c r="H70" i="98" s="1"/>
  <c r="E69" i="98"/>
  <c r="H69" i="98" s="1"/>
  <c r="E68" i="98"/>
  <c r="H68" i="98" s="1"/>
  <c r="E67" i="98"/>
  <c r="H66" i="98"/>
  <c r="E66" i="98"/>
  <c r="B66" i="98"/>
  <c r="B67" i="98" s="1"/>
  <c r="B68" i="98" s="1"/>
  <c r="B69" i="98" s="1"/>
  <c r="B70" i="98" s="1"/>
  <c r="B71" i="98" s="1"/>
  <c r="B72" i="98" s="1"/>
  <c r="B73" i="98" s="1"/>
  <c r="B75" i="98" s="1"/>
  <c r="B76" i="98" s="1"/>
  <c r="B77" i="98" s="1"/>
  <c r="B78" i="98" s="1"/>
  <c r="B79" i="98" s="1"/>
  <c r="B81" i="98" s="1"/>
  <c r="B82" i="98" s="1"/>
  <c r="B83" i="98" s="1"/>
  <c r="B84" i="98" s="1"/>
  <c r="B85" i="98" s="1"/>
  <c r="B86" i="98" s="1"/>
  <c r="B87" i="98" s="1"/>
  <c r="B88" i="98" s="1"/>
  <c r="B89" i="98" s="1"/>
  <c r="E65" i="98"/>
  <c r="H65" i="98" s="1"/>
  <c r="E62" i="98"/>
  <c r="H61" i="98"/>
  <c r="E61" i="98"/>
  <c r="C61" i="98"/>
  <c r="C62" i="98" s="1"/>
  <c r="E60" i="98"/>
  <c r="H60" i="98" s="1"/>
  <c r="C60" i="98"/>
  <c r="E59" i="98"/>
  <c r="H59" i="98" s="1"/>
  <c r="E58" i="98"/>
  <c r="H58" i="98" s="1"/>
  <c r="E57" i="98"/>
  <c r="H57" i="98" s="1"/>
  <c r="H56" i="98"/>
  <c r="E56" i="98"/>
  <c r="E54" i="98"/>
  <c r="H54" i="98" s="1"/>
  <c r="H53" i="98"/>
  <c r="E53" i="98"/>
  <c r="E52" i="98"/>
  <c r="H52" i="98" s="1"/>
  <c r="E51" i="98"/>
  <c r="E50" i="98"/>
  <c r="E49" i="98"/>
  <c r="B49" i="98"/>
  <c r="B50" i="98" s="1"/>
  <c r="B51" i="98" s="1"/>
  <c r="B52" i="98" s="1"/>
  <c r="B53" i="98" s="1"/>
  <c r="E48" i="98"/>
  <c r="H48" i="98" s="1"/>
  <c r="B48" i="98"/>
  <c r="E47" i="98"/>
  <c r="H47" i="98" s="1"/>
  <c r="E44" i="98"/>
  <c r="H44" i="98" s="1"/>
  <c r="E43" i="98"/>
  <c r="E42" i="98"/>
  <c r="H42" i="98" s="1"/>
  <c r="E41" i="98"/>
  <c r="H41" i="98" s="1"/>
  <c r="H40" i="98"/>
  <c r="E40" i="98"/>
  <c r="E39" i="98"/>
  <c r="E38" i="98"/>
  <c r="H38" i="98" s="1"/>
  <c r="E37" i="98"/>
  <c r="H37" i="98" s="1"/>
  <c r="E36" i="98"/>
  <c r="H36" i="98" s="1"/>
  <c r="E33" i="98"/>
  <c r="H33" i="98" s="1"/>
  <c r="E32" i="98"/>
  <c r="E31" i="98"/>
  <c r="B31" i="98"/>
  <c r="B32" i="98" s="1"/>
  <c r="B33" i="98" s="1"/>
  <c r="E30" i="98"/>
  <c r="H30" i="98" s="1"/>
  <c r="E29" i="98"/>
  <c r="H28" i="98"/>
  <c r="E28" i="98"/>
  <c r="C28" i="98"/>
  <c r="C29" i="98" s="1"/>
  <c r="C30" i="98" s="1"/>
  <c r="C31" i="98" s="1"/>
  <c r="C32" i="98" s="1"/>
  <c r="C33" i="98" s="1"/>
  <c r="B28" i="98"/>
  <c r="B29" i="98" s="1"/>
  <c r="H27" i="98"/>
  <c r="E27" i="98"/>
  <c r="E25" i="98"/>
  <c r="G21" i="98"/>
  <c r="H20" i="98"/>
  <c r="G20" i="98"/>
  <c r="G19" i="98"/>
  <c r="G18" i="98"/>
  <c r="G17" i="98"/>
  <c r="G16" i="98"/>
  <c r="G15" i="98"/>
  <c r="G14" i="98"/>
  <c r="A11" i="98"/>
  <c r="A12" i="98" s="1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s="1"/>
  <c r="A25" i="98" s="1"/>
  <c r="A26" i="98" s="1"/>
  <c r="A27" i="98" s="1"/>
  <c r="A28" i="98" s="1"/>
  <c r="A29" i="98" s="1"/>
  <c r="A30" i="98" s="1"/>
  <c r="A31" i="98" s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A46" i="98" s="1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122" i="98" s="1"/>
  <c r="A123" i="98" s="1"/>
  <c r="A124" i="98" s="1"/>
  <c r="A125" i="98" s="1"/>
  <c r="A126" i="98" s="1"/>
  <c r="A127" i="98" s="1"/>
  <c r="A128" i="98" s="1"/>
  <c r="A129" i="98" s="1"/>
  <c r="A130" i="98" s="1"/>
  <c r="A131" i="98" s="1"/>
  <c r="A132" i="98" s="1"/>
  <c r="A133" i="98" s="1"/>
  <c r="A134" i="98" s="1"/>
  <c r="A135" i="98" s="1"/>
  <c r="A136" i="98" s="1"/>
  <c r="A137" i="98" s="1"/>
  <c r="A138" i="98" s="1"/>
  <c r="A139" i="98" s="1"/>
  <c r="A140" i="98" s="1"/>
  <c r="A141" i="98" s="1"/>
  <c r="A142" i="98" s="1"/>
  <c r="A143" i="98" s="1"/>
  <c r="A144" i="98" s="1"/>
  <c r="A145" i="98" s="1"/>
  <c r="A146" i="98" s="1"/>
  <c r="A147" i="98" s="1"/>
  <c r="A148" i="98" s="1"/>
  <c r="A149" i="98" s="1"/>
  <c r="A150" i="98" s="1"/>
  <c r="A151" i="98" s="1"/>
  <c r="A152" i="98" s="1"/>
  <c r="A153" i="98" s="1"/>
  <c r="A154" i="98" s="1"/>
  <c r="A155" i="98" s="1"/>
  <c r="A156" i="98" s="1"/>
  <c r="A157" i="98" s="1"/>
  <c r="A158" i="98" s="1"/>
  <c r="A159" i="98" s="1"/>
  <c r="A160" i="98" s="1"/>
  <c r="A161" i="98" s="1"/>
  <c r="A162" i="98" s="1"/>
  <c r="A163" i="98" s="1"/>
  <c r="A164" i="98" s="1"/>
  <c r="A165" i="98" s="1"/>
  <c r="A166" i="98" s="1"/>
  <c r="A167" i="98" s="1"/>
  <c r="A168" i="98" s="1"/>
  <c r="A169" i="98" s="1"/>
  <c r="A170" i="98" s="1"/>
  <c r="A171" i="98" s="1"/>
  <c r="A172" i="98" s="1"/>
  <c r="A173" i="98" s="1"/>
  <c r="A174" i="98" s="1"/>
  <c r="A175" i="98" s="1"/>
  <c r="A176" i="98" s="1"/>
  <c r="A177" i="98" s="1"/>
  <c r="A178" i="98" s="1"/>
  <c r="A179" i="98" s="1"/>
  <c r="A180" i="98" s="1"/>
  <c r="A181" i="98" s="1"/>
  <c r="A182" i="98" s="1"/>
  <c r="A183" i="98" s="1"/>
  <c r="A184" i="98" s="1"/>
  <c r="A185" i="98" s="1"/>
  <c r="A186" i="98" s="1"/>
  <c r="A187" i="98" s="1"/>
  <c r="A188" i="98" s="1"/>
  <c r="A189" i="98" s="1"/>
  <c r="A190" i="98" s="1"/>
  <c r="A191" i="98" s="1"/>
  <c r="A192" i="98" s="1"/>
  <c r="A193" i="98" s="1"/>
  <c r="A194" i="98" s="1"/>
  <c r="A195" i="98" s="1"/>
  <c r="A196" i="98" s="1"/>
  <c r="A197" i="98" s="1"/>
  <c r="A198" i="98" s="1"/>
  <c r="A199" i="98" s="1"/>
  <c r="A200" i="98" s="1"/>
  <c r="B177" i="98" l="1"/>
  <c r="B178" i="98" s="1"/>
  <c r="B179" i="98" s="1"/>
  <c r="B180" i="98" s="1"/>
  <c r="G22" i="98"/>
  <c r="H49" i="98"/>
  <c r="H25" i="98"/>
  <c r="H32" i="98"/>
  <c r="H39" i="98"/>
  <c r="B56" i="98"/>
  <c r="B57" i="98"/>
  <c r="H71" i="98"/>
  <c r="H76" i="98"/>
  <c r="H86" i="98"/>
  <c r="H96" i="98"/>
  <c r="H114" i="98"/>
  <c r="H124" i="98"/>
  <c r="H153" i="98"/>
  <c r="H31" i="98"/>
  <c r="H43" i="98"/>
  <c r="H50" i="98"/>
  <c r="H91" i="98"/>
  <c r="H157" i="98"/>
  <c r="H29" i="98"/>
  <c r="H77" i="98"/>
  <c r="H95" i="98"/>
  <c r="H97" i="98"/>
  <c r="H144" i="98"/>
  <c r="H175" i="98"/>
  <c r="H192" i="98"/>
  <c r="B54" i="98"/>
  <c r="B59" i="98" s="1"/>
  <c r="B60" i="98" s="1"/>
  <c r="B61" i="98" s="1"/>
  <c r="B62" i="98" s="1"/>
  <c r="B58" i="98"/>
  <c r="H67" i="98"/>
  <c r="H82" i="98"/>
  <c r="H121" i="98"/>
  <c r="H165" i="98"/>
  <c r="H102" i="98"/>
  <c r="H120" i="98"/>
  <c r="H131" i="98"/>
  <c r="H138" i="98"/>
  <c r="H51" i="98"/>
  <c r="H62" i="98"/>
  <c r="H78" i="98"/>
  <c r="H106" i="98"/>
  <c r="H111" i="98"/>
  <c r="H113" i="98"/>
  <c r="H150" i="98"/>
  <c r="H154" i="98"/>
  <c r="H158" i="98"/>
  <c r="H190" i="98"/>
  <c r="H194" i="98"/>
  <c r="H137" i="98"/>
  <c r="H152" i="98"/>
  <c r="H156" i="98"/>
  <c r="H167" i="98"/>
  <c r="H168" i="98"/>
  <c r="H174" i="98"/>
  <c r="H180" i="98"/>
  <c r="H198" i="98"/>
  <c r="H200" i="98"/>
  <c r="H186" i="98"/>
  <c r="H16" i="98" l="1"/>
  <c r="H17" i="98"/>
  <c r="H21" i="98"/>
  <c r="H19" i="98"/>
  <c r="H15" i="98"/>
  <c r="H14" i="98"/>
  <c r="H10" i="98"/>
  <c r="H18" i="98"/>
  <c r="H22" i="98" l="1"/>
  <c r="K25" i="72" l="1"/>
  <c r="D37" i="33"/>
  <c r="D30" i="33"/>
  <c r="K21" i="72"/>
  <c r="D25" i="33"/>
  <c r="K18" i="72"/>
  <c r="D19" i="33"/>
  <c r="K15" i="72"/>
  <c r="K14" i="72"/>
  <c r="D13" i="33"/>
  <c r="K11" i="72" l="1"/>
  <c r="K23" i="72"/>
  <c r="D23" i="33"/>
  <c r="D32" i="33"/>
  <c r="K16" i="72"/>
  <c r="E8" i="33"/>
  <c r="D15" i="83"/>
  <c r="E13" i="33" s="1"/>
  <c r="D20" i="83"/>
  <c r="E19" i="33" s="1"/>
  <c r="D29" i="83"/>
  <c r="E30" i="33" s="1"/>
  <c r="K12" i="72"/>
  <c r="K29" i="72"/>
  <c r="D12" i="83"/>
  <c r="E10" i="33" s="1"/>
  <c r="D13" i="83"/>
  <c r="E11" i="33" s="1"/>
  <c r="D14" i="83"/>
  <c r="E12" i="33" s="1"/>
  <c r="D18" i="83"/>
  <c r="E17" i="33" s="1"/>
  <c r="D19" i="83"/>
  <c r="E18" i="33" s="1"/>
  <c r="D23" i="83"/>
  <c r="E23" i="33" s="1"/>
  <c r="D25" i="83"/>
  <c r="D26" i="83"/>
  <c r="E26" i="33" s="1"/>
  <c r="D31" i="83"/>
  <c r="E37" i="33" s="1"/>
  <c r="D35" i="83"/>
  <c r="E32" i="33" s="1"/>
  <c r="K20" i="72"/>
  <c r="D18" i="33"/>
  <c r="D26" i="33"/>
  <c r="C27" i="83"/>
  <c r="C21" i="83"/>
  <c r="E21" i="83"/>
  <c r="E10" i="83"/>
  <c r="E16" i="83"/>
  <c r="E27" i="83"/>
  <c r="D10" i="83" l="1"/>
  <c r="D27" i="83"/>
  <c r="E25" i="33"/>
  <c r="E28" i="33" s="1"/>
  <c r="D21" i="83"/>
  <c r="E21" i="33"/>
  <c r="D16" i="83"/>
  <c r="E33" i="83"/>
  <c r="E37" i="83" s="1"/>
  <c r="D33" i="83" l="1"/>
  <c r="D37" i="83" s="1"/>
  <c r="E15" i="33"/>
  <c r="E34" i="33" s="1"/>
  <c r="E39" i="33" s="1"/>
  <c r="C78" i="81" l="1"/>
  <c r="C77" i="81"/>
  <c r="C76" i="81"/>
  <c r="C75" i="81"/>
  <c r="C74" i="81"/>
  <c r="C73" i="81"/>
  <c r="C72" i="81"/>
  <c r="C71" i="81"/>
  <c r="C70" i="81"/>
  <c r="C69" i="81"/>
  <c r="C68" i="81"/>
  <c r="C67" i="81"/>
  <c r="B78" i="81"/>
  <c r="B77" i="81"/>
  <c r="B76" i="81"/>
  <c r="B75" i="81"/>
  <c r="B74" i="81"/>
  <c r="B73" i="81"/>
  <c r="B72" i="81"/>
  <c r="B71" i="81"/>
  <c r="B70" i="81"/>
  <c r="B69" i="81"/>
  <c r="B68" i="81"/>
  <c r="B67" i="81"/>
  <c r="F32" i="33" l="1"/>
  <c r="F30" i="33"/>
  <c r="F26" i="33"/>
  <c r="F25" i="33"/>
  <c r="F23" i="33"/>
  <c r="F19" i="33"/>
  <c r="F18" i="33"/>
  <c r="F17" i="33"/>
  <c r="F13" i="33"/>
  <c r="F12" i="33"/>
  <c r="F11" i="33"/>
  <c r="F10" i="33"/>
  <c r="F8" i="33"/>
  <c r="F54" i="81" s="1"/>
  <c r="F58" i="81" s="1"/>
  <c r="F60" i="81" s="1"/>
  <c r="C79" i="81" l="1"/>
  <c r="G36" i="81"/>
  <c r="A78" i="81"/>
  <c r="D77" i="81"/>
  <c r="B17" i="81" s="1"/>
  <c r="I17" i="81" s="1"/>
  <c r="A77" i="81"/>
  <c r="A76" i="81"/>
  <c r="A75" i="81"/>
  <c r="A74" i="81"/>
  <c r="D73" i="81"/>
  <c r="B13" i="81" s="1"/>
  <c r="H13" i="81" s="1"/>
  <c r="A73" i="81"/>
  <c r="A72" i="81"/>
  <c r="A71" i="81"/>
  <c r="A70" i="81"/>
  <c r="D69" i="81"/>
  <c r="B9" i="81" s="1"/>
  <c r="D9" i="81" s="1"/>
  <c r="A69" i="81"/>
  <c r="B79" i="81"/>
  <c r="A68" i="81"/>
  <c r="A67" i="81"/>
  <c r="G57" i="81"/>
  <c r="G56" i="81"/>
  <c r="G55" i="81"/>
  <c r="G53" i="81"/>
  <c r="G50" i="81"/>
  <c r="G49" i="81"/>
  <c r="G46" i="81"/>
  <c r="G45" i="81"/>
  <c r="F61" i="81"/>
  <c r="G42" i="81"/>
  <c r="G39" i="81"/>
  <c r="G38" i="81"/>
  <c r="G37" i="81"/>
  <c r="G32" i="81"/>
  <c r="G31" i="81"/>
  <c r="G43" i="81" l="1"/>
  <c r="L9" i="81"/>
  <c r="M17" i="81"/>
  <c r="H17" i="81"/>
  <c r="J17" i="81"/>
  <c r="E17" i="81"/>
  <c r="O17" i="81" s="1"/>
  <c r="I13" i="81"/>
  <c r="D13" i="81"/>
  <c r="L13" i="81"/>
  <c r="F17" i="81"/>
  <c r="L17" i="81"/>
  <c r="E13" i="81"/>
  <c r="O13" i="81" s="1"/>
  <c r="M13" i="81"/>
  <c r="D17" i="81"/>
  <c r="K9" i="81"/>
  <c r="G9" i="81"/>
  <c r="C9" i="81"/>
  <c r="J9" i="81"/>
  <c r="F9" i="81"/>
  <c r="E9" i="81"/>
  <c r="O9" i="81" s="1"/>
  <c r="M9" i="81"/>
  <c r="H9" i="81"/>
  <c r="I9" i="81"/>
  <c r="F13" i="81"/>
  <c r="J13" i="81"/>
  <c r="C13" i="81"/>
  <c r="G13" i="81"/>
  <c r="K13" i="81"/>
  <c r="C17" i="81"/>
  <c r="G17" i="81"/>
  <c r="K17" i="81"/>
  <c r="G35" i="81"/>
  <c r="G40" i="81" s="1"/>
  <c r="D68" i="81"/>
  <c r="B8" i="81" s="1"/>
  <c r="D72" i="81"/>
  <c r="B12" i="81" s="1"/>
  <c r="D76" i="81"/>
  <c r="B16" i="81" s="1"/>
  <c r="G33" i="81"/>
  <c r="D71" i="81"/>
  <c r="B11" i="81" s="1"/>
  <c r="D75" i="81"/>
  <c r="B15" i="81" s="1"/>
  <c r="D70" i="81"/>
  <c r="B10" i="81" s="1"/>
  <c r="D74" i="81"/>
  <c r="B14" i="81" s="1"/>
  <c r="D78" i="81"/>
  <c r="B18" i="81" s="1"/>
  <c r="D67" i="81"/>
  <c r="G44" i="81"/>
  <c r="G47" i="81" l="1"/>
  <c r="J18" i="81"/>
  <c r="F18" i="81"/>
  <c r="M18" i="81"/>
  <c r="E18" i="81"/>
  <c r="O18" i="81" s="1"/>
  <c r="H18" i="81"/>
  <c r="K18" i="81"/>
  <c r="G18" i="81"/>
  <c r="C18" i="81"/>
  <c r="I18" i="81"/>
  <c r="L18" i="81"/>
  <c r="D18" i="81"/>
  <c r="N17" i="81"/>
  <c r="N9" i="81"/>
  <c r="N13" i="81"/>
  <c r="J12" i="81"/>
  <c r="F12" i="81"/>
  <c r="M12" i="81"/>
  <c r="I12" i="81"/>
  <c r="E12" i="81"/>
  <c r="O12" i="81" s="1"/>
  <c r="H12" i="81"/>
  <c r="G12" i="81"/>
  <c r="L12" i="81"/>
  <c r="D12" i="81"/>
  <c r="K12" i="81"/>
  <c r="C12" i="81"/>
  <c r="L14" i="81"/>
  <c r="H14" i="81"/>
  <c r="D14" i="81"/>
  <c r="K14" i="81"/>
  <c r="G14" i="81"/>
  <c r="C14" i="81"/>
  <c r="J14" i="81"/>
  <c r="I14" i="81"/>
  <c r="F14" i="81"/>
  <c r="M14" i="81"/>
  <c r="E14" i="81"/>
  <c r="O14" i="81" s="1"/>
  <c r="M11" i="81"/>
  <c r="I11" i="81"/>
  <c r="E11" i="81"/>
  <c r="L11" i="81"/>
  <c r="H11" i="81"/>
  <c r="D11" i="81"/>
  <c r="K11" i="81"/>
  <c r="C11" i="81"/>
  <c r="J11" i="81"/>
  <c r="G11" i="81"/>
  <c r="F11" i="81"/>
  <c r="J8" i="81"/>
  <c r="F8" i="81"/>
  <c r="M8" i="81"/>
  <c r="I8" i="81"/>
  <c r="E8" i="81"/>
  <c r="O8" i="81" s="1"/>
  <c r="L8" i="81"/>
  <c r="D8" i="81"/>
  <c r="K8" i="81"/>
  <c r="C8" i="81"/>
  <c r="H8" i="81"/>
  <c r="G8" i="81"/>
  <c r="J16" i="81"/>
  <c r="F16" i="81"/>
  <c r="M16" i="81"/>
  <c r="I16" i="81"/>
  <c r="E16" i="81"/>
  <c r="O16" i="81" s="1"/>
  <c r="L16" i="81"/>
  <c r="D16" i="81"/>
  <c r="K16" i="81"/>
  <c r="C16" i="81"/>
  <c r="H16" i="81"/>
  <c r="G16" i="81"/>
  <c r="M15" i="81"/>
  <c r="I15" i="81"/>
  <c r="E15" i="81"/>
  <c r="L15" i="81"/>
  <c r="H15" i="81"/>
  <c r="D15" i="81"/>
  <c r="G15" i="81"/>
  <c r="F15" i="81"/>
  <c r="K15" i="81"/>
  <c r="C15" i="81"/>
  <c r="J15" i="81"/>
  <c r="L10" i="81"/>
  <c r="H10" i="81"/>
  <c r="D10" i="81"/>
  <c r="K10" i="81"/>
  <c r="G10" i="81"/>
  <c r="C10" i="81"/>
  <c r="F10" i="81"/>
  <c r="M10" i="81"/>
  <c r="E10" i="81"/>
  <c r="O10" i="81" s="1"/>
  <c r="J10" i="81"/>
  <c r="I10" i="81"/>
  <c r="D81" i="81"/>
  <c r="B7" i="81"/>
  <c r="D79" i="81"/>
  <c r="N18" i="81" l="1"/>
  <c r="N10" i="81"/>
  <c r="N16" i="81"/>
  <c r="N14" i="81"/>
  <c r="N11" i="81"/>
  <c r="O11" i="81"/>
  <c r="N15" i="81"/>
  <c r="O15" i="81"/>
  <c r="B20" i="81"/>
  <c r="B22" i="81" s="1"/>
  <c r="B26" i="81" s="1"/>
  <c r="M7" i="81"/>
  <c r="M20" i="81" s="1"/>
  <c r="I7" i="81"/>
  <c r="I20" i="81" s="1"/>
  <c r="E7" i="81"/>
  <c r="L7" i="81"/>
  <c r="L20" i="81" s="1"/>
  <c r="H7" i="81"/>
  <c r="H20" i="81" s="1"/>
  <c r="D7" i="81"/>
  <c r="D20" i="81" s="1"/>
  <c r="G7" i="81"/>
  <c r="G20" i="81" s="1"/>
  <c r="F7" i="81"/>
  <c r="F20" i="81" s="1"/>
  <c r="K7" i="81"/>
  <c r="K20" i="81" s="1"/>
  <c r="C7" i="81"/>
  <c r="J7" i="81"/>
  <c r="J20" i="81" s="1"/>
  <c r="N8" i="81"/>
  <c r="N12" i="81"/>
  <c r="K26" i="81" l="1"/>
  <c r="J26" i="81"/>
  <c r="F26" i="81"/>
  <c r="M26" i="81"/>
  <c r="I26" i="81"/>
  <c r="E26" i="81"/>
  <c r="O26" i="81" s="1"/>
  <c r="G26" i="81"/>
  <c r="L26" i="81"/>
  <c r="H26" i="81"/>
  <c r="D26" i="81"/>
  <c r="C26" i="81"/>
  <c r="L24" i="81"/>
  <c r="L22" i="81"/>
  <c r="M24" i="81"/>
  <c r="M22" i="81"/>
  <c r="K24" i="81"/>
  <c r="K22" i="81"/>
  <c r="H24" i="81"/>
  <c r="H22" i="81"/>
  <c r="F24" i="81"/>
  <c r="F22" i="81"/>
  <c r="J24" i="81"/>
  <c r="J22" i="81"/>
  <c r="G24" i="81"/>
  <c r="G22" i="81"/>
  <c r="E20" i="81"/>
  <c r="O7" i="81"/>
  <c r="C20" i="81"/>
  <c r="N7" i="81"/>
  <c r="D24" i="81"/>
  <c r="D22" i="81"/>
  <c r="I24" i="81"/>
  <c r="I22" i="81"/>
  <c r="N26" i="81" l="1"/>
  <c r="C24" i="81"/>
  <c r="C22" i="81"/>
  <c r="O20" i="81"/>
  <c r="E24" i="81"/>
  <c r="E22" i="81"/>
  <c r="N20" i="81"/>
  <c r="N24" i="81" l="1"/>
  <c r="N22" i="81"/>
  <c r="O24" i="81"/>
  <c r="O22" i="81"/>
  <c r="K5" i="72" l="1"/>
  <c r="H32" i="33" l="1"/>
  <c r="H18" i="33" l="1"/>
  <c r="H26" i="33"/>
  <c r="H19" i="33"/>
  <c r="H13" i="33"/>
  <c r="H17" i="33" l="1"/>
  <c r="H30" i="33"/>
  <c r="H12" i="33"/>
  <c r="H23" i="33"/>
  <c r="H25" i="33" l="1"/>
  <c r="H37" i="33" l="1"/>
  <c r="I37" i="33"/>
  <c r="F27" i="72" l="1"/>
  <c r="I28" i="99" s="1"/>
  <c r="D27" i="72"/>
  <c r="D28" i="99" s="1"/>
  <c r="A8" i="72"/>
  <c r="A9" i="72" s="1"/>
  <c r="A10" i="72" s="1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G25" i="72" l="1"/>
  <c r="G21" i="72"/>
  <c r="G18" i="72"/>
  <c r="G15" i="72"/>
  <c r="G12" i="72"/>
  <c r="G10" i="72"/>
  <c r="G23" i="72"/>
  <c r="G20" i="72"/>
  <c r="G16" i="72"/>
  <c r="G14" i="72"/>
  <c r="G11" i="72"/>
  <c r="G9" i="72"/>
  <c r="G7" i="72"/>
  <c r="E20" i="72"/>
  <c r="E25" i="72"/>
  <c r="E21" i="72"/>
  <c r="E18" i="72"/>
  <c r="E15" i="72"/>
  <c r="E12" i="72"/>
  <c r="E10" i="72"/>
  <c r="E7" i="72"/>
  <c r="E23" i="72"/>
  <c r="E16" i="72"/>
  <c r="E14" i="72"/>
  <c r="E11" i="72"/>
  <c r="E9" i="72"/>
  <c r="H9" i="72" l="1"/>
  <c r="J9" i="72" s="1"/>
  <c r="H23" i="72"/>
  <c r="J23" i="72" s="1"/>
  <c r="I11" i="98" s="1"/>
  <c r="H15" i="72"/>
  <c r="J15" i="72" s="1"/>
  <c r="L15" i="72" s="1"/>
  <c r="G18" i="33" s="1"/>
  <c r="I18" i="33" s="1"/>
  <c r="H20" i="72"/>
  <c r="J20" i="72" s="1"/>
  <c r="L20" i="72" s="1"/>
  <c r="G25" i="33" s="1"/>
  <c r="I25" i="33" s="1"/>
  <c r="H14" i="72"/>
  <c r="J14" i="72" s="1"/>
  <c r="L14" i="72" s="1"/>
  <c r="G17" i="33" s="1"/>
  <c r="I17" i="33" s="1"/>
  <c r="H10" i="72"/>
  <c r="J10" i="72" s="1"/>
  <c r="H21" i="72"/>
  <c r="J21" i="72" s="1"/>
  <c r="L21" i="72" s="1"/>
  <c r="G26" i="33" s="1"/>
  <c r="I26" i="33" s="1"/>
  <c r="H11" i="72"/>
  <c r="J11" i="72" s="1"/>
  <c r="L11" i="72" s="1"/>
  <c r="G12" i="33" s="1"/>
  <c r="I12" i="33" s="1"/>
  <c r="H16" i="72"/>
  <c r="J16" i="72" s="1"/>
  <c r="L16" i="72" s="1"/>
  <c r="G19" i="33" s="1"/>
  <c r="I19" i="33" s="1"/>
  <c r="H12" i="72"/>
  <c r="J12" i="72" s="1"/>
  <c r="L12" i="72" s="1"/>
  <c r="G13" i="33" s="1"/>
  <c r="I13" i="33" s="1"/>
  <c r="H18" i="72"/>
  <c r="J18" i="72" s="1"/>
  <c r="L18" i="72" s="1"/>
  <c r="G23" i="33" s="1"/>
  <c r="I23" i="33" s="1"/>
  <c r="H25" i="72"/>
  <c r="J25" i="72" s="1"/>
  <c r="L25" i="72" s="1"/>
  <c r="G32" i="33" s="1"/>
  <c r="I32" i="33" s="1"/>
  <c r="E27" i="72"/>
  <c r="L23" i="72"/>
  <c r="G30" i="33" s="1"/>
  <c r="I30" i="33" s="1"/>
  <c r="G27" i="72"/>
  <c r="H7" i="72"/>
  <c r="J11" i="98" l="1"/>
  <c r="J10" i="98" s="1"/>
  <c r="J37" i="33"/>
  <c r="J7" i="72"/>
  <c r="H27" i="72"/>
  <c r="F191" i="98" l="1"/>
  <c r="I191" i="98" s="1"/>
  <c r="F142" i="98"/>
  <c r="I142" i="98" s="1"/>
  <c r="F130" i="98"/>
  <c r="I130" i="98" s="1"/>
  <c r="F30" i="98"/>
  <c r="I30" i="98" s="1"/>
  <c r="F198" i="98"/>
  <c r="I198" i="98" s="1"/>
  <c r="F196" i="98"/>
  <c r="I196" i="98" s="1"/>
  <c r="F32" i="98"/>
  <c r="I32" i="98" s="1"/>
  <c r="F194" i="98"/>
  <c r="I194" i="98" s="1"/>
  <c r="F43" i="98"/>
  <c r="I43" i="98" s="1"/>
  <c r="F36" i="98"/>
  <c r="I36" i="98" s="1"/>
  <c r="F102" i="98"/>
  <c r="I102" i="98" s="1"/>
  <c r="F122" i="98"/>
  <c r="I122" i="98" s="1"/>
  <c r="F59" i="98"/>
  <c r="I59" i="98" s="1"/>
  <c r="F72" i="98"/>
  <c r="I72" i="98" s="1"/>
  <c r="F161" i="98"/>
  <c r="I161" i="98" s="1"/>
  <c r="I20" i="98" s="1"/>
  <c r="F175" i="98"/>
  <c r="I175" i="98" s="1"/>
  <c r="F67" i="98"/>
  <c r="I67" i="98" s="1"/>
  <c r="F31" i="98"/>
  <c r="I31" i="98" s="1"/>
  <c r="F188" i="98"/>
  <c r="I188" i="98" s="1"/>
  <c r="F119" i="98"/>
  <c r="I119" i="98" s="1"/>
  <c r="F108" i="98"/>
  <c r="I108" i="98" s="1"/>
  <c r="F60" i="98"/>
  <c r="I60" i="98" s="1"/>
  <c r="F169" i="98"/>
  <c r="I169" i="98" s="1"/>
  <c r="F200" i="98"/>
  <c r="I200" i="98" s="1"/>
  <c r="F76" i="98"/>
  <c r="I76" i="98" s="1"/>
  <c r="F132" i="98"/>
  <c r="I132" i="98" s="1"/>
  <c r="F144" i="98"/>
  <c r="I144" i="98" s="1"/>
  <c r="F141" i="98"/>
  <c r="I141" i="98" s="1"/>
  <c r="F101" i="98"/>
  <c r="I101" i="98" s="1"/>
  <c r="F71" i="98"/>
  <c r="I71" i="98" s="1"/>
  <c r="F126" i="98"/>
  <c r="I126" i="98" s="1"/>
  <c r="F131" i="98"/>
  <c r="I131" i="98" s="1"/>
  <c r="F193" i="98"/>
  <c r="I193" i="98" s="1"/>
  <c r="F70" i="98"/>
  <c r="I70" i="98" s="1"/>
  <c r="F153" i="98"/>
  <c r="I153" i="98" s="1"/>
  <c r="F38" i="98"/>
  <c r="I38" i="98" s="1"/>
  <c r="F93" i="98"/>
  <c r="I93" i="98" s="1"/>
  <c r="F121" i="98"/>
  <c r="I121" i="98" s="1"/>
  <c r="F41" i="98"/>
  <c r="I41" i="98" s="1"/>
  <c r="F179" i="98"/>
  <c r="I179" i="98" s="1"/>
  <c r="F52" i="98"/>
  <c r="I52" i="98" s="1"/>
  <c r="F197" i="98"/>
  <c r="I197" i="98" s="1"/>
  <c r="F99" i="98"/>
  <c r="I99" i="98" s="1"/>
  <c r="F78" i="98"/>
  <c r="I78" i="98" s="1"/>
  <c r="F62" i="98"/>
  <c r="I62" i="98" s="1"/>
  <c r="F155" i="98"/>
  <c r="I155" i="98" s="1"/>
  <c r="F77" i="98"/>
  <c r="I77" i="98" s="1"/>
  <c r="F143" i="98"/>
  <c r="I143" i="98" s="1"/>
  <c r="F79" i="98"/>
  <c r="I79" i="98" s="1"/>
  <c r="F177" i="98"/>
  <c r="I177" i="98" s="1"/>
  <c r="F69" i="98"/>
  <c r="I69" i="98" s="1"/>
  <c r="F106" i="98"/>
  <c r="I106" i="98" s="1"/>
  <c r="F137" i="98"/>
  <c r="I137" i="98" s="1"/>
  <c r="F190" i="98"/>
  <c r="I190" i="98" s="1"/>
  <c r="F95" i="98"/>
  <c r="I95" i="98" s="1"/>
  <c r="F154" i="98"/>
  <c r="I154" i="98" s="1"/>
  <c r="F134" i="98"/>
  <c r="I134" i="98" s="1"/>
  <c r="F39" i="98"/>
  <c r="I39" i="98" s="1"/>
  <c r="F53" i="98"/>
  <c r="I53" i="98" s="1"/>
  <c r="F187" i="98"/>
  <c r="I187" i="98" s="1"/>
  <c r="F44" i="98"/>
  <c r="I44" i="98" s="1"/>
  <c r="F136" i="98"/>
  <c r="I136" i="98" s="1"/>
  <c r="F109" i="98"/>
  <c r="I109" i="98" s="1"/>
  <c r="F195" i="98"/>
  <c r="I195" i="98" s="1"/>
  <c r="F168" i="98"/>
  <c r="I168" i="98" s="1"/>
  <c r="F151" i="98"/>
  <c r="I151" i="98" s="1"/>
  <c r="F47" i="98"/>
  <c r="I47" i="98" s="1"/>
  <c r="F166" i="98"/>
  <c r="I166" i="98" s="1"/>
  <c r="F148" i="98"/>
  <c r="I148" i="98" s="1"/>
  <c r="F58" i="98"/>
  <c r="I58" i="98" s="1"/>
  <c r="F48" i="98"/>
  <c r="I48" i="98" s="1"/>
  <c r="F50" i="98"/>
  <c r="I50" i="98" s="1"/>
  <c r="F110" i="98"/>
  <c r="I110" i="98" s="1"/>
  <c r="F91" i="98"/>
  <c r="I91" i="98" s="1"/>
  <c r="F186" i="98"/>
  <c r="I186" i="98" s="1"/>
  <c r="F150" i="98"/>
  <c r="I150" i="98" s="1"/>
  <c r="F27" i="98"/>
  <c r="I27" i="98" s="1"/>
  <c r="F25" i="98"/>
  <c r="I25" i="98" s="1"/>
  <c r="F86" i="98"/>
  <c r="I86" i="98" s="1"/>
  <c r="F164" i="98"/>
  <c r="I164" i="98" s="1"/>
  <c r="F56" i="98"/>
  <c r="I56" i="98" s="1"/>
  <c r="F40" i="98"/>
  <c r="I40" i="98" s="1"/>
  <c r="F167" i="98"/>
  <c r="I167" i="98" s="1"/>
  <c r="F156" i="98"/>
  <c r="I156" i="98" s="1"/>
  <c r="F57" i="98"/>
  <c r="I57" i="98" s="1"/>
  <c r="F145" i="98"/>
  <c r="I145" i="98" s="1"/>
  <c r="F94" i="98"/>
  <c r="I94" i="98" s="1"/>
  <c r="F33" i="98"/>
  <c r="I33" i="98" s="1"/>
  <c r="F75" i="98"/>
  <c r="I75" i="98" s="1"/>
  <c r="F97" i="98"/>
  <c r="I97" i="98" s="1"/>
  <c r="F28" i="98"/>
  <c r="I28" i="98" s="1"/>
  <c r="F157" i="98"/>
  <c r="I157" i="98" s="1"/>
  <c r="F49" i="98"/>
  <c r="I49" i="98" s="1"/>
  <c r="F174" i="98"/>
  <c r="I174" i="98" s="1"/>
  <c r="F116" i="98"/>
  <c r="I116" i="98" s="1"/>
  <c r="F89" i="98"/>
  <c r="I89" i="98" s="1"/>
  <c r="F152" i="98"/>
  <c r="I152" i="98" s="1"/>
  <c r="F133" i="98"/>
  <c r="I133" i="98" s="1"/>
  <c r="F135" i="98"/>
  <c r="I135" i="98" s="1"/>
  <c r="F103" i="98"/>
  <c r="I103" i="98" s="1"/>
  <c r="F65" i="98"/>
  <c r="I65" i="98" s="1"/>
  <c r="F146" i="98"/>
  <c r="I146" i="98" s="1"/>
  <c r="F123" i="98"/>
  <c r="I123" i="98" s="1"/>
  <c r="F199" i="98"/>
  <c r="I199" i="98" s="1"/>
  <c r="F92" i="98"/>
  <c r="I92" i="98" s="1"/>
  <c r="F127" i="98"/>
  <c r="I127" i="98" s="1"/>
  <c r="F192" i="98"/>
  <c r="I192" i="98" s="1"/>
  <c r="F165" i="98"/>
  <c r="I165" i="98" s="1"/>
  <c r="F82" i="98"/>
  <c r="I82" i="98" s="1"/>
  <c r="F124" i="98"/>
  <c r="I124" i="98" s="1"/>
  <c r="F83" i="98"/>
  <c r="I83" i="98" s="1"/>
  <c r="F112" i="98"/>
  <c r="I112" i="98" s="1"/>
  <c r="F29" i="98"/>
  <c r="I29" i="98" s="1"/>
  <c r="F84" i="98"/>
  <c r="I84" i="98" s="1"/>
  <c r="F173" i="98"/>
  <c r="I173" i="98" s="1"/>
  <c r="F96" i="98"/>
  <c r="I96" i="98" s="1"/>
  <c r="F87" i="98"/>
  <c r="I87" i="98" s="1"/>
  <c r="F81" i="98"/>
  <c r="I81" i="98" s="1"/>
  <c r="F51" i="98"/>
  <c r="I51" i="98" s="1"/>
  <c r="F120" i="98"/>
  <c r="I120" i="98" s="1"/>
  <c r="F37" i="98"/>
  <c r="I37" i="98" s="1"/>
  <c r="F105" i="98"/>
  <c r="I105" i="98" s="1"/>
  <c r="F85" i="98"/>
  <c r="I85" i="98" s="1"/>
  <c r="F111" i="98"/>
  <c r="I111" i="98" s="1"/>
  <c r="F178" i="98"/>
  <c r="I178" i="98" s="1"/>
  <c r="F114" i="98"/>
  <c r="I114" i="98" s="1"/>
  <c r="F180" i="98"/>
  <c r="I180" i="98" s="1"/>
  <c r="F68" i="98"/>
  <c r="I68" i="98" s="1"/>
  <c r="F61" i="98"/>
  <c r="I61" i="98" s="1"/>
  <c r="F104" i="98"/>
  <c r="I104" i="98" s="1"/>
  <c r="F138" i="98"/>
  <c r="I138" i="98" s="1"/>
  <c r="F88" i="98"/>
  <c r="I88" i="98" s="1"/>
  <c r="F42" i="98"/>
  <c r="I42" i="98" s="1"/>
  <c r="F189" i="98"/>
  <c r="I189" i="98" s="1"/>
  <c r="F125" i="98"/>
  <c r="I125" i="98" s="1"/>
  <c r="F171" i="98"/>
  <c r="I171" i="98" s="1"/>
  <c r="F54" i="98"/>
  <c r="I54" i="98" s="1"/>
  <c r="F113" i="98"/>
  <c r="I113" i="98" s="1"/>
  <c r="F115" i="98"/>
  <c r="I115" i="98" s="1"/>
  <c r="F98" i="98"/>
  <c r="I98" i="98" s="1"/>
  <c r="F182" i="98"/>
  <c r="I182" i="98" s="1"/>
  <c r="F66" i="98"/>
  <c r="I66" i="98" s="1"/>
  <c r="F172" i="98"/>
  <c r="I172" i="98" s="1"/>
  <c r="F73" i="98"/>
  <c r="I73" i="98" s="1"/>
  <c r="F158" i="98"/>
  <c r="I158" i="98" s="1"/>
  <c r="F183" i="98"/>
  <c r="I183" i="98" s="1"/>
  <c r="J27" i="72"/>
  <c r="I15" i="98" l="1"/>
  <c r="I14" i="98"/>
  <c r="I21" i="98"/>
  <c r="I17" i="98"/>
  <c r="I16" i="98"/>
  <c r="I10" i="98"/>
  <c r="I12" i="98" s="1"/>
  <c r="I18" i="98"/>
  <c r="I19" i="98"/>
  <c r="J12" i="33"/>
  <c r="K12" i="33" s="1"/>
  <c r="D21" i="33"/>
  <c r="G21" i="33" s="1"/>
  <c r="J18" i="33"/>
  <c r="K18" i="33" s="1"/>
  <c r="J23" i="33"/>
  <c r="K23" i="33" s="1"/>
  <c r="J32" i="33"/>
  <c r="K32" i="33" s="1"/>
  <c r="J26" i="33"/>
  <c r="K26" i="33" s="1"/>
  <c r="J30" i="33"/>
  <c r="I22" i="98" l="1"/>
  <c r="J13" i="33"/>
  <c r="K13" i="33" s="1"/>
  <c r="D28" i="33"/>
  <c r="F28" i="33" s="1"/>
  <c r="J19" i="33"/>
  <c r="K19" i="33" s="1"/>
  <c r="F21" i="33"/>
  <c r="H21" i="33"/>
  <c r="K30" i="33"/>
  <c r="G28" i="33" l="1"/>
  <c r="H28" i="33"/>
  <c r="I21" i="33"/>
  <c r="J17" i="33"/>
  <c r="J25" i="33" l="1"/>
  <c r="I28" i="33"/>
  <c r="J21" i="33"/>
  <c r="K21" i="33" s="1"/>
  <c r="K17" i="33"/>
  <c r="K25" i="33" l="1"/>
  <c r="J28" i="33"/>
  <c r="K28" i="33" s="1"/>
  <c r="L10" i="72" l="1"/>
  <c r="G11" i="33" s="1"/>
  <c r="H11" i="33"/>
  <c r="I11" i="33" l="1"/>
  <c r="J11" i="33" s="1"/>
  <c r="K11" i="33" s="1"/>
  <c r="C16" i="83"/>
  <c r="K9" i="72"/>
  <c r="L9" i="72" s="1"/>
  <c r="G10" i="33" s="1"/>
  <c r="I10" i="33" l="1"/>
  <c r="I15" i="33" s="1"/>
  <c r="D8" i="33"/>
  <c r="K7" i="72"/>
  <c r="C10" i="83"/>
  <c r="C33" i="83" s="1"/>
  <c r="C37" i="83" s="1"/>
  <c r="H10" i="33"/>
  <c r="H15" i="33" s="1"/>
  <c r="D15" i="33"/>
  <c r="F15" i="33" s="1"/>
  <c r="J10" i="33" l="1"/>
  <c r="J15" i="33" s="1"/>
  <c r="G15" i="33"/>
  <c r="D34" i="33"/>
  <c r="D39" i="33" s="1"/>
  <c r="L7" i="72"/>
  <c r="G8" i="33" s="1"/>
  <c r="G54" i="81" s="1"/>
  <c r="G58" i="81" s="1"/>
  <c r="K27" i="72"/>
  <c r="H8" i="33"/>
  <c r="H34" i="33" s="1"/>
  <c r="H39" i="33" s="1"/>
  <c r="K10" i="33" l="1"/>
  <c r="F34" i="33"/>
  <c r="K31" i="72"/>
  <c r="L27" i="72"/>
  <c r="G34" i="33" s="1"/>
  <c r="I8" i="33"/>
  <c r="K15" i="33"/>
  <c r="P7" i="81" l="1"/>
  <c r="P26" i="81"/>
  <c r="Q26" i="81" s="1"/>
  <c r="P17" i="81"/>
  <c r="Q17" i="81" s="1"/>
  <c r="P16" i="81"/>
  <c r="Q16" i="81" s="1"/>
  <c r="P12" i="81"/>
  <c r="Q12" i="81" s="1"/>
  <c r="P13" i="81"/>
  <c r="Q13" i="81" s="1"/>
  <c r="P11" i="81"/>
  <c r="Q11" i="81" s="1"/>
  <c r="P18" i="81"/>
  <c r="Q18" i="81" s="1"/>
  <c r="P15" i="81"/>
  <c r="Q15" i="81" s="1"/>
  <c r="P14" i="81"/>
  <c r="Q14" i="81" s="1"/>
  <c r="P9" i="81"/>
  <c r="Q9" i="81" s="1"/>
  <c r="P8" i="81"/>
  <c r="Q8" i="81" s="1"/>
  <c r="P10" i="81"/>
  <c r="Q10" i="81" s="1"/>
  <c r="J8" i="33"/>
  <c r="I34" i="33"/>
  <c r="I39" i="33" s="1"/>
  <c r="S18" i="81" l="1"/>
  <c r="R18" i="81"/>
  <c r="R14" i="81"/>
  <c r="S14" i="81"/>
  <c r="S17" i="81"/>
  <c r="R17" i="81"/>
  <c r="R15" i="81"/>
  <c r="S15" i="81"/>
  <c r="S13" i="81"/>
  <c r="R13" i="81"/>
  <c r="R26" i="81"/>
  <c r="S26" i="81"/>
  <c r="S9" i="81"/>
  <c r="R9" i="81"/>
  <c r="S16" i="81"/>
  <c r="R16" i="81"/>
  <c r="K8" i="33"/>
  <c r="J34" i="33"/>
  <c r="S11" i="81"/>
  <c r="R11" i="81"/>
  <c r="R10" i="81"/>
  <c r="S10" i="81"/>
  <c r="S8" i="81"/>
  <c r="R8" i="81"/>
  <c r="G60" i="81"/>
  <c r="G61" i="81"/>
  <c r="S12" i="81"/>
  <c r="R12" i="81"/>
  <c r="Q7" i="81"/>
  <c r="P20" i="81"/>
  <c r="R7" i="81" l="1"/>
  <c r="R20" i="81" s="1"/>
  <c r="S7" i="81"/>
  <c r="Q20" i="81"/>
  <c r="P22" i="81"/>
  <c r="P24" i="81"/>
  <c r="K34" i="33"/>
  <c r="J39" i="33"/>
  <c r="R24" i="81" l="1"/>
  <c r="R22" i="81"/>
  <c r="Q22" i="81"/>
  <c r="S22" i="81" s="1"/>
  <c r="S20" i="81"/>
  <c r="Q24" i="81"/>
</calcChain>
</file>

<file path=xl/sharedStrings.xml><?xml version="1.0" encoding="utf-8"?>
<sst xmlns="http://schemas.openxmlformats.org/spreadsheetml/2006/main" count="965" uniqueCount="501">
  <si>
    <t>Line No.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</si>
  <si>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</si>
  <si>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</si>
  <si>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</si>
  <si>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</si>
  <si>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</si>
  <si>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</si>
  <si>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</si>
  <si>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</si>
  <si>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</si>
  <si>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</si>
  <si>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Transportation</t>
  </si>
  <si>
    <t>Total</t>
  </si>
  <si>
    <t>Puget Sound Energy</t>
  </si>
  <si>
    <t>a</t>
  </si>
  <si>
    <t>b</t>
  </si>
  <si>
    <t>c</t>
  </si>
  <si>
    <t>CUSTOMER CLASS</t>
  </si>
  <si>
    <t>SCHEDULE</t>
  </si>
  <si>
    <t>Increase / Decrease 
$</t>
  </si>
  <si>
    <t>Increase / Decrease
%</t>
  </si>
  <si>
    <t>Secondary Service Total</t>
  </si>
  <si>
    <t>Primary Service Total</t>
  </si>
  <si>
    <t>HV Interruptible Svc</t>
  </si>
  <si>
    <t>HV Gen Svc</t>
  </si>
  <si>
    <t>High Voltage Service Total</t>
  </si>
  <si>
    <t>Small Firm Resale</t>
  </si>
  <si>
    <t>005</t>
  </si>
  <si>
    <t>Excluded Schedules</t>
  </si>
  <si>
    <t>449 / 459</t>
  </si>
  <si>
    <t>Schedule</t>
  </si>
  <si>
    <t>Lamp Type</t>
  </si>
  <si>
    <t>$ / kWh</t>
  </si>
  <si>
    <t>Mercury Vapor</t>
  </si>
  <si>
    <t>Sodium Vapor</t>
  </si>
  <si>
    <t>kWh</t>
  </si>
  <si>
    <t>A</t>
  </si>
  <si>
    <t>B</t>
  </si>
  <si>
    <t>C</t>
  </si>
  <si>
    <t>Residential Customer Impacts</t>
  </si>
  <si>
    <t>Customer Bill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</si>
  <si>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</si>
  <si>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</si>
  <si>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</si>
  <si>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</si>
  <si>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</si>
  <si>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</si>
  <si>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</si>
  <si>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</si>
  <si>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</si>
  <si>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</si>
  <si>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</si>
  <si>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</si>
  <si>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</si>
  <si>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</si>
  <si>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</si>
  <si>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</si>
  <si>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</si>
  <si>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</si>
  <si>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</si>
  <si>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</si>
  <si>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</si>
  <si>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</si>
  <si>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</si>
  <si>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</si>
  <si>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</si>
  <si>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</si>
  <si>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</si>
  <si>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Rate Spread &amp; Rate Design</t>
  </si>
  <si>
    <t>Electronic Workpapers</t>
  </si>
  <si>
    <t>50-59</t>
  </si>
  <si>
    <t>Campus Rate</t>
  </si>
  <si>
    <t>Customer Class</t>
  </si>
  <si>
    <t>Campus</t>
  </si>
  <si>
    <t>Firm Resale - Small</t>
  </si>
  <si>
    <t>d</t>
  </si>
  <si>
    <t>g = f - e</t>
  </si>
  <si>
    <t>h = g / e</t>
  </si>
  <si>
    <t>Total Secondary Voltage</t>
  </si>
  <si>
    <t>Total Primary Voltage</t>
  </si>
  <si>
    <t>Total High Voltage</t>
  </si>
  <si>
    <t>Schedule No. 95A</t>
  </si>
  <si>
    <t>Federal Incentive Tracker</t>
  </si>
  <si>
    <t>Allocation of  Federal Incentive Tracker Revenue Requirement to Rate Schedule</t>
  </si>
  <si>
    <t>Statement of Proforma and Proposed Revenues for Federal Incentive Tracker Credit</t>
  </si>
  <si>
    <t>Year</t>
  </si>
  <si>
    <t>PUGET SOUND ENERGY</t>
  </si>
  <si>
    <t>GRANT</t>
  </si>
  <si>
    <t>INTEREST</t>
  </si>
  <si>
    <t>TOTAL</t>
  </si>
  <si>
    <t>¸</t>
  </si>
  <si>
    <t>Revenue requirement before gross up for revenue sensitive items</t>
  </si>
  <si>
    <t>Annual revenue requirement  including revenue sensitive items</t>
  </si>
  <si>
    <t>WILD HORSE EXPANSION</t>
  </si>
  <si>
    <t>LOWER SNAKE RIVER</t>
  </si>
  <si>
    <t>COMBINED</t>
  </si>
  <si>
    <t>DESCRIPTION</t>
  </si>
  <si>
    <t>D</t>
  </si>
  <si>
    <t>E</t>
  </si>
  <si>
    <t>F</t>
  </si>
  <si>
    <t>G</t>
  </si>
  <si>
    <t>H</t>
  </si>
  <si>
    <t>I</t>
  </si>
  <si>
    <t>Original Treasury Grant</t>
  </si>
  <si>
    <t>x</t>
  </si>
  <si>
    <t>Composite Rate Increase / (Decrease)</t>
  </si>
  <si>
    <t>Schedule 95A - Wind Power Production Credit</t>
  </si>
  <si>
    <t>Schedule 132 - Merger Credit</t>
  </si>
  <si>
    <t>Schedule 133 - Regulatory Asset Tracker</t>
  </si>
  <si>
    <t>Schedule 137 - Renewable Energy Credit</t>
  </si>
  <si>
    <t>Schedule 140 - Property Tax Rider</t>
  </si>
  <si>
    <t>Schedule 141 - ERF Rider - 1 Phase Basic Charge</t>
  </si>
  <si>
    <t>Schedule 141 - ERF Rider - First 600 kWh</t>
  </si>
  <si>
    <t>Schedule 141 - ERF Rider - Over 600 kWh</t>
  </si>
  <si>
    <t>Schedule 142 - Decoupling Rider</t>
  </si>
  <si>
    <t>10 Year Amortization Period</t>
  </si>
  <si>
    <t>Annual Grant amortization and Net of Tax ROR</t>
  </si>
  <si>
    <t>Subtotal Base Monthly Charge</t>
  </si>
  <si>
    <t>Subtotal Base First 600 kWh Charge</t>
  </si>
  <si>
    <t>Subtotal Base Over 600 kWh Charge</t>
  </si>
  <si>
    <t>8 &amp; 24</t>
  </si>
  <si>
    <t>11, 25 &amp; 7A</t>
  </si>
  <si>
    <t>10 &amp; 31</t>
  </si>
  <si>
    <t>12, 26 &amp; 26P</t>
  </si>
  <si>
    <t>HV - Interruptible Svc</t>
  </si>
  <si>
    <t>HV - General Svc</t>
  </si>
  <si>
    <t>e = 
b + (a * c)</t>
  </si>
  <si>
    <t>f = 
b + (a * d)</t>
  </si>
  <si>
    <t>e = b + d</t>
  </si>
  <si>
    <t>f</t>
  </si>
  <si>
    <t>g = e * Revenue Requirement</t>
  </si>
  <si>
    <t>j</t>
  </si>
  <si>
    <t>k = i / j</t>
  </si>
  <si>
    <t>HV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</si>
  <si>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</si>
  <si>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</si>
  <si>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</si>
  <si>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</si>
  <si>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</si>
  <si>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</si>
  <si>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</si>
  <si>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</si>
  <si>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</si>
  <si>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</si>
  <si>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</si>
  <si>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</si>
  <si>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Proposed Residential Bill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</si>
  <si>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</si>
  <si>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</si>
  <si>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</si>
  <si>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</si>
  <si>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</si>
  <si>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</si>
  <si>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</si>
  <si>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</si>
  <si>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</si>
  <si>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</si>
  <si>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</si>
  <si>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95a</t>
  </si>
  <si>
    <t>Add:  Schedule 95a</t>
  </si>
  <si>
    <t>kWh
Source: F2017 January 2018 to December 2018</t>
  </si>
  <si>
    <t>Load (MWh)</t>
  </si>
  <si>
    <t>Net of Conservation</t>
  </si>
  <si>
    <t>Date</t>
  </si>
  <si>
    <t>Losses</t>
  </si>
  <si>
    <t>Customers</t>
  </si>
  <si>
    <t>Tariff</t>
  </si>
  <si>
    <t>Annual kWh Delivered Sales (Normalized)</t>
  </si>
  <si>
    <t>Estimated Annual Proforma Base Revenue</t>
  </si>
  <si>
    <t>Schedule 95
PCORC</t>
  </si>
  <si>
    <t>Schedule 120
Conservation</t>
  </si>
  <si>
    <t>Schedule 129
Low Income</t>
  </si>
  <si>
    <t>Schedule 132
Merger Credit</t>
  </si>
  <si>
    <t>Schedule 137
RECS</t>
  </si>
  <si>
    <t>Schedule 140
Property Tax</t>
  </si>
  <si>
    <t>Schedule 141
ERF</t>
  </si>
  <si>
    <t>Schedule 142
Decoupling</t>
  </si>
  <si>
    <t>Schedule 194
BPA Res &amp; Farm Credit</t>
  </si>
  <si>
    <t>449-459</t>
  </si>
  <si>
    <t>All Sales</t>
  </si>
  <si>
    <t>Estimated Net Annual Proforma Base Revenue (Excluding Sch 95a)</t>
  </si>
  <si>
    <t>Schedules</t>
  </si>
  <si>
    <t>8/24</t>
  </si>
  <si>
    <t>7A/11/25</t>
  </si>
  <si>
    <t>12/26</t>
  </si>
  <si>
    <t>10/31</t>
  </si>
  <si>
    <t>Estimated Net Revenue @
Rates Effective
10-1-2017
(*Note 1)</t>
  </si>
  <si>
    <t>*Note 1:  Estimated Net Revenue Includes Sch 95 (PCORC), Sch 120 (DSM), Sch 129 (Low Income), Sch 132 (Merger Credit), Sch 137 (RECs), Sch 140 (Property Tax), Sch 141(ERF), 
              Sch 142 (Decoupling &amp; Rate Plan), Sch 194 (Residential Exchange Benefit) and excludes Sch 95a (Fed Incentive Tracker)</t>
  </si>
  <si>
    <t>b = 75% * a / ∑(a)</t>
  </si>
  <si>
    <t>d = 25% * c / ∑(c)</t>
  </si>
  <si>
    <t>e</t>
  </si>
  <si>
    <t>h</t>
  </si>
  <si>
    <t>i</t>
  </si>
  <si>
    <t>k</t>
  </si>
  <si>
    <t>l</t>
  </si>
  <si>
    <t>g</t>
  </si>
  <si>
    <t>Gross up for FIT (Tax Reform Rate Decr to 21%)</t>
  </si>
  <si>
    <t>Electric conversion factor from UE-170033</t>
  </si>
  <si>
    <t>Sch 95a
Effective
January 1, 2018
$ per kWh</t>
  </si>
  <si>
    <t>Proposed 
Sch 95a
Effective
May 1, 2018
$ per kWh</t>
  </si>
  <si>
    <t>Revenue Including
Sch 95a
Eff 1-1-18</t>
  </si>
  <si>
    <t>Revenue
Including
Proposed
Sch 95a
Effective 5-1-18</t>
  </si>
  <si>
    <t>Wattage (W)</t>
  </si>
  <si>
    <t>Current Base Lamp Demand &amp; Energy Charges from COS Effective 
6-1-2018</t>
  </si>
  <si>
    <t>Demand-Related</t>
  </si>
  <si>
    <t>Energy-Related</t>
  </si>
  <si>
    <t>(a)</t>
  </si>
  <si>
    <t>(b)</t>
  </si>
  <si>
    <t>(d)</t>
  </si>
  <si>
    <t>(e)</t>
  </si>
  <si>
    <t>(f)</t>
  </si>
  <si>
    <t>= (a) * (AA)</t>
  </si>
  <si>
    <t>= (a) * (d)</t>
  </si>
  <si>
    <t>= (b) * (d)</t>
  </si>
  <si>
    <t>AA</t>
  </si>
  <si>
    <t>Total Lamp Revenue Requirement Based on Inventory</t>
  </si>
  <si>
    <t>Schedule 129 Lighting Revenue Requirement to Collect</t>
  </si>
  <si>
    <t>Difference Due to Rounding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</si>
  <si>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</si>
  <si>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</si>
  <si>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</si>
  <si>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</si>
  <si>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</si>
  <si>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</si>
  <si>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</si>
  <si>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</si>
  <si>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</si>
  <si>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</si>
  <si>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</si>
  <si>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</si>
  <si>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</si>
  <si>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</si>
  <si>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</si>
  <si>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</si>
  <si>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</si>
  <si>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</si>
  <si>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</si>
  <si>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</si>
  <si>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</si>
  <si>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</si>
  <si>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</si>
  <si>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</si>
  <si>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</si>
  <si>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</si>
  <si>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</si>
  <si>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</si>
  <si>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</si>
  <si>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</si>
  <si>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</si>
  <si>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</si>
  <si>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</si>
  <si>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</si>
  <si>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</si>
  <si>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</si>
  <si>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57</t>
  </si>
  <si>
    <t>57E</t>
  </si>
  <si>
    <t>Per W charge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</si>
  <si>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</si>
  <si>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</si>
  <si>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</si>
  <si>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</si>
  <si>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</si>
  <si>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</si>
  <si>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</si>
  <si>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</si>
  <si>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</si>
  <si>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</si>
  <si>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Test Year Ending December 31, 2019</t>
  </si>
  <si>
    <t>2019 Schedule 95A Lighting Workpapers</t>
  </si>
  <si>
    <t>Proposed Schedule 95A Lamp Revenue @ 1-1-2019</t>
  </si>
  <si>
    <t>Schedule 95A Revenue Requirement Ratio to Base Demand &amp; Energy Light Charge Cost</t>
  </si>
  <si>
    <t>Annual Lamp Inventory @ 9/30/2018</t>
  </si>
  <si>
    <t>Proposed Schedule 95A Lamp Charge Effective 
1-1-2019</t>
  </si>
  <si>
    <t>Current Base Lamp Demand &amp; Energy Cost @ 1-1-2019</t>
  </si>
  <si>
    <t>Advice No. 2019-xx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</si>
  <si>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</si>
  <si>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</si>
  <si>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</si>
  <si>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</si>
  <si>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</si>
  <si>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</si>
  <si>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</si>
  <si>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</si>
  <si>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</si>
  <si>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</si>
  <si>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</si>
  <si>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>Load Research Allocation Factors</t>
  </si>
  <si>
    <t>Twelve Months ended September 30, 2016</t>
  </si>
  <si>
    <t>2017 GRC</t>
  </si>
  <si>
    <t>Electric Cost of Service Allocation Factors</t>
  </si>
  <si>
    <t>Load Research Data</t>
  </si>
  <si>
    <t>ENERGY_1</t>
  </si>
  <si>
    <t>ENERGY_2</t>
  </si>
  <si>
    <t>DEM_1</t>
  </si>
  <si>
    <t>DEM_1A</t>
  </si>
  <si>
    <t>DEM_1B</t>
  </si>
  <si>
    <t>DEM_2A</t>
  </si>
  <si>
    <t>DEM_2B</t>
  </si>
  <si>
    <t>DEM_12NCP1</t>
  </si>
  <si>
    <t>Adjusted for Sch 40 Settlement</t>
  </si>
  <si>
    <t>Energy - All Rate Schedules</t>
  </si>
  <si>
    <t>Energy - Exclude Transportation</t>
  </si>
  <si>
    <t>Top 75 CP Demand</t>
  </si>
  <si>
    <t>Top 75 CP Demand - Excl Interrupt</t>
  </si>
  <si>
    <t>Top 75 CP Demand - Excl Tranp &amp; Spec &amp; Interrupt</t>
  </si>
  <si>
    <t>4 CP Demand - Exclude Interruptible</t>
  </si>
  <si>
    <t>4 CP Demand - Exclude Interruptible &amp; Transportation</t>
  </si>
  <si>
    <t>Top 12 NCP Demand - Exclude HV &amp; Transportation</t>
  </si>
  <si>
    <t>Energy</t>
  </si>
  <si>
    <t>4 CP  Demand</t>
  </si>
  <si>
    <t>25 &amp; 29</t>
  </si>
  <si>
    <t>Lighting</t>
  </si>
  <si>
    <t>Transp PV</t>
  </si>
  <si>
    <t>Transp HV</t>
  </si>
  <si>
    <t>Firm Resale</t>
  </si>
  <si>
    <t>Check</t>
  </si>
  <si>
    <t>Monthly CP by Class</t>
  </si>
  <si>
    <t>Adjusted for Schedule 40 Settlement</t>
  </si>
  <si>
    <t>with losses</t>
  </si>
  <si>
    <t>YearMo</t>
  </si>
  <si>
    <t>Hour</t>
  </si>
  <si>
    <t>_NAME_</t>
  </si>
  <si>
    <t>_24</t>
  </si>
  <si>
    <t>_25</t>
  </si>
  <si>
    <t>_26</t>
  </si>
  <si>
    <t>_29</t>
  </si>
  <si>
    <t>_31</t>
  </si>
  <si>
    <t>_35</t>
  </si>
  <si>
    <t>_40</t>
  </si>
  <si>
    <t>_43</t>
  </si>
  <si>
    <t>_449HV</t>
  </si>
  <si>
    <t>_449PV</t>
  </si>
  <si>
    <t>_459</t>
  </si>
  <si>
    <t>_46</t>
  </si>
  <si>
    <t>_49</t>
  </si>
  <si>
    <t>_5</t>
  </si>
  <si>
    <t>_7</t>
  </si>
  <si>
    <t>AL</t>
  </si>
  <si>
    <t>SL</t>
  </si>
  <si>
    <t>System</t>
  </si>
  <si>
    <t>201510</t>
  </si>
  <si>
    <t>Hour19</t>
  </si>
  <si>
    <t>Load</t>
  </si>
  <si>
    <t>201511</t>
  </si>
  <si>
    <t>Hour08</t>
  </si>
  <si>
    <t>201512</t>
  </si>
  <si>
    <t>201601</t>
  </si>
  <si>
    <t>Hour18</t>
  </si>
  <si>
    <t>201602</t>
  </si>
  <si>
    <t>201603</t>
  </si>
  <si>
    <t>201604</t>
  </si>
  <si>
    <t>201605</t>
  </si>
  <si>
    <t>201606</t>
  </si>
  <si>
    <t>201607</t>
  </si>
  <si>
    <t>201608</t>
  </si>
  <si>
    <t>Hour17</t>
  </si>
  <si>
    <t>201609</t>
  </si>
  <si>
    <t>Hour20</t>
  </si>
  <si>
    <t xml:space="preserve">Sch 40 Settlement </t>
  </si>
  <si>
    <t>4CP Average</t>
  </si>
  <si>
    <t xml:space="preserve"> (Nov, Dec, Jan, Feb)</t>
  </si>
  <si>
    <t>Excl Interruptible</t>
  </si>
  <si>
    <t>Excl Interruptible &amp; Transport</t>
  </si>
  <si>
    <t>TEMPERATURE ADJUSTED ANNUAL ENERGY ALLOCATIONS BY BILLING SCHEDULE</t>
  </si>
  <si>
    <t>12 MONTHS ENDED SEPTEMBER 31, 2016</t>
  </si>
  <si>
    <t>NET GPI</t>
  </si>
  <si>
    <t>BILLED KWH (Cal View)</t>
  </si>
  <si>
    <t>TEMP ADJ</t>
  </si>
  <si>
    <t>(=B8)</t>
  </si>
  <si>
    <t>TEMP ADJUSTED</t>
  </si>
  <si>
    <t>TEMP ADJ GPI</t>
  </si>
  <si>
    <t>TEMP ADJ BILLED KWH</t>
  </si>
  <si>
    <t>Original</t>
  </si>
  <si>
    <t>Schedule 40 Settlement Adjustment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</si>
  <si>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</si>
  <si>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</si>
  <si>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</si>
  <si>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</si>
  <si>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</si>
  <si>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</si>
  <si>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</si>
  <si>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</si>
  <si>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</si>
  <si>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</si>
  <si>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</si>
  <si>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</si>
  <si>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</si>
  <si>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</si>
  <si>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</si>
  <si>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</si>
  <si>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</si>
  <si>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</si>
  <si>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</si>
  <si>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Class</t>
  </si>
  <si>
    <t>actual kWh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</si>
  <si>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</si>
  <si>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</si>
  <si>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</si>
  <si>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</si>
  <si>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</si>
  <si>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</si>
  <si>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</si>
  <si>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</si>
  <si>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</si>
  <si>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</si>
  <si>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</si>
  <si>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</si>
  <si>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</si>
  <si>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</si>
  <si>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New Cust 1</t>
  </si>
  <si>
    <t>New Cust 2</t>
  </si>
  <si>
    <t>Cust 8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</si>
  <si>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</si>
  <si>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</si>
  <si>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</si>
  <si>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</si>
  <si>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</si>
  <si>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</si>
  <si>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</si>
  <si>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449 HV</t>
  </si>
  <si>
    <t>449 PV</t>
  </si>
  <si>
    <t>Total Transp.</t>
  </si>
  <si>
    <t xml:space="preserve">Note:  Annual actual kWh includes the impacts of  rate migrations anticipated during the rate year on Schedules 24, 25, 26, 31 &amp; 40 energy sales.  The actual kWh sales </t>
  </si>
  <si>
    <t xml:space="preserve">          also include the billing error corrections made on schedule 46 billed sales in 2016.</t>
  </si>
  <si>
    <t>ANNUAL ENERGY LOSS ALLOCATIONS BY BILLING SCHEDULE</t>
  </si>
  <si>
    <t>12 MONTHS ENDED SEPTEMBER 30, 2016</t>
  </si>
  <si>
    <t>Delivery</t>
  </si>
  <si>
    <t>% of Total</t>
  </si>
  <si>
    <t>% of Annual</t>
  </si>
  <si>
    <t>Voltage Level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</si>
  <si>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</si>
  <si>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</si>
  <si>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</si>
  <si>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</si>
  <si>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</si>
  <si>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</si>
  <si>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</si>
  <si>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</si>
  <si>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</si>
  <si>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</si>
  <si>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</si>
  <si>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</si>
  <si>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</si>
  <si>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</si>
  <si>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</si>
  <si>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</si>
  <si>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</si>
  <si>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</si>
  <si>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</si>
  <si>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</si>
  <si>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Misc. Use</t>
  </si>
  <si>
    <t>Coincident</t>
  </si>
  <si>
    <t>Annual Loss</t>
  </si>
  <si>
    <t>Actual kWh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</si>
  <si>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</si>
  <si>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</si>
  <si>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</si>
  <si>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</si>
  <si>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</si>
  <si>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</si>
  <si>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</si>
  <si>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</si>
  <si>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</si>
  <si>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</si>
  <si>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</si>
  <si>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</si>
  <si>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</si>
  <si>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</si>
  <si>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</si>
  <si>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</si>
  <si>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</si>
  <si>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</si>
  <si>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</si>
  <si>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</si>
  <si>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</si>
  <si>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</si>
  <si>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</si>
  <si>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2019 Revenue Requirement</t>
  </si>
  <si>
    <t>$ per kWh Proposed Eff 1-1-2019</t>
  </si>
  <si>
    <t>January 1, 2019 Rate Impacts</t>
  </si>
  <si>
    <t>Test Year ended December 2019 (F2018)</t>
  </si>
  <si>
    <t>F2018 Final Electric Load Forecast</t>
  </si>
  <si>
    <t>8, 24</t>
  </si>
  <si>
    <t>7A, 11, 25</t>
  </si>
  <si>
    <t>12, 26, 26P</t>
  </si>
  <si>
    <t>10, 31</t>
  </si>
  <si>
    <t>b = ∑
(c to l)</t>
  </si>
  <si>
    <t>Proposed Rates Effective 
1-1-19</t>
  </si>
  <si>
    <t>Average Residential Usage YE December 2019</t>
  </si>
  <si>
    <t>Present Rates Effective 
10-4-2018</t>
  </si>
  <si>
    <t xml:space="preserve">SCHEDULE 95A ANNUAL FILING </t>
  </si>
  <si>
    <t xml:space="preserve">FOR RATES EFFECTIVE JANUARY - DECEMBER 2019 </t>
  </si>
  <si>
    <t>10 year amortization period for both Wild Horse and Lower Snake River Treasury Grants</t>
  </si>
  <si>
    <t>Estimated Treasury Grant AMA Balance as of December 31, 2019</t>
  </si>
  <si>
    <t>After Tax ROR from 2017GRC (Adjusted for Tax Reform)</t>
  </si>
  <si>
    <t>True up for Oct 2017 through December 2018 for differences in load and interest</t>
  </si>
  <si>
    <t>Total 2018 Annual Revenue Requirement to be Recovered for Schedule 95a</t>
  </si>
  <si>
    <t>Forecast Load from January through Dec 2019</t>
  </si>
  <si>
    <t>Rate starting January 1, 2019 from UE-18____</t>
  </si>
  <si>
    <t xml:space="preserve">Rate through Dec 31, 2018 </t>
  </si>
  <si>
    <t>Effective January 1, 2019 to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</si>
</sst>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\ \¢"/>
    <numFmt numFmtId="167" formatCode="_(&quot;$&quot;* #,##0.000000_);_(&quot;$&quot;* \(#,##0.000000\);_(&quot;$&quot;* &quot;-&quot;??_);_(@_)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&quot;$&quot;#,##0.00"/>
    <numFmt numFmtId="171" formatCode="mmmm\ dd\,\ yyyy"/>
    <numFmt numFmtId="172" formatCode="#,##0.0000"/>
    <numFmt numFmtId="173" formatCode="0.000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</font>
    <font>
      <sz val="24"/>
      <name val="Calibri"/>
      <family val="2"/>
    </font>
    <font>
      <sz val="16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3">
    <xf numFmtId="0" fontId="0" fillId="0" borderId="0" xfId="0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wrapText="1"/>
    </xf>
    <xf numFmtId="171" fontId="5" fillId="0" borderId="0" xfId="0" quotePrefix="1" applyNumberFormat="1" applyFont="1" applyFill="1" applyAlignment="1">
      <alignment horizontal="center"/>
    </xf>
    <xf numFmtId="0" fontId="1" fillId="0" borderId="8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Continuous"/>
    </xf>
    <xf numFmtId="0" fontId="1" fillId="0" borderId="10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2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2" xfId="0" quotePrefix="1" applyFont="1" applyFill="1" applyBorder="1" applyAlignment="1">
      <alignment horizontal="center" vertical="top" wrapText="1"/>
    </xf>
    <xf numFmtId="165" fontId="1" fillId="0" borderId="0" xfId="0" applyNumberFormat="1" applyFont="1" applyFill="1" applyBorder="1"/>
    <xf numFmtId="167" fontId="1" fillId="0" borderId="0" xfId="0" applyNumberFormat="1" applyFont="1" applyFill="1" applyBorder="1"/>
    <xf numFmtId="10" fontId="1" fillId="0" borderId="12" xfId="0" applyNumberFormat="1" applyFont="1" applyFill="1" applyBorder="1"/>
    <xf numFmtId="166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0" fontId="1" fillId="0" borderId="14" xfId="0" applyFont="1" applyFill="1" applyBorder="1"/>
    <xf numFmtId="164" fontId="6" fillId="0" borderId="0" xfId="0" applyNumberFormat="1" applyFont="1" applyFill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 indent="1"/>
    </xf>
    <xf numFmtId="0" fontId="6" fillId="0" borderId="0" xfId="0" quotePrefix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 applyFill="1" applyBorder="1" applyAlignment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indent="1"/>
    </xf>
    <xf numFmtId="164" fontId="12" fillId="0" borderId="0" xfId="0" applyNumberFormat="1" applyFont="1" applyFill="1" applyBorder="1"/>
    <xf numFmtId="164" fontId="1" fillId="0" borderId="6" xfId="0" quotePrefix="1" applyNumberFormat="1" applyFont="1" applyFill="1" applyBorder="1" applyAlignment="1">
      <alignment horizontal="center" wrapText="1"/>
    </xf>
    <xf numFmtId="0" fontId="1" fillId="0" borderId="6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8" xfId="0" applyFont="1" applyFill="1" applyBorder="1" applyAlignment="1">
      <alignment horizontal="center"/>
    </xf>
    <xf numFmtId="0" fontId="1" fillId="0" borderId="9" xfId="0" quotePrefix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42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43" xfId="0" quotePrefix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right"/>
    </xf>
    <xf numFmtId="164" fontId="1" fillId="0" borderId="11" xfId="0" applyNumberFormat="1" applyFont="1" applyFill="1" applyBorder="1"/>
    <xf numFmtId="164" fontId="1" fillId="0" borderId="0" xfId="0" applyNumberFormat="1" applyFont="1" applyFill="1" applyBorder="1"/>
    <xf numFmtId="164" fontId="1" fillId="0" borderId="12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right"/>
    </xf>
    <xf numFmtId="0" fontId="1" fillId="0" borderId="13" xfId="0" applyFont="1" applyFill="1" applyBorder="1"/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" fillId="0" borderId="8" xfId="0" applyFont="1" applyFill="1" applyBorder="1" applyAlignment="1"/>
    <xf numFmtId="3" fontId="1" fillId="0" borderId="10" xfId="0" applyNumberFormat="1" applyFont="1" applyFill="1" applyBorder="1" applyAlignment="1"/>
    <xf numFmtId="0" fontId="1" fillId="0" borderId="8" xfId="0" applyFont="1" applyFill="1" applyBorder="1" applyAlignment="1">
      <alignment horizontal="left"/>
    </xf>
    <xf numFmtId="3" fontId="1" fillId="0" borderId="10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" fillId="0" borderId="11" xfId="0" applyFont="1" applyFill="1" applyBorder="1" applyAlignment="1"/>
    <xf numFmtId="3" fontId="1" fillId="0" borderId="32" xfId="0" applyNumberFormat="1" applyFont="1" applyFill="1" applyBorder="1" applyAlignment="1"/>
    <xf numFmtId="0" fontId="1" fillId="0" borderId="11" xfId="0" applyFont="1" applyFill="1" applyBorder="1" applyAlignment="1">
      <alignment horizontal="left"/>
    </xf>
    <xf numFmtId="3" fontId="1" fillId="0" borderId="32" xfId="0" applyNumberFormat="1" applyFont="1" applyFill="1" applyBorder="1" applyAlignment="1">
      <alignment horizontal="right"/>
    </xf>
    <xf numFmtId="0" fontId="1" fillId="0" borderId="13" xfId="0" applyFont="1" applyFill="1" applyBorder="1" applyAlignment="1"/>
    <xf numFmtId="3" fontId="1" fillId="0" borderId="14" xfId="0" applyNumberFormat="1" applyFont="1" applyFill="1" applyBorder="1" applyAlignment="1"/>
    <xf numFmtId="0" fontId="1" fillId="0" borderId="13" xfId="0" applyFont="1" applyFill="1" applyBorder="1" applyAlignment="1">
      <alignment horizontal="left"/>
    </xf>
    <xf numFmtId="3" fontId="1" fillId="0" borderId="14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center"/>
    </xf>
    <xf numFmtId="0" fontId="1" fillId="0" borderId="8" xfId="0" quotePrefix="1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1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12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0" fontId="4" fillId="0" borderId="12" xfId="0" quotePrefix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45" xfId="0" quotePrefix="1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41" fontId="2" fillId="0" borderId="46" xfId="0" applyNumberFormat="1" applyFont="1" applyFill="1" applyBorder="1" applyAlignment="1">
      <alignment horizontal="right"/>
    </xf>
    <xf numFmtId="10" fontId="2" fillId="0" borderId="0" xfId="0" applyNumberFormat="1" applyFont="1" applyFill="1" applyAlignment="1">
      <alignment horizontal="center"/>
    </xf>
    <xf numFmtId="0" fontId="2" fillId="0" borderId="45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center"/>
    </xf>
    <xf numFmtId="41" fontId="2" fillId="0" borderId="23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right"/>
    </xf>
    <xf numFmtId="10" fontId="2" fillId="0" borderId="23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0" fontId="2" fillId="0" borderId="11" xfId="0" quotePrefix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Continuous"/>
    </xf>
    <xf numFmtId="3" fontId="1" fillId="0" borderId="10" xfId="0" applyNumberFormat="1" applyFont="1" applyFill="1" applyBorder="1"/>
    <xf numFmtId="3" fontId="1" fillId="0" borderId="0" xfId="0" applyNumberFormat="1" applyFont="1" applyFill="1" applyAlignment="1"/>
    <xf numFmtId="0" fontId="3" fillId="0" borderId="11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3" fontId="1" fillId="0" borderId="12" xfId="0" applyNumberFormat="1" applyFont="1" applyFill="1" applyBorder="1" applyAlignment="1"/>
    <xf numFmtId="0" fontId="1" fillId="0" borderId="0" xfId="0" applyFont="1" applyFill="1" applyBorder="1" applyAlignment="1"/>
    <xf numFmtId="10" fontId="1" fillId="0" borderId="0" xfId="0" applyNumberFormat="1" applyFont="1" applyFill="1" applyBorder="1" applyAlignment="1"/>
    <xf numFmtId="10" fontId="1" fillId="0" borderId="12" xfId="0" applyNumberFormat="1" applyFont="1" applyFill="1" applyBorder="1" applyAlignment="1"/>
    <xf numFmtId="37" fontId="1" fillId="0" borderId="32" xfId="0" applyNumberFormat="1" applyFont="1" applyFill="1" applyBorder="1" applyAlignment="1"/>
    <xf numFmtId="0" fontId="1" fillId="0" borderId="47" xfId="0" applyFont="1" applyFill="1" applyBorder="1" applyAlignment="1"/>
    <xf numFmtId="3" fontId="1" fillId="0" borderId="48" xfId="0" applyNumberFormat="1" applyFont="1" applyFill="1" applyBorder="1" applyAlignment="1"/>
    <xf numFmtId="172" fontId="1" fillId="0" borderId="0" xfId="0" applyNumberFormat="1" applyFont="1" applyFill="1" applyAlignment="1"/>
    <xf numFmtId="0" fontId="1" fillId="0" borderId="31" xfId="0" applyFont="1" applyFill="1" applyBorder="1" applyAlignment="1"/>
    <xf numFmtId="0" fontId="1" fillId="0" borderId="6" xfId="0" applyFont="1" applyFill="1" applyBorder="1" applyAlignment="1"/>
    <xf numFmtId="10" fontId="1" fillId="0" borderId="6" xfId="0" applyNumberFormat="1" applyFont="1" applyFill="1" applyBorder="1" applyAlignment="1"/>
    <xf numFmtId="10" fontId="1" fillId="0" borderId="32" xfId="0" applyNumberFormat="1" applyFont="1" applyFill="1" applyBorder="1" applyAlignment="1"/>
    <xf numFmtId="0" fontId="1" fillId="0" borderId="4" xfId="0" applyFont="1" applyFill="1" applyBorder="1" applyAlignment="1">
      <alignment horizontal="centerContinuous"/>
    </xf>
    <xf numFmtId="10" fontId="1" fillId="0" borderId="4" xfId="0" applyNumberFormat="1" applyFont="1" applyFill="1" applyBorder="1" applyAlignment="1"/>
    <xf numFmtId="10" fontId="1" fillId="0" borderId="14" xfId="0" applyNumberFormat="1" applyFont="1" applyFill="1" applyBorder="1" applyAlignment="1">
      <alignment horizontal="right"/>
    </xf>
    <xf numFmtId="0" fontId="2" fillId="0" borderId="8" xfId="0" quotePrefix="1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center"/>
    </xf>
    <xf numFmtId="0" fontId="2" fillId="0" borderId="10" xfId="0" quotePrefix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73" fontId="2" fillId="0" borderId="2" xfId="0" applyNumberFormat="1" applyFont="1" applyFill="1" applyBorder="1" applyAlignment="1">
      <alignment horizontal="right"/>
    </xf>
    <xf numFmtId="10" fontId="2" fillId="0" borderId="46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0" fontId="2" fillId="0" borderId="1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173" fontId="2" fillId="0" borderId="23" xfId="0" applyNumberFormat="1" applyFont="1" applyFill="1" applyBorder="1" applyAlignment="1">
      <alignment horizontal="right"/>
    </xf>
    <xf numFmtId="10" fontId="2" fillId="0" borderId="24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0" borderId="12" xfId="0" quotePrefix="1" applyFont="1" applyFill="1" applyBorder="1" applyAlignment="1">
      <alignment horizontal="right"/>
    </xf>
    <xf numFmtId="0" fontId="11" fillId="0" borderId="31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166" fontId="8" fillId="0" borderId="11" xfId="0" applyNumberFormat="1" applyFont="1" applyFill="1" applyBorder="1"/>
    <xf numFmtId="166" fontId="8" fillId="0" borderId="0" xfId="0" applyNumberFormat="1" applyFont="1" applyFill="1" applyBorder="1"/>
    <xf numFmtId="166" fontId="8" fillId="0" borderId="12" xfId="0" applyNumberFormat="1" applyFont="1" applyFill="1" applyBorder="1"/>
    <xf numFmtId="166" fontId="8" fillId="0" borderId="13" xfId="0" applyNumberFormat="1" applyFont="1" applyFill="1" applyBorder="1"/>
    <xf numFmtId="166" fontId="8" fillId="0" borderId="4" xfId="0" applyNumberFormat="1" applyFont="1" applyFill="1" applyBorder="1"/>
    <xf numFmtId="166" fontId="8" fillId="0" borderId="14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Border="1"/>
    <xf numFmtId="37" fontId="8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3" fontId="8" fillId="0" borderId="0" xfId="0" applyNumberFormat="1" applyFont="1" applyFill="1"/>
    <xf numFmtId="41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41" fontId="2" fillId="0" borderId="6" xfId="0" applyNumberFormat="1" applyFont="1" applyFill="1" applyBorder="1" applyAlignment="1">
      <alignment horizontal="right"/>
    </xf>
    <xf numFmtId="173" fontId="2" fillId="0" borderId="6" xfId="0" applyNumberFormat="1" applyFont="1" applyFill="1" applyBorder="1" applyAlignment="1">
      <alignment horizontal="right"/>
    </xf>
    <xf numFmtId="10" fontId="2" fillId="0" borderId="6" xfId="0" applyNumberFormat="1" applyFont="1" applyFill="1" applyBorder="1" applyAlignment="1">
      <alignment horizontal="right"/>
    </xf>
    <xf numFmtId="14" fontId="8" fillId="0" borderId="0" xfId="0" applyNumberFormat="1" applyFont="1" applyFill="1" applyAlignment="1" applyProtection="1">
      <alignment vertical="center"/>
    </xf>
    <xf numFmtId="164" fontId="8" fillId="0" borderId="0" xfId="0" applyNumberFormat="1" applyFont="1" applyFill="1"/>
    <xf numFmtId="0" fontId="15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14" fontId="1" fillId="0" borderId="0" xfId="0" applyNumberFormat="1" applyFont="1" applyFill="1"/>
    <xf numFmtId="164" fontId="1" fillId="0" borderId="50" xfId="0" applyNumberFormat="1" applyFont="1" applyFill="1" applyBorder="1"/>
    <xf numFmtId="164" fontId="1" fillId="0" borderId="44" xfId="0" applyNumberFormat="1" applyFont="1" applyFill="1" applyBorder="1"/>
    <xf numFmtId="0" fontId="15" fillId="0" borderId="25" xfId="0" applyFont="1" applyFill="1" applyBorder="1" applyAlignment="1">
      <alignment horizontal="center"/>
    </xf>
    <xf numFmtId="0" fontId="1" fillId="0" borderId="50" xfId="0" applyFont="1" applyFill="1" applyBorder="1"/>
    <xf numFmtId="0" fontId="10" fillId="0" borderId="0" xfId="0" applyFont="1" applyFill="1" applyAlignment="1"/>
    <xf numFmtId="0" fontId="16" fillId="0" borderId="0" xfId="0" applyFont="1" applyFill="1"/>
    <xf numFmtId="164" fontId="1" fillId="0" borderId="0" xfId="0" applyNumberFormat="1" applyFont="1" applyFill="1"/>
    <xf numFmtId="0" fontId="1" fillId="0" borderId="8" xfId="0" applyFont="1" applyFill="1" applyBorder="1"/>
    <xf numFmtId="0" fontId="16" fillId="0" borderId="28" xfId="0" applyFont="1" applyFill="1" applyBorder="1"/>
    <xf numFmtId="0" fontId="16" fillId="0" borderId="9" xfId="0" applyFont="1" applyFill="1" applyBorder="1"/>
    <xf numFmtId="0" fontId="1" fillId="0" borderId="29" xfId="0" applyFont="1" applyFill="1" applyBorder="1"/>
    <xf numFmtId="0" fontId="11" fillId="0" borderId="21" xfId="0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20" xfId="0" applyFont="1" applyFill="1" applyBorder="1"/>
    <xf numFmtId="0" fontId="19" fillId="0" borderId="1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wrapText="1"/>
    </xf>
    <xf numFmtId="165" fontId="20" fillId="0" borderId="11" xfId="0" applyNumberFormat="1" applyFont="1" applyFill="1" applyBorder="1"/>
    <xf numFmtId="164" fontId="20" fillId="0" borderId="12" xfId="0" applyNumberFormat="1" applyFont="1" applyFill="1" applyBorder="1"/>
    <xf numFmtId="165" fontId="20" fillId="0" borderId="12" xfId="0" applyNumberFormat="1" applyFont="1" applyFill="1" applyBorder="1" applyAlignment="1">
      <alignment horizontal="center"/>
    </xf>
    <xf numFmtId="165" fontId="20" fillId="0" borderId="0" xfId="0" applyNumberFormat="1" applyFont="1" applyFill="1" applyBorder="1"/>
    <xf numFmtId="165" fontId="20" fillId="0" borderId="12" xfId="0" applyNumberFormat="1" applyFont="1" applyFill="1" applyBorder="1"/>
    <xf numFmtId="0" fontId="21" fillId="0" borderId="0" xfId="0" applyFont="1" applyFill="1" applyBorder="1"/>
    <xf numFmtId="164" fontId="20" fillId="0" borderId="11" xfId="0" applyNumberFormat="1" applyFont="1" applyFill="1" applyBorder="1"/>
    <xf numFmtId="0" fontId="1" fillId="0" borderId="21" xfId="0" applyFont="1" applyFill="1" applyBorder="1"/>
    <xf numFmtId="10" fontId="16" fillId="0" borderId="0" xfId="0" applyNumberFormat="1" applyFont="1" applyFill="1" applyBorder="1"/>
    <xf numFmtId="165" fontId="16" fillId="0" borderId="12" xfId="0" applyNumberFormat="1" applyFont="1" applyFill="1" applyBorder="1" applyAlignment="1">
      <alignment horizontal="center"/>
    </xf>
    <xf numFmtId="0" fontId="11" fillId="0" borderId="11" xfId="0" applyFont="1" applyFill="1" applyBorder="1"/>
    <xf numFmtId="10" fontId="20" fillId="0" borderId="0" xfId="0" applyNumberFormat="1" applyFont="1" applyFill="1" applyBorder="1"/>
    <xf numFmtId="0" fontId="1" fillId="0" borderId="33" xfId="0" applyFont="1" applyFill="1" applyBorder="1"/>
    <xf numFmtId="0" fontId="1" fillId="0" borderId="7" xfId="0" applyFont="1" applyFill="1" applyBorder="1"/>
    <xf numFmtId="0" fontId="1" fillId="0" borderId="34" xfId="0" applyFont="1" applyFill="1" applyBorder="1"/>
    <xf numFmtId="164" fontId="20" fillId="0" borderId="0" xfId="0" applyNumberFormat="1" applyFont="1" applyFill="1" applyBorder="1"/>
    <xf numFmtId="0" fontId="21" fillId="0" borderId="30" xfId="0" applyFont="1" applyFill="1" applyBorder="1"/>
    <xf numFmtId="9" fontId="16" fillId="0" borderId="11" xfId="0" applyNumberFormat="1" applyFont="1" applyFill="1" applyBorder="1"/>
    <xf numFmtId="9" fontId="16" fillId="0" borderId="0" xfId="0" applyNumberFormat="1" applyFont="1" applyFill="1" applyBorder="1"/>
    <xf numFmtId="9" fontId="16" fillId="0" borderId="32" xfId="0" applyNumberFormat="1" applyFont="1" applyFill="1" applyBorder="1" applyAlignment="1">
      <alignment horizontal="right"/>
    </xf>
    <xf numFmtId="9" fontId="16" fillId="0" borderId="31" xfId="0" applyNumberFormat="1" applyFont="1" applyFill="1" applyBorder="1"/>
    <xf numFmtId="9" fontId="16" fillId="0" borderId="30" xfId="0" applyNumberFormat="1" applyFont="1" applyFill="1" applyBorder="1"/>
    <xf numFmtId="9" fontId="20" fillId="0" borderId="33" xfId="0" applyNumberFormat="1" applyFont="1" applyFill="1" applyBorder="1"/>
    <xf numFmtId="9" fontId="20" fillId="0" borderId="7" xfId="0" applyNumberFormat="1" applyFont="1" applyFill="1" applyBorder="1"/>
    <xf numFmtId="9" fontId="20" fillId="0" borderId="34" xfId="0" applyNumberFormat="1" applyFont="1" applyFill="1" applyBorder="1"/>
    <xf numFmtId="9" fontId="20" fillId="0" borderId="12" xfId="0" applyNumberFormat="1" applyFont="1" applyFill="1" applyBorder="1"/>
    <xf numFmtId="169" fontId="16" fillId="0" borderId="11" xfId="0" applyNumberFormat="1" applyFont="1" applyFill="1" applyBorder="1"/>
    <xf numFmtId="169" fontId="16" fillId="0" borderId="0" xfId="0" applyNumberFormat="1" applyFont="1" applyFill="1" applyBorder="1"/>
    <xf numFmtId="169" fontId="16" fillId="0" borderId="12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wrapText="1"/>
    </xf>
    <xf numFmtId="164" fontId="20" fillId="0" borderId="30" xfId="0" applyNumberFormat="1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right" wrapText="1"/>
    </xf>
    <xf numFmtId="0" fontId="11" fillId="0" borderId="35" xfId="0" applyFont="1" applyFill="1" applyBorder="1" applyAlignment="1"/>
    <xf numFmtId="0" fontId="11" fillId="0" borderId="36" xfId="0" applyFont="1" applyFill="1" applyBorder="1"/>
    <xf numFmtId="42" fontId="11" fillId="0" borderId="37" xfId="0" applyNumberFormat="1" applyFont="1" applyFill="1" applyBorder="1"/>
    <xf numFmtId="42" fontId="11" fillId="0" borderId="36" xfId="0" applyNumberFormat="1" applyFont="1" applyFill="1" applyBorder="1"/>
    <xf numFmtId="42" fontId="11" fillId="0" borderId="38" xfId="0" applyNumberFormat="1" applyFont="1" applyFill="1" applyBorder="1"/>
    <xf numFmtId="0" fontId="1" fillId="0" borderId="13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wrapText="1"/>
    </xf>
    <xf numFmtId="44" fontId="1" fillId="0" borderId="0" xfId="0" applyNumberFormat="1" applyFont="1" applyFill="1"/>
    <xf numFmtId="43" fontId="1" fillId="0" borderId="0" xfId="0" applyNumberFormat="1" applyFont="1" applyFill="1"/>
    <xf numFmtId="0" fontId="6" fillId="0" borderId="0" xfId="0" quotePrefix="1" applyFont="1" applyFill="1" applyAlignment="1">
      <alignment horizontal="center"/>
    </xf>
    <xf numFmtId="0" fontId="6" fillId="0" borderId="0" xfId="0" quotePrefix="1" applyFont="1" applyFill="1" applyAlignment="1">
      <alignment horizontal="center" wrapText="1"/>
    </xf>
    <xf numFmtId="0" fontId="6" fillId="0" borderId="0" xfId="0" quotePrefix="1" applyFont="1" applyFill="1" applyAlignment="1">
      <alignment horizontal="left"/>
    </xf>
    <xf numFmtId="41" fontId="6" fillId="0" borderId="0" xfId="0" applyNumberFormat="1" applyFont="1" applyFill="1"/>
    <xf numFmtId="165" fontId="6" fillId="0" borderId="0" xfId="0" applyNumberFormat="1" applyFont="1" applyFill="1"/>
    <xf numFmtId="170" fontId="6" fillId="0" borderId="0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17" fontId="1" fillId="0" borderId="6" xfId="0" quotePrefix="1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quotePrefix="1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1" fillId="0" borderId="0" xfId="0" applyFont="1" applyFill="1" applyAlignment="1">
      <alignment horizontal="left" indent="1"/>
    </xf>
    <xf numFmtId="164" fontId="1" fillId="0" borderId="2" xfId="0" applyNumberFormat="1" applyFont="1" applyFill="1" applyBorder="1"/>
    <xf numFmtId="165" fontId="1" fillId="0" borderId="2" xfId="0" applyNumberFormat="1" applyFont="1" applyFill="1" applyBorder="1"/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left" indent="1"/>
    </xf>
    <xf numFmtId="164" fontId="1" fillId="0" borderId="5" xfId="0" applyNumberFormat="1" applyFont="1" applyFill="1" applyBorder="1"/>
    <xf numFmtId="165" fontId="1" fillId="0" borderId="5" xfId="0" applyNumberFormat="1" applyFont="1" applyFill="1" applyBorder="1"/>
    <xf numFmtId="0" fontId="1" fillId="0" borderId="14" xfId="0" quotePrefix="1" applyFont="1" applyFill="1" applyBorder="1" applyAlignment="1">
      <alignment horizontal="center" wrapText="1"/>
    </xf>
    <xf numFmtId="169" fontId="1" fillId="0" borderId="0" xfId="0" applyNumberFormat="1" applyFont="1" applyFill="1" applyBorder="1"/>
    <xf numFmtId="167" fontId="1" fillId="0" borderId="12" xfId="0" applyNumberFormat="1" applyFont="1" applyFill="1" applyBorder="1" applyAlignment="1">
      <alignment horizontal="center"/>
    </xf>
    <xf numFmtId="16" fontId="1" fillId="0" borderId="0" xfId="0" applyNumberFormat="1" applyFont="1" applyFill="1" applyBorder="1"/>
    <xf numFmtId="166" fontId="1" fillId="0" borderId="12" xfId="0" applyNumberFormat="1" applyFont="1" applyFill="1" applyBorder="1" applyAlignment="1">
      <alignment horizontal="center"/>
    </xf>
    <xf numFmtId="165" fontId="1" fillId="0" borderId="12" xfId="0" applyNumberFormat="1" applyFont="1" applyFill="1" applyBorder="1"/>
    <xf numFmtId="0" fontId="18" fillId="0" borderId="22" xfId="0" applyFont="1" applyFill="1" applyBorder="1" applyAlignment="1">
      <alignment horizontal="centerContinuous"/>
    </xf>
    <xf numFmtId="0" fontId="18" fillId="0" borderId="23" xfId="0" applyFont="1" applyFill="1" applyBorder="1" applyAlignment="1">
      <alignment horizontal="centerContinuous"/>
    </xf>
    <xf numFmtId="0" fontId="18" fillId="0" borderId="24" xfId="0" applyFont="1" applyFill="1" applyBorder="1" applyAlignment="1">
      <alignment horizontal="centerContinuous"/>
    </xf>
    <xf numFmtId="0" fontId="18" fillId="0" borderId="8" xfId="0" applyFont="1" applyFill="1" applyBorder="1" applyAlignment="1">
      <alignment horizontal="centerContinuous"/>
    </xf>
    <xf numFmtId="0" fontId="18" fillId="0" borderId="9" xfId="0" applyFont="1" applyFill="1" applyBorder="1" applyAlignment="1">
      <alignment horizontal="centerContinuous"/>
    </xf>
    <xf numFmtId="0" fontId="18" fillId="0" borderId="10" xfId="0" applyFont="1" applyFill="1" applyBorder="1" applyAlignment="1">
      <alignment horizontal="centerContinuous"/>
    </xf>
    <xf numFmtId="10" fontId="1" fillId="0" borderId="0" xfId="0" applyNumberFormat="1" applyFont="1" applyFill="1"/>
    <xf numFmtId="44" fontId="1" fillId="0" borderId="5" xfId="0" applyNumberFormat="1" applyFont="1" applyFill="1" applyBorder="1"/>
    <xf numFmtId="10" fontId="1" fillId="0" borderId="5" xfId="0" applyNumberFormat="1" applyFont="1" applyFill="1" applyBorder="1"/>
    <xf numFmtId="0" fontId="1" fillId="0" borderId="6" xfId="0" quotePrefix="1" applyFont="1" applyFill="1" applyBorder="1" applyAlignment="1">
      <alignment horizontal="left"/>
    </xf>
    <xf numFmtId="0" fontId="1" fillId="0" borderId="6" xfId="0" applyFont="1" applyFill="1" applyBorder="1"/>
    <xf numFmtId="0" fontId="1" fillId="0" borderId="3" xfId="0" quotePrefix="1" applyFont="1" applyFill="1" applyBorder="1" applyAlignment="1">
      <alignment horizontal="center" wrapText="1"/>
    </xf>
    <xf numFmtId="0" fontId="1" fillId="0" borderId="18" xfId="0" quotePrefix="1" applyFont="1" applyFill="1" applyBorder="1" applyAlignment="1">
      <alignment horizontal="center" wrapText="1"/>
    </xf>
    <xf numFmtId="0" fontId="1" fillId="0" borderId="15" xfId="0" quotePrefix="1" applyFont="1" applyFill="1" applyBorder="1" applyAlignment="1">
      <alignment horizontal="center" wrapText="1"/>
    </xf>
    <xf numFmtId="0" fontId="1" fillId="0" borderId="40" xfId="0" quotePrefix="1" applyFont="1" applyFill="1" applyBorder="1" applyAlignment="1">
      <alignment horizontal="center" wrapText="1"/>
    </xf>
    <xf numFmtId="167" fontId="1" fillId="0" borderId="15" xfId="0" applyNumberFormat="1" applyFont="1" applyFill="1" applyBorder="1"/>
    <xf numFmtId="167" fontId="1" fillId="0" borderId="40" xfId="0" applyNumberFormat="1" applyFont="1" applyFill="1" applyBorder="1"/>
    <xf numFmtId="167" fontId="1" fillId="0" borderId="16" xfId="0" applyNumberFormat="1" applyFont="1" applyFill="1" applyBorder="1"/>
    <xf numFmtId="167" fontId="1" fillId="0" borderId="17" xfId="0" applyNumberFormat="1" applyFont="1" applyFill="1" applyBorder="1"/>
    <xf numFmtId="167" fontId="1" fillId="0" borderId="26" xfId="0" applyNumberFormat="1" applyFont="1" applyFill="1" applyBorder="1"/>
    <xf numFmtId="167" fontId="1" fillId="0" borderId="41" xfId="0" applyNumberFormat="1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167" fontId="1" fillId="0" borderId="16" xfId="0" quotePrefix="1" applyNumberFormat="1" applyFont="1" applyFill="1" applyBorder="1" applyAlignment="1"/>
    <xf numFmtId="167" fontId="1" fillId="0" borderId="17" xfId="0" quotePrefix="1" applyNumberFormat="1" applyFont="1" applyFill="1" applyBorder="1" applyAlignment="1"/>
    <xf numFmtId="167" fontId="1" fillId="0" borderId="26" xfId="0" quotePrefix="1" applyNumberFormat="1" applyFont="1" applyFill="1" applyBorder="1" applyAlignment="1"/>
    <xf numFmtId="167" fontId="1" fillId="0" borderId="19" xfId="0" applyNumberFormat="1" applyFont="1" applyFill="1" applyBorder="1"/>
    <xf numFmtId="167" fontId="1" fillId="0" borderId="27" xfId="0" applyNumberFormat="1" applyFont="1" applyFill="1" applyBorder="1"/>
    <xf numFmtId="44" fontId="8" fillId="0" borderId="0" xfId="0" applyNumberFormat="1" applyFont="1" applyFill="1"/>
    <xf numFmtId="0" fontId="11" fillId="0" borderId="25" xfId="0" applyFont="1" applyFill="1" applyBorder="1" applyAlignment="1">
      <alignment horizontal="center"/>
    </xf>
    <xf numFmtId="169" fontId="11" fillId="0" borderId="44" xfId="0" applyNumberFormat="1" applyFont="1" applyFill="1" applyBorder="1" applyAlignment="1">
      <alignment horizontal="center"/>
    </xf>
    <xf numFmtId="169" fontId="8" fillId="0" borderId="0" xfId="0" applyNumberFormat="1" applyFont="1" applyFill="1"/>
    <xf numFmtId="165" fontId="8" fillId="0" borderId="0" xfId="0" applyNumberFormat="1" applyFont="1" applyFill="1"/>
    <xf numFmtId="0" fontId="8" fillId="0" borderId="0" xfId="0" applyFont="1" applyFill="1" applyAlignment="1">
      <alignment horizontal="center"/>
    </xf>
    <xf numFmtId="168" fontId="8" fillId="0" borderId="0" xfId="0" applyNumberFormat="1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42" xfId="0" quotePrefix="1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43" xfId="0" quotePrefix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left" indent="3"/>
    </xf>
    <xf numFmtId="0" fontId="1" fillId="0" borderId="6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2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" fillId="0" borderId="4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</cellXfs>
  <cellStyles count="1">
    <cellStyle name="Normal" xfId="0" builtinId="0"/>
  </cellStyles>
  <dxfs count="1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205740</xdr:colOff>
      <xdr:row>1</xdr:row>
      <xdr:rowOff>152400</xdr:rowOff>
    </xdr:from>
    <xdr:to>
      <xdr:col>25</xdr:col>
      <xdr:colOff>305337</xdr:colOff>
      <xdr:row>32</xdr:row>
      <xdr:rowOff>122470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3940" y="335280"/>
          <a:ext cx="6195597" cy="6340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</xdr:rowOff>
    </xdr:from>
    <xdr:to>
      <xdr:col>5</xdr:col>
      <xdr:colOff>219075</xdr:colOff>
      <xdr:row>80</xdr:row>
      <xdr:rowOff>81980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59241"/>
          <a:ext cx="5682615" cy="5751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51480</xdr:colOff>
      <xdr:row>1</xdr:row>
      <xdr:rowOff>134999</xdr:rowOff>
    </xdr:from>
    <xdr:ext cx="4690371" cy="1094274"/>
    <xdr:sp macro="" textlink="">
      <xdr:nvSpPr>
        <xdr:cNvPr id="2" name="Rectangle 1"/>
        <xdr:cNvSpPr/>
      </xdr:nvSpPr>
      <xdr:spPr>
        <a:xfrm rot="21148150">
          <a:off x="51480" y="302639"/>
          <a:ext cx="4690371" cy="10942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Schedule 95a Rates </a:t>
          </a:r>
        </a:p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effective</a:t>
          </a:r>
          <a:r>
            <a:rPr lang="en-U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5-1-18</a:t>
          </a:r>
          <a:endParaRPr lang="en-U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15"/>
  <sheetViews>
    <sheetView tabSelected="1" zoomScaleNormal="100" workbookViewId="0">
      <selection sqref="A1:XFD1048576"/>
    </sheetView>
  </sheetViews>
  <sheetFormatPr defaultColWidth="9.140625" defaultRowHeight="27.75" x14ac:dyDescent="0.4"/>
  <cols>
    <col min="1" max="1" width="97.28515625" style="2" bestFit="1" customWidth="1"/>
    <col min="2" max="16384" width="9.140625" style="75"/>
  </cols>
  <sheetData>
    <row r="1" spans="1:1" x14ac:dyDescent="0.4">
      <c r="A1" s="2" t="s">
        <v>13</v>
      </c>
    </row>
    <row r="2" spans="1:1" x14ac:dyDescent="0.4">
      <c r="A2" s="3"/>
    </row>
    <row r="3" spans="1:1" x14ac:dyDescent="0.4">
      <c r="A3" s="3"/>
    </row>
    <row r="4" spans="1:1" x14ac:dyDescent="0.4">
      <c r="A4" s="3" t="s">
        <v>274</v>
      </c>
    </row>
    <row r="5" spans="1:1" x14ac:dyDescent="0.4">
      <c r="A5" s="2" t="s">
        <v>82</v>
      </c>
    </row>
    <row r="6" spans="1:1" x14ac:dyDescent="0.4">
      <c r="A6" s="6" t="s">
        <v>500</v>
      </c>
    </row>
    <row r="8" spans="1:1" x14ac:dyDescent="0.4">
      <c r="A8" s="3" t="s">
        <v>69</v>
      </c>
    </row>
    <row r="9" spans="1:1" x14ac:dyDescent="0.4">
      <c r="A9" s="2" t="s">
        <v>68</v>
      </c>
    </row>
    <row r="11" spans="1:1" x14ac:dyDescent="0.4">
      <c r="A11" s="3" t="s">
        <v>81</v>
      </c>
    </row>
    <row r="12" spans="1:1" x14ac:dyDescent="0.4">
      <c r="A12" s="3"/>
    </row>
    <row r="13" spans="1:1" x14ac:dyDescent="0.4">
      <c r="A13" s="3"/>
    </row>
    <row r="14" spans="1:1" x14ac:dyDescent="0.4">
      <c r="A14" s="3"/>
    </row>
    <row r="15" spans="1:1" x14ac:dyDescent="0.4">
      <c r="A15" s="3"/>
    </row>
  </sheetData>
  <phoneticPr fontId="2" type="noConversion"/>
  <printOptions horizontalCentered="1"/>
  <pageMargins left="0.7" right="0.7" top="0.75" bottom="0.75" header="0.3" footer="0.3"/>
  <pageSetup fitToHeight="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workbookViewId="0">
      <selection activeCell="A4" sqref="A1:XFD1048576"/>
    </sheetView>
  </sheetViews>
  <sheetFormatPr defaultColWidth="8.85546875" defaultRowHeight="15" x14ac:dyDescent="0.25"/>
  <cols>
    <col min="1" max="1" width="17.42578125" style="204" bestFit="1" customWidth="1"/>
    <col min="2" max="2" width="10.5703125" style="204" bestFit="1" customWidth="1"/>
    <col min="3" max="3" width="17.42578125" style="204" bestFit="1" customWidth="1"/>
    <col min="4" max="4" width="10" style="204" bestFit="1" customWidth="1"/>
    <col min="5" max="7" width="8.5703125" style="204" bestFit="1" customWidth="1"/>
    <col min="8" max="8" width="6.5703125" style="204" bestFit="1" customWidth="1"/>
    <col min="9" max="9" width="8.5703125" style="204" bestFit="1" customWidth="1"/>
    <col min="10" max="10" width="6.5703125" style="204" bestFit="1" customWidth="1"/>
    <col min="11" max="11" width="8.5703125" style="204" bestFit="1" customWidth="1"/>
    <col min="12" max="12" width="7.5703125" style="204" bestFit="1" customWidth="1"/>
    <col min="13" max="13" width="8.5703125" style="204" bestFit="1" customWidth="1"/>
    <col min="14" max="15" width="7.5703125" style="204" bestFit="1" customWidth="1"/>
    <col min="16" max="16" width="6.5703125" style="204" bestFit="1" customWidth="1"/>
    <col min="17" max="17" width="7.5703125" style="204" bestFit="1" customWidth="1"/>
    <col min="18" max="18" width="6.5703125" style="204" bestFit="1" customWidth="1"/>
    <col min="19" max="19" width="10" style="204" bestFit="1" customWidth="1"/>
    <col min="20" max="20" width="6.5703125" style="204" bestFit="1" customWidth="1"/>
    <col min="21" max="21" width="7.5703125" style="204" bestFit="1" customWidth="1"/>
    <col min="22" max="22" width="10" style="204" bestFit="1" customWidth="1"/>
    <col min="23" max="16384" width="8.85546875" style="204"/>
  </cols>
  <sheetData>
    <row r="1" spans="1:22" x14ac:dyDescent="0.25">
      <c r="A1" s="204" t="s">
        <v>316</v>
      </c>
      <c r="B1" s="371" t="s">
        <v>317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</row>
    <row r="2" spans="1:22" x14ac:dyDescent="0.25">
      <c r="A2" s="204" t="s">
        <v>318</v>
      </c>
    </row>
    <row r="4" spans="1:22" x14ac:dyDescent="0.25">
      <c r="A4" s="204" t="s">
        <v>319</v>
      </c>
      <c r="B4" s="204" t="s">
        <v>163</v>
      </c>
      <c r="C4" s="204" t="s">
        <v>320</v>
      </c>
      <c r="D4" s="204" t="s">
        <v>321</v>
      </c>
      <c r="E4" s="204" t="s">
        <v>322</v>
      </c>
      <c r="F4" s="204" t="s">
        <v>323</v>
      </c>
      <c r="G4" s="204" t="s">
        <v>324</v>
      </c>
      <c r="H4" s="204" t="s">
        <v>325</v>
      </c>
      <c r="I4" s="204" t="s">
        <v>326</v>
      </c>
      <c r="J4" s="204" t="s">
        <v>327</v>
      </c>
      <c r="K4" s="204" t="s">
        <v>328</v>
      </c>
      <c r="L4" s="204" t="s">
        <v>329</v>
      </c>
      <c r="M4" s="204" t="s">
        <v>330</v>
      </c>
      <c r="N4" s="204" t="s">
        <v>331</v>
      </c>
      <c r="O4" s="204" t="s">
        <v>332</v>
      </c>
      <c r="P4" s="204" t="s">
        <v>333</v>
      </c>
      <c r="Q4" s="204" t="s">
        <v>334</v>
      </c>
      <c r="R4" s="204" t="s">
        <v>335</v>
      </c>
      <c r="S4" s="204" t="s">
        <v>336</v>
      </c>
      <c r="T4" s="204" t="s">
        <v>337</v>
      </c>
      <c r="U4" s="204" t="s">
        <v>338</v>
      </c>
      <c r="V4" s="204" t="s">
        <v>339</v>
      </c>
    </row>
    <row r="5" spans="1:22" x14ac:dyDescent="0.25">
      <c r="A5" s="204" t="s">
        <v>340</v>
      </c>
      <c r="B5" s="216">
        <v>42303</v>
      </c>
      <c r="C5" s="204" t="s">
        <v>341</v>
      </c>
      <c r="D5" s="204" t="s">
        <v>342</v>
      </c>
      <c r="E5" s="217">
        <v>269594.21353494999</v>
      </c>
      <c r="F5" s="217">
        <v>358966.41095898498</v>
      </c>
      <c r="G5" s="217">
        <v>247781.948880738</v>
      </c>
      <c r="H5" s="217">
        <v>337.55674279833602</v>
      </c>
      <c r="I5" s="217">
        <v>152506.06420517599</v>
      </c>
      <c r="J5" s="217">
        <v>3.7310332199902598</v>
      </c>
      <c r="K5" s="217">
        <v>83063.264875620094</v>
      </c>
      <c r="L5" s="217">
        <v>10150.847140931501</v>
      </c>
      <c r="M5" s="217">
        <v>207332.847208947</v>
      </c>
      <c r="N5" s="217">
        <v>12065.960039432999</v>
      </c>
      <c r="O5" s="217">
        <v>34717.533081064001</v>
      </c>
      <c r="P5" s="217">
        <v>8601.4517544612299</v>
      </c>
      <c r="Q5" s="217">
        <v>71685.071738800994</v>
      </c>
      <c r="R5" s="217">
        <v>755.732861913683</v>
      </c>
      <c r="S5" s="217">
        <v>1781802.5974067501</v>
      </c>
      <c r="T5" s="217">
        <v>1348.69658216928</v>
      </c>
      <c r="U5" s="217">
        <v>14402.4122834851</v>
      </c>
      <c r="V5" s="217">
        <v>3001000</v>
      </c>
    </row>
    <row r="6" spans="1:22" x14ac:dyDescent="0.25">
      <c r="A6" s="204" t="s">
        <v>343</v>
      </c>
      <c r="B6" s="216">
        <v>42338</v>
      </c>
      <c r="C6" s="204" t="s">
        <v>344</v>
      </c>
      <c r="D6" s="204" t="s">
        <v>342</v>
      </c>
      <c r="E6" s="217">
        <v>545055.83159289602</v>
      </c>
      <c r="F6" s="217">
        <v>557407.83056049398</v>
      </c>
      <c r="G6" s="217">
        <v>308148.99328739801</v>
      </c>
      <c r="H6" s="217">
        <v>241.78159205100701</v>
      </c>
      <c r="I6" s="217">
        <v>204895.16237578599</v>
      </c>
      <c r="J6" s="217">
        <v>3.1091943499918799</v>
      </c>
      <c r="K6" s="217">
        <v>106853.910508733</v>
      </c>
      <c r="L6" s="217">
        <v>66844.398020481996</v>
      </c>
      <c r="M6" s="217">
        <v>198919.95289764099</v>
      </c>
      <c r="N6" s="217">
        <v>11781.843695158001</v>
      </c>
      <c r="O6" s="217">
        <v>34849.204472164798</v>
      </c>
      <c r="P6" s="217">
        <v>7611.9951932417398</v>
      </c>
      <c r="Q6" s="217">
        <v>71519.466384241707</v>
      </c>
      <c r="R6" s="217">
        <v>1600.3440283515699</v>
      </c>
      <c r="S6" s="217">
        <v>2274067.7347942698</v>
      </c>
      <c r="T6" s="217">
        <v>728.29644568999004</v>
      </c>
      <c r="U6" s="217">
        <v>8021.1460220153604</v>
      </c>
      <c r="V6" s="217">
        <v>4153000</v>
      </c>
    </row>
    <row r="7" spans="1:22" x14ac:dyDescent="0.25">
      <c r="A7" s="204" t="s">
        <v>345</v>
      </c>
      <c r="B7" s="216">
        <v>42368</v>
      </c>
      <c r="C7" s="204" t="s">
        <v>341</v>
      </c>
      <c r="D7" s="204" t="s">
        <v>342</v>
      </c>
      <c r="E7" s="217">
        <v>445598.961896608</v>
      </c>
      <c r="F7" s="217">
        <v>389863.24558770802</v>
      </c>
      <c r="G7" s="217">
        <v>235322.261152864</v>
      </c>
      <c r="H7" s="217">
        <v>501.63874625004399</v>
      </c>
      <c r="I7" s="217">
        <v>158704.759102721</v>
      </c>
      <c r="J7" s="217">
        <v>4.3528720899886402</v>
      </c>
      <c r="K7" s="217">
        <v>84245.945845808194</v>
      </c>
      <c r="L7" s="217">
        <v>19399.907031096602</v>
      </c>
      <c r="M7" s="217">
        <v>186230.45853216801</v>
      </c>
      <c r="N7" s="217">
        <v>12384.15873193</v>
      </c>
      <c r="O7" s="217">
        <v>35843.1170073998</v>
      </c>
      <c r="P7" s="217">
        <v>2603.55338488291</v>
      </c>
      <c r="Q7" s="217">
        <v>64841.315952711702</v>
      </c>
      <c r="R7" s="217">
        <v>1702.5493946302199</v>
      </c>
      <c r="S7" s="217">
        <v>2625416.1886497098</v>
      </c>
      <c r="T7" s="217">
        <v>1618.43654597776</v>
      </c>
      <c r="U7" s="217">
        <v>17176.883836939502</v>
      </c>
      <c r="V7" s="217">
        <v>4047000</v>
      </c>
    </row>
    <row r="8" spans="1:22" x14ac:dyDescent="0.25">
      <c r="A8" s="204" t="s">
        <v>346</v>
      </c>
      <c r="B8" s="216">
        <v>42372</v>
      </c>
      <c r="C8" s="204" t="s">
        <v>347</v>
      </c>
      <c r="D8" s="204" t="s">
        <v>342</v>
      </c>
      <c r="E8" s="217">
        <v>396604.63888535497</v>
      </c>
      <c r="F8" s="217">
        <v>331882.39346885798</v>
      </c>
      <c r="G8" s="217">
        <v>174144.22687904199</v>
      </c>
      <c r="H8" s="217">
        <v>312.22506393903302</v>
      </c>
      <c r="I8" s="217">
        <v>134424.07412209001</v>
      </c>
      <c r="J8" s="217">
        <v>4.3528720899886402</v>
      </c>
      <c r="K8" s="217">
        <v>78254.180986737294</v>
      </c>
      <c r="L8" s="217">
        <v>21975.509949114999</v>
      </c>
      <c r="M8" s="217">
        <v>185740.98563272099</v>
      </c>
      <c r="N8" s="217">
        <v>11367.5777814024</v>
      </c>
      <c r="O8" s="217">
        <v>33095.837064884698</v>
      </c>
      <c r="P8" s="217">
        <v>3716.3051916732902</v>
      </c>
      <c r="Q8" s="217">
        <v>62627.0593801129</v>
      </c>
      <c r="R8" s="217">
        <v>1386.67293838253</v>
      </c>
      <c r="S8" s="217">
        <v>2876873.0398796899</v>
      </c>
      <c r="T8" s="217">
        <v>1618.43654597776</v>
      </c>
      <c r="U8" s="217">
        <v>17176.883836939502</v>
      </c>
      <c r="V8" s="217">
        <v>4101000</v>
      </c>
    </row>
    <row r="9" spans="1:22" x14ac:dyDescent="0.25">
      <c r="A9" s="204" t="s">
        <v>348</v>
      </c>
      <c r="B9" s="216">
        <v>42402</v>
      </c>
      <c r="C9" s="204" t="s">
        <v>344</v>
      </c>
      <c r="D9" s="204" t="s">
        <v>342</v>
      </c>
      <c r="E9" s="217">
        <v>547930.00564791902</v>
      </c>
      <c r="F9" s="217">
        <v>523734.24516802299</v>
      </c>
      <c r="G9" s="217">
        <v>307105.20425422798</v>
      </c>
      <c r="H9" s="217">
        <v>377.59909453222599</v>
      </c>
      <c r="I9" s="217">
        <v>204220.428146791</v>
      </c>
      <c r="J9" s="217">
        <v>4.3528720899886402</v>
      </c>
      <c r="K9" s="217">
        <v>93812.246584670298</v>
      </c>
      <c r="L9" s="217">
        <v>54084.724665494701</v>
      </c>
      <c r="M9" s="217">
        <v>213930.65863653901</v>
      </c>
      <c r="N9" s="217">
        <v>14124.3493068477</v>
      </c>
      <c r="O9" s="217">
        <v>34774.4591413136</v>
      </c>
      <c r="P9" s="217">
        <v>8132.1724594795596</v>
      </c>
      <c r="Q9" s="217">
        <v>69730.979447857797</v>
      </c>
      <c r="R9" s="217">
        <v>1432.2987015999399</v>
      </c>
      <c r="S9" s="217">
        <v>1830686.3004896101</v>
      </c>
      <c r="T9" s="217">
        <v>728.29644568999004</v>
      </c>
      <c r="U9" s="217">
        <v>8021.1460220153604</v>
      </c>
      <c r="V9" s="217">
        <v>3650000</v>
      </c>
    </row>
    <row r="10" spans="1:22" x14ac:dyDescent="0.25">
      <c r="A10" s="204" t="s">
        <v>349</v>
      </c>
      <c r="B10" s="216">
        <v>42446</v>
      </c>
      <c r="C10" s="204" t="s">
        <v>344</v>
      </c>
      <c r="D10" s="204" t="s">
        <v>342</v>
      </c>
      <c r="E10" s="217">
        <v>501571.09506495902</v>
      </c>
      <c r="F10" s="217">
        <v>530690.37935532106</v>
      </c>
      <c r="G10" s="217">
        <v>301517.97457367298</v>
      </c>
      <c r="H10" s="217">
        <v>372.46373352324002</v>
      </c>
      <c r="I10" s="217">
        <v>199897.663898595</v>
      </c>
      <c r="J10" s="217">
        <v>4.3528720899886402</v>
      </c>
      <c r="K10" s="217">
        <v>98389.134243628898</v>
      </c>
      <c r="L10" s="217">
        <v>50196.899746374103</v>
      </c>
      <c r="M10" s="217">
        <v>208005.114448451</v>
      </c>
      <c r="N10" s="217">
        <v>12971.044947845699</v>
      </c>
      <c r="O10" s="217">
        <v>35403.188508197403</v>
      </c>
      <c r="P10" s="217">
        <v>5822.5039606296396</v>
      </c>
      <c r="Q10" s="217">
        <v>72083.746018295598</v>
      </c>
      <c r="R10" s="217">
        <v>1266.7805129915</v>
      </c>
      <c r="S10" s="217">
        <v>1849308.29224446</v>
      </c>
      <c r="T10" s="217">
        <v>296.71336622310997</v>
      </c>
      <c r="U10" s="217">
        <v>3582.0004092304598</v>
      </c>
      <c r="V10" s="217">
        <v>3615000</v>
      </c>
    </row>
    <row r="11" spans="1:22" x14ac:dyDescent="0.25">
      <c r="A11" s="204" t="s">
        <v>350</v>
      </c>
      <c r="B11" s="216">
        <v>42474</v>
      </c>
      <c r="C11" s="204" t="s">
        <v>344</v>
      </c>
      <c r="D11" s="204" t="s">
        <v>342</v>
      </c>
      <c r="E11" s="217">
        <v>386330.00695932203</v>
      </c>
      <c r="F11" s="217">
        <v>424520.82594963902</v>
      </c>
      <c r="G11" s="217">
        <v>283989.14357926801</v>
      </c>
      <c r="H11" s="217">
        <v>659.28602668981705</v>
      </c>
      <c r="I11" s="217">
        <v>185343.74341258299</v>
      </c>
      <c r="J11" s="217">
        <v>767.34916557799704</v>
      </c>
      <c r="K11" s="217">
        <v>82421.819151721895</v>
      </c>
      <c r="L11" s="217">
        <v>36934.395551740301</v>
      </c>
      <c r="M11" s="217">
        <v>215135.965811231</v>
      </c>
      <c r="N11" s="217">
        <v>13064.5718054553</v>
      </c>
      <c r="O11" s="217">
        <v>38411.380407757897</v>
      </c>
      <c r="P11" s="217">
        <v>7417.9517676248097</v>
      </c>
      <c r="Q11" s="217">
        <v>70614.723719784903</v>
      </c>
      <c r="R11" s="217">
        <v>861.31107767387095</v>
      </c>
      <c r="S11" s="217">
        <v>1434609.35582857</v>
      </c>
      <c r="T11" s="217">
        <v>0</v>
      </c>
      <c r="U11" s="217">
        <v>530.08780980466202</v>
      </c>
      <c r="V11" s="217">
        <v>2915000</v>
      </c>
    </row>
    <row r="12" spans="1:22" x14ac:dyDescent="0.25">
      <c r="A12" s="204" t="s">
        <v>351</v>
      </c>
      <c r="B12" s="216">
        <v>42492</v>
      </c>
      <c r="C12" s="204" t="s">
        <v>347</v>
      </c>
      <c r="D12" s="204" t="s">
        <v>342</v>
      </c>
      <c r="E12" s="217">
        <v>377578.67515887</v>
      </c>
      <c r="F12" s="217">
        <v>457477.53979317303</v>
      </c>
      <c r="G12" s="217">
        <v>319009.72028940998</v>
      </c>
      <c r="H12" s="217">
        <v>1939.68579244088</v>
      </c>
      <c r="I12" s="217">
        <v>190050.69765538399</v>
      </c>
      <c r="J12" s="217">
        <v>1019.81574679734</v>
      </c>
      <c r="K12" s="217">
        <v>109255.503536716</v>
      </c>
      <c r="L12" s="217">
        <v>12629.0970206768</v>
      </c>
      <c r="M12" s="217">
        <v>213076.10577995499</v>
      </c>
      <c r="N12" s="217">
        <v>14125.3861899698</v>
      </c>
      <c r="O12" s="217">
        <v>30918.844977337299</v>
      </c>
      <c r="P12" s="217">
        <v>4669.2679075021197</v>
      </c>
      <c r="Q12" s="217">
        <v>72305.995121971297</v>
      </c>
      <c r="R12" s="217">
        <v>441.97670172863599</v>
      </c>
      <c r="S12" s="217">
        <v>1262091.9374655299</v>
      </c>
      <c r="T12" s="217">
        <v>0</v>
      </c>
      <c r="U12" s="217">
        <v>530.08780980466202</v>
      </c>
      <c r="V12" s="217">
        <v>2809000</v>
      </c>
    </row>
    <row r="13" spans="1:22" x14ac:dyDescent="0.25">
      <c r="A13" s="204" t="s">
        <v>352</v>
      </c>
      <c r="B13" s="216">
        <v>42527</v>
      </c>
      <c r="C13" s="204" t="s">
        <v>347</v>
      </c>
      <c r="D13" s="204" t="s">
        <v>342</v>
      </c>
      <c r="E13" s="217">
        <v>406273.41822728398</v>
      </c>
      <c r="F13" s="217">
        <v>449594.49990199698</v>
      </c>
      <c r="G13" s="217">
        <v>307132.86554861203</v>
      </c>
      <c r="H13" s="217">
        <v>4062.7693738906601</v>
      </c>
      <c r="I13" s="217">
        <v>175818.990390358</v>
      </c>
      <c r="J13" s="217">
        <v>1018.5720690573399</v>
      </c>
      <c r="K13" s="217">
        <v>106745.57465383501</v>
      </c>
      <c r="L13" s="217">
        <v>12830.925607670801</v>
      </c>
      <c r="M13" s="217">
        <v>207312.70177906199</v>
      </c>
      <c r="N13" s="217">
        <v>14024.4145115438</v>
      </c>
      <c r="O13" s="217">
        <v>31830.302702773599</v>
      </c>
      <c r="P13" s="217">
        <v>6025.4036332451396</v>
      </c>
      <c r="Q13" s="217">
        <v>73832.1599195905</v>
      </c>
      <c r="R13" s="217">
        <v>407.73241992651299</v>
      </c>
      <c r="S13" s="217">
        <v>1593727.00044473</v>
      </c>
      <c r="T13" s="217">
        <v>0</v>
      </c>
      <c r="U13" s="217">
        <v>530.08780980466202</v>
      </c>
      <c r="V13" s="217">
        <v>3138000</v>
      </c>
    </row>
    <row r="14" spans="1:22" x14ac:dyDescent="0.25">
      <c r="A14" s="204" t="s">
        <v>353</v>
      </c>
      <c r="B14" s="216">
        <v>42579</v>
      </c>
      <c r="C14" s="204" t="s">
        <v>347</v>
      </c>
      <c r="D14" s="204" t="s">
        <v>342</v>
      </c>
      <c r="E14" s="217">
        <v>454470.386174844</v>
      </c>
      <c r="F14" s="217">
        <v>480956.40285393398</v>
      </c>
      <c r="G14" s="217">
        <v>326786.86328616802</v>
      </c>
      <c r="H14" s="217">
        <v>7465.3752149258698</v>
      </c>
      <c r="I14" s="217">
        <v>190891.673105325</v>
      </c>
      <c r="J14" s="217">
        <v>1507.9592597460601</v>
      </c>
      <c r="K14" s="217">
        <v>111974.925856124</v>
      </c>
      <c r="L14" s="217">
        <v>8940.2811742207905</v>
      </c>
      <c r="M14" s="217">
        <v>210041.349384681</v>
      </c>
      <c r="N14" s="217">
        <v>13644.6145927654</v>
      </c>
      <c r="O14" s="217">
        <v>30761.370224640399</v>
      </c>
      <c r="P14" s="217">
        <v>7143.8356536276997</v>
      </c>
      <c r="Q14" s="217">
        <v>72873.779238113406</v>
      </c>
      <c r="R14" s="217">
        <v>367.52284413699499</v>
      </c>
      <c r="S14" s="217">
        <v>1499090.90752903</v>
      </c>
      <c r="T14" s="217">
        <v>0</v>
      </c>
      <c r="U14" s="217">
        <v>530.08780980466202</v>
      </c>
      <c r="V14" s="217">
        <v>3163000</v>
      </c>
    </row>
    <row r="15" spans="1:22" x14ac:dyDescent="0.25">
      <c r="A15" s="204" t="s">
        <v>354</v>
      </c>
      <c r="B15" s="216">
        <v>42601</v>
      </c>
      <c r="C15" s="204" t="s">
        <v>355</v>
      </c>
      <c r="D15" s="204" t="s">
        <v>342</v>
      </c>
      <c r="E15" s="217">
        <v>501029.61135854898</v>
      </c>
      <c r="F15" s="217">
        <v>484831.51350807602</v>
      </c>
      <c r="G15" s="217">
        <v>292058.68650197098</v>
      </c>
      <c r="H15" s="217">
        <v>5379.4165498502898</v>
      </c>
      <c r="I15" s="217">
        <v>184534.05463799101</v>
      </c>
      <c r="J15" s="217">
        <v>1244.9214177367501</v>
      </c>
      <c r="K15" s="217">
        <v>105501.028224241</v>
      </c>
      <c r="L15" s="217">
        <v>11364.8833281564</v>
      </c>
      <c r="M15" s="217">
        <v>229278.077939382</v>
      </c>
      <c r="N15" s="217">
        <v>12896.233830589301</v>
      </c>
      <c r="O15" s="217">
        <v>29527.497614460201</v>
      </c>
      <c r="P15" s="217">
        <v>8713.9260913430608</v>
      </c>
      <c r="Q15" s="217">
        <v>76953.143978043605</v>
      </c>
      <c r="R15" s="217">
        <v>397.748664299072</v>
      </c>
      <c r="S15" s="217">
        <v>1593460.97792994</v>
      </c>
      <c r="T15" s="217">
        <v>0</v>
      </c>
      <c r="U15" s="217">
        <v>530.08780980466202</v>
      </c>
      <c r="V15" s="217">
        <v>3266000</v>
      </c>
    </row>
    <row r="16" spans="1:22" x14ac:dyDescent="0.25">
      <c r="A16" s="204" t="s">
        <v>356</v>
      </c>
      <c r="B16" s="216">
        <v>42639</v>
      </c>
      <c r="C16" s="204" t="s">
        <v>357</v>
      </c>
      <c r="D16" s="204" t="s">
        <v>342</v>
      </c>
      <c r="E16" s="217">
        <v>314967.074393071</v>
      </c>
      <c r="F16" s="217">
        <v>378513.345300621</v>
      </c>
      <c r="G16" s="217">
        <v>257769.13237565701</v>
      </c>
      <c r="H16" s="217">
        <v>1793.1647306080399</v>
      </c>
      <c r="I16" s="217">
        <v>168723.97389862</v>
      </c>
      <c r="J16" s="217">
        <v>996.185869737399</v>
      </c>
      <c r="K16" s="217">
        <v>83798.588694497696</v>
      </c>
      <c r="L16" s="217">
        <v>9800.6414975790103</v>
      </c>
      <c r="M16" s="217">
        <v>193700.44498026301</v>
      </c>
      <c r="N16" s="217">
        <v>10935.1871506733</v>
      </c>
      <c r="O16" s="217">
        <v>36899.407160556999</v>
      </c>
      <c r="P16" s="217">
        <v>9496.0344972592593</v>
      </c>
      <c r="Q16" s="217">
        <v>62129.652959301398</v>
      </c>
      <c r="R16" s="217">
        <v>478.78348080846899</v>
      </c>
      <c r="S16" s="217">
        <v>1400869.05180793</v>
      </c>
      <c r="T16" s="217">
        <v>1429.6184094681701</v>
      </c>
      <c r="U16" s="217">
        <v>15234.752084841801</v>
      </c>
      <c r="V16" s="217">
        <v>2706000</v>
      </c>
    </row>
    <row r="18" spans="1:22" x14ac:dyDescent="0.25">
      <c r="E18" s="204" t="s">
        <v>322</v>
      </c>
      <c r="F18" s="204" t="s">
        <v>323</v>
      </c>
      <c r="G18" s="204" t="s">
        <v>324</v>
      </c>
      <c r="H18" s="204" t="s">
        <v>325</v>
      </c>
      <c r="I18" s="204" t="s">
        <v>326</v>
      </c>
      <c r="J18" s="204" t="s">
        <v>327</v>
      </c>
      <c r="K18" s="204" t="s">
        <v>328</v>
      </c>
      <c r="L18" s="204" t="s">
        <v>329</v>
      </c>
      <c r="M18" s="204" t="s">
        <v>330</v>
      </c>
      <c r="N18" s="204" t="s">
        <v>331</v>
      </c>
      <c r="O18" s="204" t="s">
        <v>332</v>
      </c>
      <c r="P18" s="204" t="s">
        <v>333</v>
      </c>
      <c r="Q18" s="204" t="s">
        <v>334</v>
      </c>
      <c r="R18" s="204" t="s">
        <v>335</v>
      </c>
      <c r="S18" s="204" t="s">
        <v>336</v>
      </c>
      <c r="T18" s="204" t="s">
        <v>337</v>
      </c>
      <c r="U18" s="204" t="s">
        <v>338</v>
      </c>
      <c r="V18" s="204" t="s">
        <v>339</v>
      </c>
    </row>
    <row r="19" spans="1:22" x14ac:dyDescent="0.25">
      <c r="A19" s="204" t="s">
        <v>358</v>
      </c>
      <c r="C19" s="204" t="s">
        <v>359</v>
      </c>
      <c r="D19" s="217">
        <f>SUM(E19:U19)</f>
        <v>4231010.6507250424</v>
      </c>
      <c r="E19" s="217">
        <f>SUM(E26:E29)</f>
        <v>483797.35950569448</v>
      </c>
      <c r="F19" s="217">
        <f t="shared" ref="F19:V19" si="0">SUM(F26:F29)</f>
        <v>452114.2470296041</v>
      </c>
      <c r="G19" s="217">
        <f t="shared" si="0"/>
        <v>261562.891393383</v>
      </c>
      <c r="H19" s="217">
        <f t="shared" si="0"/>
        <v>358.31112419307749</v>
      </c>
      <c r="I19" s="217">
        <f t="shared" si="0"/>
        <v>179157.07260351363</v>
      </c>
      <c r="J19" s="217">
        <f t="shared" si="0"/>
        <v>4.0419526549894496</v>
      </c>
      <c r="K19" s="217">
        <f t="shared" si="0"/>
        <v>80420.565981487191</v>
      </c>
      <c r="L19" s="217">
        <f t="shared" si="0"/>
        <v>40576.134916547075</v>
      </c>
      <c r="M19" s="217">
        <f t="shared" si="0"/>
        <v>196205.51392476726</v>
      </c>
      <c r="N19" s="217">
        <f t="shared" si="0"/>
        <v>12414.482378834524</v>
      </c>
      <c r="O19" s="217">
        <f t="shared" si="0"/>
        <v>34640.654421440719</v>
      </c>
      <c r="P19" s="217">
        <f t="shared" si="0"/>
        <v>5516.0065573193751</v>
      </c>
      <c r="Q19" s="217">
        <f t="shared" si="0"/>
        <v>67179.705291231017</v>
      </c>
      <c r="R19" s="217">
        <f t="shared" si="0"/>
        <v>1530.4662657410647</v>
      </c>
      <c r="S19" s="217">
        <f t="shared" si="0"/>
        <v>2401760.8159533199</v>
      </c>
      <c r="T19" s="217">
        <f t="shared" si="0"/>
        <v>1173.366495833875</v>
      </c>
      <c r="U19" s="217">
        <f t="shared" si="0"/>
        <v>12599.014929477431</v>
      </c>
      <c r="V19" s="217">
        <f t="shared" si="0"/>
        <v>3987750</v>
      </c>
    </row>
    <row r="20" spans="1:22" x14ac:dyDescent="0.25">
      <c r="C20" s="204" t="s">
        <v>360</v>
      </c>
    </row>
    <row r="21" spans="1:22" x14ac:dyDescent="0.25">
      <c r="C21" s="204" t="s">
        <v>361</v>
      </c>
      <c r="D21" s="217">
        <f>SUM(E21:U21)</f>
        <v>4184918.5092511764</v>
      </c>
      <c r="E21" s="217">
        <f t="shared" ref="E21:K21" si="1">+E19</f>
        <v>483797.35950569448</v>
      </c>
      <c r="F21" s="217">
        <f t="shared" si="1"/>
        <v>452114.2470296041</v>
      </c>
      <c r="G21" s="217">
        <f t="shared" si="1"/>
        <v>261562.891393383</v>
      </c>
      <c r="H21" s="217">
        <f t="shared" si="1"/>
        <v>358.31112419307749</v>
      </c>
      <c r="I21" s="217">
        <f t="shared" si="1"/>
        <v>179157.07260351363</v>
      </c>
      <c r="J21" s="217">
        <f t="shared" si="1"/>
        <v>4.0419526549894496</v>
      </c>
      <c r="K21" s="217">
        <f t="shared" si="1"/>
        <v>80420.565981487191</v>
      </c>
      <c r="L21" s="217">
        <v>0</v>
      </c>
      <c r="M21" s="217">
        <f>+M19</f>
        <v>196205.51392476726</v>
      </c>
      <c r="N21" s="217">
        <f>+N19</f>
        <v>12414.482378834524</v>
      </c>
      <c r="O21" s="217">
        <f>+O19</f>
        <v>34640.654421440719</v>
      </c>
      <c r="P21" s="217">
        <v>0</v>
      </c>
      <c r="Q21" s="217">
        <f>+Q19</f>
        <v>67179.705291231017</v>
      </c>
      <c r="R21" s="217">
        <f>+R19</f>
        <v>1530.4662657410647</v>
      </c>
      <c r="S21" s="217">
        <f>+S19</f>
        <v>2401760.8159533199</v>
      </c>
      <c r="T21" s="217">
        <f>+T19</f>
        <v>1173.366495833875</v>
      </c>
      <c r="U21" s="217">
        <f>+U19</f>
        <v>12599.014929477431</v>
      </c>
    </row>
    <row r="23" spans="1:22" x14ac:dyDescent="0.25">
      <c r="C23" s="205" t="s">
        <v>362</v>
      </c>
      <c r="D23" s="217">
        <f>SUM(E23:U23)</f>
        <v>3941657.8585261335</v>
      </c>
      <c r="E23" s="217">
        <f t="shared" ref="E23:L23" si="2">+E21</f>
        <v>483797.35950569448</v>
      </c>
      <c r="F23" s="217">
        <f t="shared" si="2"/>
        <v>452114.2470296041</v>
      </c>
      <c r="G23" s="217">
        <f t="shared" si="2"/>
        <v>261562.891393383</v>
      </c>
      <c r="H23" s="217">
        <f t="shared" si="2"/>
        <v>358.31112419307749</v>
      </c>
      <c r="I23" s="217">
        <f t="shared" si="2"/>
        <v>179157.07260351363</v>
      </c>
      <c r="J23" s="217">
        <f t="shared" si="2"/>
        <v>4.0419526549894496</v>
      </c>
      <c r="K23" s="217">
        <f t="shared" si="2"/>
        <v>80420.565981487191</v>
      </c>
      <c r="L23" s="217">
        <f t="shared" si="2"/>
        <v>0</v>
      </c>
      <c r="M23" s="217">
        <v>0</v>
      </c>
      <c r="N23" s="217">
        <v>0</v>
      </c>
      <c r="O23" s="217">
        <v>0</v>
      </c>
      <c r="P23" s="217">
        <f t="shared" ref="P23:U23" si="3">+P21</f>
        <v>0</v>
      </c>
      <c r="Q23" s="217">
        <f t="shared" si="3"/>
        <v>67179.705291231017</v>
      </c>
      <c r="R23" s="217">
        <f t="shared" si="3"/>
        <v>1530.4662657410647</v>
      </c>
      <c r="S23" s="217">
        <f t="shared" si="3"/>
        <v>2401760.8159533199</v>
      </c>
      <c r="T23" s="217">
        <f t="shared" si="3"/>
        <v>1173.366495833875</v>
      </c>
      <c r="U23" s="217">
        <f t="shared" si="3"/>
        <v>12599.014929477431</v>
      </c>
    </row>
    <row r="26" spans="1:22" x14ac:dyDescent="0.25">
      <c r="C26" s="204" t="s">
        <v>359</v>
      </c>
      <c r="D26" s="217">
        <f>SUM(E26:U26)</f>
        <v>4231010.6507250415</v>
      </c>
      <c r="E26" s="217">
        <f>AVERAGE(E6:E9)</f>
        <v>483797.35950569448</v>
      </c>
      <c r="F26" s="217">
        <f t="shared" ref="F26:V26" si="4">AVERAGE(F6:F9)</f>
        <v>450721.92869627074</v>
      </c>
      <c r="G26" s="217">
        <f t="shared" si="4"/>
        <v>256180.171393383</v>
      </c>
      <c r="H26" s="217">
        <f t="shared" si="4"/>
        <v>358.31112419307749</v>
      </c>
      <c r="I26" s="217">
        <f t="shared" si="4"/>
        <v>175561.10593684699</v>
      </c>
      <c r="J26" s="217">
        <f t="shared" si="4"/>
        <v>4.0419526549894496</v>
      </c>
      <c r="K26" s="217">
        <f t="shared" si="4"/>
        <v>90791.570981487195</v>
      </c>
      <c r="L26" s="217">
        <f t="shared" si="4"/>
        <v>40576.134916547075</v>
      </c>
      <c r="M26" s="217">
        <f t="shared" si="4"/>
        <v>196205.51392476726</v>
      </c>
      <c r="N26" s="217">
        <f t="shared" si="4"/>
        <v>12414.482378834524</v>
      </c>
      <c r="O26" s="217">
        <f t="shared" si="4"/>
        <v>34640.654421440719</v>
      </c>
      <c r="P26" s="217">
        <f t="shared" si="4"/>
        <v>5516.0065573193751</v>
      </c>
      <c r="Q26" s="217">
        <f t="shared" si="4"/>
        <v>67179.705291231017</v>
      </c>
      <c r="R26" s="217">
        <f t="shared" si="4"/>
        <v>1530.4662657410647</v>
      </c>
      <c r="S26" s="217">
        <f t="shared" si="4"/>
        <v>2401760.8159533199</v>
      </c>
      <c r="T26" s="217">
        <f t="shared" si="4"/>
        <v>1173.366495833875</v>
      </c>
      <c r="U26" s="217">
        <f t="shared" si="4"/>
        <v>12599.014929477431</v>
      </c>
      <c r="V26" s="217">
        <f t="shared" si="4"/>
        <v>3987750</v>
      </c>
    </row>
    <row r="27" spans="1:22" x14ac:dyDescent="0.25">
      <c r="A27" s="204" t="str">
        <f>+A19</f>
        <v xml:space="preserve">Sch 40 Settlement </v>
      </c>
      <c r="C27" s="93" t="str">
        <f>+'UE-170033 LR Data -Energy'!P18</f>
        <v>Cust 8</v>
      </c>
      <c r="D27" s="217"/>
      <c r="E27" s="217"/>
      <c r="F27" s="217">
        <v>0</v>
      </c>
      <c r="G27" s="217">
        <v>0</v>
      </c>
      <c r="H27" s="217"/>
      <c r="I27" s="217">
        <v>-940.83333333333337</v>
      </c>
      <c r="J27" s="217"/>
      <c r="K27" s="217">
        <v>940.83333333333337</v>
      </c>
    </row>
    <row r="28" spans="1:22" x14ac:dyDescent="0.25">
      <c r="C28" s="75" t="str">
        <f>+'UE-170033 LR Data -Energy'!N18</f>
        <v>New Cust 1</v>
      </c>
      <c r="D28" s="217"/>
      <c r="E28" s="217"/>
      <c r="F28" s="217">
        <v>717.94500000000005</v>
      </c>
      <c r="G28" s="217">
        <v>5382.72</v>
      </c>
      <c r="H28" s="217"/>
      <c r="I28" s="217">
        <v>0</v>
      </c>
      <c r="J28" s="217"/>
      <c r="K28" s="217">
        <v>-6100.665</v>
      </c>
    </row>
    <row r="29" spans="1:22" x14ac:dyDescent="0.25">
      <c r="C29" s="75" t="str">
        <f>+'UE-170033 LR Data -Energy'!O18</f>
        <v>New Cust 2</v>
      </c>
      <c r="D29" s="217"/>
      <c r="E29" s="217"/>
      <c r="F29" s="217">
        <v>674.37333333333333</v>
      </c>
      <c r="G29" s="217">
        <v>0</v>
      </c>
      <c r="H29" s="217"/>
      <c r="I29" s="217">
        <v>4536.8</v>
      </c>
      <c r="J29" s="217"/>
      <c r="K29" s="217">
        <v>-5211.1733333333332</v>
      </c>
    </row>
  </sheetData>
  <mergeCells count="1">
    <mergeCell ref="B1:V1"/>
  </mergeCells>
  <printOptions horizontalCentered="1"/>
  <pageMargins left="0.7" right="0.7" top="0.75" bottom="0.75" header="0.3" footer="0.3"/>
  <pageSetup scale="63" orientation="landscape" r:id="rId1"/>
  <headerFooter>
    <oddFooter>&amp;L&amp;"Times New Roman,Regular"&amp;F
&amp;A&amp;R&amp;"Times New Roman,Regular"Schedule 95A Filing Eff 1-1-19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zoomScale="80" zoomScaleNormal="80" workbookViewId="0">
      <selection activeCell="A4" sqref="A1:XFD1048576"/>
    </sheetView>
  </sheetViews>
  <sheetFormatPr defaultColWidth="8.85546875" defaultRowHeight="15" x14ac:dyDescent="0.25"/>
  <cols>
    <col min="1" max="1" width="20.7109375" style="204" customWidth="1"/>
    <col min="2" max="2" width="13.7109375" style="204" bestFit="1" customWidth="1"/>
    <col min="3" max="3" width="13" style="204" bestFit="1" customWidth="1"/>
    <col min="4" max="4" width="18.7109375" style="204" bestFit="1" customWidth="1"/>
    <col min="5" max="6" width="13.5703125" style="204" bestFit="1" customWidth="1"/>
    <col min="7" max="7" width="13" style="204" bestFit="1" customWidth="1"/>
    <col min="8" max="8" width="22.7109375" style="204" bestFit="1" customWidth="1"/>
    <col min="9" max="9" width="16.140625" style="204" bestFit="1" customWidth="1"/>
    <col min="10" max="10" width="26.7109375" style="204" bestFit="1" customWidth="1"/>
    <col min="11" max="11" width="8.85546875" style="204"/>
    <col min="12" max="12" width="22.7109375" style="204" bestFit="1" customWidth="1"/>
    <col min="13" max="13" width="8.85546875" style="204"/>
    <col min="14" max="15" width="11.28515625" style="204" bestFit="1" customWidth="1"/>
    <col min="16" max="16" width="10.28515625" style="204" bestFit="1" customWidth="1"/>
    <col min="17" max="16384" width="8.85546875" style="204"/>
  </cols>
  <sheetData>
    <row r="1" spans="1:16" ht="15.75" x14ac:dyDescent="0.25">
      <c r="A1" s="94" t="s">
        <v>363</v>
      </c>
      <c r="B1" s="94"/>
      <c r="C1" s="94"/>
      <c r="D1" s="94"/>
      <c r="E1" s="94"/>
      <c r="F1" s="94"/>
      <c r="G1" s="94"/>
      <c r="H1" s="94"/>
      <c r="I1" s="94"/>
      <c r="J1" s="94"/>
      <c r="K1" s="95"/>
      <c r="L1" s="95"/>
    </row>
    <row r="2" spans="1:16" ht="15.75" x14ac:dyDescent="0.25">
      <c r="A2" s="94" t="s">
        <v>364</v>
      </c>
      <c r="B2" s="94"/>
      <c r="C2" s="94"/>
      <c r="D2" s="94"/>
      <c r="E2" s="94"/>
      <c r="F2" s="94"/>
      <c r="G2" s="94"/>
      <c r="H2" s="94"/>
      <c r="I2" s="94"/>
      <c r="J2" s="94"/>
      <c r="K2" s="95"/>
      <c r="L2" s="95"/>
    </row>
    <row r="3" spans="1:16" ht="15.75" x14ac:dyDescent="0.25">
      <c r="A3" s="96"/>
      <c r="B3" s="96"/>
      <c r="C3" s="96"/>
      <c r="D3" s="96"/>
      <c r="E3" s="96"/>
      <c r="F3" s="96"/>
      <c r="G3" s="96"/>
      <c r="H3" s="96"/>
      <c r="I3" s="94"/>
      <c r="J3" s="94"/>
      <c r="K3" s="95"/>
      <c r="L3" s="95"/>
    </row>
    <row r="4" spans="1:16" ht="15.75" x14ac:dyDescent="0.25">
      <c r="A4" s="96"/>
      <c r="B4" s="96"/>
      <c r="C4" s="96"/>
      <c r="D4" s="96"/>
      <c r="E4" s="96"/>
      <c r="F4" s="96"/>
      <c r="G4" s="96"/>
      <c r="H4" s="96"/>
      <c r="I4" s="94"/>
      <c r="J4" s="94"/>
      <c r="K4" s="95"/>
      <c r="L4" s="95"/>
    </row>
    <row r="5" spans="1:16" ht="16.5" thickBot="1" x14ac:dyDescent="0.3">
      <c r="A5" s="96"/>
      <c r="B5" s="96"/>
      <c r="C5" s="96"/>
      <c r="D5" s="96"/>
      <c r="E5" s="96"/>
      <c r="F5" s="96"/>
      <c r="G5" s="96"/>
      <c r="H5" s="96"/>
      <c r="I5" s="94"/>
      <c r="J5" s="94"/>
      <c r="K5" s="95"/>
      <c r="L5" s="95"/>
    </row>
    <row r="6" spans="1:16" ht="15.75" x14ac:dyDescent="0.25">
      <c r="A6" s="97" t="s">
        <v>365</v>
      </c>
      <c r="B6" s="98">
        <v>22007938139</v>
      </c>
      <c r="C6" s="96"/>
      <c r="D6" s="96"/>
      <c r="E6" s="96"/>
      <c r="F6" s="96"/>
      <c r="G6" s="96"/>
      <c r="H6" s="99" t="s">
        <v>366</v>
      </c>
      <c r="I6" s="100">
        <v>20365314276.710396</v>
      </c>
      <c r="J6" s="101"/>
      <c r="K6" s="95"/>
      <c r="L6" s="95"/>
    </row>
    <row r="7" spans="1:16" ht="15.75" x14ac:dyDescent="0.25">
      <c r="A7" s="102" t="s">
        <v>367</v>
      </c>
      <c r="B7" s="103">
        <v>303890901</v>
      </c>
      <c r="C7" s="96" t="s">
        <v>368</v>
      </c>
      <c r="D7" s="96"/>
      <c r="E7" s="96"/>
      <c r="F7" s="96"/>
      <c r="G7" s="96"/>
      <c r="H7" s="104" t="s">
        <v>369</v>
      </c>
      <c r="I7" s="105">
        <v>281706864.44926071</v>
      </c>
      <c r="J7" s="101"/>
      <c r="K7" s="95"/>
      <c r="L7" s="95"/>
    </row>
    <row r="8" spans="1:16" ht="16.5" thickBot="1" x14ac:dyDescent="0.3">
      <c r="A8" s="106" t="s">
        <v>370</v>
      </c>
      <c r="B8" s="107">
        <v>22311829040</v>
      </c>
      <c r="C8" s="96"/>
      <c r="D8" s="96"/>
      <c r="E8" s="96"/>
      <c r="F8" s="96"/>
      <c r="G8" s="96"/>
      <c r="H8" s="108" t="s">
        <v>371</v>
      </c>
      <c r="I8" s="109">
        <v>20647021141.159657</v>
      </c>
      <c r="J8" s="101"/>
      <c r="K8" s="95"/>
      <c r="L8" s="95"/>
    </row>
    <row r="9" spans="1:16" ht="15.75" x14ac:dyDescent="0.25">
      <c r="A9" s="94"/>
      <c r="B9" s="94"/>
      <c r="C9" s="94"/>
      <c r="D9" s="94"/>
      <c r="E9" s="94"/>
      <c r="F9" s="94"/>
      <c r="G9" s="94"/>
      <c r="H9" s="75"/>
      <c r="I9" s="75"/>
      <c r="J9" s="94"/>
      <c r="K9" s="95"/>
      <c r="L9" s="95"/>
    </row>
    <row r="10" spans="1:16" ht="15.75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5"/>
      <c r="L10" s="95"/>
    </row>
    <row r="11" spans="1:16" ht="15.75" thickBot="1" x14ac:dyDescent="0.3">
      <c r="A11" s="74"/>
      <c r="B11" s="80"/>
      <c r="C11" s="74"/>
      <c r="D11" s="80"/>
      <c r="E11" s="74"/>
      <c r="F11" s="74"/>
      <c r="G11" s="74"/>
      <c r="H11" s="74"/>
      <c r="I11" s="74"/>
      <c r="J11" s="110" t="s">
        <v>299</v>
      </c>
      <c r="K11" s="74"/>
      <c r="L11" s="74" t="s">
        <v>372</v>
      </c>
      <c r="N11" s="371" t="s">
        <v>373</v>
      </c>
      <c r="O11" s="371"/>
      <c r="P11" s="371"/>
    </row>
    <row r="12" spans="1:16" x14ac:dyDescent="0.25">
      <c r="A12" s="111" t="s">
        <v>374</v>
      </c>
      <c r="B12" s="77" t="s">
        <v>375</v>
      </c>
      <c r="C12" s="77" t="s">
        <v>376</v>
      </c>
      <c r="D12" s="77" t="s">
        <v>377</v>
      </c>
      <c r="E12" s="77" t="s">
        <v>378</v>
      </c>
      <c r="F12" s="77" t="s">
        <v>379</v>
      </c>
      <c r="G12" s="77" t="s">
        <v>380</v>
      </c>
      <c r="H12" s="77" t="s">
        <v>381</v>
      </c>
      <c r="I12" s="77" t="s">
        <v>382</v>
      </c>
      <c r="J12" s="112" t="s">
        <v>383</v>
      </c>
      <c r="K12" s="74"/>
      <c r="L12" s="112" t="s">
        <v>383</v>
      </c>
    </row>
    <row r="13" spans="1:16" x14ac:dyDescent="0.25">
      <c r="A13" s="51"/>
      <c r="B13" s="52"/>
      <c r="C13" s="52"/>
      <c r="D13" s="52"/>
      <c r="E13" s="52"/>
      <c r="F13" s="52" t="s">
        <v>384</v>
      </c>
      <c r="G13" s="52" t="s">
        <v>384</v>
      </c>
      <c r="H13" s="52" t="s">
        <v>384</v>
      </c>
      <c r="I13" s="52" t="s">
        <v>385</v>
      </c>
      <c r="J13" s="53" t="s">
        <v>386</v>
      </c>
      <c r="K13" s="74"/>
      <c r="L13" s="53" t="s">
        <v>386</v>
      </c>
    </row>
    <row r="14" spans="1:16" x14ac:dyDescent="0.25">
      <c r="A14" s="51"/>
      <c r="B14" s="52" t="s">
        <v>387</v>
      </c>
      <c r="C14" s="52" t="s">
        <v>388</v>
      </c>
      <c r="D14" s="52" t="s">
        <v>388</v>
      </c>
      <c r="E14" s="52" t="s">
        <v>389</v>
      </c>
      <c r="F14" s="52" t="s">
        <v>385</v>
      </c>
      <c r="G14" s="52" t="s">
        <v>390</v>
      </c>
      <c r="H14" s="52" t="s">
        <v>388</v>
      </c>
      <c r="I14" s="52" t="s">
        <v>391</v>
      </c>
      <c r="J14" s="53" t="s">
        <v>392</v>
      </c>
      <c r="K14" s="74"/>
      <c r="L14" s="53" t="s">
        <v>392</v>
      </c>
    </row>
    <row r="15" spans="1:16" x14ac:dyDescent="0.25">
      <c r="A15" s="51" t="s">
        <v>393</v>
      </c>
      <c r="B15" s="52" t="s">
        <v>394</v>
      </c>
      <c r="C15" s="52" t="s">
        <v>387</v>
      </c>
      <c r="D15" s="52" t="s">
        <v>35</v>
      </c>
      <c r="E15" s="52" t="s">
        <v>385</v>
      </c>
      <c r="F15" s="52" t="s">
        <v>164</v>
      </c>
      <c r="G15" s="52" t="s">
        <v>395</v>
      </c>
      <c r="H15" s="52" t="s">
        <v>396</v>
      </c>
      <c r="I15" s="52" t="s">
        <v>397</v>
      </c>
      <c r="J15" s="53" t="s">
        <v>385</v>
      </c>
      <c r="K15" s="74"/>
      <c r="L15" s="53" t="s">
        <v>385</v>
      </c>
    </row>
    <row r="16" spans="1:16" x14ac:dyDescent="0.25">
      <c r="A16" s="113"/>
      <c r="B16" s="14"/>
      <c r="C16" s="52" t="s">
        <v>35</v>
      </c>
      <c r="D16" s="52" t="s">
        <v>395</v>
      </c>
      <c r="E16" s="52" t="s">
        <v>164</v>
      </c>
      <c r="F16" s="52" t="s">
        <v>398</v>
      </c>
      <c r="G16" s="52" t="s">
        <v>399</v>
      </c>
      <c r="H16" s="52" t="s">
        <v>395</v>
      </c>
      <c r="I16" s="52" t="s">
        <v>400</v>
      </c>
      <c r="J16" s="53" t="s">
        <v>400</v>
      </c>
      <c r="K16" s="74"/>
      <c r="L16" s="53" t="s">
        <v>400</v>
      </c>
    </row>
    <row r="17" spans="1:16" x14ac:dyDescent="0.25">
      <c r="A17" s="113"/>
      <c r="B17" s="14"/>
      <c r="C17" s="15"/>
      <c r="D17" s="52" t="s">
        <v>401</v>
      </c>
      <c r="E17" s="52"/>
      <c r="F17" s="14"/>
      <c r="G17" s="52"/>
      <c r="H17" s="52"/>
      <c r="I17" s="52"/>
      <c r="J17" s="53"/>
      <c r="K17" s="74"/>
      <c r="L17" s="53"/>
    </row>
    <row r="18" spans="1:16" x14ac:dyDescent="0.25">
      <c r="A18" s="114"/>
      <c r="B18" s="115" t="s">
        <v>402</v>
      </c>
      <c r="C18" s="116"/>
      <c r="D18" s="116"/>
      <c r="E18" s="116" t="s">
        <v>403</v>
      </c>
      <c r="F18" s="117" t="s">
        <v>404</v>
      </c>
      <c r="G18" s="117" t="s">
        <v>405</v>
      </c>
      <c r="H18" s="117" t="s">
        <v>406</v>
      </c>
      <c r="I18" s="116" t="s">
        <v>407</v>
      </c>
      <c r="J18" s="118" t="s">
        <v>408</v>
      </c>
      <c r="K18" s="119"/>
      <c r="L18" s="118" t="s">
        <v>408</v>
      </c>
      <c r="N18" s="204" t="s">
        <v>409</v>
      </c>
      <c r="O18" s="205" t="s">
        <v>410</v>
      </c>
      <c r="P18" s="206" t="s">
        <v>411</v>
      </c>
    </row>
    <row r="19" spans="1:16" x14ac:dyDescent="0.25">
      <c r="A19" s="120" t="s">
        <v>412</v>
      </c>
      <c r="B19" s="121" t="s">
        <v>412</v>
      </c>
      <c r="C19" s="121" t="s">
        <v>412</v>
      </c>
      <c r="D19" s="121" t="s">
        <v>412</v>
      </c>
      <c r="E19" s="121" t="s">
        <v>412</v>
      </c>
      <c r="F19" s="121" t="s">
        <v>412</v>
      </c>
      <c r="G19" s="121" t="s">
        <v>412</v>
      </c>
      <c r="H19" s="121" t="s">
        <v>412</v>
      </c>
      <c r="I19" s="121" t="s">
        <v>413</v>
      </c>
      <c r="J19" s="122" t="s">
        <v>414</v>
      </c>
      <c r="K19" s="123"/>
      <c r="L19" s="122" t="s">
        <v>414</v>
      </c>
    </row>
    <row r="20" spans="1:16" x14ac:dyDescent="0.25">
      <c r="A20" s="124" t="s">
        <v>415</v>
      </c>
      <c r="B20" s="125">
        <v>10208761476.354383</v>
      </c>
      <c r="C20" s="125">
        <v>10451731125.354383</v>
      </c>
      <c r="D20" s="126">
        <v>242969649</v>
      </c>
      <c r="E20" s="127">
        <v>7.9467728973609736E-2</v>
      </c>
      <c r="F20" s="126">
        <v>20975088.895054668</v>
      </c>
      <c r="G20" s="126">
        <v>263944737.89505467</v>
      </c>
      <c r="H20" s="126">
        <v>262357551.50107402</v>
      </c>
      <c r="I20" s="125">
        <v>11100336483.093327</v>
      </c>
      <c r="J20" s="128">
        <f>SUM(L20,N20:P20)</f>
        <v>11362694034.5944</v>
      </c>
      <c r="K20" s="129"/>
      <c r="L20" s="128">
        <v>11362694034.5944</v>
      </c>
      <c r="N20" s="207"/>
      <c r="O20" s="207"/>
      <c r="P20" s="207"/>
    </row>
    <row r="21" spans="1:16" x14ac:dyDescent="0.25">
      <c r="A21" s="130">
        <v>24</v>
      </c>
      <c r="B21" s="125">
        <v>2724380971.0860081</v>
      </c>
      <c r="C21" s="125">
        <v>2746929439.2532654</v>
      </c>
      <c r="D21" s="126">
        <v>22548468.167257167</v>
      </c>
      <c r="E21" s="127">
        <v>7.8482732619560958E-2</v>
      </c>
      <c r="F21" s="126">
        <v>1920382.2443632372</v>
      </c>
      <c r="G21" s="126">
        <v>24468850.411620405</v>
      </c>
      <c r="H21" s="126">
        <v>24321711.178008884</v>
      </c>
      <c r="I21" s="125">
        <v>2959386905.1163797</v>
      </c>
      <c r="J21" s="128">
        <f>SUM(L21,N21:P21)</f>
        <v>2983833723.3713889</v>
      </c>
      <c r="K21" s="129"/>
      <c r="L21" s="128">
        <v>2983708616.2943888</v>
      </c>
      <c r="N21" s="207">
        <v>125107.077</v>
      </c>
      <c r="O21" s="207"/>
      <c r="P21" s="207"/>
    </row>
    <row r="22" spans="1:16" x14ac:dyDescent="0.25">
      <c r="A22" s="130">
        <v>25</v>
      </c>
      <c r="B22" s="125">
        <v>2796469413.5689993</v>
      </c>
      <c r="C22" s="125">
        <v>2807716477.6489849</v>
      </c>
      <c r="D22" s="126">
        <v>11247064.07998576</v>
      </c>
      <c r="E22" s="127">
        <v>7.7853391910488873E-2</v>
      </c>
      <c r="F22" s="126">
        <v>949547.588181898</v>
      </c>
      <c r="G22" s="126">
        <v>12196611.668167658</v>
      </c>
      <c r="H22" s="126">
        <v>12123269.436582506</v>
      </c>
      <c r="I22" s="125">
        <v>3044665452.6312709</v>
      </c>
      <c r="J22" s="128">
        <f t="shared" ref="J22:J32" si="0">SUM(L22,N22:P22)</f>
        <v>3065348902.0678535</v>
      </c>
      <c r="K22" s="129"/>
      <c r="L22" s="128">
        <v>3056788722.0678535</v>
      </c>
      <c r="N22" s="207">
        <v>3685260</v>
      </c>
      <c r="O22" s="207">
        <v>4874920</v>
      </c>
      <c r="P22" s="207"/>
    </row>
    <row r="23" spans="1:16" x14ac:dyDescent="0.25">
      <c r="A23" s="130">
        <v>26</v>
      </c>
      <c r="B23" s="125">
        <v>1844086005.7140005</v>
      </c>
      <c r="C23" s="125">
        <v>1843854018.0378911</v>
      </c>
      <c r="D23" s="126">
        <v>-231987.67610922537</v>
      </c>
      <c r="E23" s="127">
        <v>7.7315056676894464E-2</v>
      </c>
      <c r="F23" s="126">
        <v>-19439.073387420503</v>
      </c>
      <c r="G23" s="126">
        <v>-251426.74949664588</v>
      </c>
      <c r="H23" s="126">
        <v>-249914.83787807621</v>
      </c>
      <c r="I23" s="125">
        <v>2026899464.380985</v>
      </c>
      <c r="J23" s="128">
        <f t="shared" si="0"/>
        <v>2051022389.543107</v>
      </c>
      <c r="K23" s="129"/>
      <c r="L23" s="128">
        <v>2026649549.543107</v>
      </c>
      <c r="N23" s="207">
        <v>24372840</v>
      </c>
      <c r="O23" s="207"/>
      <c r="P23" s="207"/>
    </row>
    <row r="24" spans="1:16" x14ac:dyDescent="0.25">
      <c r="A24" s="130">
        <v>29</v>
      </c>
      <c r="B24" s="125">
        <v>14242753.409000002</v>
      </c>
      <c r="C24" s="125">
        <v>14084006.575165801</v>
      </c>
      <c r="D24" s="126">
        <v>-158746.83383420159</v>
      </c>
      <c r="E24" s="127">
        <v>7.468038083531188E-2</v>
      </c>
      <c r="F24" s="126">
        <v>-12812.085426050122</v>
      </c>
      <c r="G24" s="126">
        <v>-171558.91926025171</v>
      </c>
      <c r="H24" s="126">
        <v>-170527.2791351731</v>
      </c>
      <c r="I24" s="125">
        <v>15406510.69695087</v>
      </c>
      <c r="J24" s="128">
        <f t="shared" si="0"/>
        <v>15235983.417815696</v>
      </c>
      <c r="K24" s="129"/>
      <c r="L24" s="128">
        <v>15235983.417815696</v>
      </c>
      <c r="N24" s="207"/>
      <c r="O24" s="207"/>
      <c r="P24" s="207"/>
    </row>
    <row r="25" spans="1:16" x14ac:dyDescent="0.25">
      <c r="A25" s="124">
        <v>31</v>
      </c>
      <c r="B25" s="125">
        <v>1252024547.5769999</v>
      </c>
      <c r="C25" s="125">
        <v>1252981780.2807348</v>
      </c>
      <c r="D25" s="126">
        <v>957232.70373482059</v>
      </c>
      <c r="E25" s="127">
        <v>3.702332015656052E-2</v>
      </c>
      <c r="F25" s="126">
        <v>36802.482964038267</v>
      </c>
      <c r="G25" s="126">
        <v>994035.18669885886</v>
      </c>
      <c r="H25" s="126">
        <v>988057.72665912227</v>
      </c>
      <c r="I25" s="125">
        <v>1322015309.3917959</v>
      </c>
      <c r="J25" s="128">
        <f t="shared" si="0"/>
        <v>1342870567.1184549</v>
      </c>
      <c r="K25" s="129"/>
      <c r="L25" s="128">
        <v>1323003367.1184549</v>
      </c>
      <c r="N25" s="207"/>
      <c r="O25" s="207">
        <v>26500800</v>
      </c>
      <c r="P25" s="207">
        <f>-P27</f>
        <v>-6633600</v>
      </c>
    </row>
    <row r="26" spans="1:16" x14ac:dyDescent="0.25">
      <c r="A26" s="124">
        <v>35</v>
      </c>
      <c r="B26" s="125">
        <v>4429100.4000000004</v>
      </c>
      <c r="C26" s="125">
        <v>4429100.4000000004</v>
      </c>
      <c r="D26" s="126">
        <v>0</v>
      </c>
      <c r="E26" s="127">
        <v>3.5119821310677424E-2</v>
      </c>
      <c r="F26" s="126">
        <v>0</v>
      </c>
      <c r="G26" s="126">
        <v>0</v>
      </c>
      <c r="H26" s="126">
        <v>0</v>
      </c>
      <c r="I26" s="125">
        <v>4594563.3633324662</v>
      </c>
      <c r="J26" s="128">
        <f t="shared" si="0"/>
        <v>4594563.3633324662</v>
      </c>
      <c r="K26" s="129"/>
      <c r="L26" s="128">
        <v>4594563.3633324662</v>
      </c>
      <c r="N26" s="207"/>
      <c r="O26" s="207"/>
      <c r="P26" s="207"/>
    </row>
    <row r="27" spans="1:16" x14ac:dyDescent="0.25">
      <c r="A27" s="124">
        <v>40</v>
      </c>
      <c r="B27" s="125">
        <v>718932164.91099989</v>
      </c>
      <c r="C27" s="125">
        <v>719325536.69961417</v>
      </c>
      <c r="D27" s="126">
        <v>393371.78861424379</v>
      </c>
      <c r="E27" s="127">
        <v>3.6975302211610411E-2</v>
      </c>
      <c r="F27" s="126">
        <v>15103.497136611782</v>
      </c>
      <c r="G27" s="126">
        <v>408475.28575085558</v>
      </c>
      <c r="H27" s="126">
        <v>406018.98970573838</v>
      </c>
      <c r="I27" s="125">
        <v>692118747.18531692</v>
      </c>
      <c r="J27" s="128">
        <f t="shared" si="0"/>
        <v>639599439.09802258</v>
      </c>
      <c r="K27" s="129"/>
      <c r="L27" s="128">
        <v>692524766.1750226</v>
      </c>
      <c r="N27" s="207">
        <f>-SUM(N21:N26)</f>
        <v>-28183207.077</v>
      </c>
      <c r="O27" s="207">
        <f>-SUM(O21:O26)</f>
        <v>-31375720</v>
      </c>
      <c r="P27" s="207">
        <v>6633600</v>
      </c>
    </row>
    <row r="28" spans="1:16" x14ac:dyDescent="0.25">
      <c r="A28" s="130">
        <v>43</v>
      </c>
      <c r="B28" s="125">
        <v>116295695.25500003</v>
      </c>
      <c r="C28" s="125">
        <v>120131815.05243345</v>
      </c>
      <c r="D28" s="126">
        <v>3836119.7974334164</v>
      </c>
      <c r="E28" s="127">
        <v>3.8110780262926053E-2</v>
      </c>
      <c r="F28" s="126">
        <v>151989.97520962683</v>
      </c>
      <c r="G28" s="126">
        <v>3988109.7726430432</v>
      </c>
      <c r="H28" s="126">
        <v>3964127.9588007946</v>
      </c>
      <c r="I28" s="125">
        <v>121015412.90436846</v>
      </c>
      <c r="J28" s="128">
        <f t="shared" si="0"/>
        <v>124979540.86316925</v>
      </c>
      <c r="K28" s="129"/>
      <c r="L28" s="128">
        <v>124979540.86316925</v>
      </c>
      <c r="N28" s="207"/>
      <c r="O28" s="207"/>
      <c r="P28" s="207"/>
    </row>
    <row r="29" spans="1:16" x14ac:dyDescent="0.25">
      <c r="A29" s="130">
        <v>46</v>
      </c>
      <c r="B29" s="125">
        <v>40290452.949999996</v>
      </c>
      <c r="C29" s="125">
        <v>40290452.949999996</v>
      </c>
      <c r="D29" s="126">
        <v>0</v>
      </c>
      <c r="E29" s="127">
        <v>1.7642574624977668E-2</v>
      </c>
      <c r="F29" s="126">
        <v>0</v>
      </c>
      <c r="G29" s="126">
        <v>0</v>
      </c>
      <c r="H29" s="126">
        <v>0</v>
      </c>
      <c r="I29" s="125">
        <v>58540365.538649537</v>
      </c>
      <c r="J29" s="128">
        <f t="shared" si="0"/>
        <v>58540365.538649537</v>
      </c>
      <c r="K29" s="129"/>
      <c r="L29" s="128">
        <v>58540365.538649537</v>
      </c>
      <c r="N29" s="207"/>
      <c r="O29" s="207"/>
      <c r="P29" s="207"/>
    </row>
    <row r="30" spans="1:16" x14ac:dyDescent="0.25">
      <c r="A30" s="130">
        <v>49</v>
      </c>
      <c r="B30" s="125">
        <v>563748979.77299988</v>
      </c>
      <c r="C30" s="125">
        <v>563748979.77299988</v>
      </c>
      <c r="D30" s="126">
        <v>0</v>
      </c>
      <c r="E30" s="127">
        <v>1.754384432205652E-2</v>
      </c>
      <c r="F30" s="126">
        <v>0</v>
      </c>
      <c r="G30" s="126">
        <v>0</v>
      </c>
      <c r="H30" s="126">
        <v>0</v>
      </c>
      <c r="I30" s="125">
        <v>574347448.1834321</v>
      </c>
      <c r="J30" s="128">
        <f t="shared" si="0"/>
        <v>574347448.1834321</v>
      </c>
      <c r="K30" s="129"/>
      <c r="L30" s="128">
        <v>574347448.1834321</v>
      </c>
      <c r="N30" s="207"/>
      <c r="O30" s="207"/>
      <c r="P30" s="207"/>
    </row>
    <row r="31" spans="1:16" x14ac:dyDescent="0.25">
      <c r="A31" s="130" t="s">
        <v>416</v>
      </c>
      <c r="B31" s="125">
        <v>6798760.6290000007</v>
      </c>
      <c r="C31" s="125">
        <v>6944454.0511808293</v>
      </c>
      <c r="D31" s="126">
        <v>145693.42218082873</v>
      </c>
      <c r="E31" s="127">
        <v>3.8438002868003633E-2</v>
      </c>
      <c r="F31" s="126">
        <v>5824.0281919827103</v>
      </c>
      <c r="G31" s="126">
        <v>151517.45037281144</v>
      </c>
      <c r="H31" s="126">
        <v>150606.326182194</v>
      </c>
      <c r="I31" s="125">
        <v>7077087.4969593501</v>
      </c>
      <c r="J31" s="128">
        <f t="shared" si="0"/>
        <v>7227693.8231415441</v>
      </c>
      <c r="K31" s="129"/>
      <c r="L31" s="128">
        <v>7227693.8231415441</v>
      </c>
      <c r="N31" s="207"/>
      <c r="O31" s="207"/>
      <c r="P31" s="207"/>
    </row>
    <row r="32" spans="1:16" x14ac:dyDescent="0.25">
      <c r="A32" s="124" t="s">
        <v>417</v>
      </c>
      <c r="B32" s="125">
        <v>74853955.083000004</v>
      </c>
      <c r="C32" s="125">
        <v>74853955.083000004</v>
      </c>
      <c r="D32" s="126">
        <v>0</v>
      </c>
      <c r="E32" s="127">
        <v>8.1083528844027059E-2</v>
      </c>
      <c r="F32" s="126">
        <v>0</v>
      </c>
      <c r="G32" s="126">
        <v>0</v>
      </c>
      <c r="H32" s="126">
        <v>0</v>
      </c>
      <c r="I32" s="125">
        <v>81534389.017231286</v>
      </c>
      <c r="J32" s="128">
        <f t="shared" si="0"/>
        <v>81534389.017231286</v>
      </c>
      <c r="K32" s="129"/>
      <c r="L32" s="128">
        <v>81534389.017231286</v>
      </c>
      <c r="N32" s="207"/>
      <c r="O32" s="207"/>
      <c r="P32" s="207"/>
    </row>
    <row r="33" spans="1:16" x14ac:dyDescent="0.25">
      <c r="A33" s="120" t="s">
        <v>412</v>
      </c>
      <c r="B33" s="121" t="s">
        <v>412</v>
      </c>
      <c r="C33" s="121" t="s">
        <v>412</v>
      </c>
      <c r="D33" s="121" t="s">
        <v>412</v>
      </c>
      <c r="E33" s="121" t="s">
        <v>412</v>
      </c>
      <c r="F33" s="121" t="s">
        <v>412</v>
      </c>
      <c r="G33" s="121" t="s">
        <v>412</v>
      </c>
      <c r="H33" s="121" t="s">
        <v>412</v>
      </c>
      <c r="I33" s="121" t="s">
        <v>413</v>
      </c>
      <c r="J33" s="122" t="s">
        <v>414</v>
      </c>
      <c r="K33" s="129"/>
      <c r="L33" s="122" t="s">
        <v>414</v>
      </c>
      <c r="N33" s="207"/>
      <c r="O33" s="207"/>
      <c r="P33" s="207"/>
    </row>
    <row r="34" spans="1:16" x14ac:dyDescent="0.25">
      <c r="A34" s="114" t="s">
        <v>12</v>
      </c>
      <c r="B34" s="131">
        <v>20365314276.710396</v>
      </c>
      <c r="C34" s="131">
        <v>20647021141.159657</v>
      </c>
      <c r="D34" s="131">
        <v>281706864.44926071</v>
      </c>
      <c r="E34" s="131"/>
      <c r="F34" s="131">
        <v>24022487.552288592</v>
      </c>
      <c r="G34" s="131">
        <v>305729352.00155139</v>
      </c>
      <c r="H34" s="131">
        <v>303890901</v>
      </c>
      <c r="I34" s="132">
        <v>22007938139</v>
      </c>
      <c r="J34" s="133">
        <v>22311829040</v>
      </c>
      <c r="K34" s="129"/>
      <c r="L34" s="133">
        <v>22311829040</v>
      </c>
      <c r="N34" s="207">
        <f>SUM(N19:N33)</f>
        <v>0</v>
      </c>
      <c r="O34" s="207">
        <f t="shared" ref="O34:P34" si="1">SUM(O19:O33)</f>
        <v>0</v>
      </c>
      <c r="P34" s="207">
        <f t="shared" si="1"/>
        <v>0</v>
      </c>
    </row>
    <row r="35" spans="1:16" ht="15.75" thickBot="1" x14ac:dyDescent="0.3">
      <c r="A35" s="134"/>
      <c r="B35" s="135"/>
      <c r="C35" s="135"/>
      <c r="D35" s="135"/>
      <c r="E35" s="135"/>
      <c r="F35" s="135"/>
      <c r="G35" s="135"/>
      <c r="H35" s="136"/>
      <c r="I35" s="135"/>
      <c r="J35" s="137"/>
      <c r="K35" s="129"/>
      <c r="L35" s="137"/>
    </row>
    <row r="36" spans="1:16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129"/>
      <c r="L36" s="138"/>
    </row>
    <row r="37" spans="1:16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129"/>
      <c r="L37" s="138"/>
    </row>
    <row r="38" spans="1:16" ht="15.75" thickBot="1" x14ac:dyDescent="0.3">
      <c r="A38" s="139" t="s">
        <v>418</v>
      </c>
      <c r="B38" s="74"/>
      <c r="C38" s="74"/>
      <c r="D38" s="74"/>
      <c r="E38" s="74"/>
      <c r="F38" s="74"/>
      <c r="G38" s="74"/>
      <c r="H38" s="74"/>
      <c r="I38" s="74"/>
      <c r="J38" s="74"/>
      <c r="K38" s="129"/>
      <c r="L38" s="138"/>
    </row>
    <row r="39" spans="1:16" x14ac:dyDescent="0.25">
      <c r="A39" s="140">
        <v>459</v>
      </c>
      <c r="B39" s="141">
        <v>277864630.43800002</v>
      </c>
      <c r="C39" s="141">
        <v>277864630.43800002</v>
      </c>
      <c r="D39" s="142">
        <v>0</v>
      </c>
      <c r="E39" s="143">
        <v>1.6704654453749218E-2</v>
      </c>
      <c r="F39" s="142">
        <v>0</v>
      </c>
      <c r="G39" s="142">
        <v>0</v>
      </c>
      <c r="H39" s="142">
        <v>0</v>
      </c>
      <c r="I39" s="142">
        <v>282585117.17416674</v>
      </c>
      <c r="J39" s="144">
        <v>282585117.17416674</v>
      </c>
      <c r="K39" s="129"/>
      <c r="L39" s="129"/>
    </row>
    <row r="40" spans="1:16" x14ac:dyDescent="0.25">
      <c r="A40" s="130" t="s">
        <v>419</v>
      </c>
      <c r="B40" s="125">
        <v>1720611951.727</v>
      </c>
      <c r="C40" s="125">
        <v>1720611951.727</v>
      </c>
      <c r="D40" s="126">
        <v>0</v>
      </c>
      <c r="E40" s="127">
        <v>1.7054836716625443E-2</v>
      </c>
      <c r="F40" s="126">
        <v>0</v>
      </c>
      <c r="G40" s="126">
        <v>0</v>
      </c>
      <c r="H40" s="145">
        <v>0</v>
      </c>
      <c r="I40" s="126">
        <v>1750465861.1672344</v>
      </c>
      <c r="J40" s="146">
        <v>1750465861.1672344</v>
      </c>
      <c r="K40" s="129"/>
      <c r="L40" s="129"/>
    </row>
    <row r="41" spans="1:16" x14ac:dyDescent="0.25">
      <c r="A41" s="130" t="s">
        <v>420</v>
      </c>
      <c r="B41" s="125">
        <v>103596479.89899999</v>
      </c>
      <c r="C41" s="125">
        <v>103596479.89899999</v>
      </c>
      <c r="D41" s="126">
        <v>0</v>
      </c>
      <c r="E41" s="127">
        <v>3.5383903239015149E-2</v>
      </c>
      <c r="F41" s="126">
        <v>0</v>
      </c>
      <c r="G41" s="126">
        <v>0</v>
      </c>
      <c r="H41" s="126">
        <v>0</v>
      </c>
      <c r="I41" s="126">
        <v>107396590.46418484</v>
      </c>
      <c r="J41" s="146">
        <v>107396590.46418484</v>
      </c>
      <c r="K41" s="129"/>
      <c r="L41" s="131"/>
    </row>
    <row r="42" spans="1:16" x14ac:dyDescent="0.25">
      <c r="A42" s="147" t="s">
        <v>412</v>
      </c>
      <c r="B42" s="117" t="s">
        <v>412</v>
      </c>
      <c r="C42" s="117" t="s">
        <v>412</v>
      </c>
      <c r="D42" s="117" t="s">
        <v>412</v>
      </c>
      <c r="E42" s="117" t="s">
        <v>412</v>
      </c>
      <c r="F42" s="117" t="s">
        <v>412</v>
      </c>
      <c r="G42" s="117" t="s">
        <v>412</v>
      </c>
      <c r="H42" s="117" t="s">
        <v>412</v>
      </c>
      <c r="I42" s="117" t="s">
        <v>412</v>
      </c>
      <c r="J42" s="118" t="s">
        <v>412</v>
      </c>
      <c r="K42" s="129"/>
      <c r="L42" s="129"/>
    </row>
    <row r="43" spans="1:16" x14ac:dyDescent="0.25">
      <c r="A43" s="114" t="s">
        <v>421</v>
      </c>
      <c r="B43" s="131">
        <v>2102073062.0639999</v>
      </c>
      <c r="C43" s="131">
        <v>2102073062.0639999</v>
      </c>
      <c r="D43" s="131">
        <v>0</v>
      </c>
      <c r="E43" s="131"/>
      <c r="F43" s="131">
        <v>0</v>
      </c>
      <c r="G43" s="131">
        <v>0</v>
      </c>
      <c r="H43" s="131">
        <v>0</v>
      </c>
      <c r="I43" s="132">
        <v>2140447568.8055859</v>
      </c>
      <c r="J43" s="133">
        <v>2140447568.8055859</v>
      </c>
      <c r="K43" s="119"/>
      <c r="L43" s="119"/>
    </row>
    <row r="44" spans="1:16" ht="15.75" thickBot="1" x14ac:dyDescent="0.3">
      <c r="A44" s="134"/>
      <c r="B44" s="148"/>
      <c r="C44" s="148"/>
      <c r="D44" s="148"/>
      <c r="E44" s="148"/>
      <c r="F44" s="148"/>
      <c r="G44" s="148"/>
      <c r="H44" s="148"/>
      <c r="I44" s="149"/>
      <c r="J44" s="150"/>
      <c r="K44" s="119"/>
      <c r="L44" s="119"/>
    </row>
    <row r="45" spans="1:16" x14ac:dyDescent="0.25">
      <c r="A45" s="116"/>
      <c r="B45" s="131"/>
      <c r="C45" s="131"/>
      <c r="D45" s="131"/>
      <c r="E45" s="131"/>
      <c r="F45" s="131"/>
      <c r="G45" s="131"/>
      <c r="H45" s="131"/>
      <c r="I45" s="132"/>
      <c r="J45" s="131"/>
      <c r="K45" s="119"/>
      <c r="L45" s="119"/>
    </row>
    <row r="46" spans="1:16" x14ac:dyDescent="0.25">
      <c r="A46" s="208" t="s">
        <v>422</v>
      </c>
      <c r="B46" s="131"/>
      <c r="C46" s="131"/>
      <c r="D46" s="131"/>
      <c r="E46" s="131"/>
      <c r="F46" s="131"/>
      <c r="G46" s="131"/>
      <c r="H46" s="131"/>
      <c r="I46" s="132"/>
      <c r="J46" s="131"/>
      <c r="K46" s="119"/>
      <c r="L46" s="119"/>
    </row>
    <row r="47" spans="1:16" x14ac:dyDescent="0.25">
      <c r="A47" s="208" t="s">
        <v>423</v>
      </c>
      <c r="B47" s="131"/>
      <c r="C47" s="131"/>
      <c r="D47" s="131"/>
      <c r="E47" s="131"/>
      <c r="F47" s="131"/>
      <c r="G47" s="131"/>
      <c r="H47" s="131"/>
      <c r="I47" s="132"/>
      <c r="J47" s="131"/>
      <c r="K47" s="119"/>
      <c r="L47" s="119"/>
    </row>
    <row r="48" spans="1:16" x14ac:dyDescent="0.25">
      <c r="A48" s="74"/>
      <c r="B48" s="209"/>
      <c r="C48" s="209"/>
      <c r="E48" s="74"/>
      <c r="F48" s="74"/>
      <c r="G48" s="74"/>
      <c r="H48" s="74"/>
      <c r="I48" s="74"/>
      <c r="J48" s="151"/>
      <c r="K48" s="74"/>
      <c r="L48" s="74"/>
    </row>
    <row r="84" spans="1:11" ht="15.75" x14ac:dyDescent="0.25">
      <c r="A84" s="94" t="s">
        <v>424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2"/>
    </row>
    <row r="85" spans="1:11" ht="15.75" x14ac:dyDescent="0.25">
      <c r="A85" s="94" t="s">
        <v>425</v>
      </c>
      <c r="B85" s="152"/>
      <c r="C85" s="152"/>
      <c r="D85" s="152"/>
      <c r="E85" s="152"/>
      <c r="F85" s="152"/>
      <c r="G85" s="152"/>
      <c r="H85" s="152"/>
      <c r="I85" s="152"/>
      <c r="J85" s="152"/>
      <c r="K85" s="152"/>
    </row>
    <row r="86" spans="1:11" ht="15.75" x14ac:dyDescent="0.25">
      <c r="A86" s="94"/>
      <c r="B86" s="152"/>
      <c r="C86" s="152"/>
      <c r="D86" s="152"/>
      <c r="E86" s="152"/>
      <c r="F86" s="152"/>
      <c r="G86" s="152"/>
      <c r="H86" s="152"/>
      <c r="I86" s="152"/>
      <c r="J86" s="152"/>
      <c r="K86" s="152"/>
    </row>
    <row r="87" spans="1:11" ht="15.75" thickBot="1" x14ac:dyDescent="0.3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</row>
    <row r="88" spans="1:11" ht="15.75" thickBot="1" x14ac:dyDescent="0.3">
      <c r="A88" s="93"/>
      <c r="B88" s="101"/>
      <c r="C88" s="152"/>
      <c r="D88" s="152"/>
      <c r="E88" s="152"/>
      <c r="F88" s="152"/>
      <c r="G88" s="152"/>
      <c r="H88" s="153" t="s">
        <v>426</v>
      </c>
      <c r="I88" s="154"/>
      <c r="J88" s="49" t="s">
        <v>427</v>
      </c>
      <c r="K88" s="50" t="s">
        <v>428</v>
      </c>
    </row>
    <row r="89" spans="1:11" x14ac:dyDescent="0.25">
      <c r="A89" s="97" t="s">
        <v>365</v>
      </c>
      <c r="B89" s="155">
        <v>22007938139</v>
      </c>
      <c r="C89" s="156"/>
      <c r="D89" s="156"/>
      <c r="E89" s="156"/>
      <c r="F89" s="156"/>
      <c r="G89" s="152"/>
      <c r="H89" s="157" t="s">
        <v>429</v>
      </c>
      <c r="I89" s="158"/>
      <c r="J89" s="52" t="s">
        <v>390</v>
      </c>
      <c r="K89" s="53" t="s">
        <v>430</v>
      </c>
    </row>
    <row r="90" spans="1:11" x14ac:dyDescent="0.25">
      <c r="A90" s="102" t="s">
        <v>431</v>
      </c>
      <c r="B90" s="159">
        <v>1606579484.1469998</v>
      </c>
      <c r="C90" s="101"/>
      <c r="D90" s="101"/>
      <c r="E90" s="101"/>
      <c r="F90" s="101"/>
      <c r="G90" s="152"/>
      <c r="H90" s="102" t="s">
        <v>432</v>
      </c>
      <c r="I90" s="160"/>
      <c r="J90" s="161">
        <v>3.047732061653087E-2</v>
      </c>
      <c r="K90" s="162">
        <v>6.9147310138769251E-3</v>
      </c>
    </row>
    <row r="91" spans="1:11" x14ac:dyDescent="0.25">
      <c r="A91" s="102" t="s">
        <v>433</v>
      </c>
      <c r="B91" s="163">
        <v>18880488.840606689</v>
      </c>
      <c r="C91" s="156"/>
      <c r="D91" s="156"/>
      <c r="E91" s="152"/>
      <c r="F91" s="101"/>
      <c r="G91" s="152"/>
      <c r="H91" s="102" t="s">
        <v>434</v>
      </c>
      <c r="I91" s="160"/>
      <c r="J91" s="161">
        <v>0.101328498667984</v>
      </c>
      <c r="K91" s="162">
        <v>4.9535101029060086E-2</v>
      </c>
    </row>
    <row r="92" spans="1:11" ht="15.75" thickBot="1" x14ac:dyDescent="0.3">
      <c r="A92" s="164" t="s">
        <v>435</v>
      </c>
      <c r="B92" s="165">
        <v>20382478166.012394</v>
      </c>
      <c r="C92" s="166"/>
      <c r="D92" s="101"/>
      <c r="E92" s="156"/>
      <c r="F92" s="101"/>
      <c r="G92" s="152"/>
      <c r="H92" s="167" t="s">
        <v>436</v>
      </c>
      <c r="I92" s="168"/>
      <c r="J92" s="169">
        <v>0.86819418071548504</v>
      </c>
      <c r="K92" s="170">
        <v>0.94355016795706304</v>
      </c>
    </row>
    <row r="93" spans="1:11" ht="15.75" thickBot="1" x14ac:dyDescent="0.3">
      <c r="A93" s="101"/>
      <c r="B93" s="152"/>
      <c r="C93" s="152"/>
      <c r="D93" s="152"/>
      <c r="E93" s="156"/>
      <c r="F93" s="101"/>
      <c r="G93" s="152"/>
      <c r="H93" s="106" t="s">
        <v>437</v>
      </c>
      <c r="I93" s="171"/>
      <c r="J93" s="172">
        <v>0.99999999999999989</v>
      </c>
      <c r="K93" s="173">
        <v>1</v>
      </c>
    </row>
    <row r="94" spans="1:11" x14ac:dyDescent="0.25">
      <c r="A94" s="93"/>
      <c r="B94" s="93"/>
      <c r="C94" s="93"/>
      <c r="D94" s="93"/>
      <c r="E94" s="93"/>
      <c r="F94" s="93"/>
      <c r="G94" s="93"/>
      <c r="H94" s="372"/>
      <c r="I94" s="372"/>
      <c r="J94" s="93"/>
      <c r="K94" s="93"/>
    </row>
    <row r="95" spans="1:11" x14ac:dyDescent="0.25">
      <c r="A95" s="152"/>
      <c r="B95" s="152"/>
      <c r="C95" s="152"/>
      <c r="D95" s="152"/>
      <c r="E95" s="152"/>
      <c r="F95" s="101"/>
      <c r="G95" s="152"/>
      <c r="H95" s="93"/>
      <c r="I95" s="152"/>
      <c r="J95" s="152"/>
      <c r="K95" s="152"/>
    </row>
    <row r="96" spans="1:11" ht="15.75" thickBot="1" x14ac:dyDescent="0.3">
      <c r="A96" s="74"/>
      <c r="B96" s="74"/>
      <c r="C96" s="80"/>
      <c r="D96" s="80"/>
      <c r="E96" s="74"/>
      <c r="F96" s="74"/>
      <c r="G96" s="80"/>
      <c r="H96" s="74"/>
      <c r="I96" s="74"/>
      <c r="J96" s="74"/>
      <c r="K96" s="74"/>
    </row>
    <row r="97" spans="1:11" x14ac:dyDescent="0.25">
      <c r="A97" s="174" t="s">
        <v>438</v>
      </c>
      <c r="B97" s="175" t="s">
        <v>439</v>
      </c>
      <c r="C97" s="175" t="s">
        <v>440</v>
      </c>
      <c r="D97" s="175" t="s">
        <v>441</v>
      </c>
      <c r="E97" s="175" t="s">
        <v>442</v>
      </c>
      <c r="F97" s="175" t="s">
        <v>443</v>
      </c>
      <c r="G97" s="175" t="s">
        <v>444</v>
      </c>
      <c r="H97" s="175" t="s">
        <v>445</v>
      </c>
      <c r="I97" s="175" t="s">
        <v>446</v>
      </c>
      <c r="J97" s="175" t="s">
        <v>447</v>
      </c>
      <c r="K97" s="176" t="s">
        <v>448</v>
      </c>
    </row>
    <row r="98" spans="1:11" x14ac:dyDescent="0.25">
      <c r="A98" s="177"/>
      <c r="B98" s="178"/>
      <c r="C98" s="178"/>
      <c r="D98" s="178"/>
      <c r="E98" s="178"/>
      <c r="F98" s="178" t="s">
        <v>449</v>
      </c>
      <c r="G98" s="178" t="s">
        <v>449</v>
      </c>
      <c r="H98" s="178" t="s">
        <v>449</v>
      </c>
      <c r="I98" s="178"/>
      <c r="J98" s="178" t="s">
        <v>385</v>
      </c>
      <c r="K98" s="179" t="s">
        <v>389</v>
      </c>
    </row>
    <row r="99" spans="1:11" x14ac:dyDescent="0.25">
      <c r="A99" s="177"/>
      <c r="B99" s="178" t="s">
        <v>387</v>
      </c>
      <c r="C99" s="178" t="s">
        <v>450</v>
      </c>
      <c r="D99" s="178" t="s">
        <v>449</v>
      </c>
      <c r="E99" s="178" t="s">
        <v>157</v>
      </c>
      <c r="F99" s="178" t="s">
        <v>451</v>
      </c>
      <c r="G99" s="178" t="s">
        <v>451</v>
      </c>
      <c r="H99" s="178" t="s">
        <v>451</v>
      </c>
      <c r="I99" s="178" t="s">
        <v>452</v>
      </c>
      <c r="J99" s="178" t="s">
        <v>391</v>
      </c>
      <c r="K99" s="179" t="s">
        <v>385</v>
      </c>
    </row>
    <row r="100" spans="1:11" x14ac:dyDescent="0.25">
      <c r="A100" s="177" t="s">
        <v>393</v>
      </c>
      <c r="B100" s="178" t="s">
        <v>453</v>
      </c>
      <c r="C100" s="178" t="s">
        <v>400</v>
      </c>
      <c r="D100" s="178" t="s">
        <v>454</v>
      </c>
      <c r="E100" s="178" t="s">
        <v>455</v>
      </c>
      <c r="F100" s="178" t="s">
        <v>456</v>
      </c>
      <c r="G100" s="178" t="s">
        <v>457</v>
      </c>
      <c r="H100" s="178" t="s">
        <v>458</v>
      </c>
      <c r="I100" s="178" t="s">
        <v>400</v>
      </c>
      <c r="J100" s="178" t="s">
        <v>397</v>
      </c>
      <c r="K100" s="179" t="s">
        <v>164</v>
      </c>
    </row>
    <row r="101" spans="1:11" x14ac:dyDescent="0.25">
      <c r="A101" s="113"/>
      <c r="B101" s="14"/>
      <c r="C101" s="14"/>
      <c r="D101" s="14"/>
      <c r="E101" s="14"/>
      <c r="F101" s="14"/>
      <c r="G101" s="14"/>
      <c r="H101" s="14"/>
      <c r="I101" s="14"/>
      <c r="J101" s="178" t="s">
        <v>400</v>
      </c>
      <c r="K101" s="180"/>
    </row>
    <row r="102" spans="1:11" x14ac:dyDescent="0.25">
      <c r="A102" s="114"/>
      <c r="B102" s="116"/>
      <c r="C102" s="117" t="s">
        <v>459</v>
      </c>
      <c r="D102" s="116" t="s">
        <v>460</v>
      </c>
      <c r="E102" s="117" t="s">
        <v>461</v>
      </c>
      <c r="F102" s="117" t="s">
        <v>462</v>
      </c>
      <c r="G102" s="116" t="s">
        <v>460</v>
      </c>
      <c r="H102" s="117" t="s">
        <v>463</v>
      </c>
      <c r="I102" s="116" t="s">
        <v>464</v>
      </c>
      <c r="J102" s="117" t="s">
        <v>465</v>
      </c>
      <c r="K102" s="118" t="s">
        <v>466</v>
      </c>
    </row>
    <row r="103" spans="1:11" x14ac:dyDescent="0.25">
      <c r="A103" s="114"/>
      <c r="B103" s="116"/>
      <c r="C103" s="117" t="s">
        <v>467</v>
      </c>
      <c r="D103" s="116"/>
      <c r="E103" s="117"/>
      <c r="F103" s="117"/>
      <c r="G103" s="116"/>
      <c r="H103" s="117"/>
      <c r="I103" s="116" t="s">
        <v>468</v>
      </c>
      <c r="J103" s="117"/>
      <c r="K103" s="118"/>
    </row>
    <row r="104" spans="1:11" x14ac:dyDescent="0.25">
      <c r="A104" s="120" t="s">
        <v>412</v>
      </c>
      <c r="B104" s="121" t="s">
        <v>412</v>
      </c>
      <c r="C104" s="121" t="s">
        <v>412</v>
      </c>
      <c r="D104" s="121" t="s">
        <v>412</v>
      </c>
      <c r="E104" s="121" t="s">
        <v>412</v>
      </c>
      <c r="F104" s="121" t="s">
        <v>412</v>
      </c>
      <c r="G104" s="121" t="s">
        <v>412</v>
      </c>
      <c r="H104" s="121" t="s">
        <v>412</v>
      </c>
      <c r="I104" s="121" t="s">
        <v>469</v>
      </c>
      <c r="J104" s="121" t="s">
        <v>412</v>
      </c>
      <c r="K104" s="122" t="s">
        <v>412</v>
      </c>
    </row>
    <row r="105" spans="1:11" x14ac:dyDescent="0.25">
      <c r="A105" s="124" t="s">
        <v>415</v>
      </c>
      <c r="B105" s="126">
        <v>10208761476.354383</v>
      </c>
      <c r="C105" s="126">
        <v>9456475.5846091062</v>
      </c>
      <c r="D105" s="126">
        <v>1596531.0833333333</v>
      </c>
      <c r="E105" s="126">
        <v>1163276.17849943</v>
      </c>
      <c r="F105" s="181">
        <v>0.72862732873992797</v>
      </c>
      <c r="G105" s="126">
        <v>241622.16666666666</v>
      </c>
      <c r="H105" s="126">
        <v>1542220021.4371381</v>
      </c>
      <c r="I105" s="126">
        <v>882118531.15433276</v>
      </c>
      <c r="J105" s="126">
        <v>11100336483.093327</v>
      </c>
      <c r="K105" s="182">
        <v>7.9467728973609736E-2</v>
      </c>
    </row>
    <row r="106" spans="1:11" x14ac:dyDescent="0.25">
      <c r="A106" s="130">
        <v>24</v>
      </c>
      <c r="B106" s="126">
        <v>2724602308.1630082</v>
      </c>
      <c r="C106" s="126">
        <v>2523825.7612924469</v>
      </c>
      <c r="D106" s="126">
        <v>374204.91666666669</v>
      </c>
      <c r="E106" s="126">
        <v>310465.17918081745</v>
      </c>
      <c r="F106" s="181">
        <v>0.82966622124148315</v>
      </c>
      <c r="G106" s="126">
        <v>55871.166666666664</v>
      </c>
      <c r="H106" s="126">
        <v>406064716.78825325</v>
      </c>
      <c r="I106" s="126">
        <v>232260771.19207883</v>
      </c>
      <c r="J106" s="126">
        <v>2959386905.1163797</v>
      </c>
      <c r="K106" s="182">
        <v>7.8482732619560958E-2</v>
      </c>
    </row>
    <row r="107" spans="1:11" x14ac:dyDescent="0.25">
      <c r="A107" s="130">
        <v>25</v>
      </c>
      <c r="B107" s="126">
        <v>2805029593.5689993</v>
      </c>
      <c r="C107" s="126">
        <v>2598326.3422434032</v>
      </c>
      <c r="D107" s="126">
        <v>390998.58333333331</v>
      </c>
      <c r="E107" s="126">
        <v>319629.77230319247</v>
      </c>
      <c r="F107" s="181">
        <v>0.81747041019507316</v>
      </c>
      <c r="G107" s="126">
        <v>57870.916666666664</v>
      </c>
      <c r="H107" s="126">
        <v>414415994.99617642</v>
      </c>
      <c r="I107" s="126">
        <v>237037532.72002834</v>
      </c>
      <c r="J107" s="126">
        <v>3044665452.6312709</v>
      </c>
      <c r="K107" s="182">
        <v>7.7853391910488873E-2</v>
      </c>
    </row>
    <row r="108" spans="1:11" x14ac:dyDescent="0.25">
      <c r="A108" s="130">
        <v>26</v>
      </c>
      <c r="B108" s="126">
        <v>1868458845.7140005</v>
      </c>
      <c r="C108" s="126">
        <v>1730771.7000016626</v>
      </c>
      <c r="D108" s="126">
        <v>245143.25</v>
      </c>
      <c r="E108" s="126">
        <v>212908.65407718605</v>
      </c>
      <c r="F108" s="181">
        <v>0.86850710381454943</v>
      </c>
      <c r="G108" s="126">
        <v>36011.25</v>
      </c>
      <c r="H108" s="126">
        <v>273977991.63403726</v>
      </c>
      <c r="I108" s="126">
        <v>156709846.9669829</v>
      </c>
      <c r="J108" s="126">
        <v>2026899464.380985</v>
      </c>
      <c r="K108" s="182">
        <v>7.7315056676894464E-2</v>
      </c>
    </row>
    <row r="109" spans="1:11" x14ac:dyDescent="0.25">
      <c r="A109" s="130">
        <v>29</v>
      </c>
      <c r="B109" s="126">
        <v>14242753.409000002</v>
      </c>
      <c r="C109" s="126">
        <v>13193.201759270998</v>
      </c>
      <c r="D109" s="126">
        <v>1722.75</v>
      </c>
      <c r="E109" s="126">
        <v>1622.9447416620301</v>
      </c>
      <c r="F109" s="181">
        <v>0.94206631354638226</v>
      </c>
      <c r="G109" s="126">
        <v>243.75</v>
      </c>
      <c r="H109" s="126">
        <v>2011547.0959999126</v>
      </c>
      <c r="I109" s="126">
        <v>1150564.0861915972</v>
      </c>
      <c r="J109" s="126">
        <v>15406510.69695087</v>
      </c>
      <c r="K109" s="182">
        <v>7.468038083531188E-2</v>
      </c>
    </row>
    <row r="110" spans="1:11" x14ac:dyDescent="0.25">
      <c r="A110" s="124">
        <v>31</v>
      </c>
      <c r="B110" s="126">
        <v>1271891747.5769999</v>
      </c>
      <c r="C110" s="126">
        <v>1178165.7633089151</v>
      </c>
      <c r="D110" s="126">
        <v>163580.33333333334</v>
      </c>
      <c r="E110" s="126">
        <v>144930.54568992587</v>
      </c>
      <c r="F110" s="181">
        <v>0.88599003765688533</v>
      </c>
      <c r="G110" s="126">
        <v>11025.5</v>
      </c>
      <c r="H110" s="126">
        <v>85571912.483229265</v>
      </c>
      <c r="I110" s="126">
        <v>48945396.051486872</v>
      </c>
      <c r="J110" s="126">
        <v>1322015309.3917959</v>
      </c>
      <c r="K110" s="182">
        <v>3.702332015656052E-2</v>
      </c>
    </row>
    <row r="111" spans="1:11" x14ac:dyDescent="0.25">
      <c r="A111" s="124">
        <v>35</v>
      </c>
      <c r="B111" s="126">
        <v>4429100.4000000004</v>
      </c>
      <c r="C111" s="126">
        <v>4102.7190116444344</v>
      </c>
      <c r="D111" s="126">
        <v>528.91666666666663</v>
      </c>
      <c r="E111" s="126">
        <v>504.69070116252789</v>
      </c>
      <c r="F111" s="181">
        <v>0.95419700865768631</v>
      </c>
      <c r="G111" s="126">
        <v>33.75</v>
      </c>
      <c r="H111" s="126">
        <v>282108.34560964495</v>
      </c>
      <c r="I111" s="126">
        <v>161360.24432082128</v>
      </c>
      <c r="J111" s="126">
        <v>4594563.3633324662</v>
      </c>
      <c r="K111" s="182">
        <v>3.5119821310677424E-2</v>
      </c>
    </row>
    <row r="112" spans="1:11" x14ac:dyDescent="0.25">
      <c r="A112" s="124">
        <v>40</v>
      </c>
      <c r="B112" s="126">
        <v>665910607.83399987</v>
      </c>
      <c r="C112" s="126">
        <v>616839.50781884557</v>
      </c>
      <c r="D112" s="126">
        <v>87075.5</v>
      </c>
      <c r="E112" s="126">
        <v>75879.718504305405</v>
      </c>
      <c r="F112" s="181">
        <v>0.87142443631452482</v>
      </c>
      <c r="G112" s="126">
        <v>5861.083333333333</v>
      </c>
      <c r="H112" s="126">
        <v>44741623.26189591</v>
      </c>
      <c r="I112" s="126">
        <v>25591299.843498275</v>
      </c>
      <c r="J112" s="126">
        <v>692118747.18531692</v>
      </c>
      <c r="K112" s="182">
        <v>3.6975302211610411E-2</v>
      </c>
    </row>
    <row r="113" spans="1:11" x14ac:dyDescent="0.25">
      <c r="A113" s="130">
        <v>43</v>
      </c>
      <c r="B113" s="126">
        <v>116295695.25500003</v>
      </c>
      <c r="C113" s="126">
        <v>107725.83974278298</v>
      </c>
      <c r="D113" s="126">
        <v>23842.5</v>
      </c>
      <c r="E113" s="126">
        <v>13251.755589110064</v>
      </c>
      <c r="F113" s="181">
        <v>0.555803946277029</v>
      </c>
      <c r="G113" s="126">
        <v>1656.0833333333333</v>
      </c>
      <c r="H113" s="126">
        <v>8063209.0317852795</v>
      </c>
      <c r="I113" s="126">
        <v>4611991.8096256526</v>
      </c>
      <c r="J113" s="126">
        <v>121015412.90436846</v>
      </c>
      <c r="K113" s="182">
        <v>3.8110780262926053E-2</v>
      </c>
    </row>
    <row r="114" spans="1:11" x14ac:dyDescent="0.25">
      <c r="A114" s="130">
        <v>46</v>
      </c>
      <c r="B114" s="126">
        <v>57454342.252000004</v>
      </c>
      <c r="C114" s="126">
        <v>53220.519060440914</v>
      </c>
      <c r="D114" s="126">
        <v>6545.5</v>
      </c>
      <c r="E114" s="126">
        <v>6546.853685230014</v>
      </c>
      <c r="F114" s="181">
        <v>1.0002068115850606</v>
      </c>
      <c r="G114" s="126">
        <v>206.08333333333334</v>
      </c>
      <c r="H114" s="126">
        <v>1805663.3548863942</v>
      </c>
      <c r="I114" s="126">
        <v>1032802.7675890955</v>
      </c>
      <c r="J114" s="126">
        <v>58540365.538649537</v>
      </c>
      <c r="K114" s="182">
        <v>1.7642574624977668E-2</v>
      </c>
    </row>
    <row r="115" spans="1:11" x14ac:dyDescent="0.25">
      <c r="A115" s="130">
        <v>49</v>
      </c>
      <c r="B115" s="126">
        <v>563748979.77299988</v>
      </c>
      <c r="C115" s="126">
        <v>522206.19273156236</v>
      </c>
      <c r="D115" s="126">
        <v>68869.916666666672</v>
      </c>
      <c r="E115" s="126">
        <v>64238.522992455772</v>
      </c>
      <c r="F115" s="181">
        <v>0.93275157139180165</v>
      </c>
      <c r="G115" s="126">
        <v>2156</v>
      </c>
      <c r="H115" s="126">
        <v>17616468.518185545</v>
      </c>
      <c r="I115" s="126">
        <v>10076262.217700556</v>
      </c>
      <c r="J115" s="126">
        <v>574347448.1834321</v>
      </c>
      <c r="K115" s="182">
        <v>1.754384432205652E-2</v>
      </c>
    </row>
    <row r="116" spans="1:11" x14ac:dyDescent="0.25">
      <c r="A116" s="130" t="s">
        <v>416</v>
      </c>
      <c r="B116" s="126">
        <v>6798760.6290000007</v>
      </c>
      <c r="C116" s="126">
        <v>6297.7584541136102</v>
      </c>
      <c r="D116" s="126">
        <v>838.33333333333337</v>
      </c>
      <c r="E116" s="126">
        <v>774.71065430943918</v>
      </c>
      <c r="F116" s="181">
        <v>0.92410813635320777</v>
      </c>
      <c r="G116" s="126">
        <v>58.75</v>
      </c>
      <c r="H116" s="126">
        <v>475592.25237417832</v>
      </c>
      <c r="I116" s="126">
        <v>272029.10950523615</v>
      </c>
      <c r="J116" s="126">
        <v>7077087.4969593501</v>
      </c>
      <c r="K116" s="182">
        <v>3.8438002868003633E-2</v>
      </c>
    </row>
    <row r="117" spans="1:11" x14ac:dyDescent="0.25">
      <c r="A117" s="124" t="s">
        <v>470</v>
      </c>
      <c r="B117" s="126">
        <v>74853955.083000004</v>
      </c>
      <c r="C117" s="126">
        <v>69337.950572491565</v>
      </c>
      <c r="D117" s="126">
        <v>6785.5833333333339</v>
      </c>
      <c r="E117" s="126">
        <v>8529.5187879750101</v>
      </c>
      <c r="F117" s="181">
        <v>1.25700597413266</v>
      </c>
      <c r="G117" s="126">
        <v>1049.6666666666665</v>
      </c>
      <c r="H117" s="126">
        <v>11558270.492627738</v>
      </c>
      <c r="I117" s="126">
        <v>6611095.9836587962</v>
      </c>
      <c r="J117" s="126">
        <v>81534389.017231286</v>
      </c>
      <c r="K117" s="182">
        <v>8.1083528844027059E-2</v>
      </c>
    </row>
    <row r="118" spans="1:11" x14ac:dyDescent="0.25">
      <c r="A118" s="120" t="s">
        <v>412</v>
      </c>
      <c r="B118" s="121" t="s">
        <v>412</v>
      </c>
      <c r="C118" s="121" t="s">
        <v>412</v>
      </c>
      <c r="D118" s="121" t="s">
        <v>412</v>
      </c>
      <c r="E118" s="121" t="s">
        <v>412</v>
      </c>
      <c r="F118" s="121" t="s">
        <v>412</v>
      </c>
      <c r="G118" s="121" t="s">
        <v>412</v>
      </c>
      <c r="H118" s="121" t="s">
        <v>412</v>
      </c>
      <c r="I118" s="121" t="s">
        <v>469</v>
      </c>
      <c r="J118" s="121" t="s">
        <v>412</v>
      </c>
      <c r="K118" s="122" t="s">
        <v>412</v>
      </c>
    </row>
    <row r="119" spans="1:11" x14ac:dyDescent="0.25">
      <c r="A119" s="114" t="s">
        <v>12</v>
      </c>
      <c r="B119" s="131">
        <v>20382478166.012394</v>
      </c>
      <c r="C119" s="183">
        <v>18880488.840606689</v>
      </c>
      <c r="D119" s="131">
        <v>2966667.166666667</v>
      </c>
      <c r="E119" s="131">
        <v>2322559.045406762</v>
      </c>
      <c r="F119" s="184">
        <v>0.78288493953852545</v>
      </c>
      <c r="G119" s="131">
        <v>413666.16666666663</v>
      </c>
      <c r="H119" s="131">
        <v>2808805119.6921992</v>
      </c>
      <c r="I119" s="131">
        <v>1606579484.1469998</v>
      </c>
      <c r="J119" s="131">
        <v>22007938139</v>
      </c>
      <c r="K119" s="185">
        <v>7.2999999999999995E-2</v>
      </c>
    </row>
    <row r="120" spans="1:11" ht="15.75" thickBot="1" x14ac:dyDescent="0.3">
      <c r="A120" s="134"/>
      <c r="B120" s="135"/>
      <c r="C120" s="135"/>
      <c r="D120" s="135"/>
      <c r="E120" s="135"/>
      <c r="F120" s="135"/>
      <c r="G120" s="135"/>
      <c r="H120" s="136"/>
      <c r="I120" s="135"/>
      <c r="J120" s="135"/>
      <c r="K120" s="137"/>
    </row>
    <row r="121" spans="1:11" x14ac:dyDescent="0.25">
      <c r="A121" s="114"/>
      <c r="B121" s="116"/>
      <c r="C121" s="116"/>
      <c r="D121" s="116"/>
      <c r="E121" s="116"/>
      <c r="F121" s="116"/>
      <c r="G121" s="116"/>
      <c r="H121" s="186"/>
      <c r="I121" s="116"/>
      <c r="J121" s="116"/>
      <c r="K121" s="116"/>
    </row>
    <row r="122" spans="1:11" x14ac:dyDescent="0.25">
      <c r="A122" s="114"/>
      <c r="B122" s="116"/>
      <c r="C122" s="116"/>
      <c r="D122" s="116"/>
      <c r="E122" s="116"/>
      <c r="F122" s="116"/>
      <c r="G122" s="116"/>
      <c r="H122" s="186"/>
      <c r="I122" s="116"/>
      <c r="J122" s="116"/>
      <c r="K122" s="116"/>
    </row>
    <row r="123" spans="1:11" ht="15.75" thickBot="1" x14ac:dyDescent="0.3">
      <c r="A123" s="187" t="s">
        <v>418</v>
      </c>
      <c r="B123" s="116"/>
      <c r="C123" s="116"/>
      <c r="D123" s="80"/>
      <c r="E123" s="116"/>
      <c r="F123" s="116"/>
      <c r="G123" s="80"/>
      <c r="H123" s="186"/>
      <c r="I123" s="116"/>
      <c r="J123" s="116"/>
      <c r="K123" s="116"/>
    </row>
    <row r="124" spans="1:11" x14ac:dyDescent="0.25">
      <c r="A124" s="140">
        <v>459</v>
      </c>
      <c r="B124" s="142">
        <v>277864630.43800002</v>
      </c>
      <c r="C124" s="142">
        <v>0</v>
      </c>
      <c r="D124" s="142">
        <v>33349.677499999998</v>
      </c>
      <c r="E124" s="142">
        <v>31633.040805783246</v>
      </c>
      <c r="F124" s="188">
        <v>0.9485261380948361</v>
      </c>
      <c r="G124" s="142">
        <v>568.11122776207412</v>
      </c>
      <c r="H124" s="142">
        <v>4720486.7361666895</v>
      </c>
      <c r="I124" s="142">
        <v>4720486.7361666895</v>
      </c>
      <c r="J124" s="142">
        <v>282585117.17416674</v>
      </c>
      <c r="K124" s="189">
        <v>1.6704654453749218E-2</v>
      </c>
    </row>
    <row r="125" spans="1:11" x14ac:dyDescent="0.25">
      <c r="A125" s="130" t="s">
        <v>419</v>
      </c>
      <c r="B125" s="126">
        <v>1720611951.727</v>
      </c>
      <c r="C125" s="126">
        <v>0</v>
      </c>
      <c r="D125" s="126">
        <v>202197.85416666672</v>
      </c>
      <c r="E125" s="126">
        <v>195880.23129861112</v>
      </c>
      <c r="F125" s="181">
        <v>0.96875524275916336</v>
      </c>
      <c r="G125" s="126">
        <v>3517.8963470697345</v>
      </c>
      <c r="H125" s="126">
        <v>29853909.440234326</v>
      </c>
      <c r="I125" s="126">
        <v>29853909.440234326</v>
      </c>
      <c r="J125" s="126">
        <v>1750465861.1672344</v>
      </c>
      <c r="K125" s="182">
        <v>1.7054836716625443E-2</v>
      </c>
    </row>
    <row r="126" spans="1:11" x14ac:dyDescent="0.25">
      <c r="A126" s="130" t="s">
        <v>420</v>
      </c>
      <c r="B126" s="126">
        <v>103596479.89899999</v>
      </c>
      <c r="C126" s="126">
        <v>0</v>
      </c>
      <c r="D126" s="126">
        <v>12327.4375</v>
      </c>
      <c r="E126" s="126">
        <v>11793.770480305098</v>
      </c>
      <c r="F126" s="181">
        <v>0.95670900625576871</v>
      </c>
      <c r="G126" s="126">
        <v>453.43210223566166</v>
      </c>
      <c r="H126" s="126">
        <v>3800110.565184853</v>
      </c>
      <c r="I126" s="126">
        <v>3800110.565184853</v>
      </c>
      <c r="J126" s="126">
        <v>107396590.46418484</v>
      </c>
      <c r="K126" s="182">
        <v>3.5383903239015149E-2</v>
      </c>
    </row>
    <row r="127" spans="1:11" x14ac:dyDescent="0.25">
      <c r="A127" s="147" t="s">
        <v>412</v>
      </c>
      <c r="B127" s="190" t="s">
        <v>412</v>
      </c>
      <c r="C127" s="190" t="s">
        <v>412</v>
      </c>
      <c r="D127" s="190" t="s">
        <v>412</v>
      </c>
      <c r="E127" s="190" t="s">
        <v>412</v>
      </c>
      <c r="F127" s="190" t="s">
        <v>412</v>
      </c>
      <c r="G127" s="190" t="s">
        <v>412</v>
      </c>
      <c r="H127" s="190" t="s">
        <v>412</v>
      </c>
      <c r="I127" s="190" t="s">
        <v>469</v>
      </c>
      <c r="J127" s="190" t="s">
        <v>412</v>
      </c>
      <c r="K127" s="191" t="s">
        <v>412</v>
      </c>
    </row>
    <row r="128" spans="1:11" x14ac:dyDescent="0.25">
      <c r="A128" s="114" t="s">
        <v>421</v>
      </c>
      <c r="B128" s="131">
        <v>2102073062.0639999</v>
      </c>
      <c r="C128" s="183">
        <v>0</v>
      </c>
      <c r="D128" s="131">
        <v>247874.96916666671</v>
      </c>
      <c r="E128" s="131">
        <v>239307.04258469946</v>
      </c>
      <c r="F128" s="184">
        <v>0.96543448251038888</v>
      </c>
      <c r="G128" s="131">
        <v>4539.4396770674703</v>
      </c>
      <c r="H128" s="131">
        <v>38374506.741585873</v>
      </c>
      <c r="I128" s="131">
        <v>38374506.741585873</v>
      </c>
      <c r="J128" s="131">
        <v>2140447568.8055859</v>
      </c>
      <c r="K128" s="185">
        <v>1.8255553260316467E-2</v>
      </c>
    </row>
    <row r="129" spans="1:11" ht="15.75" thickBot="1" x14ac:dyDescent="0.3">
      <c r="A129" s="134"/>
      <c r="B129" s="135"/>
      <c r="C129" s="135"/>
      <c r="D129" s="135"/>
      <c r="E129" s="135"/>
      <c r="F129" s="135"/>
      <c r="G129" s="135"/>
      <c r="H129" s="136"/>
      <c r="I129" s="135"/>
      <c r="J129" s="135"/>
      <c r="K129" s="137"/>
    </row>
    <row r="130" spans="1:11" x14ac:dyDescent="0.25">
      <c r="A130" s="116"/>
      <c r="B130" s="116"/>
      <c r="C130" s="116"/>
      <c r="D130" s="116"/>
      <c r="E130" s="116"/>
      <c r="F130" s="116"/>
      <c r="G130" s="116"/>
      <c r="H130" s="186"/>
      <c r="I130" s="116"/>
      <c r="J130" s="116"/>
      <c r="K130" s="116"/>
    </row>
    <row r="131" spans="1:11" x14ac:dyDescent="0.25">
      <c r="A131" s="40" t="s">
        <v>471</v>
      </c>
      <c r="B131" s="116"/>
      <c r="C131" s="116"/>
      <c r="D131" s="116"/>
      <c r="E131" s="116"/>
      <c r="F131" s="116"/>
      <c r="G131" s="116"/>
      <c r="H131" s="186"/>
      <c r="I131" s="116"/>
      <c r="J131" s="116"/>
      <c r="K131" s="116"/>
    </row>
    <row r="132" spans="1:11" x14ac:dyDescent="0.25">
      <c r="A132" s="93" t="s">
        <v>472</v>
      </c>
      <c r="B132" s="74"/>
      <c r="C132" s="74"/>
      <c r="D132" s="74"/>
      <c r="E132" s="74"/>
      <c r="F132" s="74"/>
      <c r="G132" s="74"/>
      <c r="H132" s="74"/>
      <c r="I132" s="74"/>
      <c r="J132" s="74"/>
      <c r="K132" s="74"/>
    </row>
    <row r="133" spans="1:11" x14ac:dyDescent="0.25">
      <c r="A133" s="93" t="s">
        <v>473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</row>
    <row r="134" spans="1:1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</row>
    <row r="135" spans="1:1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</row>
    <row r="136" spans="1:11" x14ac:dyDescent="0.25">
      <c r="A136" s="74" t="s">
        <v>474</v>
      </c>
      <c r="B136" s="210">
        <v>17695948932.292393</v>
      </c>
      <c r="C136" s="210">
        <v>16391930.54047838</v>
      </c>
      <c r="D136" s="210">
        <v>2615386.166666667</v>
      </c>
      <c r="E136" s="131">
        <v>2016432.2475902631</v>
      </c>
      <c r="F136" s="184">
        <v>0.77098834324730869</v>
      </c>
      <c r="G136" s="210">
        <v>392668.91666666669</v>
      </c>
      <c r="H136" s="210">
        <v>2650248542.4442325</v>
      </c>
      <c r="I136" s="210">
        <v>1515888342.1032734</v>
      </c>
      <c r="J136" s="131">
        <v>19228229204.936142</v>
      </c>
      <c r="K136" s="211">
        <v>7.8836606634277315E-2</v>
      </c>
    </row>
    <row r="137" spans="1:11" x14ac:dyDescent="0.25">
      <c r="A137" s="74" t="s">
        <v>475</v>
      </c>
      <c r="B137" s="210">
        <v>2065325911.6949999</v>
      </c>
      <c r="C137" s="210">
        <v>1913131.5883363015</v>
      </c>
      <c r="D137" s="210">
        <v>275865.58333333331</v>
      </c>
      <c r="E137" s="131">
        <v>235341.42113881331</v>
      </c>
      <c r="F137" s="184">
        <v>0.85310178346693599</v>
      </c>
      <c r="G137" s="210">
        <v>18635.166666666664</v>
      </c>
      <c r="H137" s="210">
        <v>139134445.37489426</v>
      </c>
      <c r="I137" s="210">
        <v>79582077.058436871</v>
      </c>
      <c r="J137" s="131">
        <v>2146821120.341773</v>
      </c>
      <c r="K137" s="211">
        <v>3.7069728960821585E-2</v>
      </c>
    </row>
    <row r="138" spans="1:11" x14ac:dyDescent="0.25">
      <c r="A138" s="212" t="s">
        <v>476</v>
      </c>
      <c r="B138" s="213">
        <v>621203322.02499986</v>
      </c>
      <c r="C138" s="213">
        <v>575426.71179200325</v>
      </c>
      <c r="D138" s="213">
        <v>75415.416666666672</v>
      </c>
      <c r="E138" s="145">
        <v>70785.376677685781</v>
      </c>
      <c r="F138" s="214">
        <v>0.93860618698898801</v>
      </c>
      <c r="G138" s="213">
        <v>2362.0833333333335</v>
      </c>
      <c r="H138" s="213">
        <v>19422131.873071939</v>
      </c>
      <c r="I138" s="213">
        <v>11109064.985289652</v>
      </c>
      <c r="J138" s="145">
        <v>632887813.72208154</v>
      </c>
      <c r="K138" s="215">
        <v>1.7552976600949292E-2</v>
      </c>
    </row>
    <row r="139" spans="1:11" x14ac:dyDescent="0.25">
      <c r="A139" s="74" t="s">
        <v>12</v>
      </c>
      <c r="B139" s="210">
        <v>20382478166.012394</v>
      </c>
      <c r="C139" s="210">
        <v>18880488.840606686</v>
      </c>
      <c r="D139" s="210">
        <v>2966667.166666667</v>
      </c>
      <c r="E139" s="210">
        <v>2322559.0454067625</v>
      </c>
      <c r="F139" s="210"/>
      <c r="G139" s="210">
        <v>413666.16666666669</v>
      </c>
      <c r="H139" s="210">
        <v>2808805119.6921988</v>
      </c>
      <c r="I139" s="210">
        <v>1606579484.1469998</v>
      </c>
      <c r="J139" s="210">
        <v>22007938138.999996</v>
      </c>
      <c r="K139" s="74"/>
    </row>
  </sheetData>
  <mergeCells count="2">
    <mergeCell ref="N11:P11"/>
    <mergeCell ref="H94:I94"/>
  </mergeCells>
  <printOptions horizontalCentered="1"/>
  <pageMargins left="0.7" right="0.7" top="0.75" bottom="0.75" header="0.3" footer="0.3"/>
  <pageSetup scale="60" fitToHeight="0" orientation="landscape" r:id="rId1"/>
  <headerFooter>
    <oddFooter>&amp;L&amp;"Times New Roman,Regular"&amp;F
&amp;A&amp;R&amp;"Times New Roman,Regular"Schedule 95A Filing Eff 1-1-19
Page &amp;P of &amp;N</oddFooter>
  </headerFooter>
  <rowBreaks count="2" manualBreakCount="2">
    <brk id="48" max="10" man="1"/>
    <brk id="8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Normal="100" workbookViewId="0">
      <pane xSplit="3" ySplit="6" topLeftCell="D7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9.140625" defaultRowHeight="12.75" x14ac:dyDescent="0.2"/>
  <cols>
    <col min="1" max="1" width="7.85546875" style="15" bestFit="1" customWidth="1"/>
    <col min="2" max="2" width="29.28515625" style="14" bestFit="1" customWidth="1"/>
    <col min="3" max="3" width="11" style="15" customWidth="1"/>
    <col min="4" max="5" width="15" style="88" bestFit="1" customWidth="1"/>
    <col min="6" max="6" width="11.5703125" style="88" bestFit="1" customWidth="1"/>
    <col min="7" max="7" width="11.7109375" style="14" bestFit="1" customWidth="1"/>
    <col min="8" max="8" width="15" style="14" bestFit="1" customWidth="1"/>
    <col min="9" max="9" width="15" style="88" bestFit="1" customWidth="1"/>
    <col min="10" max="10" width="13.28515625" style="14" bestFit="1" customWidth="1"/>
    <col min="11" max="16384" width="9.140625" style="14"/>
  </cols>
  <sheetData>
    <row r="1" spans="1:11" x14ac:dyDescent="0.2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x14ac:dyDescent="0.2">
      <c r="A2" s="10" t="s">
        <v>84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">
      <c r="A3" s="13"/>
      <c r="K3" s="16"/>
    </row>
    <row r="4" spans="1:11" x14ac:dyDescent="0.2">
      <c r="A4" s="17"/>
      <c r="B4" s="18"/>
      <c r="C4" s="18"/>
      <c r="D4" s="19"/>
      <c r="E4" s="19"/>
      <c r="F4" s="19"/>
      <c r="G4" s="20"/>
      <c r="H4" s="19"/>
      <c r="I4" s="19"/>
      <c r="J4" s="20"/>
      <c r="K4" s="21"/>
    </row>
    <row r="5" spans="1:11" ht="64.5" thickBot="1" x14ac:dyDescent="0.25">
      <c r="A5" s="22" t="s">
        <v>0</v>
      </c>
      <c r="B5" s="23" t="s">
        <v>17</v>
      </c>
      <c r="C5" s="23" t="s">
        <v>18</v>
      </c>
      <c r="D5" s="24" t="s">
        <v>160</v>
      </c>
      <c r="E5" s="25" t="s">
        <v>186</v>
      </c>
      <c r="F5" s="25" t="s">
        <v>198</v>
      </c>
      <c r="G5" s="25" t="s">
        <v>199</v>
      </c>
      <c r="H5" s="25" t="s">
        <v>200</v>
      </c>
      <c r="I5" s="25" t="s">
        <v>201</v>
      </c>
      <c r="J5" s="23" t="s">
        <v>19</v>
      </c>
      <c r="K5" s="26" t="s">
        <v>20</v>
      </c>
    </row>
    <row r="6" spans="1:11" ht="25.5" x14ac:dyDescent="0.2">
      <c r="A6" s="27"/>
      <c r="B6" s="28"/>
      <c r="C6" s="28"/>
      <c r="D6" s="29" t="s">
        <v>14</v>
      </c>
      <c r="E6" s="29" t="s">
        <v>15</v>
      </c>
      <c r="F6" s="30" t="s">
        <v>16</v>
      </c>
      <c r="G6" s="28" t="s">
        <v>75</v>
      </c>
      <c r="H6" s="29" t="s">
        <v>126</v>
      </c>
      <c r="I6" s="29" t="s">
        <v>127</v>
      </c>
      <c r="J6" s="28" t="s">
        <v>76</v>
      </c>
      <c r="K6" s="31" t="s">
        <v>77</v>
      </c>
    </row>
    <row r="7" spans="1:11" x14ac:dyDescent="0.2">
      <c r="A7" s="13"/>
      <c r="K7" s="16"/>
    </row>
    <row r="8" spans="1:11" x14ac:dyDescent="0.2">
      <c r="A8" s="13">
        <v>1</v>
      </c>
      <c r="B8" s="14" t="s">
        <v>1</v>
      </c>
      <c r="C8" s="15">
        <v>7</v>
      </c>
      <c r="D8" s="88">
        <v>10589868000</v>
      </c>
      <c r="E8" s="32">
        <v>1181762000</v>
      </c>
      <c r="F8" s="33">
        <v>-2.4910000000000002E-3</v>
      </c>
      <c r="G8" s="33">
        <v>-2.0720000000000001E-3</v>
      </c>
      <c r="H8" s="32">
        <v>1155382638.812</v>
      </c>
      <c r="I8" s="32">
        <v>1159819793.5039999</v>
      </c>
      <c r="J8" s="32">
        <v>4437154.6919999123</v>
      </c>
      <c r="K8" s="34">
        <v>3.8404200850398196E-3</v>
      </c>
    </row>
    <row r="9" spans="1:11" x14ac:dyDescent="0.2">
      <c r="A9" s="13">
        <v>2</v>
      </c>
      <c r="E9" s="32"/>
      <c r="F9" s="32"/>
      <c r="G9" s="32"/>
      <c r="H9" s="35"/>
      <c r="I9" s="32"/>
      <c r="J9" s="32"/>
      <c r="K9" s="34"/>
    </row>
    <row r="10" spans="1:11" x14ac:dyDescent="0.2">
      <c r="A10" s="13">
        <v>3</v>
      </c>
      <c r="B10" s="36" t="s">
        <v>2</v>
      </c>
      <c r="C10" s="15" t="s">
        <v>120</v>
      </c>
      <c r="D10" s="88">
        <v>2956760000</v>
      </c>
      <c r="E10" s="32">
        <v>314521000</v>
      </c>
      <c r="F10" s="33">
        <v>-2.0119999999999999E-3</v>
      </c>
      <c r="G10" s="33">
        <v>-1.6739999999999999E-3</v>
      </c>
      <c r="H10" s="32">
        <v>308571998.88</v>
      </c>
      <c r="I10" s="32">
        <v>309571383.75999999</v>
      </c>
      <c r="J10" s="32">
        <v>999384.87999999523</v>
      </c>
      <c r="K10" s="34">
        <v>3.2387413103826192E-3</v>
      </c>
    </row>
    <row r="11" spans="1:11" x14ac:dyDescent="0.2">
      <c r="A11" s="13">
        <v>4</v>
      </c>
      <c r="B11" s="37" t="s">
        <v>3</v>
      </c>
      <c r="C11" s="38" t="s">
        <v>121</v>
      </c>
      <c r="D11" s="88">
        <v>2946226000</v>
      </c>
      <c r="E11" s="32">
        <v>292581000</v>
      </c>
      <c r="F11" s="33">
        <v>-2.0590000000000001E-3</v>
      </c>
      <c r="G11" s="33">
        <v>-1.7129999999999999E-3</v>
      </c>
      <c r="H11" s="32">
        <v>286514720.66600001</v>
      </c>
      <c r="I11" s="32">
        <v>287534114.86199999</v>
      </c>
      <c r="J11" s="32">
        <v>1019394.19599998</v>
      </c>
      <c r="K11" s="34">
        <v>3.5579121157559043E-3</v>
      </c>
    </row>
    <row r="12" spans="1:11" x14ac:dyDescent="0.2">
      <c r="A12" s="13">
        <v>5</v>
      </c>
      <c r="B12" s="37" t="s">
        <v>4</v>
      </c>
      <c r="C12" s="15" t="s">
        <v>123</v>
      </c>
      <c r="D12" s="88">
        <v>1891461000</v>
      </c>
      <c r="E12" s="32">
        <v>169366000</v>
      </c>
      <c r="F12" s="33">
        <v>-2.147E-3</v>
      </c>
      <c r="G12" s="33">
        <v>-1.786E-3</v>
      </c>
      <c r="H12" s="32">
        <v>165305033.23300001</v>
      </c>
      <c r="I12" s="32">
        <v>165987850.65400001</v>
      </c>
      <c r="J12" s="32">
        <v>682817.42100000381</v>
      </c>
      <c r="K12" s="34">
        <v>4.1306511220233809E-3</v>
      </c>
    </row>
    <row r="13" spans="1:11" x14ac:dyDescent="0.2">
      <c r="A13" s="13">
        <v>6</v>
      </c>
      <c r="B13" s="37" t="s">
        <v>5</v>
      </c>
      <c r="C13" s="15">
        <v>29</v>
      </c>
      <c r="D13" s="88">
        <v>16067000</v>
      </c>
      <c r="E13" s="32">
        <v>1327000</v>
      </c>
      <c r="F13" s="33">
        <v>-1.877E-3</v>
      </c>
      <c r="G13" s="33">
        <v>-1.562E-3</v>
      </c>
      <c r="H13" s="32">
        <v>1296842.2409999999</v>
      </c>
      <c r="I13" s="32">
        <v>1301903.3459999999</v>
      </c>
      <c r="J13" s="32">
        <v>5061.1049999999814</v>
      </c>
      <c r="K13" s="34">
        <v>3.902637375612738E-3</v>
      </c>
    </row>
    <row r="14" spans="1:11" x14ac:dyDescent="0.2">
      <c r="A14" s="13">
        <v>7</v>
      </c>
      <c r="E14" s="32"/>
      <c r="F14" s="35"/>
      <c r="G14" s="35"/>
      <c r="H14" s="35"/>
      <c r="I14" s="32"/>
      <c r="J14" s="32"/>
      <c r="K14" s="34"/>
    </row>
    <row r="15" spans="1:11" x14ac:dyDescent="0.2">
      <c r="A15" s="13">
        <v>8</v>
      </c>
      <c r="B15" s="14" t="s">
        <v>21</v>
      </c>
      <c r="D15" s="88">
        <v>7810514000</v>
      </c>
      <c r="E15" s="32">
        <v>777795000</v>
      </c>
      <c r="F15" s="33">
        <v>-2.0621440509549054E-3</v>
      </c>
      <c r="G15" s="33">
        <v>-1.7156037845908732E-3</v>
      </c>
      <c r="H15" s="32">
        <v>761688595.0200001</v>
      </c>
      <c r="I15" s="32">
        <v>764395252.62199998</v>
      </c>
      <c r="J15" s="32">
        <v>2706657.601999979</v>
      </c>
      <c r="K15" s="34">
        <v>3.553496297169723E-3</v>
      </c>
    </row>
    <row r="16" spans="1:11" x14ac:dyDescent="0.2">
      <c r="A16" s="13">
        <v>9</v>
      </c>
      <c r="E16" s="32"/>
      <c r="F16" s="35"/>
      <c r="G16" s="35"/>
      <c r="H16" s="35"/>
      <c r="I16" s="32"/>
      <c r="J16" s="32"/>
      <c r="K16" s="34"/>
    </row>
    <row r="17" spans="1:11" x14ac:dyDescent="0.2">
      <c r="A17" s="13">
        <v>10</v>
      </c>
      <c r="B17" s="37" t="s">
        <v>6</v>
      </c>
      <c r="C17" s="15" t="s">
        <v>122</v>
      </c>
      <c r="D17" s="88">
        <v>1303207000</v>
      </c>
      <c r="E17" s="32">
        <v>114540000</v>
      </c>
      <c r="F17" s="33">
        <v>-2.0049999999999998E-3</v>
      </c>
      <c r="G17" s="33">
        <v>-1.668E-3</v>
      </c>
      <c r="H17" s="32">
        <v>111927069.965</v>
      </c>
      <c r="I17" s="32">
        <v>112366250.72400001</v>
      </c>
      <c r="J17" s="32">
        <v>439180.75900000334</v>
      </c>
      <c r="K17" s="34">
        <v>3.9238118101129309E-3</v>
      </c>
    </row>
    <row r="18" spans="1:11" x14ac:dyDescent="0.2">
      <c r="A18" s="13">
        <v>11</v>
      </c>
      <c r="B18" s="37" t="s">
        <v>7</v>
      </c>
      <c r="C18" s="15">
        <v>35</v>
      </c>
      <c r="D18" s="88">
        <v>5141000</v>
      </c>
      <c r="E18" s="32">
        <v>267000</v>
      </c>
      <c r="F18" s="33">
        <v>-1.3569999999999999E-3</v>
      </c>
      <c r="G18" s="33">
        <v>-1.129E-3</v>
      </c>
      <c r="H18" s="32">
        <v>260023.663</v>
      </c>
      <c r="I18" s="32">
        <v>261195.81099999999</v>
      </c>
      <c r="J18" s="32">
        <v>1172.1479999999865</v>
      </c>
      <c r="K18" s="34">
        <v>4.5078512719820673E-3</v>
      </c>
    </row>
    <row r="19" spans="1:11" x14ac:dyDescent="0.2">
      <c r="A19" s="13">
        <v>12</v>
      </c>
      <c r="B19" s="37" t="s">
        <v>8</v>
      </c>
      <c r="C19" s="15">
        <v>43</v>
      </c>
      <c r="D19" s="88">
        <v>120550000</v>
      </c>
      <c r="E19" s="32">
        <v>11808000</v>
      </c>
      <c r="F19" s="33">
        <v>-1.812E-3</v>
      </c>
      <c r="G19" s="33">
        <v>-1.508E-3</v>
      </c>
      <c r="H19" s="32">
        <v>11589563.4</v>
      </c>
      <c r="I19" s="32">
        <v>11626210.6</v>
      </c>
      <c r="J19" s="32">
        <v>36647.199999999255</v>
      </c>
      <c r="K19" s="34">
        <v>3.1620863301890434E-3</v>
      </c>
    </row>
    <row r="20" spans="1:11" x14ac:dyDescent="0.2">
      <c r="A20" s="13">
        <v>13</v>
      </c>
      <c r="B20" s="39"/>
      <c r="E20" s="32"/>
      <c r="F20" s="35"/>
      <c r="G20" s="35"/>
      <c r="H20" s="35"/>
      <c r="I20" s="32"/>
      <c r="J20" s="32"/>
      <c r="K20" s="34"/>
    </row>
    <row r="21" spans="1:11" x14ac:dyDescent="0.2">
      <c r="A21" s="13">
        <v>14</v>
      </c>
      <c r="B21" s="39" t="s">
        <v>22</v>
      </c>
      <c r="D21" s="88">
        <v>1428898000</v>
      </c>
      <c r="E21" s="32">
        <v>126615000</v>
      </c>
      <c r="F21" s="33">
        <v>-1.9863859925621E-3</v>
      </c>
      <c r="G21" s="33">
        <v>-1.6525622297742734E-3</v>
      </c>
      <c r="H21" s="32">
        <v>123776657.02800001</v>
      </c>
      <c r="I21" s="32">
        <v>124253657.13500001</v>
      </c>
      <c r="J21" s="32">
        <v>477000.10700000258</v>
      </c>
      <c r="K21" s="34">
        <v>3.853716188926467E-3</v>
      </c>
    </row>
    <row r="22" spans="1:11" x14ac:dyDescent="0.2">
      <c r="A22" s="13">
        <v>15</v>
      </c>
      <c r="B22" s="39"/>
      <c r="E22" s="32"/>
      <c r="F22" s="35"/>
      <c r="G22" s="35"/>
      <c r="H22" s="35"/>
      <c r="I22" s="32"/>
      <c r="J22" s="32"/>
      <c r="K22" s="34"/>
    </row>
    <row r="23" spans="1:11" x14ac:dyDescent="0.2">
      <c r="A23" s="13">
        <v>16</v>
      </c>
      <c r="B23" s="40" t="s">
        <v>71</v>
      </c>
      <c r="C23" s="15">
        <v>40</v>
      </c>
      <c r="D23" s="88">
        <v>681789000</v>
      </c>
      <c r="E23" s="32">
        <v>58529000</v>
      </c>
      <c r="F23" s="33">
        <v>-2.1289999999999998E-3</v>
      </c>
      <c r="G23" s="33">
        <v>-1.7719999999999999E-3</v>
      </c>
      <c r="H23" s="32">
        <v>57077471.218999997</v>
      </c>
      <c r="I23" s="32">
        <v>57320869.891999997</v>
      </c>
      <c r="J23" s="32">
        <v>243398.67300000042</v>
      </c>
      <c r="K23" s="34">
        <v>4.2643562828161468E-3</v>
      </c>
    </row>
    <row r="24" spans="1:11" x14ac:dyDescent="0.2">
      <c r="A24" s="13">
        <v>17</v>
      </c>
      <c r="B24" s="39"/>
      <c r="E24" s="32"/>
      <c r="F24" s="35"/>
      <c r="G24" s="35"/>
      <c r="H24" s="35"/>
      <c r="I24" s="32"/>
      <c r="J24" s="32"/>
      <c r="K24" s="34"/>
    </row>
    <row r="25" spans="1:11" x14ac:dyDescent="0.2">
      <c r="A25" s="13">
        <v>18</v>
      </c>
      <c r="B25" s="37" t="s">
        <v>23</v>
      </c>
      <c r="C25" s="15">
        <v>46</v>
      </c>
      <c r="D25" s="88">
        <v>72699000</v>
      </c>
      <c r="E25" s="32">
        <v>5399000</v>
      </c>
      <c r="F25" s="33">
        <v>-1.0250000000000001E-3</v>
      </c>
      <c r="G25" s="33">
        <v>-8.5300000000000003E-4</v>
      </c>
      <c r="H25" s="32">
        <v>5324483.5250000004</v>
      </c>
      <c r="I25" s="32">
        <v>5336987.7529999996</v>
      </c>
      <c r="J25" s="32">
        <v>12504.227999999188</v>
      </c>
      <c r="K25" s="34">
        <v>2.3484396075766217E-3</v>
      </c>
    </row>
    <row r="26" spans="1:11" x14ac:dyDescent="0.2">
      <c r="A26" s="13">
        <v>19</v>
      </c>
      <c r="B26" s="36" t="s">
        <v>24</v>
      </c>
      <c r="C26" s="15">
        <v>49</v>
      </c>
      <c r="D26" s="88">
        <v>576299000</v>
      </c>
      <c r="E26" s="32">
        <v>42233000</v>
      </c>
      <c r="F26" s="33">
        <v>-2.0379999999999999E-3</v>
      </c>
      <c r="G26" s="33">
        <v>-1.6949999999999999E-3</v>
      </c>
      <c r="H26" s="32">
        <v>41058502.637999997</v>
      </c>
      <c r="I26" s="32">
        <v>41256173.195</v>
      </c>
      <c r="J26" s="32">
        <v>197670.55700000376</v>
      </c>
      <c r="K26" s="34">
        <v>4.8143635130292834E-3</v>
      </c>
    </row>
    <row r="27" spans="1:11" x14ac:dyDescent="0.2">
      <c r="A27" s="13">
        <v>20</v>
      </c>
      <c r="E27" s="32"/>
      <c r="F27" s="35"/>
      <c r="G27" s="35"/>
      <c r="H27" s="35"/>
      <c r="I27" s="32"/>
      <c r="J27" s="32"/>
      <c r="K27" s="34"/>
    </row>
    <row r="28" spans="1:11" x14ac:dyDescent="0.2">
      <c r="A28" s="13">
        <v>21</v>
      </c>
      <c r="B28" s="40" t="s">
        <v>25</v>
      </c>
      <c r="D28" s="88">
        <v>648998000</v>
      </c>
      <c r="E28" s="32">
        <v>47632000</v>
      </c>
      <c r="F28" s="33">
        <v>-1.9245264808212044E-3</v>
      </c>
      <c r="G28" s="33">
        <v>-1.6006814381554332E-3</v>
      </c>
      <c r="H28" s="88">
        <v>46382986.162999995</v>
      </c>
      <c r="I28" s="88">
        <v>46593160.947999999</v>
      </c>
      <c r="J28" s="32">
        <v>210174.78500000294</v>
      </c>
      <c r="K28" s="34">
        <v>4.5312905094424625E-3</v>
      </c>
    </row>
    <row r="29" spans="1:11" x14ac:dyDescent="0.2">
      <c r="A29" s="13">
        <v>22</v>
      </c>
      <c r="E29" s="32"/>
      <c r="F29" s="35"/>
      <c r="G29" s="35"/>
      <c r="H29" s="35"/>
      <c r="I29" s="32"/>
      <c r="J29" s="32"/>
      <c r="K29" s="34"/>
    </row>
    <row r="30" spans="1:11" x14ac:dyDescent="0.2">
      <c r="A30" s="13">
        <v>23</v>
      </c>
      <c r="B30" s="14" t="s">
        <v>9</v>
      </c>
      <c r="C30" s="15" t="s">
        <v>70</v>
      </c>
      <c r="D30" s="88">
        <v>76423000</v>
      </c>
      <c r="E30" s="32">
        <v>20424000</v>
      </c>
      <c r="F30" s="33">
        <v>-2.5379999999999999E-3</v>
      </c>
      <c r="G30" s="33">
        <v>-2.1120000000000002E-3</v>
      </c>
      <c r="H30" s="32">
        <v>20230038.425999999</v>
      </c>
      <c r="I30" s="32">
        <v>20262594.624000002</v>
      </c>
      <c r="J30" s="32">
        <v>32556.198000002652</v>
      </c>
      <c r="K30" s="34">
        <v>1.6092998596661516E-3</v>
      </c>
    </row>
    <row r="31" spans="1:11" x14ac:dyDescent="0.2">
      <c r="A31" s="13">
        <v>24</v>
      </c>
      <c r="E31" s="32"/>
      <c r="F31" s="35"/>
      <c r="G31" s="35"/>
      <c r="I31" s="32"/>
      <c r="J31" s="32"/>
      <c r="K31" s="34"/>
    </row>
    <row r="32" spans="1:11" x14ac:dyDescent="0.2">
      <c r="A32" s="13">
        <v>25</v>
      </c>
      <c r="B32" s="41" t="s">
        <v>26</v>
      </c>
      <c r="C32" s="38" t="s">
        <v>27</v>
      </c>
      <c r="D32" s="88">
        <v>6991000</v>
      </c>
      <c r="E32" s="32">
        <v>295000</v>
      </c>
      <c r="F32" s="33">
        <v>-2.4199999999999998E-3</v>
      </c>
      <c r="G32" s="33">
        <v>-2.0140000000000002E-3</v>
      </c>
      <c r="H32" s="32">
        <v>278081.78000000003</v>
      </c>
      <c r="I32" s="32">
        <v>280920.12599999999</v>
      </c>
      <c r="J32" s="32">
        <v>2838.3459999999614</v>
      </c>
      <c r="K32" s="34">
        <v>1.0206875114219856E-2</v>
      </c>
    </row>
    <row r="33" spans="1:11" x14ac:dyDescent="0.2">
      <c r="A33" s="13">
        <v>26</v>
      </c>
      <c r="B33" s="41"/>
      <c r="C33" s="38"/>
      <c r="E33" s="32"/>
      <c r="F33" s="35"/>
      <c r="G33" s="35"/>
      <c r="H33" s="35"/>
      <c r="I33" s="32"/>
      <c r="J33" s="32"/>
      <c r="K33" s="34"/>
    </row>
    <row r="34" spans="1:11" x14ac:dyDescent="0.2">
      <c r="A34" s="13">
        <v>27</v>
      </c>
      <c r="B34" s="37" t="s">
        <v>10</v>
      </c>
      <c r="D34" s="88">
        <v>21243481000</v>
      </c>
      <c r="E34" s="32">
        <v>2213052000</v>
      </c>
      <c r="F34" s="33">
        <v>-2.2706039350142292E-3</v>
      </c>
      <c r="G34" s="33">
        <v>-1.8891034462075039E-3</v>
      </c>
      <c r="H34" s="32">
        <v>2164816468.4480004</v>
      </c>
      <c r="I34" s="32">
        <v>2172926248.8509998</v>
      </c>
      <c r="J34" s="32">
        <v>8109780.4029998994</v>
      </c>
      <c r="K34" s="34">
        <v>3.7461745700844381E-3</v>
      </c>
    </row>
    <row r="35" spans="1:11" x14ac:dyDescent="0.2">
      <c r="A35" s="13">
        <v>28</v>
      </c>
      <c r="B35" s="40"/>
      <c r="E35" s="32"/>
      <c r="F35" s="35"/>
      <c r="G35" s="35"/>
      <c r="H35" s="35"/>
      <c r="I35" s="32"/>
      <c r="J35" s="32"/>
      <c r="K35" s="34"/>
    </row>
    <row r="36" spans="1:11" x14ac:dyDescent="0.2">
      <c r="A36" s="13">
        <v>29</v>
      </c>
      <c r="B36" s="40" t="s">
        <v>28</v>
      </c>
      <c r="E36" s="32"/>
      <c r="F36" s="32"/>
      <c r="G36" s="35"/>
      <c r="H36" s="35"/>
      <c r="I36" s="32"/>
      <c r="J36" s="32"/>
      <c r="K36" s="34"/>
    </row>
    <row r="37" spans="1:11" x14ac:dyDescent="0.2">
      <c r="A37" s="13">
        <v>30</v>
      </c>
      <c r="B37" s="37" t="s">
        <v>11</v>
      </c>
      <c r="C37" s="38" t="s">
        <v>29</v>
      </c>
      <c r="D37" s="88">
        <v>2089170000</v>
      </c>
      <c r="E37" s="32">
        <v>10788000</v>
      </c>
      <c r="F37" s="32"/>
      <c r="G37" s="35"/>
      <c r="H37" s="32">
        <v>10788000</v>
      </c>
      <c r="I37" s="32">
        <v>10788000</v>
      </c>
      <c r="J37" s="32">
        <v>0</v>
      </c>
      <c r="K37" s="34"/>
    </row>
    <row r="38" spans="1:11" x14ac:dyDescent="0.2">
      <c r="A38" s="13">
        <v>31</v>
      </c>
      <c r="B38" s="40"/>
      <c r="E38" s="32"/>
      <c r="F38" s="32"/>
      <c r="G38" s="35"/>
      <c r="H38" s="35"/>
      <c r="I38" s="32"/>
      <c r="J38" s="32"/>
      <c r="K38" s="34"/>
    </row>
    <row r="39" spans="1:11" x14ac:dyDescent="0.2">
      <c r="A39" s="13">
        <v>32</v>
      </c>
      <c r="B39" s="40" t="s">
        <v>12</v>
      </c>
      <c r="D39" s="88">
        <v>23332651000</v>
      </c>
      <c r="E39" s="32">
        <v>2223840000</v>
      </c>
      <c r="F39" s="32"/>
      <c r="G39" s="35"/>
      <c r="H39" s="32">
        <v>2175604468.4480004</v>
      </c>
      <c r="I39" s="32">
        <v>2183714248.8509998</v>
      </c>
      <c r="J39" s="32">
        <v>8109780.4029998994</v>
      </c>
      <c r="K39" s="34"/>
    </row>
    <row r="40" spans="1:11" ht="13.5" thickBot="1" x14ac:dyDescent="0.25">
      <c r="A40" s="42"/>
      <c r="B40" s="43"/>
      <c r="C40" s="44"/>
      <c r="D40" s="45"/>
      <c r="E40" s="46"/>
      <c r="F40" s="46"/>
      <c r="G40" s="43"/>
      <c r="H40" s="43"/>
      <c r="I40" s="45"/>
      <c r="J40" s="43"/>
      <c r="K40" s="47"/>
    </row>
  </sheetData>
  <printOptions horizontalCentered="1"/>
  <pageMargins left="0.7" right="0.7" top="0.75" bottom="0.75" header="0.3" footer="0.3"/>
  <pageSetup scale="81" orientation="landscape" r:id="rId1"/>
  <headerFooter alignWithMargins="0">
    <oddFooter>&amp;L&amp;F
&amp;A&amp;RSchedule 95A Filing Eff 1-1-19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4"/>
  <sheetViews>
    <sheetView zoomScale="80" zoomScaleNormal="80" workbookViewId="0">
      <pane xSplit="3" ySplit="6" topLeftCell="D7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9.140625" defaultRowHeight="12.75" x14ac:dyDescent="0.2"/>
  <cols>
    <col min="1" max="1" width="4.42578125" style="15" bestFit="1" customWidth="1"/>
    <col min="2" max="2" width="29.28515625" style="14" bestFit="1" customWidth="1"/>
    <col min="3" max="3" width="11" style="15" customWidth="1"/>
    <col min="4" max="4" width="15" style="88" bestFit="1" customWidth="1"/>
    <col min="5" max="5" width="17.7109375" style="88" bestFit="1" customWidth="1"/>
    <col min="6" max="6" width="14.7109375" style="88" bestFit="1" customWidth="1"/>
    <col min="7" max="7" width="11.42578125" style="14" bestFit="1" customWidth="1"/>
    <col min="8" max="8" width="15" style="14" bestFit="1" customWidth="1"/>
    <col min="9" max="9" width="15" style="88" bestFit="1" customWidth="1"/>
    <col min="10" max="10" width="14.42578125" style="14" customWidth="1"/>
    <col min="11" max="11" width="9.140625" style="14" bestFit="1"/>
    <col min="12" max="12" width="9.140625" style="14"/>
    <col min="13" max="13" width="17.7109375" style="14" bestFit="1" customWidth="1"/>
    <col min="14" max="14" width="15.5703125" style="14" bestFit="1" customWidth="1"/>
    <col min="15" max="16384" width="9.140625" style="14"/>
  </cols>
  <sheetData>
    <row r="1" spans="1:14" x14ac:dyDescent="0.2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4" x14ac:dyDescent="0.2">
      <c r="A2" s="10" t="s">
        <v>84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4" x14ac:dyDescent="0.2">
      <c r="A3" s="13"/>
      <c r="K3" s="16"/>
    </row>
    <row r="4" spans="1:14" s="18" customFormat="1" x14ac:dyDescent="0.2">
      <c r="A4" s="17"/>
      <c r="D4" s="19"/>
      <c r="E4" s="19"/>
      <c r="F4" s="19"/>
      <c r="G4" s="20"/>
      <c r="H4" s="19"/>
      <c r="I4" s="19"/>
      <c r="J4" s="20"/>
      <c r="K4" s="21"/>
    </row>
    <row r="5" spans="1:14" s="18" customFormat="1" ht="77.25" thickBot="1" x14ac:dyDescent="0.25">
      <c r="A5" s="22" t="s">
        <v>0</v>
      </c>
      <c r="B5" s="23" t="s">
        <v>17</v>
      </c>
      <c r="C5" s="23" t="s">
        <v>18</v>
      </c>
      <c r="D5" s="24" t="s">
        <v>275</v>
      </c>
      <c r="E5" s="25" t="s">
        <v>276</v>
      </c>
      <c r="F5" s="25" t="s">
        <v>277</v>
      </c>
      <c r="G5" s="25" t="s">
        <v>278</v>
      </c>
      <c r="H5" s="25" t="s">
        <v>279</v>
      </c>
      <c r="I5" s="25" t="s">
        <v>280</v>
      </c>
      <c r="J5" s="23" t="s">
        <v>19</v>
      </c>
      <c r="K5" s="26" t="s">
        <v>20</v>
      </c>
    </row>
    <row r="6" spans="1:14" s="28" customFormat="1" ht="25.5" x14ac:dyDescent="0.2">
      <c r="A6" s="27"/>
      <c r="D6" s="29" t="s">
        <v>14</v>
      </c>
      <c r="E6" s="29" t="s">
        <v>15</v>
      </c>
      <c r="F6" s="30" t="s">
        <v>16</v>
      </c>
      <c r="G6" s="28" t="s">
        <v>75</v>
      </c>
      <c r="H6" s="29" t="s">
        <v>126</v>
      </c>
      <c r="I6" s="29" t="s">
        <v>127</v>
      </c>
      <c r="J6" s="28" t="s">
        <v>76</v>
      </c>
      <c r="K6" s="31" t="s">
        <v>77</v>
      </c>
    </row>
    <row r="7" spans="1:14" x14ac:dyDescent="0.2">
      <c r="A7" s="13"/>
      <c r="K7" s="16"/>
      <c r="M7" s="18"/>
      <c r="N7" s="18"/>
    </row>
    <row r="8" spans="1:14" x14ac:dyDescent="0.2">
      <c r="A8" s="13">
        <v>1</v>
      </c>
      <c r="B8" s="14" t="s">
        <v>1</v>
      </c>
      <c r="C8" s="15">
        <v>7</v>
      </c>
      <c r="D8" s="88">
        <f>+'Estimated Proforma Net Revenue'!C9</f>
        <v>10808199000</v>
      </c>
      <c r="E8" s="32">
        <f>+'Estimated Proforma Net Revenue'!D9</f>
        <v>1127443000</v>
      </c>
      <c r="F8" s="33">
        <f>+'Sch 95A Eff 5-1-18'!G8</f>
        <v>-2.0720000000000001E-3</v>
      </c>
      <c r="G8" s="33">
        <f>ROUND(+'Peak Credit Spread'!L7,6)</f>
        <v>-1.913E-3</v>
      </c>
      <c r="H8" s="32">
        <f>+E8+ROUND(F8,6)*D8</f>
        <v>1105048411.6719999</v>
      </c>
      <c r="I8" s="32">
        <f>+G8*$D8+$E8</f>
        <v>1106766915.313</v>
      </c>
      <c r="J8" s="32">
        <f>+I8-H8</f>
        <v>1718503.6410000324</v>
      </c>
      <c r="K8" s="34">
        <f>+J8/H8</f>
        <v>1.5551387820193691E-3</v>
      </c>
      <c r="M8" s="18"/>
      <c r="N8" s="18"/>
    </row>
    <row r="9" spans="1:14" x14ac:dyDescent="0.2">
      <c r="A9" s="13">
        <f t="shared" ref="A9:A39" si="0">+A8+1</f>
        <v>2</v>
      </c>
      <c r="E9" s="32"/>
      <c r="F9" s="32"/>
      <c r="G9" s="32"/>
      <c r="H9" s="35"/>
      <c r="I9" s="32"/>
      <c r="J9" s="32"/>
      <c r="K9" s="34"/>
      <c r="M9" s="18"/>
      <c r="N9" s="18"/>
    </row>
    <row r="10" spans="1:14" x14ac:dyDescent="0.2">
      <c r="A10" s="13">
        <f t="shared" si="0"/>
        <v>3</v>
      </c>
      <c r="B10" s="36" t="s">
        <v>2</v>
      </c>
      <c r="C10" s="15" t="s">
        <v>120</v>
      </c>
      <c r="D10" s="88">
        <f>+'Estimated Proforma Net Revenue'!C12</f>
        <v>3088796000</v>
      </c>
      <c r="E10" s="32">
        <f>+'Estimated Proforma Net Revenue'!D12</f>
        <v>324889000</v>
      </c>
      <c r="F10" s="33">
        <f>+'Sch 95A Eff 5-1-18'!G10</f>
        <v>-1.6739999999999999E-3</v>
      </c>
      <c r="G10" s="33">
        <f>ROUND(+'Peak Credit Spread'!L9,6)</f>
        <v>-1.6410000000000001E-3</v>
      </c>
      <c r="H10" s="32">
        <f t="shared" ref="H10:H13" si="1">+E10+ROUND(F10,6)*D10</f>
        <v>319718355.49599999</v>
      </c>
      <c r="I10" s="32">
        <f t="shared" ref="I10:I13" si="2">+G10*$D10+$E10</f>
        <v>319820285.764</v>
      </c>
      <c r="J10" s="32">
        <f>+I10-H10</f>
        <v>101930.26800000668</v>
      </c>
      <c r="K10" s="34">
        <f>+J10/H10</f>
        <v>3.1881268700345838E-4</v>
      </c>
      <c r="M10" s="18"/>
      <c r="N10" s="18"/>
    </row>
    <row r="11" spans="1:14" x14ac:dyDescent="0.2">
      <c r="A11" s="13">
        <f t="shared" si="0"/>
        <v>4</v>
      </c>
      <c r="B11" s="37" t="s">
        <v>3</v>
      </c>
      <c r="C11" s="38" t="s">
        <v>121</v>
      </c>
      <c r="D11" s="88">
        <f>+'Estimated Proforma Net Revenue'!C13</f>
        <v>3251471000</v>
      </c>
      <c r="E11" s="32">
        <f>+'Estimated Proforma Net Revenue'!D13</f>
        <v>319869000</v>
      </c>
      <c r="F11" s="33">
        <f>+'Sch 95A Eff 5-1-18'!G11</f>
        <v>-1.7129999999999999E-3</v>
      </c>
      <c r="G11" s="33">
        <f>ROUND(+'Peak Credit Spread'!L10,6)</f>
        <v>-1.5679999999999999E-3</v>
      </c>
      <c r="H11" s="32">
        <f t="shared" si="1"/>
        <v>314299230.17699999</v>
      </c>
      <c r="I11" s="32">
        <f t="shared" si="2"/>
        <v>314770693.472</v>
      </c>
      <c r="J11" s="32">
        <f>+I11-H11</f>
        <v>471463.29500001669</v>
      </c>
      <c r="K11" s="34">
        <f>+J11/H11</f>
        <v>1.5000459744508715E-3</v>
      </c>
      <c r="M11" s="18"/>
      <c r="N11" s="18"/>
    </row>
    <row r="12" spans="1:14" x14ac:dyDescent="0.2">
      <c r="A12" s="13">
        <f t="shared" si="0"/>
        <v>5</v>
      </c>
      <c r="B12" s="37" t="s">
        <v>4</v>
      </c>
      <c r="C12" s="15" t="s">
        <v>123</v>
      </c>
      <c r="D12" s="88">
        <f>+'Estimated Proforma Net Revenue'!C14</f>
        <v>1936207000</v>
      </c>
      <c r="E12" s="32">
        <f>+'Estimated Proforma Net Revenue'!D14</f>
        <v>173043000</v>
      </c>
      <c r="F12" s="33">
        <f>+'Sch 95A Eff 5-1-18'!G12</f>
        <v>-1.786E-3</v>
      </c>
      <c r="G12" s="33">
        <f>ROUND(+'Peak Credit Spread'!L11,6)</f>
        <v>-1.7099999999999999E-3</v>
      </c>
      <c r="H12" s="32">
        <f t="shared" si="1"/>
        <v>169584934.29800001</v>
      </c>
      <c r="I12" s="32">
        <f t="shared" si="2"/>
        <v>169732086.03</v>
      </c>
      <c r="J12" s="32">
        <f>+I12-H12</f>
        <v>147151.73199999332</v>
      </c>
      <c r="K12" s="34">
        <f>+J12/H12</f>
        <v>8.677170092327521E-4</v>
      </c>
      <c r="M12" s="18"/>
      <c r="N12" s="18"/>
    </row>
    <row r="13" spans="1:14" x14ac:dyDescent="0.2">
      <c r="A13" s="13">
        <f t="shared" si="0"/>
        <v>6</v>
      </c>
      <c r="B13" s="37" t="s">
        <v>5</v>
      </c>
      <c r="C13" s="15">
        <v>29</v>
      </c>
      <c r="D13" s="88">
        <f>+'Estimated Proforma Net Revenue'!C15</f>
        <v>16225000</v>
      </c>
      <c r="E13" s="32">
        <f>+'Estimated Proforma Net Revenue'!D15</f>
        <v>1308000</v>
      </c>
      <c r="F13" s="33">
        <f>+'Sch 95A Eff 5-1-18'!G13</f>
        <v>-1.562E-3</v>
      </c>
      <c r="G13" s="33">
        <f>ROUND(+'Peak Credit Spread'!L12,6)</f>
        <v>-1.276E-3</v>
      </c>
      <c r="H13" s="32">
        <f t="shared" si="1"/>
        <v>1282656.55</v>
      </c>
      <c r="I13" s="32">
        <f t="shared" si="2"/>
        <v>1287296.8999999999</v>
      </c>
      <c r="J13" s="32">
        <f>+I13-H13</f>
        <v>4640.3499999998603</v>
      </c>
      <c r="K13" s="34">
        <f>+J13/H13</f>
        <v>3.6177650205737929E-3</v>
      </c>
      <c r="M13" s="18"/>
      <c r="N13" s="18"/>
    </row>
    <row r="14" spans="1:14" x14ac:dyDescent="0.2">
      <c r="A14" s="13">
        <f t="shared" si="0"/>
        <v>7</v>
      </c>
      <c r="E14" s="32"/>
      <c r="F14" s="35"/>
      <c r="G14" s="35"/>
      <c r="H14" s="35"/>
      <c r="I14" s="32"/>
      <c r="J14" s="32"/>
      <c r="K14" s="34"/>
      <c r="M14" s="18"/>
      <c r="N14" s="18"/>
    </row>
    <row r="15" spans="1:14" x14ac:dyDescent="0.2">
      <c r="A15" s="13">
        <f t="shared" si="0"/>
        <v>8</v>
      </c>
      <c r="B15" s="14" t="s">
        <v>21</v>
      </c>
      <c r="D15" s="88">
        <f>SUM(D10:D14)</f>
        <v>8292699000</v>
      </c>
      <c r="E15" s="32">
        <f>SUM(E10:E14)</f>
        <v>819109000</v>
      </c>
      <c r="F15" s="33">
        <f>SUMPRODUCT(D10:D13,F10:F13)/D15</f>
        <v>-1.715222447962961E-3</v>
      </c>
      <c r="G15" s="33">
        <f>SUMPRODUCT(D10:D13,G10:G13)/D15</f>
        <v>-1.6277737602679177E-3</v>
      </c>
      <c r="H15" s="32">
        <f>SUM(H10:H14)</f>
        <v>804885176.52099991</v>
      </c>
      <c r="I15" s="32">
        <f>SUM(I10:I14)</f>
        <v>805610362.16600001</v>
      </c>
      <c r="J15" s="32">
        <f>SUM(J10:J13)</f>
        <v>725185.64500001655</v>
      </c>
      <c r="K15" s="34">
        <f>+J15/H15</f>
        <v>9.0098024681548603E-4</v>
      </c>
      <c r="M15" s="18"/>
      <c r="N15" s="18"/>
    </row>
    <row r="16" spans="1:14" x14ac:dyDescent="0.2">
      <c r="A16" s="13">
        <f t="shared" si="0"/>
        <v>9</v>
      </c>
      <c r="E16" s="32"/>
      <c r="F16" s="35"/>
      <c r="G16" s="35"/>
      <c r="H16" s="35"/>
      <c r="I16" s="32"/>
      <c r="J16" s="32"/>
      <c r="K16" s="34"/>
      <c r="M16" s="18"/>
      <c r="N16" s="18"/>
    </row>
    <row r="17" spans="1:14" x14ac:dyDescent="0.2">
      <c r="A17" s="13">
        <f t="shared" si="0"/>
        <v>10</v>
      </c>
      <c r="B17" s="37" t="s">
        <v>6</v>
      </c>
      <c r="C17" s="15" t="s">
        <v>122</v>
      </c>
      <c r="D17" s="88">
        <f>+'Estimated Proforma Net Revenue'!C18</f>
        <v>1417061000</v>
      </c>
      <c r="E17" s="32">
        <f>+'Estimated Proforma Net Revenue'!D18</f>
        <v>124121000</v>
      </c>
      <c r="F17" s="33">
        <f>+'Sch 95A Eff 5-1-18'!G17</f>
        <v>-1.668E-3</v>
      </c>
      <c r="G17" s="33">
        <f>ROUND(+'Peak Credit Spread'!L14,6)</f>
        <v>-1.5430000000000001E-3</v>
      </c>
      <c r="H17" s="32">
        <f t="shared" ref="H17:H19" si="3">+E17+ROUND(F17,6)*D17</f>
        <v>121757342.252</v>
      </c>
      <c r="I17" s="32">
        <f t="shared" ref="I17:I19" si="4">+G17*$D17+$E17</f>
        <v>121934474.877</v>
      </c>
      <c r="J17" s="32">
        <f>+I17-H17</f>
        <v>177132.625</v>
      </c>
      <c r="K17" s="34">
        <f>+J17/H17</f>
        <v>1.4548003572005563E-3</v>
      </c>
      <c r="M17" s="18"/>
      <c r="N17" s="18"/>
    </row>
    <row r="18" spans="1:14" x14ac:dyDescent="0.2">
      <c r="A18" s="13">
        <f t="shared" si="0"/>
        <v>11</v>
      </c>
      <c r="B18" s="37" t="s">
        <v>7</v>
      </c>
      <c r="C18" s="15">
        <v>35</v>
      </c>
      <c r="D18" s="88">
        <f>+'Estimated Proforma Net Revenue'!C19</f>
        <v>5167000</v>
      </c>
      <c r="E18" s="32">
        <f>+'Estimated Proforma Net Revenue'!D19</f>
        <v>294000</v>
      </c>
      <c r="F18" s="33">
        <f>+'Sch 95A Eff 5-1-18'!G18</f>
        <v>-1.129E-3</v>
      </c>
      <c r="G18" s="33">
        <f>ROUND(+'Peak Credit Spread'!L15,6)</f>
        <v>-1.1590000000000001E-3</v>
      </c>
      <c r="H18" s="32">
        <f t="shared" si="3"/>
        <v>288166.45699999999</v>
      </c>
      <c r="I18" s="32">
        <f t="shared" si="4"/>
        <v>288011.44699999999</v>
      </c>
      <c r="J18" s="32">
        <f>+I18-H18</f>
        <v>-155.01000000000931</v>
      </c>
      <c r="K18" s="34">
        <f>+J18/H18</f>
        <v>-5.3791826298509591E-4</v>
      </c>
      <c r="M18" s="18"/>
      <c r="N18" s="18"/>
    </row>
    <row r="19" spans="1:14" x14ac:dyDescent="0.2">
      <c r="A19" s="13">
        <f t="shared" si="0"/>
        <v>12</v>
      </c>
      <c r="B19" s="37" t="s">
        <v>8</v>
      </c>
      <c r="C19" s="15">
        <v>43</v>
      </c>
      <c r="D19" s="88">
        <f>+'Estimated Proforma Net Revenue'!C20</f>
        <v>125684000</v>
      </c>
      <c r="E19" s="32">
        <f>+'Estimated Proforma Net Revenue'!D20</f>
        <v>12142000</v>
      </c>
      <c r="F19" s="33">
        <f>+'Sch 95A Eff 5-1-18'!G19</f>
        <v>-1.508E-3</v>
      </c>
      <c r="G19" s="33">
        <f>ROUND(+'Peak Credit Spread'!L16,6)</f>
        <v>-1.294E-3</v>
      </c>
      <c r="H19" s="32">
        <f t="shared" si="3"/>
        <v>11952468.528000001</v>
      </c>
      <c r="I19" s="32">
        <f t="shared" si="4"/>
        <v>11979364.903999999</v>
      </c>
      <c r="J19" s="32">
        <f>+I19-H19</f>
        <v>26896.375999998301</v>
      </c>
      <c r="K19" s="34">
        <f>+J19/H19</f>
        <v>2.2502779184894331E-3</v>
      </c>
      <c r="M19" s="18"/>
      <c r="N19" s="18"/>
    </row>
    <row r="20" spans="1:14" x14ac:dyDescent="0.2">
      <c r="A20" s="13">
        <f t="shared" si="0"/>
        <v>13</v>
      </c>
      <c r="B20" s="39"/>
      <c r="E20" s="32"/>
      <c r="F20" s="35"/>
      <c r="G20" s="35"/>
      <c r="H20" s="35"/>
      <c r="I20" s="32"/>
      <c r="J20" s="32"/>
      <c r="K20" s="34"/>
      <c r="M20" s="18"/>
      <c r="N20" s="18"/>
    </row>
    <row r="21" spans="1:14" x14ac:dyDescent="0.2">
      <c r="A21" s="13">
        <f t="shared" si="0"/>
        <v>14</v>
      </c>
      <c r="B21" s="39" t="s">
        <v>22</v>
      </c>
      <c r="D21" s="88">
        <f>SUM(D17:D20)</f>
        <v>1547912000</v>
      </c>
      <c r="E21" s="32">
        <f>SUM(E17:E20)</f>
        <v>136557000</v>
      </c>
      <c r="F21" s="33">
        <f>SUMPRODUCT(D17:D19,F17:F19)/D21</f>
        <v>-1.6532094608737449E-3</v>
      </c>
      <c r="G21" s="33">
        <f>SUMPRODUCT(D17:D19,G17:G19)/D21</f>
        <v>-1.5215004289649539E-3</v>
      </c>
      <c r="H21" s="32">
        <f>SUM(H17:H20)</f>
        <v>133997977.237</v>
      </c>
      <c r="I21" s="32">
        <f>SUM(I17:I20)</f>
        <v>134201851.228</v>
      </c>
      <c r="J21" s="32">
        <f>SUM(J17:J20)</f>
        <v>203873.99099999829</v>
      </c>
      <c r="K21" s="34">
        <f>+J21/H21</f>
        <v>1.5214706610041564E-3</v>
      </c>
      <c r="M21" s="18"/>
      <c r="N21" s="18"/>
    </row>
    <row r="22" spans="1:14" x14ac:dyDescent="0.2">
      <c r="A22" s="13">
        <f t="shared" si="0"/>
        <v>15</v>
      </c>
      <c r="B22" s="39"/>
      <c r="E22" s="32"/>
      <c r="F22" s="35"/>
      <c r="G22" s="35"/>
      <c r="H22" s="35"/>
      <c r="I22" s="32"/>
      <c r="J22" s="32"/>
      <c r="K22" s="34"/>
      <c r="M22" s="18"/>
      <c r="N22" s="18"/>
    </row>
    <row r="23" spans="1:14" x14ac:dyDescent="0.2">
      <c r="A23" s="13">
        <f t="shared" si="0"/>
        <v>16</v>
      </c>
      <c r="B23" s="40" t="s">
        <v>71</v>
      </c>
      <c r="C23" s="15">
        <v>40</v>
      </c>
      <c r="D23" s="88">
        <f>+'Estimated Proforma Net Revenue'!C23</f>
        <v>586557000</v>
      </c>
      <c r="E23" s="32">
        <f>+'Estimated Proforma Net Revenue'!D23</f>
        <v>47406000</v>
      </c>
      <c r="F23" s="33">
        <f>+'Sch 95A Eff 5-1-18'!G23</f>
        <v>-1.7719999999999999E-3</v>
      </c>
      <c r="G23" s="33">
        <f>ROUND(+'Peak Credit Spread'!L18,6)</f>
        <v>-1.755E-3</v>
      </c>
      <c r="H23" s="32">
        <f>+E23+ROUND(F23,6)*D23</f>
        <v>46366620.995999999</v>
      </c>
      <c r="I23" s="32">
        <f>+G23*$D23+$E23</f>
        <v>46376592.465000004</v>
      </c>
      <c r="J23" s="32">
        <f>+I23-H23</f>
        <v>9971.4690000042319</v>
      </c>
      <c r="K23" s="34">
        <f>+J23/H23</f>
        <v>2.1505705582609654E-4</v>
      </c>
      <c r="M23" s="18"/>
      <c r="N23" s="18"/>
    </row>
    <row r="24" spans="1:14" x14ac:dyDescent="0.2">
      <c r="A24" s="13">
        <f t="shared" si="0"/>
        <v>17</v>
      </c>
      <c r="B24" s="39"/>
      <c r="E24" s="32"/>
      <c r="F24" s="35"/>
      <c r="G24" s="35"/>
      <c r="H24" s="35"/>
      <c r="I24" s="32"/>
      <c r="J24" s="32"/>
      <c r="K24" s="34"/>
      <c r="M24" s="18"/>
      <c r="N24" s="18"/>
    </row>
    <row r="25" spans="1:14" x14ac:dyDescent="0.2">
      <c r="A25" s="13">
        <f t="shared" si="0"/>
        <v>18</v>
      </c>
      <c r="B25" s="37" t="s">
        <v>23</v>
      </c>
      <c r="C25" s="15">
        <v>46</v>
      </c>
      <c r="D25" s="88">
        <f>+'Estimated Proforma Net Revenue'!C25</f>
        <v>76343000</v>
      </c>
      <c r="E25" s="32">
        <f>+'Estimated Proforma Net Revenue'!D25</f>
        <v>5523000</v>
      </c>
      <c r="F25" s="33">
        <f>+'Sch 95A Eff 5-1-18'!G25</f>
        <v>-8.5300000000000003E-4</v>
      </c>
      <c r="G25" s="33">
        <f>ROUND(+'Peak Credit Spread'!L20,6)</f>
        <v>-9.9700000000000006E-4</v>
      </c>
      <c r="H25" s="32">
        <f t="shared" ref="H25:H26" si="5">+E25+ROUND(F25,6)*D25</f>
        <v>5457879.4210000001</v>
      </c>
      <c r="I25" s="32">
        <f t="shared" ref="I25:I26" si="6">+G25*$D25+$E25</f>
        <v>5446886.0290000001</v>
      </c>
      <c r="J25" s="32">
        <f>+I25-H25</f>
        <v>-10993.391999999993</v>
      </c>
      <c r="K25" s="34">
        <f>+J25/H25</f>
        <v>-2.014224051506394E-3</v>
      </c>
      <c r="M25" s="18"/>
      <c r="N25" s="18"/>
    </row>
    <row r="26" spans="1:14" x14ac:dyDescent="0.2">
      <c r="A26" s="13">
        <f t="shared" si="0"/>
        <v>19</v>
      </c>
      <c r="B26" s="36" t="s">
        <v>24</v>
      </c>
      <c r="C26" s="15">
        <v>49</v>
      </c>
      <c r="D26" s="88">
        <f>+'Estimated Proforma Net Revenue'!C26</f>
        <v>603277000</v>
      </c>
      <c r="E26" s="32">
        <f>+'Estimated Proforma Net Revenue'!D26</f>
        <v>43323000</v>
      </c>
      <c r="F26" s="33">
        <f>+'Sch 95A Eff 5-1-18'!G26</f>
        <v>-1.6949999999999999E-3</v>
      </c>
      <c r="G26" s="33">
        <f>ROUND(+'Peak Credit Spread'!L21,6)</f>
        <v>-1.5120000000000001E-3</v>
      </c>
      <c r="H26" s="32">
        <f t="shared" si="5"/>
        <v>42300445.484999999</v>
      </c>
      <c r="I26" s="32">
        <f t="shared" si="6"/>
        <v>42410845.175999999</v>
      </c>
      <c r="J26" s="32">
        <f>+I26-H26</f>
        <v>110399.69099999964</v>
      </c>
      <c r="K26" s="34">
        <f>+J26/H26</f>
        <v>2.6098942867906214E-3</v>
      </c>
      <c r="M26" s="18"/>
      <c r="N26" s="18"/>
    </row>
    <row r="27" spans="1:14" x14ac:dyDescent="0.2">
      <c r="A27" s="13">
        <f t="shared" si="0"/>
        <v>20</v>
      </c>
      <c r="E27" s="32"/>
      <c r="F27" s="35"/>
      <c r="G27" s="35"/>
      <c r="H27" s="35"/>
      <c r="I27" s="32"/>
      <c r="J27" s="32"/>
      <c r="K27" s="34"/>
      <c r="M27" s="18"/>
      <c r="N27" s="18"/>
    </row>
    <row r="28" spans="1:14" x14ac:dyDescent="0.2">
      <c r="A28" s="13">
        <f t="shared" si="0"/>
        <v>21</v>
      </c>
      <c r="B28" s="40" t="s">
        <v>25</v>
      </c>
      <c r="D28" s="88">
        <f>SUM(D25:D27)</f>
        <v>679620000</v>
      </c>
      <c r="E28" s="32">
        <f>SUM(E25:E27)</f>
        <v>48846000</v>
      </c>
      <c r="F28" s="33">
        <f>SUMPRODUCT(D25:D26,F25:F26)/D28</f>
        <v>-1.6004165474824163E-3</v>
      </c>
      <c r="G28" s="33">
        <f>SUMPRODUCT(D25:D26,G25:G26)/D28</f>
        <v>-1.4541490759542098E-3</v>
      </c>
      <c r="H28" s="88">
        <f>SUM(H25:H27)</f>
        <v>47758324.906000003</v>
      </c>
      <c r="I28" s="88">
        <f>SUM(I25:I27)</f>
        <v>47857731.204999998</v>
      </c>
      <c r="J28" s="32">
        <f>SUM(J25:J27)</f>
        <v>99406.29899999965</v>
      </c>
      <c r="K28" s="34">
        <f>+J28/H28</f>
        <v>2.0814444224259419E-3</v>
      </c>
      <c r="M28" s="18"/>
      <c r="N28" s="18"/>
    </row>
    <row r="29" spans="1:14" x14ac:dyDescent="0.2">
      <c r="A29" s="13">
        <f t="shared" si="0"/>
        <v>22</v>
      </c>
      <c r="E29" s="32"/>
      <c r="F29" s="35"/>
      <c r="G29" s="35"/>
      <c r="H29" s="35"/>
      <c r="I29" s="32"/>
      <c r="J29" s="32"/>
      <c r="K29" s="34"/>
      <c r="M29" s="18"/>
      <c r="N29" s="18"/>
    </row>
    <row r="30" spans="1:14" x14ac:dyDescent="0.2">
      <c r="A30" s="13">
        <f t="shared" si="0"/>
        <v>23</v>
      </c>
      <c r="B30" s="14" t="s">
        <v>9</v>
      </c>
      <c r="C30" s="15" t="s">
        <v>70</v>
      </c>
      <c r="D30" s="88">
        <f>+'Estimated Proforma Net Revenue'!C29</f>
        <v>71132000</v>
      </c>
      <c r="E30" s="32">
        <f>+'Estimated Proforma Net Revenue'!D29</f>
        <v>16951000</v>
      </c>
      <c r="F30" s="33">
        <f>+'Sch 95A Eff 5-1-18'!G30</f>
        <v>-2.1120000000000002E-3</v>
      </c>
      <c r="G30" s="33">
        <f>ROUND(+'Peak Credit Spread'!L23,6)</f>
        <v>-1.9659999999999999E-3</v>
      </c>
      <c r="H30" s="32">
        <f>+E30+ROUND(F30,6)*D30</f>
        <v>16800769.215999998</v>
      </c>
      <c r="I30" s="32">
        <f>+G30*$D30+$E30</f>
        <v>16811154.488000002</v>
      </c>
      <c r="J30" s="32">
        <f>+I30-H30</f>
        <v>10385.272000003606</v>
      </c>
      <c r="K30" s="34">
        <f>+J30/H30</f>
        <v>6.1814264968971329E-4</v>
      </c>
      <c r="M30" s="18"/>
      <c r="N30" s="18"/>
    </row>
    <row r="31" spans="1:14" x14ac:dyDescent="0.2">
      <c r="A31" s="13">
        <f t="shared" si="0"/>
        <v>24</v>
      </c>
      <c r="E31" s="32"/>
      <c r="F31" s="35"/>
      <c r="G31" s="35"/>
      <c r="I31" s="32"/>
      <c r="J31" s="32"/>
      <c r="K31" s="34"/>
      <c r="M31" s="18"/>
      <c r="N31" s="18"/>
    </row>
    <row r="32" spans="1:14" x14ac:dyDescent="0.2">
      <c r="A32" s="13">
        <f t="shared" si="0"/>
        <v>25</v>
      </c>
      <c r="B32" s="41" t="s">
        <v>26</v>
      </c>
      <c r="C32" s="38" t="s">
        <v>27</v>
      </c>
      <c r="D32" s="88">
        <f>+'Estimated Proforma Net Revenue'!C35</f>
        <v>7036000</v>
      </c>
      <c r="E32" s="32">
        <f>+'Estimated Proforma Net Revenue'!D35</f>
        <v>695000</v>
      </c>
      <c r="F32" s="33">
        <f>+'Sch 95A Eff 5-1-18'!G32</f>
        <v>-2.0140000000000002E-3</v>
      </c>
      <c r="G32" s="33">
        <f>ROUND(+'Peak Credit Spread'!L25,6)</f>
        <v>-1.8699999999999999E-3</v>
      </c>
      <c r="H32" s="32">
        <f>+E32+ROUND(F32,6)*D32</f>
        <v>680829.49600000004</v>
      </c>
      <c r="I32" s="32">
        <f>+G32*$D32+$E32</f>
        <v>681842.68</v>
      </c>
      <c r="J32" s="32">
        <f>+I32-H32</f>
        <v>1013.1840000000084</v>
      </c>
      <c r="K32" s="34">
        <f>+J32/H32</f>
        <v>1.4881611415966155E-3</v>
      </c>
      <c r="M32" s="18"/>
      <c r="N32" s="18"/>
    </row>
    <row r="33" spans="1:14" x14ac:dyDescent="0.2">
      <c r="A33" s="13">
        <f t="shared" si="0"/>
        <v>26</v>
      </c>
      <c r="B33" s="41"/>
      <c r="C33" s="38"/>
      <c r="E33" s="32"/>
      <c r="F33" s="35"/>
      <c r="G33" s="35"/>
      <c r="H33" s="35"/>
      <c r="I33" s="32"/>
      <c r="J33" s="32"/>
      <c r="K33" s="34"/>
      <c r="M33" s="18"/>
      <c r="N33" s="18"/>
    </row>
    <row r="34" spans="1:14" x14ac:dyDescent="0.2">
      <c r="A34" s="13">
        <f t="shared" si="0"/>
        <v>27</v>
      </c>
      <c r="B34" s="37" t="s">
        <v>10</v>
      </c>
      <c r="D34" s="88">
        <f>SUM(D30,D28,D23,D21,D15,D8,D32)</f>
        <v>21993155000</v>
      </c>
      <c r="E34" s="32">
        <f>SUM(E30,E28,E23,E21,E15,E8,E32)</f>
        <v>2197007000</v>
      </c>
      <c r="F34" s="33">
        <f>(F8*D8+F15*D15+F21*D21+F23*D23+F28*D28+F30*D30+F32*D32)/D34</f>
        <v>-1.8855362023320434E-3</v>
      </c>
      <c r="G34" s="33">
        <f>+'Peak Credit Spread'!L27</f>
        <v>-1.7595488610304114E-3</v>
      </c>
      <c r="H34" s="32">
        <f>SUM(H30,H28,H23,H21,H15,H8,H32)</f>
        <v>2155538110.0439997</v>
      </c>
      <c r="I34" s="32">
        <f>SUM(I30,I28,I23,I21,I15,I8,I32)</f>
        <v>2158306449.5449996</v>
      </c>
      <c r="J34" s="32">
        <f>SUM(J30,J28,J23,J21,J15,J8,J32)</f>
        <v>2768339.5010000546</v>
      </c>
      <c r="K34" s="34">
        <f>+J34/H34</f>
        <v>1.2842916059338642E-3</v>
      </c>
      <c r="M34" s="18"/>
      <c r="N34" s="18"/>
    </row>
    <row r="35" spans="1:14" x14ac:dyDescent="0.2">
      <c r="A35" s="13">
        <f t="shared" si="0"/>
        <v>28</v>
      </c>
      <c r="B35" s="40"/>
      <c r="E35" s="32"/>
      <c r="F35" s="35"/>
      <c r="G35" s="35"/>
      <c r="H35" s="35"/>
      <c r="I35" s="32"/>
      <c r="J35" s="32"/>
      <c r="K35" s="34"/>
      <c r="M35" s="18"/>
      <c r="N35" s="18"/>
    </row>
    <row r="36" spans="1:14" x14ac:dyDescent="0.2">
      <c r="A36" s="13">
        <f t="shared" si="0"/>
        <v>29</v>
      </c>
      <c r="B36" s="40" t="s">
        <v>28</v>
      </c>
      <c r="E36" s="32"/>
      <c r="F36" s="32"/>
      <c r="G36" s="35"/>
      <c r="H36" s="35"/>
      <c r="I36" s="32"/>
      <c r="J36" s="32"/>
      <c r="K36" s="34"/>
      <c r="M36" s="18"/>
      <c r="N36" s="18"/>
    </row>
    <row r="37" spans="1:14" x14ac:dyDescent="0.2">
      <c r="A37" s="13">
        <f t="shared" si="0"/>
        <v>30</v>
      </c>
      <c r="B37" s="37" t="s">
        <v>11</v>
      </c>
      <c r="C37" s="38" t="s">
        <v>29</v>
      </c>
      <c r="D37" s="88">
        <f>+'Estimated Proforma Net Revenue'!C31</f>
        <v>2028599000</v>
      </c>
      <c r="E37" s="32">
        <f>+'Estimated Proforma Net Revenue'!D31</f>
        <v>9904000</v>
      </c>
      <c r="F37" s="32"/>
      <c r="G37" s="35"/>
      <c r="H37" s="32">
        <f>+E37+ROUND(F37,6)*D37</f>
        <v>9904000</v>
      </c>
      <c r="I37" s="32">
        <f>+G37*$D37+$E37</f>
        <v>9904000</v>
      </c>
      <c r="J37" s="32">
        <f>+I37-H37</f>
        <v>0</v>
      </c>
      <c r="K37" s="34"/>
      <c r="M37" s="18"/>
      <c r="N37" s="18"/>
    </row>
    <row r="38" spans="1:14" x14ac:dyDescent="0.2">
      <c r="A38" s="13">
        <f t="shared" si="0"/>
        <v>31</v>
      </c>
      <c r="B38" s="40"/>
      <c r="E38" s="32"/>
      <c r="F38" s="32"/>
      <c r="G38" s="35"/>
      <c r="H38" s="35"/>
      <c r="I38" s="32"/>
      <c r="J38" s="32"/>
      <c r="K38" s="34"/>
    </row>
    <row r="39" spans="1:14" x14ac:dyDescent="0.2">
      <c r="A39" s="13">
        <f t="shared" si="0"/>
        <v>32</v>
      </c>
      <c r="B39" s="40" t="s">
        <v>12</v>
      </c>
      <c r="D39" s="88">
        <f>SUM(D34:D37)</f>
        <v>24021754000</v>
      </c>
      <c r="E39" s="32">
        <f>SUM(E34:E37)</f>
        <v>2206911000</v>
      </c>
      <c r="F39" s="32"/>
      <c r="G39" s="35"/>
      <c r="H39" s="32">
        <f>SUM(H34:H37)</f>
        <v>2165442110.0439997</v>
      </c>
      <c r="I39" s="32">
        <f>SUM(I34:I37)</f>
        <v>2168210449.5449996</v>
      </c>
      <c r="J39" s="32">
        <f>SUM(J34:J37)</f>
        <v>2768339.5010000546</v>
      </c>
      <c r="K39" s="34"/>
    </row>
    <row r="40" spans="1:14" ht="13.5" thickBot="1" x14ac:dyDescent="0.25">
      <c r="A40" s="42"/>
      <c r="B40" s="43"/>
      <c r="C40" s="44"/>
      <c r="D40" s="45"/>
      <c r="E40" s="46"/>
      <c r="F40" s="46"/>
      <c r="G40" s="43"/>
      <c r="H40" s="43"/>
      <c r="I40" s="45"/>
      <c r="J40" s="43"/>
      <c r="K40" s="47"/>
    </row>
    <row r="41" spans="1:14" ht="13.5" thickBot="1" x14ac:dyDescent="0.25">
      <c r="J41" s="32"/>
    </row>
    <row r="42" spans="1:14" ht="42.6" customHeight="1" thickBot="1" x14ac:dyDescent="0.25">
      <c r="A42" s="345" t="s">
        <v>187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7"/>
    </row>
    <row r="43" spans="1:14" x14ac:dyDescent="0.2">
      <c r="E43" s="32"/>
    </row>
    <row r="44" spans="1:14" x14ac:dyDescent="0.2">
      <c r="E44" s="32"/>
    </row>
  </sheetData>
  <mergeCells count="1">
    <mergeCell ref="A42:K42"/>
  </mergeCells>
  <phoneticPr fontId="2" type="noConversion"/>
  <printOptions horizontalCentered="1"/>
  <pageMargins left="0.7" right="0.7" top="0.75" bottom="0.75" header="0.3" footer="0.3"/>
  <pageSetup scale="79" orientation="landscape" r:id="rId1"/>
  <headerFooter alignWithMargins="0">
    <oddFooter>&amp;L&amp;F
&amp;A&amp;RSchedule 95A Filing Eff 1-1-19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3"/>
  <sheetViews>
    <sheetView zoomScale="80" zoomScaleNormal="80" workbookViewId="0">
      <selection activeCell="A4" sqref="A1:XFD1048576"/>
    </sheetView>
  </sheetViews>
  <sheetFormatPr defaultColWidth="9.140625" defaultRowHeight="12.75" x14ac:dyDescent="0.2"/>
  <cols>
    <col min="1" max="1" width="8.28515625" style="15" bestFit="1" customWidth="1"/>
    <col min="2" max="2" width="29" style="14" bestFit="1" customWidth="1"/>
    <col min="3" max="3" width="9.42578125" style="14" bestFit="1" customWidth="1"/>
    <col min="4" max="4" width="15.7109375" style="88" bestFit="1" customWidth="1"/>
    <col min="5" max="5" width="10.28515625" style="14" bestFit="1" customWidth="1"/>
    <col min="6" max="6" width="11.7109375" style="88" bestFit="1" customWidth="1"/>
    <col min="7" max="8" width="10.28515625" style="14" bestFit="1" customWidth="1"/>
    <col min="9" max="9" width="14.7109375" style="14" bestFit="1" customWidth="1"/>
    <col min="10" max="10" width="14.28515625" style="14" bestFit="1" customWidth="1"/>
    <col min="11" max="11" width="15.7109375" style="14" bestFit="1" customWidth="1"/>
    <col min="12" max="12" width="11.5703125" style="14" bestFit="1" customWidth="1"/>
    <col min="13" max="13" width="10.7109375" style="14" bestFit="1" customWidth="1"/>
    <col min="14" max="14" width="13.85546875" style="14" customWidth="1"/>
    <col min="15" max="15" width="8.42578125" style="14" customWidth="1"/>
    <col min="16" max="16384" width="9.140625" style="14"/>
  </cols>
  <sheetData>
    <row r="1" spans="1:19" x14ac:dyDescent="0.2">
      <c r="A1" s="348" t="s">
        <v>13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50"/>
    </row>
    <row r="2" spans="1:19" x14ac:dyDescent="0.2">
      <c r="A2" s="351" t="s">
        <v>83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3"/>
    </row>
    <row r="3" spans="1:19" x14ac:dyDescent="0.2">
      <c r="A3" s="13"/>
      <c r="L3" s="16"/>
    </row>
    <row r="4" spans="1:19" ht="12.75" customHeight="1" x14ac:dyDescent="0.2">
      <c r="A4" s="13"/>
      <c r="L4" s="16"/>
    </row>
    <row r="5" spans="1:19" s="18" customFormat="1" ht="97.15" customHeight="1" thickBot="1" x14ac:dyDescent="0.25">
      <c r="A5" s="22" t="s">
        <v>0</v>
      </c>
      <c r="B5" s="23" t="s">
        <v>72</v>
      </c>
      <c r="C5" s="23" t="s">
        <v>181</v>
      </c>
      <c r="D5" s="72" t="s">
        <v>281</v>
      </c>
      <c r="E5" s="72" t="s">
        <v>282</v>
      </c>
      <c r="F5" s="72" t="s">
        <v>283</v>
      </c>
      <c r="G5" s="72" t="s">
        <v>284</v>
      </c>
      <c r="H5" s="73" t="s">
        <v>285</v>
      </c>
      <c r="I5" s="24" t="s">
        <v>477</v>
      </c>
      <c r="J5" s="24" t="s">
        <v>477</v>
      </c>
      <c r="K5" s="24" t="str">
        <f>+'Rate Impacts'!D5</f>
        <v>kWh
Source: F2018 January 2019 to December 2019</v>
      </c>
      <c r="L5" s="301" t="s">
        <v>478</v>
      </c>
    </row>
    <row r="6" spans="1:19" s="18" customFormat="1" ht="39" customHeight="1" x14ac:dyDescent="0.2">
      <c r="A6" s="17"/>
      <c r="D6" s="291" t="s">
        <v>14</v>
      </c>
      <c r="E6" s="292" t="s">
        <v>188</v>
      </c>
      <c r="F6" s="291" t="s">
        <v>16</v>
      </c>
      <c r="G6" s="292" t="s">
        <v>189</v>
      </c>
      <c r="H6" s="342" t="s">
        <v>128</v>
      </c>
      <c r="I6" s="342" t="s">
        <v>129</v>
      </c>
      <c r="J6" s="343" t="s">
        <v>130</v>
      </c>
      <c r="K6" s="342" t="s">
        <v>131</v>
      </c>
      <c r="L6" s="344" t="s">
        <v>132</v>
      </c>
      <c r="N6" s="14"/>
      <c r="O6" s="14"/>
      <c r="P6" s="14"/>
      <c r="Q6" s="14"/>
      <c r="R6" s="14"/>
      <c r="S6" s="14"/>
    </row>
    <row r="7" spans="1:19" x14ac:dyDescent="0.2">
      <c r="A7" s="13">
        <v>1</v>
      </c>
      <c r="B7" s="14" t="s">
        <v>1</v>
      </c>
      <c r="C7" s="15">
        <v>7</v>
      </c>
      <c r="D7" s="88">
        <f>+'UE-170033 LR Data Summary'!D9</f>
        <v>11362694034.5944</v>
      </c>
      <c r="E7" s="302">
        <f>+D7/D$27*0.75</f>
        <v>0.38195078093632617</v>
      </c>
      <c r="F7" s="88">
        <f>+'UE-170033 LR Data Summary'!I9</f>
        <v>2401760.8159533199</v>
      </c>
      <c r="G7" s="302">
        <f>+F7/F$27*0.25</f>
        <v>0.15233189321329041</v>
      </c>
      <c r="H7" s="302">
        <f>+G7+E7</f>
        <v>0.53428267414961661</v>
      </c>
      <c r="I7" s="302"/>
      <c r="J7" s="32">
        <f>+H7*($I$27)</f>
        <v>-20675687.396558881</v>
      </c>
      <c r="K7" s="88">
        <f>+'Estimated Proforma Net Revenue'!C9</f>
        <v>10808199000</v>
      </c>
      <c r="L7" s="303">
        <f>(+J7/K7)</f>
        <v>-1.91296324175368E-3</v>
      </c>
    </row>
    <row r="8" spans="1:19" x14ac:dyDescent="0.2">
      <c r="A8" s="13">
        <f t="shared" ref="A8:A31" si="0">+A7+1</f>
        <v>2</v>
      </c>
      <c r="C8" s="304"/>
      <c r="E8" s="302"/>
      <c r="G8" s="302"/>
      <c r="H8" s="302"/>
      <c r="I8" s="302"/>
      <c r="J8" s="32"/>
      <c r="K8" s="88"/>
      <c r="L8" s="305"/>
    </row>
    <row r="9" spans="1:19" x14ac:dyDescent="0.2">
      <c r="A9" s="13">
        <f t="shared" si="0"/>
        <v>3</v>
      </c>
      <c r="B9" s="39" t="s">
        <v>2</v>
      </c>
      <c r="C9" s="38" t="s">
        <v>182</v>
      </c>
      <c r="D9" s="88">
        <f>+'UE-170033 LR Data Summary'!D10</f>
        <v>2983833723.3713889</v>
      </c>
      <c r="E9" s="302">
        <f>+D9/D$27*0.75</f>
        <v>0.10029994800141862</v>
      </c>
      <c r="F9" s="88">
        <f>+'UE-170033 LR Data Summary'!I10</f>
        <v>483797.35950569448</v>
      </c>
      <c r="G9" s="302">
        <f>+F9/F$27*0.25</f>
        <v>3.0684890525137825E-2</v>
      </c>
      <c r="H9" s="302">
        <f>+G9+E9</f>
        <v>0.13098483852655643</v>
      </c>
      <c r="I9" s="302"/>
      <c r="J9" s="32">
        <f>+H9*($I$27)</f>
        <v>-5068855.3196569458</v>
      </c>
      <c r="K9" s="88">
        <f>SUM('Estimated Proforma Net Revenue'!C12:C12)</f>
        <v>3088796000</v>
      </c>
      <c r="L9" s="303">
        <f t="shared" ref="L9:L12" si="1">(+J9/K9)</f>
        <v>-1.6410456759387625E-3</v>
      </c>
    </row>
    <row r="10" spans="1:19" x14ac:dyDescent="0.2">
      <c r="A10" s="13">
        <f t="shared" si="0"/>
        <v>4</v>
      </c>
      <c r="B10" s="14" t="s">
        <v>3</v>
      </c>
      <c r="C10" s="38" t="s">
        <v>183</v>
      </c>
      <c r="D10" s="88">
        <f>+'UE-170033 LR Data -Energy'!J22</f>
        <v>3065348902.0678535</v>
      </c>
      <c r="E10" s="302">
        <f>+D10/D$27*0.75</f>
        <v>0.10304003640532063</v>
      </c>
      <c r="F10" s="88">
        <f>+'UE-170033 LR Data- Dem 4CP'!F23</f>
        <v>452114.2470296041</v>
      </c>
      <c r="G10" s="302">
        <f>+F10/F$27*0.25</f>
        <v>2.8675386300439761E-2</v>
      </c>
      <c r="H10" s="302">
        <f>+G10+E10</f>
        <v>0.13171542270576039</v>
      </c>
      <c r="I10" s="302"/>
      <c r="J10" s="32">
        <f>+H10*($I$27)</f>
        <v>-5097127.4887482133</v>
      </c>
      <c r="K10" s="88">
        <f>SUM('Estimated Proforma Net Revenue'!C13:C13)</f>
        <v>3251471000</v>
      </c>
      <c r="L10" s="303">
        <f t="shared" si="1"/>
        <v>-1.5676373828178733E-3</v>
      </c>
    </row>
    <row r="11" spans="1:19" x14ac:dyDescent="0.2">
      <c r="A11" s="13">
        <f t="shared" si="0"/>
        <v>5</v>
      </c>
      <c r="B11" s="14" t="s">
        <v>4</v>
      </c>
      <c r="C11" s="38" t="s">
        <v>184</v>
      </c>
      <c r="D11" s="88">
        <f>+'UE-170033 LR Data Summary'!D12</f>
        <v>2051022389.543107</v>
      </c>
      <c r="E11" s="302">
        <f>+D11/D$27*0.75</f>
        <v>6.8944002277875574E-2</v>
      </c>
      <c r="F11" s="88">
        <f>+'UE-170033 LR Data Summary'!I12</f>
        <v>261562.891393383</v>
      </c>
      <c r="G11" s="302">
        <f>+F11/F$27*0.25</f>
        <v>1.6589649633567301E-2</v>
      </c>
      <c r="H11" s="302">
        <f>+G11+E11</f>
        <v>8.5533651911442882E-2</v>
      </c>
      <c r="I11" s="302"/>
      <c r="J11" s="32">
        <f>+H11*($I$27)</f>
        <v>-3309983.8987326873</v>
      </c>
      <c r="K11" s="88">
        <f>SUM('Estimated Proforma Net Revenue'!C14:C14)</f>
        <v>1936207000</v>
      </c>
      <c r="L11" s="303">
        <f t="shared" si="1"/>
        <v>-1.7095196426480678E-3</v>
      </c>
    </row>
    <row r="12" spans="1:19" x14ac:dyDescent="0.2">
      <c r="A12" s="13">
        <f t="shared" si="0"/>
        <v>6</v>
      </c>
      <c r="B12" s="14" t="s">
        <v>5</v>
      </c>
      <c r="C12" s="38">
        <v>29</v>
      </c>
      <c r="D12" s="88">
        <f>+'UE-170033 LR Data -Energy'!J24</f>
        <v>15235983.417815696</v>
      </c>
      <c r="E12" s="302">
        <f>+D12/D$27*0.75</f>
        <v>5.1214929725733381E-4</v>
      </c>
      <c r="F12" s="88">
        <f>+'UE-170033 LR Data- Dem 4CP'!H23</f>
        <v>358.31112419307749</v>
      </c>
      <c r="G12" s="302">
        <f>+F12/F$27*0.25</f>
        <v>2.2725914897586855E-5</v>
      </c>
      <c r="H12" s="302">
        <f>+G12+E12</f>
        <v>5.3487521215492067E-4</v>
      </c>
      <c r="I12" s="302"/>
      <c r="J12" s="32">
        <f>+H12*($I$27)</f>
        <v>-20698.617450556507</v>
      </c>
      <c r="K12" s="88">
        <f>+'Estimated Proforma Net Revenue'!C15</f>
        <v>16225000</v>
      </c>
      <c r="L12" s="303">
        <f t="shared" si="1"/>
        <v>-1.2757237257661946E-3</v>
      </c>
    </row>
    <row r="13" spans="1:19" x14ac:dyDescent="0.2">
      <c r="A13" s="13">
        <f t="shared" si="0"/>
        <v>7</v>
      </c>
      <c r="C13" s="38"/>
      <c r="E13" s="302"/>
      <c r="G13" s="302"/>
      <c r="H13" s="302"/>
      <c r="I13" s="302"/>
      <c r="J13" s="32"/>
      <c r="K13" s="88"/>
      <c r="L13" s="305"/>
    </row>
    <row r="14" spans="1:19" x14ac:dyDescent="0.2">
      <c r="A14" s="13">
        <f t="shared" si="0"/>
        <v>8</v>
      </c>
      <c r="B14" s="14" t="s">
        <v>6</v>
      </c>
      <c r="C14" s="38" t="s">
        <v>185</v>
      </c>
      <c r="D14" s="88">
        <f>+'UE-170033 LR Data Summary'!D13</f>
        <v>1342870567.1184549</v>
      </c>
      <c r="E14" s="302">
        <f>+D14/D$27*0.75</f>
        <v>4.5139863860253079E-2</v>
      </c>
      <c r="F14" s="88">
        <f>+'UE-170033 LR Data Summary'!I13</f>
        <v>179157.07260351363</v>
      </c>
      <c r="G14" s="302">
        <f>+F14/F$27*0.25</f>
        <v>1.136305325283256E-2</v>
      </c>
      <c r="H14" s="302">
        <f>+G14+E14</f>
        <v>5.6502917113085638E-2</v>
      </c>
      <c r="I14" s="302"/>
      <c r="J14" s="32">
        <f>+H14*($I$27)</f>
        <v>-2186551.6284675389</v>
      </c>
      <c r="K14" s="88">
        <f>SUM('Estimated Proforma Net Revenue'!C18:C18)</f>
        <v>1417061000</v>
      </c>
      <c r="L14" s="303">
        <f t="shared" ref="L14:L16" si="2">(+J14/K14)</f>
        <v>-1.5430187045353298E-3</v>
      </c>
    </row>
    <row r="15" spans="1:19" x14ac:dyDescent="0.2">
      <c r="A15" s="13">
        <f t="shared" si="0"/>
        <v>9</v>
      </c>
      <c r="B15" s="14" t="s">
        <v>7</v>
      </c>
      <c r="C15" s="38">
        <v>35</v>
      </c>
      <c r="D15" s="88">
        <f>+'UE-170033 LR Data Summary'!D14</f>
        <v>4594563.3633324662</v>
      </c>
      <c r="E15" s="302">
        <f>+D15/D$27*0.75</f>
        <v>1.5444374893342898E-4</v>
      </c>
      <c r="F15" s="88">
        <f>+'UE-170033 LR Data Summary'!I14</f>
        <v>4.0419526549894496</v>
      </c>
      <c r="G15" s="302">
        <f>+F15/F$27*0.25</f>
        <v>2.5636120637959287E-7</v>
      </c>
      <c r="H15" s="302">
        <f>+G15+E15</f>
        <v>1.5470011013980859E-4</v>
      </c>
      <c r="I15" s="302"/>
      <c r="J15" s="32">
        <f>+H15*($I$27)</f>
        <v>-5986.5896317053648</v>
      </c>
      <c r="K15" s="88">
        <f>+'Estimated Proforma Net Revenue'!C19</f>
        <v>5167000</v>
      </c>
      <c r="L15" s="303">
        <f t="shared" si="2"/>
        <v>-1.1586200177482805E-3</v>
      </c>
    </row>
    <row r="16" spans="1:19" x14ac:dyDescent="0.2">
      <c r="A16" s="13">
        <f t="shared" si="0"/>
        <v>10</v>
      </c>
      <c r="B16" s="14" t="s">
        <v>8</v>
      </c>
      <c r="C16" s="38">
        <v>43</v>
      </c>
      <c r="D16" s="88">
        <f>+'UE-170033 LR Data Summary'!D15</f>
        <v>124979540.86316925</v>
      </c>
      <c r="E16" s="302">
        <f>+D16/D$27*0.75</f>
        <v>4.2011193022020816E-3</v>
      </c>
      <c r="F16" s="88">
        <f>+'UE-170033 LR Data Summary'!I15</f>
        <v>0</v>
      </c>
      <c r="G16" s="302">
        <f>+F16/F$27*0.25</f>
        <v>0</v>
      </c>
      <c r="H16" s="302">
        <f>+G16+E16</f>
        <v>4.2011193022020816E-3</v>
      </c>
      <c r="I16" s="302"/>
      <c r="J16" s="32">
        <f>+H16*($I$27)</f>
        <v>-162575.04428012931</v>
      </c>
      <c r="K16" s="88">
        <f>+'Estimated Proforma Net Revenue'!C20</f>
        <v>125684000</v>
      </c>
      <c r="L16" s="303">
        <f t="shared" si="2"/>
        <v>-1.2935222007584841E-3</v>
      </c>
    </row>
    <row r="17" spans="1:12" x14ac:dyDescent="0.2">
      <c r="A17" s="13">
        <f t="shared" si="0"/>
        <v>11</v>
      </c>
      <c r="C17" s="38"/>
      <c r="E17" s="302"/>
      <c r="G17" s="302"/>
      <c r="H17" s="302"/>
      <c r="I17" s="302"/>
      <c r="J17" s="32"/>
      <c r="K17" s="88"/>
      <c r="L17" s="305"/>
    </row>
    <row r="18" spans="1:12" x14ac:dyDescent="0.2">
      <c r="A18" s="13">
        <f t="shared" si="0"/>
        <v>12</v>
      </c>
      <c r="B18" s="39" t="s">
        <v>73</v>
      </c>
      <c r="C18" s="38">
        <v>40</v>
      </c>
      <c r="D18" s="88">
        <f>+'UE-170033 LR Data Summary'!D16</f>
        <v>639599439.09802258</v>
      </c>
      <c r="E18" s="302">
        <f>+D18/D$27*0.75</f>
        <v>2.1499787330905299E-2</v>
      </c>
      <c r="F18" s="88">
        <f>+'UE-170033 LR Data Summary'!I16</f>
        <v>80420.565981487191</v>
      </c>
      <c r="G18" s="302">
        <f>+F18/F$27*0.25</f>
        <v>5.1006815449196599E-3</v>
      </c>
      <c r="H18" s="302">
        <f>+G18+E18</f>
        <v>2.660046887582496E-2</v>
      </c>
      <c r="I18" s="302"/>
      <c r="J18" s="32">
        <f>+H18*($I$27)</f>
        <v>-1029385.764668157</v>
      </c>
      <c r="K18" s="88">
        <f>+'Estimated Proforma Net Revenue'!C23</f>
        <v>586557000</v>
      </c>
      <c r="L18" s="303">
        <f>(+J18/K18)</f>
        <v>-1.7549628845417529E-3</v>
      </c>
    </row>
    <row r="19" spans="1:12" x14ac:dyDescent="0.2">
      <c r="A19" s="13">
        <f t="shared" si="0"/>
        <v>13</v>
      </c>
      <c r="C19" s="38"/>
      <c r="E19" s="302"/>
      <c r="G19" s="302"/>
      <c r="H19" s="302"/>
      <c r="I19" s="302"/>
      <c r="J19" s="32"/>
      <c r="K19" s="88"/>
      <c r="L19" s="305"/>
    </row>
    <row r="20" spans="1:12" x14ac:dyDescent="0.2">
      <c r="A20" s="13">
        <f t="shared" si="0"/>
        <v>14</v>
      </c>
      <c r="B20" s="39" t="s">
        <v>124</v>
      </c>
      <c r="C20" s="38">
        <v>46</v>
      </c>
      <c r="D20" s="88">
        <f>+'UE-170033 LR Data -Energy'!J29</f>
        <v>58540365.538649537</v>
      </c>
      <c r="E20" s="302">
        <f>+D20/D$27*0.75</f>
        <v>1.9678025533126421E-3</v>
      </c>
      <c r="F20" s="88">
        <f>+'UE-170033 LR Data- Dem 4CP'!P23</f>
        <v>0</v>
      </c>
      <c r="G20" s="302">
        <f>+F20/F$27*0.25</f>
        <v>0</v>
      </c>
      <c r="H20" s="302">
        <f>+G20+E20</f>
        <v>1.9678025533126421E-3</v>
      </c>
      <c r="I20" s="302"/>
      <c r="J20" s="32">
        <f>+H20*($I$27)</f>
        <v>-76150.083876852907</v>
      </c>
      <c r="K20" s="88">
        <f>+'Estimated Proforma Net Revenue'!C25</f>
        <v>76343000</v>
      </c>
      <c r="L20" s="303">
        <f t="shared" ref="L20:L21" si="3">(+J20/K20)</f>
        <v>-9.9747303455264939E-4</v>
      </c>
    </row>
    <row r="21" spans="1:12" x14ac:dyDescent="0.2">
      <c r="A21" s="13">
        <f t="shared" si="0"/>
        <v>15</v>
      </c>
      <c r="B21" s="39" t="s">
        <v>125</v>
      </c>
      <c r="C21" s="38">
        <v>49</v>
      </c>
      <c r="D21" s="88">
        <f>+'UE-170033 LR Data -Energy'!J30</f>
        <v>574347448.1834321</v>
      </c>
      <c r="E21" s="302">
        <f>+D21/D$27*0.75</f>
        <v>1.9306377140364376E-2</v>
      </c>
      <c r="F21" s="88">
        <f>+'UE-170033 LR Data- Dem 4CP'!Q23</f>
        <v>67179.705291231017</v>
      </c>
      <c r="G21" s="302">
        <f>+F21/F$27*0.25</f>
        <v>4.2608787788313311E-3</v>
      </c>
      <c r="H21" s="302">
        <f>+G21+E21</f>
        <v>2.3567255919195708E-2</v>
      </c>
      <c r="I21" s="302"/>
      <c r="J21" s="32">
        <f>+H21*($I$27)</f>
        <v>-912006.39615639311</v>
      </c>
      <c r="K21" s="88">
        <f>+'Estimated Proforma Net Revenue'!C26</f>
        <v>603277000</v>
      </c>
      <c r="L21" s="303">
        <f t="shared" si="3"/>
        <v>-1.511753964027127E-3</v>
      </c>
    </row>
    <row r="22" spans="1:12" x14ac:dyDescent="0.2">
      <c r="A22" s="13">
        <f t="shared" si="0"/>
        <v>16</v>
      </c>
      <c r="B22" s="39"/>
      <c r="C22" s="38"/>
      <c r="E22" s="302"/>
      <c r="G22" s="302"/>
      <c r="H22" s="302"/>
      <c r="I22" s="302"/>
      <c r="J22" s="32"/>
      <c r="K22" s="88"/>
      <c r="L22" s="305"/>
    </row>
    <row r="23" spans="1:12" x14ac:dyDescent="0.2">
      <c r="A23" s="13">
        <f t="shared" si="0"/>
        <v>17</v>
      </c>
      <c r="B23" s="14" t="s">
        <v>9</v>
      </c>
      <c r="C23" s="38" t="s">
        <v>70</v>
      </c>
      <c r="D23" s="88">
        <f>+'UE-170033 LR Data Summary'!D18</f>
        <v>81534389.017231286</v>
      </c>
      <c r="E23" s="302">
        <f>+D23/D$27*0.75</f>
        <v>2.7407341483880188E-3</v>
      </c>
      <c r="F23" s="88">
        <f>+'UE-170033 LR Data Summary'!I18</f>
        <v>13772.381425311305</v>
      </c>
      <c r="G23" s="302">
        <f>+F23/F$27*0.25</f>
        <v>8.7351451594920256E-4</v>
      </c>
      <c r="H23" s="302">
        <f>+G23+E23</f>
        <v>3.6142486643372211E-3</v>
      </c>
      <c r="I23" s="302"/>
      <c r="J23" s="32">
        <f>+H23*($I$27)</f>
        <v>-139864.30624239336</v>
      </c>
      <c r="K23" s="88">
        <f>+'Estimated Proforma Net Revenue'!C29</f>
        <v>71132000</v>
      </c>
      <c r="L23" s="303">
        <f>(+J23/K23)</f>
        <v>-1.9662642164200834E-3</v>
      </c>
    </row>
    <row r="24" spans="1:12" x14ac:dyDescent="0.2">
      <c r="A24" s="13">
        <f t="shared" si="0"/>
        <v>18</v>
      </c>
      <c r="C24" s="38"/>
      <c r="E24" s="302"/>
      <c r="J24" s="32"/>
      <c r="L24" s="305"/>
    </row>
    <row r="25" spans="1:12" x14ac:dyDescent="0.2">
      <c r="A25" s="13">
        <f t="shared" si="0"/>
        <v>19</v>
      </c>
      <c r="B25" s="39" t="s">
        <v>74</v>
      </c>
      <c r="C25" s="38">
        <v>5</v>
      </c>
      <c r="D25" s="88">
        <f>+'UE-170033 LR Data Summary'!D21</f>
        <v>7227693.8231415441</v>
      </c>
      <c r="E25" s="302">
        <f>+D25/D$27*0.75</f>
        <v>2.4295499744274475E-4</v>
      </c>
      <c r="F25" s="88">
        <f>+'UE-170033 LR Data Summary'!I21</f>
        <v>1530.4662657410647</v>
      </c>
      <c r="G25" s="302">
        <f>+F25/F$27*0.25</f>
        <v>9.706995892797613E-5</v>
      </c>
      <c r="H25" s="302">
        <f>+G25+E25</f>
        <v>3.4002495637072087E-4</v>
      </c>
      <c r="I25" s="302"/>
      <c r="J25" s="32">
        <f>+H25*($I$27)</f>
        <v>-13158.296244846781</v>
      </c>
      <c r="K25" s="88">
        <f>+'Estimated Proforma Net Revenue'!C35</f>
        <v>7036000</v>
      </c>
      <c r="L25" s="303">
        <f>(+J25/K25)</f>
        <v>-1.8701387499782235E-3</v>
      </c>
    </row>
    <row r="26" spans="1:12" x14ac:dyDescent="0.2">
      <c r="A26" s="13">
        <f t="shared" si="0"/>
        <v>20</v>
      </c>
      <c r="C26" s="38"/>
      <c r="E26" s="302"/>
      <c r="J26" s="32"/>
      <c r="L26" s="305"/>
    </row>
    <row r="27" spans="1:12" x14ac:dyDescent="0.2">
      <c r="A27" s="13">
        <f t="shared" si="0"/>
        <v>21</v>
      </c>
      <c r="B27" s="14" t="s">
        <v>10</v>
      </c>
      <c r="C27" s="38"/>
      <c r="D27" s="88">
        <f>SUM(D7:D25)</f>
        <v>22311829040</v>
      </c>
      <c r="E27" s="302">
        <f>SUM(E7:E25)</f>
        <v>0.75000000000000011</v>
      </c>
      <c r="F27" s="88">
        <f>SUM(F7:F25)</f>
        <v>3941657.8585261339</v>
      </c>
      <c r="G27" s="302">
        <f>SUM(G7:G25)</f>
        <v>0.24999999999999994</v>
      </c>
      <c r="H27" s="302">
        <f>SUM(H7:H25)</f>
        <v>1.0000000000000002</v>
      </c>
      <c r="I27" s="32">
        <f>+'Rev Req Eff 1-1-2019'!L29</f>
        <v>-38698030.830715299</v>
      </c>
      <c r="J27" s="32">
        <f>SUM(J7:J25)</f>
        <v>-38698030.830715299</v>
      </c>
      <c r="K27" s="88">
        <f>SUM(K7:K25)</f>
        <v>21993155000</v>
      </c>
      <c r="L27" s="303">
        <f>(+J27/K27)</f>
        <v>-1.7595488610304114E-3</v>
      </c>
    </row>
    <row r="28" spans="1:12" x14ac:dyDescent="0.2">
      <c r="A28" s="13">
        <f t="shared" si="0"/>
        <v>22</v>
      </c>
      <c r="C28" s="38"/>
      <c r="J28" s="32"/>
      <c r="L28" s="180"/>
    </row>
    <row r="29" spans="1:12" x14ac:dyDescent="0.2">
      <c r="A29" s="13">
        <f t="shared" si="0"/>
        <v>23</v>
      </c>
      <c r="B29" s="14" t="s">
        <v>11</v>
      </c>
      <c r="C29" s="38" t="s">
        <v>178</v>
      </c>
      <c r="H29" s="88"/>
      <c r="I29" s="88"/>
      <c r="J29" s="32"/>
      <c r="K29" s="88">
        <f>+'Estimated Proforma Net Revenue'!C31</f>
        <v>2028599000</v>
      </c>
      <c r="L29" s="306"/>
    </row>
    <row r="30" spans="1:12" x14ac:dyDescent="0.2">
      <c r="A30" s="13">
        <f t="shared" si="0"/>
        <v>24</v>
      </c>
      <c r="L30" s="16"/>
    </row>
    <row r="31" spans="1:12" x14ac:dyDescent="0.2">
      <c r="A31" s="13">
        <f t="shared" si="0"/>
        <v>25</v>
      </c>
      <c r="B31" s="14" t="s">
        <v>12</v>
      </c>
      <c r="J31" s="32"/>
      <c r="K31" s="88">
        <f>+K29+K27</f>
        <v>24021754000</v>
      </c>
      <c r="L31" s="305"/>
    </row>
    <row r="32" spans="1:12" x14ac:dyDescent="0.2">
      <c r="A32" s="13"/>
      <c r="J32" s="32"/>
      <c r="K32" s="88"/>
      <c r="L32" s="16"/>
    </row>
    <row r="33" spans="1:12" ht="13.5" thickBot="1" x14ac:dyDescent="0.25">
      <c r="A33" s="42"/>
      <c r="B33" s="43"/>
      <c r="C33" s="43"/>
      <c r="D33" s="45"/>
      <c r="E33" s="43"/>
      <c r="F33" s="45"/>
      <c r="G33" s="43"/>
      <c r="H33" s="43"/>
      <c r="I33" s="43"/>
      <c r="J33" s="43"/>
      <c r="K33" s="43"/>
      <c r="L33" s="47"/>
    </row>
  </sheetData>
  <mergeCells count="2">
    <mergeCell ref="A1:L1"/>
    <mergeCell ref="A2:L2"/>
  </mergeCells>
  <phoneticPr fontId="7" type="noConversion"/>
  <printOptions horizontalCentered="1"/>
  <pageMargins left="0.7" right="0.7" top="0.75" bottom="0.75" header="0.3" footer="0.3"/>
  <pageSetup scale="77" fitToHeight="6" orientation="landscape" r:id="rId1"/>
  <headerFooter alignWithMargins="0">
    <oddFooter>&amp;L&amp;F
&amp;A&amp;RSchedule 95A Filing Eff 1-1-19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workbookViewId="0">
      <pane xSplit="2" ySplit="8" topLeftCell="C9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6.42578125" defaultRowHeight="12.75" x14ac:dyDescent="0.2"/>
  <cols>
    <col min="1" max="1" width="4.42578125" style="4" bestFit="1" customWidth="1"/>
    <col min="2" max="2" width="22.7109375" style="4" bestFit="1" customWidth="1"/>
    <col min="3" max="5" width="15.140625" style="4" bestFit="1" customWidth="1"/>
    <col min="6" max="6" width="13.28515625" style="4" bestFit="1" customWidth="1"/>
    <col min="7" max="7" width="13.5703125" style="4" bestFit="1" customWidth="1"/>
    <col min="8" max="8" width="12.42578125" style="4" bestFit="1" customWidth="1"/>
    <col min="9" max="9" width="12.140625" style="4" bestFit="1" customWidth="1"/>
    <col min="10" max="10" width="12" style="4" customWidth="1"/>
    <col min="11" max="12" width="12.42578125" style="4" bestFit="1" customWidth="1"/>
    <col min="13" max="13" width="13.5703125" style="4" bestFit="1" customWidth="1"/>
    <col min="14" max="14" width="13.28515625" style="4" bestFit="1" customWidth="1"/>
    <col min="15" max="16384" width="6.42578125" style="4"/>
  </cols>
  <sheetData>
    <row r="1" spans="1:14" x14ac:dyDescent="0.2">
      <c r="A1" s="354" t="s">
        <v>13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x14ac:dyDescent="0.2">
      <c r="A2" s="355" t="s">
        <v>479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</row>
    <row r="3" spans="1:14" x14ac:dyDescent="0.2">
      <c r="A3" s="355" t="s">
        <v>480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</row>
    <row r="4" spans="1:14" x14ac:dyDescent="0.2">
      <c r="A4" s="355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1:14" x14ac:dyDescent="0.2">
      <c r="A5" s="110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x14ac:dyDescent="0.2">
      <c r="A6" s="110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5" customFormat="1" ht="63.75" x14ac:dyDescent="0.2">
      <c r="A7" s="289" t="s">
        <v>0</v>
      </c>
      <c r="B7" s="289" t="s">
        <v>166</v>
      </c>
      <c r="C7" s="73" t="s">
        <v>167</v>
      </c>
      <c r="D7" s="290" t="s">
        <v>180</v>
      </c>
      <c r="E7" s="290" t="s">
        <v>168</v>
      </c>
      <c r="F7" s="290" t="s">
        <v>169</v>
      </c>
      <c r="G7" s="290" t="s">
        <v>170</v>
      </c>
      <c r="H7" s="290" t="s">
        <v>171</v>
      </c>
      <c r="I7" s="290" t="s">
        <v>172</v>
      </c>
      <c r="J7" s="290" t="s">
        <v>173</v>
      </c>
      <c r="K7" s="290" t="s">
        <v>174</v>
      </c>
      <c r="L7" s="290" t="s">
        <v>175</v>
      </c>
      <c r="M7" s="290" t="s">
        <v>176</v>
      </c>
      <c r="N7" s="290" t="s">
        <v>177</v>
      </c>
    </row>
    <row r="8" spans="1:14" s="5" customFormat="1" ht="25.5" x14ac:dyDescent="0.2">
      <c r="A8" s="18"/>
      <c r="B8" s="18"/>
      <c r="C8" s="291" t="s">
        <v>14</v>
      </c>
      <c r="D8" s="292" t="s">
        <v>486</v>
      </c>
      <c r="E8" s="291" t="s">
        <v>16</v>
      </c>
      <c r="F8" s="292" t="s">
        <v>75</v>
      </c>
      <c r="G8" s="342" t="s">
        <v>190</v>
      </c>
      <c r="H8" s="342" t="s">
        <v>129</v>
      </c>
      <c r="I8" s="343" t="s">
        <v>195</v>
      </c>
      <c r="J8" s="342" t="s">
        <v>191</v>
      </c>
      <c r="K8" s="342" t="s">
        <v>192</v>
      </c>
      <c r="L8" s="342" t="s">
        <v>131</v>
      </c>
      <c r="M8" s="342" t="s">
        <v>193</v>
      </c>
      <c r="N8" s="342" t="s">
        <v>194</v>
      </c>
    </row>
    <row r="9" spans="1:14" s="5" customFormat="1" x14ac:dyDescent="0.2">
      <c r="A9" s="74">
        <v>1</v>
      </c>
      <c r="B9" s="93">
        <v>7</v>
      </c>
      <c r="C9" s="227">
        <v>10808199000</v>
      </c>
      <c r="D9" s="293">
        <f>SUM(E9:N9)</f>
        <v>1127443000</v>
      </c>
      <c r="E9" s="293">
        <v>1124762000</v>
      </c>
      <c r="F9" s="293">
        <v>0</v>
      </c>
      <c r="G9" s="293">
        <v>52528000</v>
      </c>
      <c r="H9" s="293">
        <v>9673000</v>
      </c>
      <c r="I9" s="293">
        <v>-3740000</v>
      </c>
      <c r="J9" s="293">
        <v>-378000</v>
      </c>
      <c r="K9" s="293">
        <v>36834000</v>
      </c>
      <c r="L9" s="293">
        <v>0</v>
      </c>
      <c r="M9" s="293">
        <v>-12192000</v>
      </c>
      <c r="N9" s="293">
        <v>-80044000</v>
      </c>
    </row>
    <row r="10" spans="1:14" x14ac:dyDescent="0.2">
      <c r="A10" s="74">
        <f>+A9+1</f>
        <v>2</v>
      </c>
      <c r="B10" s="294" t="s">
        <v>1</v>
      </c>
      <c r="C10" s="295">
        <f t="shared" ref="C10:N10" si="0">SUM(C9:C9)</f>
        <v>10808199000</v>
      </c>
      <c r="D10" s="296">
        <f t="shared" si="0"/>
        <v>1127443000</v>
      </c>
      <c r="E10" s="296">
        <f t="shared" si="0"/>
        <v>1124762000</v>
      </c>
      <c r="F10" s="296">
        <f t="shared" si="0"/>
        <v>0</v>
      </c>
      <c r="G10" s="296">
        <f t="shared" si="0"/>
        <v>52528000</v>
      </c>
      <c r="H10" s="296">
        <f t="shared" si="0"/>
        <v>9673000</v>
      </c>
      <c r="I10" s="296">
        <f t="shared" si="0"/>
        <v>-3740000</v>
      </c>
      <c r="J10" s="296">
        <f t="shared" si="0"/>
        <v>-378000</v>
      </c>
      <c r="K10" s="296">
        <f t="shared" si="0"/>
        <v>36834000</v>
      </c>
      <c r="L10" s="296">
        <f t="shared" si="0"/>
        <v>0</v>
      </c>
      <c r="M10" s="296">
        <f t="shared" si="0"/>
        <v>-12192000</v>
      </c>
      <c r="N10" s="296">
        <f t="shared" si="0"/>
        <v>-80044000</v>
      </c>
    </row>
    <row r="11" spans="1:14" x14ac:dyDescent="0.2">
      <c r="A11" s="74">
        <f t="shared" ref="A11:A37" si="1">+A10+1</f>
        <v>3</v>
      </c>
      <c r="B11" s="74"/>
      <c r="C11" s="227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 x14ac:dyDescent="0.2">
      <c r="A12" s="74">
        <f t="shared" si="1"/>
        <v>4</v>
      </c>
      <c r="B12" s="93" t="s">
        <v>482</v>
      </c>
      <c r="C12" s="227">
        <v>3088796000</v>
      </c>
      <c r="D12" s="293">
        <f>SUM(E12:N12)</f>
        <v>324889000</v>
      </c>
      <c r="E12" s="293">
        <v>299977000</v>
      </c>
      <c r="F12" s="293">
        <v>0</v>
      </c>
      <c r="G12" s="293">
        <v>12997000</v>
      </c>
      <c r="H12" s="293">
        <v>2647000</v>
      </c>
      <c r="I12" s="293">
        <v>-812000</v>
      </c>
      <c r="J12" s="293">
        <v>-87000</v>
      </c>
      <c r="K12" s="293">
        <v>7969000</v>
      </c>
      <c r="L12" s="293">
        <v>0</v>
      </c>
      <c r="M12" s="293">
        <v>4228000</v>
      </c>
      <c r="N12" s="293">
        <v>-2030000</v>
      </c>
    </row>
    <row r="13" spans="1:14" x14ac:dyDescent="0.2">
      <c r="A13" s="74">
        <f t="shared" si="1"/>
        <v>5</v>
      </c>
      <c r="B13" s="297" t="s">
        <v>483</v>
      </c>
      <c r="C13" s="227">
        <v>3251471000</v>
      </c>
      <c r="D13" s="293">
        <f>SUM(E13:N13)</f>
        <v>319869000</v>
      </c>
      <c r="E13" s="293">
        <v>292708000</v>
      </c>
      <c r="F13" s="293">
        <v>0</v>
      </c>
      <c r="G13" s="293">
        <v>13841000</v>
      </c>
      <c r="H13" s="293">
        <v>2589000</v>
      </c>
      <c r="I13" s="293">
        <v>-797000</v>
      </c>
      <c r="J13" s="293">
        <v>-95000</v>
      </c>
      <c r="K13" s="293">
        <v>7872000</v>
      </c>
      <c r="L13" s="293">
        <v>0</v>
      </c>
      <c r="M13" s="293">
        <v>4955000</v>
      </c>
      <c r="N13" s="293">
        <v>-1204000</v>
      </c>
    </row>
    <row r="14" spans="1:14" x14ac:dyDescent="0.2">
      <c r="A14" s="74">
        <f t="shared" si="1"/>
        <v>6</v>
      </c>
      <c r="B14" s="297" t="s">
        <v>484</v>
      </c>
      <c r="C14" s="227">
        <v>1936207000</v>
      </c>
      <c r="D14" s="293">
        <f>SUM(E14:N14)</f>
        <v>173043000</v>
      </c>
      <c r="E14" s="293">
        <v>159380000</v>
      </c>
      <c r="F14" s="293">
        <v>0</v>
      </c>
      <c r="G14" s="293">
        <v>8374000</v>
      </c>
      <c r="H14" s="293">
        <v>1388000</v>
      </c>
      <c r="I14" s="293">
        <v>-391000</v>
      </c>
      <c r="J14" s="293">
        <v>-58000</v>
      </c>
      <c r="K14" s="293">
        <v>4306000</v>
      </c>
      <c r="L14" s="293">
        <v>0</v>
      </c>
      <c r="M14" s="293">
        <v>190000</v>
      </c>
      <c r="N14" s="293">
        <v>-146000</v>
      </c>
    </row>
    <row r="15" spans="1:14" x14ac:dyDescent="0.2">
      <c r="A15" s="74">
        <f t="shared" si="1"/>
        <v>7</v>
      </c>
      <c r="B15" s="93">
        <v>29</v>
      </c>
      <c r="C15" s="227">
        <v>16225000</v>
      </c>
      <c r="D15" s="293">
        <f>SUM(E15:N15)</f>
        <v>1308000</v>
      </c>
      <c r="E15" s="293">
        <v>1304000</v>
      </c>
      <c r="F15" s="293">
        <v>0</v>
      </c>
      <c r="G15" s="293">
        <v>52000</v>
      </c>
      <c r="H15" s="293">
        <v>12000</v>
      </c>
      <c r="I15" s="293">
        <v>-4000</v>
      </c>
      <c r="J15" s="293">
        <v>0</v>
      </c>
      <c r="K15" s="293">
        <v>39000</v>
      </c>
      <c r="L15" s="293">
        <v>0</v>
      </c>
      <c r="M15" s="293">
        <v>25000</v>
      </c>
      <c r="N15" s="293">
        <v>-120000</v>
      </c>
    </row>
    <row r="16" spans="1:14" x14ac:dyDescent="0.2">
      <c r="A16" s="74">
        <f t="shared" si="1"/>
        <v>8</v>
      </c>
      <c r="B16" s="298" t="s">
        <v>78</v>
      </c>
      <c r="C16" s="295">
        <f t="shared" ref="C16:N16" si="2">SUM(C12:C15)</f>
        <v>8292699000</v>
      </c>
      <c r="D16" s="296">
        <f t="shared" si="2"/>
        <v>819109000</v>
      </c>
      <c r="E16" s="296">
        <f t="shared" si="2"/>
        <v>753369000</v>
      </c>
      <c r="F16" s="296">
        <f t="shared" si="2"/>
        <v>0</v>
      </c>
      <c r="G16" s="296">
        <f t="shared" si="2"/>
        <v>35264000</v>
      </c>
      <c r="H16" s="296">
        <f t="shared" si="2"/>
        <v>6636000</v>
      </c>
      <c r="I16" s="296">
        <f t="shared" si="2"/>
        <v>-2004000</v>
      </c>
      <c r="J16" s="296">
        <f t="shared" si="2"/>
        <v>-240000</v>
      </c>
      <c r="K16" s="296">
        <f t="shared" si="2"/>
        <v>20186000</v>
      </c>
      <c r="L16" s="296">
        <f t="shared" si="2"/>
        <v>0</v>
      </c>
      <c r="M16" s="296">
        <f t="shared" si="2"/>
        <v>9398000</v>
      </c>
      <c r="N16" s="296">
        <f t="shared" si="2"/>
        <v>-3500000</v>
      </c>
    </row>
    <row r="17" spans="1:14" x14ac:dyDescent="0.2">
      <c r="A17" s="74">
        <f t="shared" si="1"/>
        <v>9</v>
      </c>
      <c r="B17" s="74"/>
      <c r="C17" s="227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</row>
    <row r="18" spans="1:14" x14ac:dyDescent="0.2">
      <c r="A18" s="74">
        <f t="shared" si="1"/>
        <v>10</v>
      </c>
      <c r="B18" s="93" t="s">
        <v>485</v>
      </c>
      <c r="C18" s="227">
        <v>1417061000</v>
      </c>
      <c r="D18" s="293">
        <f>SUM(E18:N18)</f>
        <v>124121000</v>
      </c>
      <c r="E18" s="293">
        <v>114905000</v>
      </c>
      <c r="F18" s="293">
        <v>0</v>
      </c>
      <c r="G18" s="293">
        <v>5884000</v>
      </c>
      <c r="H18" s="293">
        <v>997000</v>
      </c>
      <c r="I18" s="293">
        <v>-338000</v>
      </c>
      <c r="J18" s="293">
        <v>-40000</v>
      </c>
      <c r="K18" s="293">
        <v>3136000</v>
      </c>
      <c r="L18" s="293">
        <v>0</v>
      </c>
      <c r="M18" s="293">
        <v>-155000</v>
      </c>
      <c r="N18" s="293">
        <v>-268000</v>
      </c>
    </row>
    <row r="19" spans="1:14" x14ac:dyDescent="0.2">
      <c r="A19" s="74">
        <f t="shared" si="1"/>
        <v>11</v>
      </c>
      <c r="B19" s="93">
        <v>35</v>
      </c>
      <c r="C19" s="227">
        <v>5167000</v>
      </c>
      <c r="D19" s="293">
        <f>SUM(E19:N19)</f>
        <v>294000</v>
      </c>
      <c r="E19" s="293">
        <v>296000</v>
      </c>
      <c r="F19" s="293">
        <v>0</v>
      </c>
      <c r="G19" s="293">
        <v>15000</v>
      </c>
      <c r="H19" s="293">
        <v>3000</v>
      </c>
      <c r="I19" s="293">
        <v>-1000</v>
      </c>
      <c r="J19" s="293">
        <v>0</v>
      </c>
      <c r="K19" s="293">
        <v>11000</v>
      </c>
      <c r="L19" s="293">
        <v>0</v>
      </c>
      <c r="M19" s="293">
        <v>8000</v>
      </c>
      <c r="N19" s="293">
        <v>-38000</v>
      </c>
    </row>
    <row r="20" spans="1:14" x14ac:dyDescent="0.2">
      <c r="A20" s="74">
        <f t="shared" si="1"/>
        <v>12</v>
      </c>
      <c r="B20" s="93">
        <v>43</v>
      </c>
      <c r="C20" s="227">
        <v>125684000</v>
      </c>
      <c r="D20" s="293">
        <f>SUM(E20:N20)</f>
        <v>12142000</v>
      </c>
      <c r="E20" s="293">
        <v>11063000</v>
      </c>
      <c r="F20" s="293">
        <v>0</v>
      </c>
      <c r="G20" s="293">
        <v>415000</v>
      </c>
      <c r="H20" s="293">
        <v>98000</v>
      </c>
      <c r="I20" s="293">
        <v>-30000</v>
      </c>
      <c r="J20" s="293">
        <v>-3000</v>
      </c>
      <c r="K20" s="293">
        <v>407000</v>
      </c>
      <c r="L20" s="293">
        <v>0</v>
      </c>
      <c r="M20" s="293">
        <v>192000</v>
      </c>
      <c r="N20" s="293">
        <v>0</v>
      </c>
    </row>
    <row r="21" spans="1:14" x14ac:dyDescent="0.2">
      <c r="A21" s="74">
        <f t="shared" si="1"/>
        <v>13</v>
      </c>
      <c r="B21" s="294" t="s">
        <v>79</v>
      </c>
      <c r="C21" s="295">
        <f t="shared" ref="C21:N21" si="3">SUM(C18:C20)</f>
        <v>1547912000</v>
      </c>
      <c r="D21" s="296">
        <f t="shared" si="3"/>
        <v>136557000</v>
      </c>
      <c r="E21" s="296">
        <f t="shared" si="3"/>
        <v>126264000</v>
      </c>
      <c r="F21" s="296">
        <f t="shared" si="3"/>
        <v>0</v>
      </c>
      <c r="G21" s="296">
        <f t="shared" si="3"/>
        <v>6314000</v>
      </c>
      <c r="H21" s="296">
        <f t="shared" si="3"/>
        <v>1098000</v>
      </c>
      <c r="I21" s="296">
        <f t="shared" si="3"/>
        <v>-369000</v>
      </c>
      <c r="J21" s="296">
        <f t="shared" si="3"/>
        <v>-43000</v>
      </c>
      <c r="K21" s="296">
        <f t="shared" si="3"/>
        <v>3554000</v>
      </c>
      <c r="L21" s="296">
        <f t="shared" si="3"/>
        <v>0</v>
      </c>
      <c r="M21" s="296">
        <f t="shared" si="3"/>
        <v>45000</v>
      </c>
      <c r="N21" s="296">
        <f t="shared" si="3"/>
        <v>-306000</v>
      </c>
    </row>
    <row r="22" spans="1:14" x14ac:dyDescent="0.2">
      <c r="A22" s="74">
        <f t="shared" si="1"/>
        <v>14</v>
      </c>
      <c r="B22" s="74"/>
      <c r="C22" s="227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</row>
    <row r="23" spans="1:14" x14ac:dyDescent="0.2">
      <c r="A23" s="74">
        <f t="shared" si="1"/>
        <v>15</v>
      </c>
      <c r="B23" s="93">
        <v>40</v>
      </c>
      <c r="C23" s="295">
        <v>586557000</v>
      </c>
      <c r="D23" s="296">
        <f>SUM(E23:N23)</f>
        <v>47406000</v>
      </c>
      <c r="E23" s="296">
        <v>42565000</v>
      </c>
      <c r="F23" s="296">
        <v>0</v>
      </c>
      <c r="G23" s="296">
        <v>2223000</v>
      </c>
      <c r="H23" s="296">
        <v>380000</v>
      </c>
      <c r="I23" s="296">
        <v>-77000</v>
      </c>
      <c r="J23" s="296">
        <v>-18000</v>
      </c>
      <c r="K23" s="296">
        <v>1212000</v>
      </c>
      <c r="L23" s="296">
        <v>0</v>
      </c>
      <c r="M23" s="296">
        <v>1121000</v>
      </c>
      <c r="N23" s="296">
        <v>0</v>
      </c>
    </row>
    <row r="24" spans="1:14" x14ac:dyDescent="0.2">
      <c r="A24" s="74">
        <f t="shared" si="1"/>
        <v>16</v>
      </c>
      <c r="B24" s="93"/>
      <c r="C24" s="227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</row>
    <row r="25" spans="1:14" x14ac:dyDescent="0.2">
      <c r="A25" s="74">
        <f t="shared" si="1"/>
        <v>17</v>
      </c>
      <c r="B25" s="93">
        <v>46</v>
      </c>
      <c r="C25" s="227">
        <v>76343000</v>
      </c>
      <c r="D25" s="293">
        <f>SUM(E25:N25)</f>
        <v>5523000</v>
      </c>
      <c r="E25" s="293">
        <v>5055000</v>
      </c>
      <c r="F25" s="293">
        <v>0</v>
      </c>
      <c r="G25" s="293">
        <v>200000</v>
      </c>
      <c r="H25" s="293">
        <v>45000</v>
      </c>
      <c r="I25" s="293">
        <v>-8000</v>
      </c>
      <c r="J25" s="293">
        <v>-1000</v>
      </c>
      <c r="K25" s="293">
        <v>124000</v>
      </c>
      <c r="L25" s="293">
        <v>0</v>
      </c>
      <c r="M25" s="293">
        <v>108000</v>
      </c>
      <c r="N25" s="293">
        <v>0</v>
      </c>
    </row>
    <row r="26" spans="1:14" x14ac:dyDescent="0.2">
      <c r="A26" s="74">
        <f t="shared" si="1"/>
        <v>18</v>
      </c>
      <c r="B26" s="93">
        <v>49</v>
      </c>
      <c r="C26" s="227">
        <v>603277000</v>
      </c>
      <c r="D26" s="293">
        <f>SUM(E26:N26)</f>
        <v>43323000</v>
      </c>
      <c r="E26" s="293">
        <v>38872000</v>
      </c>
      <c r="F26" s="293">
        <v>0</v>
      </c>
      <c r="G26" s="293">
        <v>2355000</v>
      </c>
      <c r="H26" s="293">
        <v>346000</v>
      </c>
      <c r="I26" s="293">
        <v>-66000</v>
      </c>
      <c r="J26" s="293">
        <v>-17000</v>
      </c>
      <c r="K26" s="293">
        <v>978000</v>
      </c>
      <c r="L26" s="293">
        <v>0</v>
      </c>
      <c r="M26" s="293">
        <v>855000</v>
      </c>
      <c r="N26" s="293">
        <v>0</v>
      </c>
    </row>
    <row r="27" spans="1:14" x14ac:dyDescent="0.2">
      <c r="A27" s="74">
        <f t="shared" si="1"/>
        <v>19</v>
      </c>
      <c r="B27" s="294" t="s">
        <v>80</v>
      </c>
      <c r="C27" s="295">
        <f t="shared" ref="C27:E27" si="4">SUM(C25:C26)</f>
        <v>679620000</v>
      </c>
      <c r="D27" s="296">
        <f t="shared" ref="D27" si="5">SUM(D25:D26)</f>
        <v>48846000</v>
      </c>
      <c r="E27" s="296">
        <f t="shared" si="4"/>
        <v>43927000</v>
      </c>
      <c r="F27" s="296">
        <f t="shared" ref="F27:G27" si="6">SUM(F25:F26)</f>
        <v>0</v>
      </c>
      <c r="G27" s="296">
        <f t="shared" si="6"/>
        <v>2555000</v>
      </c>
      <c r="H27" s="296">
        <f t="shared" ref="H27:I27" si="7">SUM(H25:H26)</f>
        <v>391000</v>
      </c>
      <c r="I27" s="296">
        <f t="shared" si="7"/>
        <v>-74000</v>
      </c>
      <c r="J27" s="296">
        <f t="shared" ref="J27:K27" si="8">SUM(J25:J26)</f>
        <v>-18000</v>
      </c>
      <c r="K27" s="296">
        <f t="shared" si="8"/>
        <v>1102000</v>
      </c>
      <c r="L27" s="296">
        <f t="shared" ref="L27:M27" si="9">SUM(L25:L26)</f>
        <v>0</v>
      </c>
      <c r="M27" s="296">
        <f t="shared" si="9"/>
        <v>963000</v>
      </c>
      <c r="N27" s="296">
        <f t="shared" ref="N27" si="10">SUM(N25:N26)</f>
        <v>0</v>
      </c>
    </row>
    <row r="28" spans="1:14" x14ac:dyDescent="0.2">
      <c r="A28" s="74">
        <f t="shared" si="1"/>
        <v>20</v>
      </c>
      <c r="B28" s="93"/>
      <c r="C28" s="227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</row>
    <row r="29" spans="1:14" x14ac:dyDescent="0.2">
      <c r="A29" s="74">
        <f t="shared" si="1"/>
        <v>21</v>
      </c>
      <c r="B29" s="93" t="s">
        <v>70</v>
      </c>
      <c r="C29" s="295">
        <v>71132000</v>
      </c>
      <c r="D29" s="296">
        <f>SUM(E29:N29)</f>
        <v>16951000</v>
      </c>
      <c r="E29" s="296">
        <v>15954000</v>
      </c>
      <c r="F29" s="296">
        <v>0</v>
      </c>
      <c r="G29" s="296">
        <v>325000</v>
      </c>
      <c r="H29" s="296">
        <v>139000</v>
      </c>
      <c r="I29" s="296">
        <v>-99000</v>
      </c>
      <c r="J29" s="296">
        <v>-2000</v>
      </c>
      <c r="K29" s="296">
        <v>649000</v>
      </c>
      <c r="L29" s="296">
        <v>0</v>
      </c>
      <c r="M29" s="296">
        <v>0</v>
      </c>
      <c r="N29" s="296">
        <v>-15000</v>
      </c>
    </row>
    <row r="30" spans="1:14" x14ac:dyDescent="0.2">
      <c r="A30" s="74">
        <f t="shared" si="1"/>
        <v>22</v>
      </c>
      <c r="B30" s="93"/>
      <c r="C30" s="227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</row>
    <row r="31" spans="1:14" x14ac:dyDescent="0.2">
      <c r="A31" s="74">
        <f t="shared" si="1"/>
        <v>23</v>
      </c>
      <c r="B31" s="93" t="s">
        <v>178</v>
      </c>
      <c r="C31" s="295">
        <v>2028599000</v>
      </c>
      <c r="D31" s="296">
        <f>SUM(E31:N31)</f>
        <v>9904000</v>
      </c>
      <c r="E31" s="296">
        <v>7695000</v>
      </c>
      <c r="F31" s="296">
        <v>0</v>
      </c>
      <c r="G31" s="296">
        <v>2140000</v>
      </c>
      <c r="H31" s="296">
        <v>67000</v>
      </c>
      <c r="I31" s="296">
        <v>-57000</v>
      </c>
      <c r="J31" s="296">
        <v>0</v>
      </c>
      <c r="K31" s="296">
        <v>59000</v>
      </c>
      <c r="L31" s="296">
        <v>0</v>
      </c>
      <c r="M31" s="296">
        <v>0</v>
      </c>
      <c r="N31" s="296">
        <v>0</v>
      </c>
    </row>
    <row r="32" spans="1:14" x14ac:dyDescent="0.2">
      <c r="A32" s="74">
        <f t="shared" si="1"/>
        <v>24</v>
      </c>
      <c r="B32" s="93"/>
      <c r="C32" s="227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 ht="13.5" thickBot="1" x14ac:dyDescent="0.25">
      <c r="A33" s="74">
        <f t="shared" si="1"/>
        <v>25</v>
      </c>
      <c r="B33" s="294" t="s">
        <v>12</v>
      </c>
      <c r="C33" s="299">
        <f t="shared" ref="C33:N33" si="11">SUM(C10,C16,C21,C23,C27,C29,C31)</f>
        <v>24014718000</v>
      </c>
      <c r="D33" s="300">
        <f t="shared" si="11"/>
        <v>2206216000</v>
      </c>
      <c r="E33" s="300">
        <f t="shared" si="11"/>
        <v>2114536000</v>
      </c>
      <c r="F33" s="300">
        <f t="shared" si="11"/>
        <v>0</v>
      </c>
      <c r="G33" s="300">
        <f t="shared" si="11"/>
        <v>101349000</v>
      </c>
      <c r="H33" s="300">
        <f t="shared" si="11"/>
        <v>18384000</v>
      </c>
      <c r="I33" s="300">
        <f t="shared" si="11"/>
        <v>-6420000</v>
      </c>
      <c r="J33" s="300">
        <f t="shared" si="11"/>
        <v>-699000</v>
      </c>
      <c r="K33" s="300">
        <f t="shared" si="11"/>
        <v>63596000</v>
      </c>
      <c r="L33" s="300">
        <f t="shared" si="11"/>
        <v>0</v>
      </c>
      <c r="M33" s="300">
        <f t="shared" si="11"/>
        <v>-665000</v>
      </c>
      <c r="N33" s="300">
        <f t="shared" si="11"/>
        <v>-83865000</v>
      </c>
    </row>
    <row r="34" spans="1:14" ht="13.5" thickTop="1" x14ac:dyDescent="0.2">
      <c r="A34" s="74">
        <f t="shared" si="1"/>
        <v>26</v>
      </c>
      <c r="B34" s="93"/>
      <c r="C34" s="88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">
      <c r="A35" s="74">
        <f t="shared" si="1"/>
        <v>27</v>
      </c>
      <c r="B35" s="93">
        <v>5</v>
      </c>
      <c r="C35" s="295">
        <v>7036000</v>
      </c>
      <c r="D35" s="296">
        <f>SUM(E35:N35)</f>
        <v>695000</v>
      </c>
      <c r="E35" s="296">
        <v>695000</v>
      </c>
      <c r="F35" s="296">
        <v>0</v>
      </c>
      <c r="G35" s="296">
        <v>0</v>
      </c>
      <c r="H35" s="296">
        <v>0</v>
      </c>
      <c r="I35" s="296">
        <v>0</v>
      </c>
      <c r="J35" s="296">
        <v>0</v>
      </c>
      <c r="K35" s="296">
        <v>0</v>
      </c>
      <c r="L35" s="296">
        <v>0</v>
      </c>
      <c r="M35" s="296">
        <v>0</v>
      </c>
      <c r="N35" s="296">
        <v>0</v>
      </c>
    </row>
    <row r="36" spans="1:14" x14ac:dyDescent="0.2">
      <c r="A36" s="74">
        <f t="shared" si="1"/>
        <v>28</v>
      </c>
      <c r="B36" s="93"/>
      <c r="C36" s="88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ht="13.5" thickBot="1" x14ac:dyDescent="0.25">
      <c r="A37" s="74">
        <f t="shared" si="1"/>
        <v>29</v>
      </c>
      <c r="B37" s="294" t="s">
        <v>179</v>
      </c>
      <c r="C37" s="299">
        <f t="shared" ref="C37:E37" si="12">+C35+C33</f>
        <v>24021754000</v>
      </c>
      <c r="D37" s="300">
        <f t="shared" ref="D37" si="13">+D35+D33</f>
        <v>2206911000</v>
      </c>
      <c r="E37" s="300">
        <f t="shared" si="12"/>
        <v>2115231000</v>
      </c>
      <c r="F37" s="300">
        <f t="shared" ref="F37:G37" si="14">+F35+F33</f>
        <v>0</v>
      </c>
      <c r="G37" s="300">
        <f t="shared" si="14"/>
        <v>101349000</v>
      </c>
      <c r="H37" s="300">
        <f t="shared" ref="H37:I37" si="15">+H35+H33</f>
        <v>18384000</v>
      </c>
      <c r="I37" s="300">
        <f t="shared" si="15"/>
        <v>-6420000</v>
      </c>
      <c r="J37" s="300">
        <f t="shared" ref="J37:K37" si="16">+J35+J33</f>
        <v>-699000</v>
      </c>
      <c r="K37" s="300">
        <f t="shared" si="16"/>
        <v>63596000</v>
      </c>
      <c r="L37" s="300">
        <f t="shared" ref="L37:M37" si="17">+L35+L33</f>
        <v>0</v>
      </c>
      <c r="M37" s="300">
        <f t="shared" si="17"/>
        <v>-665000</v>
      </c>
      <c r="N37" s="300">
        <f t="shared" ref="N37" si="18">+N35+N33</f>
        <v>-83865000</v>
      </c>
    </row>
    <row r="38" spans="1:14" ht="13.5" thickTop="1" x14ac:dyDescent="0.2">
      <c r="A38" s="74"/>
    </row>
    <row r="39" spans="1:14" x14ac:dyDescent="0.2">
      <c r="A39" s="74"/>
      <c r="B39" s="294"/>
      <c r="C39" s="48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6" orientation="landscape" r:id="rId1"/>
  <headerFooter alignWithMargins="0">
    <oddFooter>&amp;L&amp;F
&amp;A&amp;RSchedule 95A Filing Eff 1-1-19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8"/>
  <sheetViews>
    <sheetView workbookViewId="0">
      <pane xSplit="4" ySplit="7" topLeftCell="G8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8.85546875" defaultRowHeight="15" x14ac:dyDescent="0.25"/>
  <cols>
    <col min="1" max="1" width="4.42578125" style="204" bestFit="1" customWidth="1"/>
    <col min="2" max="2" width="44.28515625" style="204" bestFit="1" customWidth="1"/>
    <col min="3" max="3" width="18.7109375" style="204" bestFit="1" customWidth="1"/>
    <col min="4" max="4" width="12.28515625" style="204" bestFit="1" customWidth="1"/>
    <col min="5" max="5" width="11.85546875" style="204" bestFit="1" customWidth="1"/>
    <col min="6" max="7" width="11.28515625" style="204" bestFit="1" customWidth="1"/>
    <col min="8" max="8" width="12.7109375" style="204" bestFit="1" customWidth="1"/>
    <col min="9" max="9" width="12" style="204" bestFit="1" customWidth="1"/>
    <col min="10" max="10" width="13" style="204" customWidth="1"/>
    <col min="11" max="11" width="1.85546875" style="335" customWidth="1"/>
    <col min="12" max="13" width="9.7109375" style="204" bestFit="1" customWidth="1"/>
    <col min="14" max="14" width="1.85546875" style="204" customWidth="1"/>
    <col min="15" max="15" width="12.42578125" style="204" bestFit="1" customWidth="1"/>
    <col min="16" max="16" width="11" style="204" bestFit="1" customWidth="1"/>
    <col min="17" max="16384" width="8.85546875" style="204"/>
  </cols>
  <sheetData>
    <row r="1" spans="1:16" x14ac:dyDescent="0.25">
      <c r="A1" s="356" t="s">
        <v>13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6" x14ac:dyDescent="0.25">
      <c r="A2" s="356" t="s">
        <v>268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6" x14ac:dyDescent="0.25">
      <c r="A3" s="357" t="s">
        <v>267</v>
      </c>
      <c r="B3" s="356"/>
      <c r="C3" s="356"/>
      <c r="D3" s="356"/>
      <c r="E3" s="356"/>
      <c r="F3" s="356"/>
      <c r="G3" s="356"/>
      <c r="H3" s="356"/>
      <c r="I3" s="356"/>
      <c r="J3" s="356"/>
    </row>
    <row r="4" spans="1:16" x14ac:dyDescent="0.25">
      <c r="A4" s="1"/>
      <c r="B4" s="356"/>
      <c r="C4" s="356"/>
      <c r="D4" s="356"/>
      <c r="E4" s="356"/>
      <c r="F4" s="356"/>
      <c r="G4" s="4"/>
      <c r="H4" s="4"/>
      <c r="I4" s="4"/>
    </row>
    <row r="5" spans="1:16" ht="90" x14ac:dyDescent="0.25">
      <c r="A5" s="54" t="s">
        <v>0</v>
      </c>
      <c r="B5" s="54" t="s">
        <v>30</v>
      </c>
      <c r="C5" s="54" t="s">
        <v>31</v>
      </c>
      <c r="D5" s="54" t="s">
        <v>202</v>
      </c>
      <c r="E5" s="55" t="s">
        <v>203</v>
      </c>
      <c r="F5" s="55" t="s">
        <v>272</v>
      </c>
      <c r="G5" s="55" t="s">
        <v>271</v>
      </c>
      <c r="H5" s="55" t="s">
        <v>273</v>
      </c>
      <c r="I5" s="55" t="s">
        <v>269</v>
      </c>
      <c r="J5" s="55" t="s">
        <v>270</v>
      </c>
      <c r="L5" s="54" t="s">
        <v>204</v>
      </c>
      <c r="M5" s="54" t="s">
        <v>205</v>
      </c>
    </row>
    <row r="6" spans="1:16" x14ac:dyDescent="0.25">
      <c r="A6" s="1"/>
      <c r="B6" s="56"/>
      <c r="C6" s="56"/>
      <c r="D6" s="57"/>
      <c r="E6" s="56" t="s">
        <v>206</v>
      </c>
      <c r="F6" s="56" t="s">
        <v>207</v>
      </c>
      <c r="G6" s="283" t="s">
        <v>208</v>
      </c>
      <c r="H6" s="283" t="s">
        <v>209</v>
      </c>
      <c r="I6" s="283" t="s">
        <v>210</v>
      </c>
      <c r="J6" s="283"/>
    </row>
    <row r="7" spans="1:16" x14ac:dyDescent="0.25">
      <c r="A7" s="1"/>
      <c r="B7" s="56"/>
      <c r="C7" s="56"/>
      <c r="D7" s="57"/>
      <c r="E7" s="57"/>
      <c r="F7" s="284" t="s">
        <v>211</v>
      </c>
      <c r="G7" s="4"/>
      <c r="H7" s="284" t="s">
        <v>212</v>
      </c>
      <c r="I7" s="284" t="s">
        <v>213</v>
      </c>
    </row>
    <row r="8" spans="1:16" ht="15.75" thickBot="1" x14ac:dyDescent="0.3">
      <c r="A8" s="1"/>
      <c r="B8" s="58"/>
      <c r="C8" s="58"/>
      <c r="D8" s="58"/>
      <c r="E8" s="58"/>
      <c r="F8" s="58"/>
      <c r="G8" s="48"/>
      <c r="H8" s="48"/>
      <c r="I8" s="48"/>
    </row>
    <row r="9" spans="1:16" x14ac:dyDescent="0.25">
      <c r="A9" s="1"/>
      <c r="B9" s="58"/>
      <c r="C9" s="58"/>
      <c r="D9" s="58"/>
      <c r="E9" s="58"/>
      <c r="F9" s="58"/>
      <c r="G9" s="4"/>
      <c r="H9" s="4"/>
      <c r="I9" s="4"/>
      <c r="J9" s="336" t="s">
        <v>214</v>
      </c>
      <c r="K9" s="204"/>
    </row>
    <row r="10" spans="1:16" ht="15.75" thickBot="1" x14ac:dyDescent="0.3">
      <c r="A10" s="1">
        <v>1</v>
      </c>
      <c r="B10" s="285" t="s">
        <v>215</v>
      </c>
      <c r="C10" s="58"/>
      <c r="D10" s="58"/>
      <c r="E10" s="58"/>
      <c r="F10" s="58"/>
      <c r="G10" s="286"/>
      <c r="H10" s="287">
        <f>SUM(H25:H200)</f>
        <v>4821490</v>
      </c>
      <c r="I10" s="287">
        <f>SUM(I25:I200)</f>
        <v>-138639</v>
      </c>
      <c r="J10" s="337">
        <f>+J12+J11</f>
        <v>-2.9527523556492567E-2</v>
      </c>
      <c r="K10" s="204"/>
    </row>
    <row r="11" spans="1:16" x14ac:dyDescent="0.25">
      <c r="A11" s="1">
        <f>+A10+1</f>
        <v>2</v>
      </c>
      <c r="B11" s="285" t="s">
        <v>216</v>
      </c>
      <c r="C11" s="58"/>
      <c r="D11" s="58"/>
      <c r="E11" s="58"/>
      <c r="F11" s="58"/>
      <c r="G11" s="286"/>
      <c r="I11" s="286">
        <f>+'Peak Credit Spread'!J23</f>
        <v>-139864.30624239336</v>
      </c>
      <c r="J11" s="338">
        <f>+I11/H10</f>
        <v>-2.9008523556492569E-2</v>
      </c>
      <c r="K11" s="204"/>
    </row>
    <row r="12" spans="1:16" x14ac:dyDescent="0.25">
      <c r="A12" s="1">
        <f t="shared" ref="A12:A75" si="0">+A11+1</f>
        <v>3</v>
      </c>
      <c r="B12" s="59" t="s">
        <v>217</v>
      </c>
      <c r="C12" s="58"/>
      <c r="D12" s="58"/>
      <c r="E12" s="58"/>
      <c r="F12" s="58"/>
      <c r="G12" s="286"/>
      <c r="H12" s="287"/>
      <c r="I12" s="287">
        <f>+I10-I11</f>
        <v>1225.3062423933588</v>
      </c>
      <c r="J12" s="338">
        <v>-5.1900000000000004E-4</v>
      </c>
      <c r="K12" s="204"/>
    </row>
    <row r="13" spans="1:16" x14ac:dyDescent="0.25">
      <c r="A13" s="1">
        <f t="shared" si="0"/>
        <v>4</v>
      </c>
      <c r="B13" s="58"/>
      <c r="C13" s="58"/>
      <c r="D13" s="58"/>
      <c r="E13" s="58"/>
      <c r="F13" s="58"/>
      <c r="G13" s="4"/>
      <c r="H13" s="4"/>
      <c r="I13" s="4"/>
      <c r="K13" s="204"/>
    </row>
    <row r="14" spans="1:16" x14ac:dyDescent="0.25">
      <c r="A14" s="1">
        <f t="shared" si="0"/>
        <v>5</v>
      </c>
      <c r="B14" s="58" t="s">
        <v>218</v>
      </c>
      <c r="C14" s="58"/>
      <c r="D14" s="58"/>
      <c r="E14" s="58"/>
      <c r="F14" s="58"/>
      <c r="G14" s="48">
        <f>SUM(G25:G33)</f>
        <v>1224</v>
      </c>
      <c r="H14" s="287">
        <f>SUM(H25:H33)</f>
        <v>3988</v>
      </c>
      <c r="I14" s="287">
        <f>SUM(I25:I33)</f>
        <v>-121</v>
      </c>
      <c r="J14" s="287"/>
      <c r="K14" s="204"/>
      <c r="P14" s="48"/>
    </row>
    <row r="15" spans="1:16" x14ac:dyDescent="0.25">
      <c r="A15" s="1">
        <f t="shared" si="0"/>
        <v>6</v>
      </c>
      <c r="B15" s="58" t="s">
        <v>219</v>
      </c>
      <c r="C15" s="58"/>
      <c r="D15" s="58"/>
      <c r="E15" s="58"/>
      <c r="F15" s="58"/>
      <c r="G15" s="48">
        <f>SUM(G36:G44)</f>
        <v>49253</v>
      </c>
      <c r="H15" s="287">
        <f>SUM(H36:H44)</f>
        <v>100032</v>
      </c>
      <c r="I15" s="287">
        <f>SUM(I36:I44)</f>
        <v>-2927</v>
      </c>
      <c r="J15" s="287"/>
      <c r="K15" s="204"/>
      <c r="P15" s="48"/>
    </row>
    <row r="16" spans="1:16" x14ac:dyDescent="0.25">
      <c r="A16" s="1">
        <f t="shared" si="0"/>
        <v>7</v>
      </c>
      <c r="B16" s="58" t="s">
        <v>220</v>
      </c>
      <c r="C16" s="58"/>
      <c r="D16" s="58"/>
      <c r="E16" s="58"/>
      <c r="F16" s="58"/>
      <c r="G16" s="48">
        <f>SUM(G47:G62)</f>
        <v>234796</v>
      </c>
      <c r="H16" s="287">
        <f>SUM(H47:H62)</f>
        <v>842858</v>
      </c>
      <c r="I16" s="287">
        <f>SUM(I47:I62)</f>
        <v>-24164</v>
      </c>
      <c r="J16" s="287"/>
      <c r="K16" s="204"/>
      <c r="P16" s="48"/>
    </row>
    <row r="17" spans="1:17" x14ac:dyDescent="0.25">
      <c r="A17" s="1">
        <f t="shared" si="0"/>
        <v>8</v>
      </c>
      <c r="B17" s="58" t="s">
        <v>221</v>
      </c>
      <c r="G17" s="217">
        <f>SUM(G65:G116)</f>
        <v>911242</v>
      </c>
      <c r="H17" s="339">
        <f>SUM(H65:H116)</f>
        <v>2499164</v>
      </c>
      <c r="I17" s="339">
        <f>SUM(I65:I116)</f>
        <v>-70883</v>
      </c>
      <c r="J17" s="339"/>
      <c r="K17" s="204"/>
      <c r="P17" s="217"/>
    </row>
    <row r="18" spans="1:17" x14ac:dyDescent="0.25">
      <c r="A18" s="1">
        <f t="shared" si="0"/>
        <v>9</v>
      </c>
      <c r="B18" s="59" t="s">
        <v>222</v>
      </c>
      <c r="G18" s="217">
        <f>SUM(G119:G138)</f>
        <v>123563</v>
      </c>
      <c r="H18" s="339">
        <f>SUM(H119:H138)</f>
        <v>475612</v>
      </c>
      <c r="I18" s="339">
        <f>SUM(I119:I138)</f>
        <v>-13906</v>
      </c>
      <c r="J18" s="339"/>
      <c r="K18" s="204"/>
      <c r="P18" s="217"/>
    </row>
    <row r="19" spans="1:17" x14ac:dyDescent="0.25">
      <c r="A19" s="1">
        <f t="shared" si="0"/>
        <v>10</v>
      </c>
      <c r="B19" s="59" t="s">
        <v>223</v>
      </c>
      <c r="G19" s="217">
        <f>SUM(G141:G158)</f>
        <v>74935</v>
      </c>
      <c r="H19" s="339">
        <f>SUM(H141:H158)</f>
        <v>240055</v>
      </c>
      <c r="I19" s="339">
        <f>SUM(I141:I158)</f>
        <v>-7192</v>
      </c>
      <c r="J19" s="339"/>
      <c r="K19" s="204"/>
      <c r="P19" s="217"/>
    </row>
    <row r="20" spans="1:17" x14ac:dyDescent="0.25">
      <c r="A20" s="1">
        <f t="shared" si="0"/>
        <v>11</v>
      </c>
      <c r="B20" s="58" t="s">
        <v>224</v>
      </c>
      <c r="G20" s="217">
        <f>SUM(G161)</f>
        <v>13262859</v>
      </c>
      <c r="H20" s="339">
        <f>SUM(H161)</f>
        <v>507039</v>
      </c>
      <c r="I20" s="339">
        <f>SUM(I161)</f>
        <v>-14987</v>
      </c>
      <c r="J20" s="339"/>
      <c r="K20" s="204"/>
      <c r="P20" s="217"/>
    </row>
    <row r="21" spans="1:17" x14ac:dyDescent="0.25">
      <c r="A21" s="1">
        <f t="shared" si="0"/>
        <v>12</v>
      </c>
      <c r="B21" s="59" t="s">
        <v>225</v>
      </c>
      <c r="G21" s="217">
        <f>SUM(G164:G200)</f>
        <v>17552</v>
      </c>
      <c r="H21" s="339">
        <f>SUM(H164:H200)</f>
        <v>152742</v>
      </c>
      <c r="I21" s="339">
        <f>SUM(I164:I200)</f>
        <v>-4459</v>
      </c>
      <c r="J21" s="339"/>
      <c r="K21" s="204"/>
      <c r="P21" s="217"/>
    </row>
    <row r="22" spans="1:17" x14ac:dyDescent="0.25">
      <c r="A22" s="1">
        <f t="shared" si="0"/>
        <v>13</v>
      </c>
      <c r="B22" s="58" t="s">
        <v>226</v>
      </c>
      <c r="G22" s="217">
        <f>SUM(G14:G21)</f>
        <v>14675424</v>
      </c>
      <c r="H22" s="339">
        <f>SUM(H14:H21)</f>
        <v>4821490</v>
      </c>
      <c r="I22" s="339">
        <f>SUM(I14:I21)</f>
        <v>-138639</v>
      </c>
      <c r="J22" s="339"/>
      <c r="K22" s="204"/>
      <c r="P22" s="217"/>
    </row>
    <row r="23" spans="1:17" x14ac:dyDescent="0.25">
      <c r="A23" s="1">
        <f t="shared" si="0"/>
        <v>14</v>
      </c>
      <c r="B23" s="58"/>
      <c r="C23" s="58"/>
      <c r="D23" s="58"/>
      <c r="E23" s="58"/>
      <c r="F23" s="58"/>
      <c r="G23" s="286"/>
      <c r="H23" s="287"/>
      <c r="I23" s="287"/>
      <c r="K23" s="204"/>
    </row>
    <row r="24" spans="1:17" x14ac:dyDescent="0.25">
      <c r="A24" s="1">
        <f t="shared" si="0"/>
        <v>15</v>
      </c>
      <c r="B24" s="58" t="s">
        <v>227</v>
      </c>
      <c r="C24" s="58"/>
      <c r="D24" s="58"/>
      <c r="E24" s="58"/>
      <c r="F24" s="58"/>
      <c r="G24" s="4"/>
      <c r="H24" s="4"/>
      <c r="I24" s="4"/>
    </row>
    <row r="25" spans="1:17" x14ac:dyDescent="0.25">
      <c r="A25" s="1">
        <f t="shared" si="0"/>
        <v>16</v>
      </c>
      <c r="B25" s="60" t="s">
        <v>228</v>
      </c>
      <c r="C25" s="59" t="s">
        <v>229</v>
      </c>
      <c r="D25" s="61">
        <v>22</v>
      </c>
      <c r="E25" s="335">
        <f>SUM(L25:M25)</f>
        <v>0.56000000000000005</v>
      </c>
      <c r="F25" s="288">
        <f>ROUND(+E25*$J$10,2)</f>
        <v>-0.02</v>
      </c>
      <c r="G25" s="48">
        <v>708</v>
      </c>
      <c r="H25" s="287">
        <f>ROUND($G25*E25,0)</f>
        <v>396</v>
      </c>
      <c r="I25" s="287">
        <f>ROUND($G25*F25,0)</f>
        <v>-14</v>
      </c>
      <c r="K25" s="204"/>
      <c r="L25" s="335">
        <v>0.22</v>
      </c>
      <c r="M25" s="335">
        <v>0.34</v>
      </c>
      <c r="Q25" s="217"/>
    </row>
    <row r="26" spans="1:17" x14ac:dyDescent="0.25">
      <c r="A26" s="1">
        <f t="shared" si="0"/>
        <v>17</v>
      </c>
      <c r="B26" s="62"/>
      <c r="C26" s="57"/>
      <c r="D26" s="63"/>
      <c r="E26" s="335"/>
      <c r="F26" s="58"/>
      <c r="G26" s="48"/>
      <c r="H26" s="48"/>
      <c r="I26" s="48"/>
      <c r="K26" s="204"/>
      <c r="Q26" s="217"/>
    </row>
    <row r="27" spans="1:17" x14ac:dyDescent="0.25">
      <c r="A27" s="1">
        <f t="shared" si="0"/>
        <v>18</v>
      </c>
      <c r="B27" s="60" t="s">
        <v>230</v>
      </c>
      <c r="C27" s="64" t="s">
        <v>33</v>
      </c>
      <c r="D27" s="65">
        <v>100</v>
      </c>
      <c r="E27" s="335">
        <f t="shared" ref="E27:E33" si="1">SUM(L27:M27)</f>
        <v>2.54</v>
      </c>
      <c r="F27" s="288">
        <f t="shared" ref="F27:F33" si="2">ROUND(+E27*$J$10,2)</f>
        <v>-7.0000000000000007E-2</v>
      </c>
      <c r="G27" s="48">
        <v>36</v>
      </c>
      <c r="H27" s="287">
        <f t="shared" ref="H27:I33" si="3">ROUND($G27*E27,0)</f>
        <v>91</v>
      </c>
      <c r="I27" s="287">
        <f t="shared" si="3"/>
        <v>-3</v>
      </c>
      <c r="K27" s="204"/>
      <c r="L27" s="335">
        <v>1.01</v>
      </c>
      <c r="M27" s="335">
        <v>1.53</v>
      </c>
      <c r="Q27" s="217"/>
    </row>
    <row r="28" spans="1:17" x14ac:dyDescent="0.25">
      <c r="A28" s="1">
        <f t="shared" si="0"/>
        <v>19</v>
      </c>
      <c r="B28" s="60" t="str">
        <f>+B27</f>
        <v>50E-A</v>
      </c>
      <c r="C28" s="64" t="str">
        <f>+C27</f>
        <v>Mercury Vapor</v>
      </c>
      <c r="D28" s="65">
        <v>175</v>
      </c>
      <c r="E28" s="335">
        <f t="shared" si="1"/>
        <v>4.4399999999999995</v>
      </c>
      <c r="F28" s="288">
        <f t="shared" si="2"/>
        <v>-0.13</v>
      </c>
      <c r="G28" s="48">
        <v>228</v>
      </c>
      <c r="H28" s="287">
        <f t="shared" si="3"/>
        <v>1012</v>
      </c>
      <c r="I28" s="287">
        <f t="shared" si="3"/>
        <v>-30</v>
      </c>
      <c r="K28" s="204"/>
      <c r="L28" s="335">
        <v>1.77</v>
      </c>
      <c r="M28" s="335">
        <v>2.67</v>
      </c>
      <c r="Q28" s="217"/>
    </row>
    <row r="29" spans="1:17" x14ac:dyDescent="0.25">
      <c r="A29" s="1">
        <f t="shared" si="0"/>
        <v>20</v>
      </c>
      <c r="B29" s="60" t="str">
        <f>+B28</f>
        <v>50E-A</v>
      </c>
      <c r="C29" s="64" t="str">
        <f>+C28</f>
        <v>Mercury Vapor</v>
      </c>
      <c r="D29" s="65">
        <v>400</v>
      </c>
      <c r="E29" s="335">
        <f t="shared" si="1"/>
        <v>10.15</v>
      </c>
      <c r="F29" s="288">
        <f t="shared" si="2"/>
        <v>-0.3</v>
      </c>
      <c r="G29" s="48">
        <v>240</v>
      </c>
      <c r="H29" s="287">
        <f t="shared" si="3"/>
        <v>2436</v>
      </c>
      <c r="I29" s="287">
        <f t="shared" si="3"/>
        <v>-72</v>
      </c>
      <c r="K29" s="204"/>
      <c r="L29" s="335">
        <v>4.04</v>
      </c>
      <c r="M29" s="335">
        <v>6.11</v>
      </c>
      <c r="Q29" s="217"/>
    </row>
    <row r="30" spans="1:17" x14ac:dyDescent="0.25">
      <c r="A30" s="1">
        <f t="shared" si="0"/>
        <v>21</v>
      </c>
      <c r="B30" s="60" t="s">
        <v>231</v>
      </c>
      <c r="C30" s="64" t="str">
        <f>+C29</f>
        <v>Mercury Vapor</v>
      </c>
      <c r="D30" s="65">
        <v>100</v>
      </c>
      <c r="E30" s="335">
        <f t="shared" si="1"/>
        <v>2.54</v>
      </c>
      <c r="F30" s="288">
        <f t="shared" si="2"/>
        <v>-7.0000000000000007E-2</v>
      </c>
      <c r="G30" s="48"/>
      <c r="H30" s="287">
        <f t="shared" si="3"/>
        <v>0</v>
      </c>
      <c r="I30" s="287">
        <f t="shared" si="3"/>
        <v>0</v>
      </c>
      <c r="K30" s="204"/>
      <c r="L30" s="335">
        <v>1.01</v>
      </c>
      <c r="M30" s="335">
        <v>1.53</v>
      </c>
      <c r="Q30" s="217"/>
    </row>
    <row r="31" spans="1:17" x14ac:dyDescent="0.25">
      <c r="A31" s="1">
        <f t="shared" si="0"/>
        <v>22</v>
      </c>
      <c r="B31" s="60" t="str">
        <f>+B30</f>
        <v>50E-B</v>
      </c>
      <c r="C31" s="64" t="str">
        <f>+C30</f>
        <v>Mercury Vapor</v>
      </c>
      <c r="D31" s="65">
        <v>175</v>
      </c>
      <c r="E31" s="335">
        <f t="shared" si="1"/>
        <v>4.4399999999999995</v>
      </c>
      <c r="F31" s="288">
        <f t="shared" si="2"/>
        <v>-0.13</v>
      </c>
      <c r="G31" s="48">
        <v>12</v>
      </c>
      <c r="H31" s="287">
        <f t="shared" si="3"/>
        <v>53</v>
      </c>
      <c r="I31" s="287">
        <f t="shared" si="3"/>
        <v>-2</v>
      </c>
      <c r="K31" s="204"/>
      <c r="L31" s="335">
        <v>1.77</v>
      </c>
      <c r="M31" s="335">
        <v>2.67</v>
      </c>
      <c r="Q31" s="217"/>
    </row>
    <row r="32" spans="1:17" x14ac:dyDescent="0.25">
      <c r="A32" s="1">
        <f t="shared" si="0"/>
        <v>23</v>
      </c>
      <c r="B32" s="60" t="str">
        <f>+B31</f>
        <v>50E-B</v>
      </c>
      <c r="C32" s="64" t="str">
        <f>+C31</f>
        <v>Mercury Vapor</v>
      </c>
      <c r="D32" s="65">
        <v>400</v>
      </c>
      <c r="E32" s="335">
        <f t="shared" si="1"/>
        <v>10.15</v>
      </c>
      <c r="F32" s="288">
        <f t="shared" si="2"/>
        <v>-0.3</v>
      </c>
      <c r="G32" s="48"/>
      <c r="H32" s="287">
        <f t="shared" si="3"/>
        <v>0</v>
      </c>
      <c r="I32" s="287">
        <f t="shared" si="3"/>
        <v>0</v>
      </c>
      <c r="K32" s="204"/>
      <c r="L32" s="335">
        <v>4.04</v>
      </c>
      <c r="M32" s="335">
        <v>6.11</v>
      </c>
      <c r="Q32" s="217"/>
    </row>
    <row r="33" spans="1:17" x14ac:dyDescent="0.25">
      <c r="A33" s="1">
        <f t="shared" si="0"/>
        <v>24</v>
      </c>
      <c r="B33" s="60" t="str">
        <f>+B32</f>
        <v>50E-B</v>
      </c>
      <c r="C33" s="64" t="str">
        <f>+C32</f>
        <v>Mercury Vapor</v>
      </c>
      <c r="D33" s="65">
        <v>700</v>
      </c>
      <c r="E33" s="335">
        <f t="shared" si="1"/>
        <v>17.759999999999998</v>
      </c>
      <c r="F33" s="288">
        <f t="shared" si="2"/>
        <v>-0.52</v>
      </c>
      <c r="G33" s="48"/>
      <c r="H33" s="287">
        <f t="shared" si="3"/>
        <v>0</v>
      </c>
      <c r="I33" s="287">
        <f t="shared" si="3"/>
        <v>0</v>
      </c>
      <c r="K33" s="204"/>
      <c r="L33" s="335">
        <v>7.07</v>
      </c>
      <c r="M33" s="335">
        <v>10.69</v>
      </c>
      <c r="Q33" s="217"/>
    </row>
    <row r="34" spans="1:17" x14ac:dyDescent="0.25">
      <c r="A34" s="1">
        <f t="shared" si="0"/>
        <v>25</v>
      </c>
      <c r="B34" s="66"/>
      <c r="C34" s="67"/>
      <c r="D34" s="58"/>
      <c r="E34" s="335"/>
      <c r="F34" s="58"/>
      <c r="G34" s="48"/>
      <c r="H34" s="48"/>
      <c r="I34" s="48"/>
      <c r="K34" s="204"/>
      <c r="L34" s="335">
        <v>0</v>
      </c>
      <c r="M34" s="335">
        <v>0</v>
      </c>
      <c r="Q34" s="217"/>
    </row>
    <row r="35" spans="1:17" x14ac:dyDescent="0.25">
      <c r="A35" s="1">
        <f t="shared" si="0"/>
        <v>26</v>
      </c>
      <c r="B35" s="66" t="s">
        <v>232</v>
      </c>
      <c r="C35" s="67"/>
      <c r="D35" s="58"/>
      <c r="E35" s="335"/>
      <c r="F35" s="58"/>
      <c r="G35" s="48"/>
      <c r="H35" s="48"/>
      <c r="I35" s="48"/>
      <c r="K35" s="204"/>
      <c r="L35" s="335">
        <v>0</v>
      </c>
      <c r="M35" s="335">
        <v>0</v>
      </c>
      <c r="Q35" s="217"/>
    </row>
    <row r="36" spans="1:17" x14ac:dyDescent="0.25">
      <c r="A36" s="1">
        <f t="shared" si="0"/>
        <v>27</v>
      </c>
      <c r="B36" s="60" t="s">
        <v>233</v>
      </c>
      <c r="C36" s="64" t="s">
        <v>234</v>
      </c>
      <c r="D36" s="65" t="s">
        <v>235</v>
      </c>
      <c r="E36" s="335">
        <f t="shared" ref="E36:E44" si="4">SUM(L36:M36)</f>
        <v>1.1399999999999999</v>
      </c>
      <c r="F36" s="288">
        <f t="shared" ref="F36:F44" si="5">ROUND(+E36*$J$10,2)</f>
        <v>-0.03</v>
      </c>
      <c r="G36" s="48">
        <v>22651</v>
      </c>
      <c r="H36" s="287">
        <f t="shared" ref="H36:I44" si="6">ROUND($G36*E36,0)</f>
        <v>25822</v>
      </c>
      <c r="I36" s="287">
        <f t="shared" si="6"/>
        <v>-680</v>
      </c>
      <c r="K36" s="204"/>
      <c r="L36" s="335">
        <v>0.45</v>
      </c>
      <c r="M36" s="335">
        <v>0.69</v>
      </c>
      <c r="Q36" s="217"/>
    </row>
    <row r="37" spans="1:17" x14ac:dyDescent="0.25">
      <c r="A37" s="1">
        <f t="shared" si="0"/>
        <v>28</v>
      </c>
      <c r="B37" s="60" t="s">
        <v>233</v>
      </c>
      <c r="C37" s="64" t="s">
        <v>234</v>
      </c>
      <c r="D37" s="65" t="s">
        <v>236</v>
      </c>
      <c r="E37" s="335">
        <f t="shared" si="4"/>
        <v>1.91</v>
      </c>
      <c r="F37" s="288">
        <f t="shared" si="5"/>
        <v>-0.06</v>
      </c>
      <c r="G37" s="48">
        <v>12278</v>
      </c>
      <c r="H37" s="287">
        <f t="shared" si="6"/>
        <v>23451</v>
      </c>
      <c r="I37" s="287">
        <f t="shared" si="6"/>
        <v>-737</v>
      </c>
      <c r="K37" s="204"/>
      <c r="L37" s="335">
        <v>0.76</v>
      </c>
      <c r="M37" s="335">
        <v>1.1499999999999999</v>
      </c>
      <c r="Q37" s="217"/>
    </row>
    <row r="38" spans="1:17" x14ac:dyDescent="0.25">
      <c r="A38" s="1">
        <f t="shared" si="0"/>
        <v>29</v>
      </c>
      <c r="B38" s="60" t="s">
        <v>233</v>
      </c>
      <c r="C38" s="64" t="s">
        <v>234</v>
      </c>
      <c r="D38" s="65" t="s">
        <v>237</v>
      </c>
      <c r="E38" s="335">
        <f t="shared" si="4"/>
        <v>2.66</v>
      </c>
      <c r="F38" s="288">
        <f t="shared" si="5"/>
        <v>-0.08</v>
      </c>
      <c r="G38" s="48">
        <v>7290</v>
      </c>
      <c r="H38" s="287">
        <f t="shared" si="6"/>
        <v>19391</v>
      </c>
      <c r="I38" s="287">
        <f t="shared" si="6"/>
        <v>-583</v>
      </c>
      <c r="K38" s="204"/>
      <c r="L38" s="335">
        <v>1.06</v>
      </c>
      <c r="M38" s="335">
        <v>1.6</v>
      </c>
      <c r="Q38" s="217"/>
    </row>
    <row r="39" spans="1:17" x14ac:dyDescent="0.25">
      <c r="A39" s="1">
        <f t="shared" si="0"/>
        <v>30</v>
      </c>
      <c r="B39" s="60" t="s">
        <v>233</v>
      </c>
      <c r="C39" s="64" t="s">
        <v>234</v>
      </c>
      <c r="D39" s="65" t="s">
        <v>238</v>
      </c>
      <c r="E39" s="335">
        <f t="shared" si="4"/>
        <v>3.42</v>
      </c>
      <c r="F39" s="288">
        <f t="shared" si="5"/>
        <v>-0.1</v>
      </c>
      <c r="G39" s="48">
        <v>3325</v>
      </c>
      <c r="H39" s="287">
        <f t="shared" si="6"/>
        <v>11372</v>
      </c>
      <c r="I39" s="287">
        <f t="shared" si="6"/>
        <v>-333</v>
      </c>
      <c r="K39" s="204"/>
      <c r="L39" s="335">
        <v>1.36</v>
      </c>
      <c r="M39" s="335">
        <v>2.06</v>
      </c>
      <c r="Q39" s="217"/>
    </row>
    <row r="40" spans="1:17" x14ac:dyDescent="0.25">
      <c r="A40" s="1">
        <f t="shared" si="0"/>
        <v>31</v>
      </c>
      <c r="B40" s="60" t="s">
        <v>233</v>
      </c>
      <c r="C40" s="64" t="s">
        <v>234</v>
      </c>
      <c r="D40" s="65" t="s">
        <v>239</v>
      </c>
      <c r="E40" s="335">
        <f t="shared" si="4"/>
        <v>4.1899999999999995</v>
      </c>
      <c r="F40" s="288">
        <f t="shared" si="5"/>
        <v>-0.12</v>
      </c>
      <c r="G40" s="48">
        <v>588</v>
      </c>
      <c r="H40" s="287">
        <f t="shared" si="6"/>
        <v>2464</v>
      </c>
      <c r="I40" s="287">
        <f t="shared" si="6"/>
        <v>-71</v>
      </c>
      <c r="K40" s="204"/>
      <c r="L40" s="335">
        <v>1.67</v>
      </c>
      <c r="M40" s="335">
        <v>2.52</v>
      </c>
      <c r="Q40" s="217"/>
    </row>
    <row r="41" spans="1:17" x14ac:dyDescent="0.25">
      <c r="A41" s="1">
        <f t="shared" si="0"/>
        <v>32</v>
      </c>
      <c r="B41" s="60" t="s">
        <v>233</v>
      </c>
      <c r="C41" s="64" t="s">
        <v>234</v>
      </c>
      <c r="D41" s="65" t="s">
        <v>240</v>
      </c>
      <c r="E41" s="335">
        <f t="shared" si="4"/>
        <v>4.95</v>
      </c>
      <c r="F41" s="288">
        <f t="shared" si="5"/>
        <v>-0.15</v>
      </c>
      <c r="G41" s="48">
        <v>2167</v>
      </c>
      <c r="H41" s="287">
        <f t="shared" si="6"/>
        <v>10727</v>
      </c>
      <c r="I41" s="287">
        <f t="shared" si="6"/>
        <v>-325</v>
      </c>
      <c r="K41" s="204"/>
      <c r="L41" s="335">
        <v>1.97</v>
      </c>
      <c r="M41" s="335">
        <v>2.98</v>
      </c>
      <c r="Q41" s="217"/>
    </row>
    <row r="42" spans="1:17" x14ac:dyDescent="0.25">
      <c r="A42" s="1">
        <f t="shared" si="0"/>
        <v>33</v>
      </c>
      <c r="B42" s="60" t="s">
        <v>233</v>
      </c>
      <c r="C42" s="64" t="s">
        <v>234</v>
      </c>
      <c r="D42" s="65" t="s">
        <v>241</v>
      </c>
      <c r="E42" s="335">
        <f t="shared" si="4"/>
        <v>5.71</v>
      </c>
      <c r="F42" s="288">
        <f t="shared" si="5"/>
        <v>-0.17</v>
      </c>
      <c r="G42" s="48"/>
      <c r="H42" s="287">
        <f t="shared" si="6"/>
        <v>0</v>
      </c>
      <c r="I42" s="287">
        <f t="shared" si="6"/>
        <v>0</v>
      </c>
      <c r="K42" s="204"/>
      <c r="L42" s="335">
        <v>2.27</v>
      </c>
      <c r="M42" s="335">
        <v>3.44</v>
      </c>
      <c r="Q42" s="217"/>
    </row>
    <row r="43" spans="1:17" x14ac:dyDescent="0.25">
      <c r="A43" s="1">
        <f t="shared" si="0"/>
        <v>34</v>
      </c>
      <c r="B43" s="60" t="s">
        <v>233</v>
      </c>
      <c r="C43" s="64" t="s">
        <v>234</v>
      </c>
      <c r="D43" s="65" t="s">
        <v>242</v>
      </c>
      <c r="E43" s="335">
        <f t="shared" si="4"/>
        <v>6.46</v>
      </c>
      <c r="F43" s="288">
        <f t="shared" si="5"/>
        <v>-0.19</v>
      </c>
      <c r="G43" s="48">
        <v>120</v>
      </c>
      <c r="H43" s="287">
        <f t="shared" si="6"/>
        <v>775</v>
      </c>
      <c r="I43" s="287">
        <f t="shared" si="6"/>
        <v>-23</v>
      </c>
      <c r="K43" s="204"/>
      <c r="L43" s="335">
        <v>2.57</v>
      </c>
      <c r="M43" s="335">
        <v>3.89</v>
      </c>
      <c r="Q43" s="217"/>
    </row>
    <row r="44" spans="1:17" x14ac:dyDescent="0.25">
      <c r="A44" s="1">
        <f t="shared" si="0"/>
        <v>35</v>
      </c>
      <c r="B44" s="60" t="s">
        <v>233</v>
      </c>
      <c r="C44" s="64" t="s">
        <v>234</v>
      </c>
      <c r="D44" s="65" t="s">
        <v>243</v>
      </c>
      <c r="E44" s="335">
        <f t="shared" si="4"/>
        <v>7.2299999999999995</v>
      </c>
      <c r="F44" s="288">
        <f t="shared" si="5"/>
        <v>-0.21</v>
      </c>
      <c r="G44" s="48">
        <v>834</v>
      </c>
      <c r="H44" s="287">
        <f t="shared" si="6"/>
        <v>6030</v>
      </c>
      <c r="I44" s="287">
        <f t="shared" si="6"/>
        <v>-175</v>
      </c>
      <c r="K44" s="204"/>
      <c r="L44" s="335">
        <v>2.88</v>
      </c>
      <c r="M44" s="335">
        <v>4.3499999999999996</v>
      </c>
      <c r="Q44" s="217"/>
    </row>
    <row r="45" spans="1:17" x14ac:dyDescent="0.25">
      <c r="A45" s="1">
        <f t="shared" si="0"/>
        <v>36</v>
      </c>
      <c r="B45" s="66"/>
      <c r="C45" s="58"/>
      <c r="D45" s="58"/>
      <c r="E45" s="335"/>
      <c r="F45" s="58"/>
      <c r="G45" s="48"/>
      <c r="H45" s="48"/>
      <c r="I45" s="48"/>
      <c r="K45" s="204"/>
      <c r="L45" s="335"/>
      <c r="M45" s="335"/>
      <c r="Q45" s="217"/>
    </row>
    <row r="46" spans="1:17" x14ac:dyDescent="0.25">
      <c r="A46" s="1">
        <f t="shared" si="0"/>
        <v>37</v>
      </c>
      <c r="B46" s="66" t="s">
        <v>244</v>
      </c>
      <c r="C46" s="58"/>
      <c r="D46" s="58"/>
      <c r="E46" s="335"/>
      <c r="F46" s="58"/>
      <c r="G46" s="48"/>
      <c r="H46" s="48"/>
      <c r="I46" s="48"/>
      <c r="K46" s="204"/>
      <c r="L46" s="335"/>
      <c r="M46" s="335"/>
      <c r="Q46" s="217"/>
    </row>
    <row r="47" spans="1:17" x14ac:dyDescent="0.25">
      <c r="A47" s="1">
        <f t="shared" si="0"/>
        <v>38</v>
      </c>
      <c r="B47" s="60" t="s">
        <v>245</v>
      </c>
      <c r="C47" s="68" t="s">
        <v>34</v>
      </c>
      <c r="D47" s="68">
        <v>50</v>
      </c>
      <c r="E47" s="335">
        <f t="shared" ref="E47:E54" si="7">SUM(L47:M47)</f>
        <v>1.26</v>
      </c>
      <c r="F47" s="288">
        <f t="shared" ref="F47:F54" si="8">ROUND(+E47*$J$10,2)</f>
        <v>-0.04</v>
      </c>
      <c r="G47" s="48"/>
      <c r="H47" s="287">
        <f t="shared" ref="H47:I54" si="9">ROUND($G47*E47,0)</f>
        <v>0</v>
      </c>
      <c r="I47" s="287">
        <f t="shared" si="9"/>
        <v>0</v>
      </c>
      <c r="K47" s="340"/>
      <c r="L47" s="335">
        <v>0.5</v>
      </c>
      <c r="M47" s="335">
        <v>0.76</v>
      </c>
      <c r="Q47" s="217"/>
    </row>
    <row r="48" spans="1:17" x14ac:dyDescent="0.25">
      <c r="A48" s="1">
        <f t="shared" si="0"/>
        <v>39</v>
      </c>
      <c r="B48" s="60" t="str">
        <f t="shared" ref="B48:B54" si="10">+B47</f>
        <v xml:space="preserve">52E </v>
      </c>
      <c r="C48" s="68" t="s">
        <v>34</v>
      </c>
      <c r="D48" s="68">
        <v>70</v>
      </c>
      <c r="E48" s="335">
        <f t="shared" si="7"/>
        <v>1.78</v>
      </c>
      <c r="F48" s="288">
        <f t="shared" si="8"/>
        <v>-0.05</v>
      </c>
      <c r="G48" s="48">
        <v>8519</v>
      </c>
      <c r="H48" s="287">
        <f t="shared" si="9"/>
        <v>15164</v>
      </c>
      <c r="I48" s="287">
        <f t="shared" si="9"/>
        <v>-426</v>
      </c>
      <c r="K48" s="340"/>
      <c r="L48" s="335">
        <v>0.71</v>
      </c>
      <c r="M48" s="335">
        <v>1.07</v>
      </c>
      <c r="Q48" s="217"/>
    </row>
    <row r="49" spans="1:17" x14ac:dyDescent="0.25">
      <c r="A49" s="1">
        <f t="shared" si="0"/>
        <v>40</v>
      </c>
      <c r="B49" s="60" t="str">
        <f t="shared" si="10"/>
        <v xml:space="preserve">52E </v>
      </c>
      <c r="C49" s="68" t="s">
        <v>34</v>
      </c>
      <c r="D49" s="68">
        <v>100</v>
      </c>
      <c r="E49" s="335">
        <f t="shared" si="7"/>
        <v>2.54</v>
      </c>
      <c r="F49" s="288">
        <f t="shared" si="8"/>
        <v>-7.0000000000000007E-2</v>
      </c>
      <c r="G49" s="48">
        <v>124333</v>
      </c>
      <c r="H49" s="287">
        <f t="shared" si="9"/>
        <v>315806</v>
      </c>
      <c r="I49" s="287">
        <f t="shared" si="9"/>
        <v>-8703</v>
      </c>
      <c r="K49" s="340"/>
      <c r="L49" s="335">
        <v>1.01</v>
      </c>
      <c r="M49" s="335">
        <v>1.53</v>
      </c>
      <c r="Q49" s="217"/>
    </row>
    <row r="50" spans="1:17" x14ac:dyDescent="0.25">
      <c r="A50" s="1">
        <f t="shared" si="0"/>
        <v>41</v>
      </c>
      <c r="B50" s="60" t="str">
        <f t="shared" si="10"/>
        <v xml:space="preserve">52E </v>
      </c>
      <c r="C50" s="68" t="s">
        <v>34</v>
      </c>
      <c r="D50" s="68">
        <v>150</v>
      </c>
      <c r="E50" s="335">
        <f t="shared" si="7"/>
        <v>3.8</v>
      </c>
      <c r="F50" s="288">
        <f t="shared" si="8"/>
        <v>-0.11</v>
      </c>
      <c r="G50" s="48">
        <v>55549</v>
      </c>
      <c r="H50" s="287">
        <f t="shared" si="9"/>
        <v>211086</v>
      </c>
      <c r="I50" s="287">
        <f t="shared" si="9"/>
        <v>-6110</v>
      </c>
      <c r="K50" s="340"/>
      <c r="L50" s="335">
        <v>1.51</v>
      </c>
      <c r="M50" s="335">
        <v>2.29</v>
      </c>
      <c r="Q50" s="217"/>
    </row>
    <row r="51" spans="1:17" x14ac:dyDescent="0.25">
      <c r="A51" s="1">
        <f t="shared" si="0"/>
        <v>42</v>
      </c>
      <c r="B51" s="60" t="str">
        <f t="shared" si="10"/>
        <v xml:space="preserve">52E </v>
      </c>
      <c r="C51" s="68" t="s">
        <v>34</v>
      </c>
      <c r="D51" s="68">
        <v>200</v>
      </c>
      <c r="E51" s="335">
        <f t="shared" si="7"/>
        <v>5.07</v>
      </c>
      <c r="F51" s="288">
        <f t="shared" si="8"/>
        <v>-0.15</v>
      </c>
      <c r="G51" s="48">
        <v>12094</v>
      </c>
      <c r="H51" s="287">
        <f t="shared" si="9"/>
        <v>61317</v>
      </c>
      <c r="I51" s="287">
        <f t="shared" si="9"/>
        <v>-1814</v>
      </c>
      <c r="K51" s="340"/>
      <c r="L51" s="335">
        <v>2.02</v>
      </c>
      <c r="M51" s="335">
        <v>3.05</v>
      </c>
      <c r="Q51" s="217"/>
    </row>
    <row r="52" spans="1:17" x14ac:dyDescent="0.25">
      <c r="A52" s="1">
        <f t="shared" si="0"/>
        <v>43</v>
      </c>
      <c r="B52" s="60" t="str">
        <f t="shared" si="10"/>
        <v xml:space="preserve">52E </v>
      </c>
      <c r="C52" s="68" t="s">
        <v>34</v>
      </c>
      <c r="D52" s="68">
        <v>250</v>
      </c>
      <c r="E52" s="335">
        <f t="shared" si="7"/>
        <v>6.34</v>
      </c>
      <c r="F52" s="288">
        <f t="shared" si="8"/>
        <v>-0.19</v>
      </c>
      <c r="G52" s="48">
        <v>17603</v>
      </c>
      <c r="H52" s="287">
        <f t="shared" si="9"/>
        <v>111603</v>
      </c>
      <c r="I52" s="287">
        <f t="shared" si="9"/>
        <v>-3345</v>
      </c>
      <c r="K52" s="340"/>
      <c r="L52" s="335">
        <v>2.52</v>
      </c>
      <c r="M52" s="335">
        <v>3.82</v>
      </c>
      <c r="Q52" s="217"/>
    </row>
    <row r="53" spans="1:17" x14ac:dyDescent="0.25">
      <c r="A53" s="1">
        <f t="shared" si="0"/>
        <v>44</v>
      </c>
      <c r="B53" s="60" t="str">
        <f t="shared" si="10"/>
        <v xml:space="preserve">52E </v>
      </c>
      <c r="C53" s="68" t="s">
        <v>34</v>
      </c>
      <c r="D53" s="68">
        <v>310</v>
      </c>
      <c r="E53" s="335">
        <f t="shared" si="7"/>
        <v>7.86</v>
      </c>
      <c r="F53" s="288">
        <f t="shared" si="8"/>
        <v>-0.23</v>
      </c>
      <c r="G53" s="48">
        <v>1788</v>
      </c>
      <c r="H53" s="287">
        <f t="shared" si="9"/>
        <v>14054</v>
      </c>
      <c r="I53" s="287">
        <f t="shared" si="9"/>
        <v>-411</v>
      </c>
      <c r="K53" s="340"/>
      <c r="L53" s="335">
        <v>3.13</v>
      </c>
      <c r="M53" s="335">
        <v>4.7300000000000004</v>
      </c>
      <c r="Q53" s="217"/>
    </row>
    <row r="54" spans="1:17" x14ac:dyDescent="0.25">
      <c r="A54" s="1">
        <f t="shared" si="0"/>
        <v>45</v>
      </c>
      <c r="B54" s="60" t="str">
        <f t="shared" si="10"/>
        <v xml:space="preserve">52E </v>
      </c>
      <c r="C54" s="68" t="s">
        <v>34</v>
      </c>
      <c r="D54" s="68">
        <v>400</v>
      </c>
      <c r="E54" s="335">
        <f t="shared" si="7"/>
        <v>10.15</v>
      </c>
      <c r="F54" s="288">
        <f t="shared" si="8"/>
        <v>-0.3</v>
      </c>
      <c r="G54" s="48">
        <v>7293</v>
      </c>
      <c r="H54" s="287">
        <f t="shared" si="9"/>
        <v>74024</v>
      </c>
      <c r="I54" s="287">
        <f t="shared" si="9"/>
        <v>-2188</v>
      </c>
      <c r="K54" s="340"/>
      <c r="L54" s="335">
        <v>4.04</v>
      </c>
      <c r="M54" s="335">
        <v>6.11</v>
      </c>
      <c r="Q54" s="217"/>
    </row>
    <row r="55" spans="1:17" x14ac:dyDescent="0.25">
      <c r="A55" s="1">
        <f t="shared" si="0"/>
        <v>46</v>
      </c>
      <c r="B55" s="69"/>
      <c r="C55" s="68"/>
      <c r="D55" s="68"/>
      <c r="E55" s="335"/>
      <c r="F55" s="58"/>
      <c r="G55" s="48"/>
      <c r="H55" s="48"/>
      <c r="I55" s="48"/>
      <c r="K55" s="340"/>
      <c r="L55" s="335"/>
      <c r="M55" s="335"/>
      <c r="Q55" s="217"/>
    </row>
    <row r="56" spans="1:17" x14ac:dyDescent="0.25">
      <c r="A56" s="1">
        <f t="shared" si="0"/>
        <v>47</v>
      </c>
      <c r="B56" s="60" t="str">
        <f>+B51</f>
        <v xml:space="preserve">52E </v>
      </c>
      <c r="C56" s="68" t="s">
        <v>246</v>
      </c>
      <c r="D56" s="68">
        <v>70</v>
      </c>
      <c r="E56" s="335">
        <f t="shared" ref="E56:E62" si="11">SUM(L56:M56)</f>
        <v>1.78</v>
      </c>
      <c r="F56" s="288">
        <f t="shared" ref="F56:F62" si="12">ROUND(+E56*$J$10,2)</f>
        <v>-0.05</v>
      </c>
      <c r="G56" s="48">
        <v>816</v>
      </c>
      <c r="H56" s="287">
        <f t="shared" ref="H56:I62" si="13">ROUND($G56*E56,0)</f>
        <v>1452</v>
      </c>
      <c r="I56" s="287">
        <f t="shared" si="13"/>
        <v>-41</v>
      </c>
      <c r="K56" s="340"/>
      <c r="L56" s="335">
        <v>0.71</v>
      </c>
      <c r="M56" s="335">
        <v>1.07</v>
      </c>
      <c r="Q56" s="217"/>
    </row>
    <row r="57" spans="1:17" x14ac:dyDescent="0.25">
      <c r="A57" s="1">
        <f t="shared" si="0"/>
        <v>48</v>
      </c>
      <c r="B57" s="60" t="str">
        <f>+B52</f>
        <v xml:space="preserve">52E </v>
      </c>
      <c r="C57" s="68" t="s">
        <v>246</v>
      </c>
      <c r="D57" s="68">
        <v>100</v>
      </c>
      <c r="E57" s="335">
        <f t="shared" si="11"/>
        <v>2.54</v>
      </c>
      <c r="F57" s="288">
        <f t="shared" si="12"/>
        <v>-7.0000000000000007E-2</v>
      </c>
      <c r="G57" s="48">
        <v>45</v>
      </c>
      <c r="H57" s="287">
        <f t="shared" si="13"/>
        <v>114</v>
      </c>
      <c r="I57" s="287">
        <f t="shared" si="13"/>
        <v>-3</v>
      </c>
      <c r="K57" s="340"/>
      <c r="L57" s="335">
        <v>1.01</v>
      </c>
      <c r="M57" s="335">
        <v>1.53</v>
      </c>
      <c r="Q57" s="217"/>
    </row>
    <row r="58" spans="1:17" x14ac:dyDescent="0.25">
      <c r="A58" s="1">
        <f t="shared" si="0"/>
        <v>49</v>
      </c>
      <c r="B58" s="60" t="str">
        <f>+B53</f>
        <v xml:space="preserve">52E </v>
      </c>
      <c r="C58" s="68" t="s">
        <v>246</v>
      </c>
      <c r="D58" s="68">
        <v>150</v>
      </c>
      <c r="E58" s="335">
        <f t="shared" si="11"/>
        <v>3.8</v>
      </c>
      <c r="F58" s="288">
        <f t="shared" si="12"/>
        <v>-0.11</v>
      </c>
      <c r="G58" s="48">
        <v>2460</v>
      </c>
      <c r="H58" s="287">
        <f t="shared" si="13"/>
        <v>9348</v>
      </c>
      <c r="I58" s="287">
        <f t="shared" si="13"/>
        <v>-271</v>
      </c>
      <c r="K58" s="340"/>
      <c r="L58" s="335">
        <v>1.51</v>
      </c>
      <c r="M58" s="335">
        <v>2.29</v>
      </c>
      <c r="Q58" s="217"/>
    </row>
    <row r="59" spans="1:17" x14ac:dyDescent="0.25">
      <c r="A59" s="1">
        <f t="shared" si="0"/>
        <v>50</v>
      </c>
      <c r="B59" s="60" t="str">
        <f>+B54</f>
        <v xml:space="preserve">52E </v>
      </c>
      <c r="C59" s="68" t="s">
        <v>246</v>
      </c>
      <c r="D59" s="68">
        <v>175</v>
      </c>
      <c r="E59" s="335">
        <f t="shared" si="11"/>
        <v>4.4399999999999995</v>
      </c>
      <c r="F59" s="288">
        <f t="shared" si="12"/>
        <v>-0.13</v>
      </c>
      <c r="G59" s="48">
        <v>2664</v>
      </c>
      <c r="H59" s="287">
        <f t="shared" si="13"/>
        <v>11828</v>
      </c>
      <c r="I59" s="287">
        <f t="shared" si="13"/>
        <v>-346</v>
      </c>
      <c r="K59" s="340"/>
      <c r="L59" s="335">
        <v>1.77</v>
      </c>
      <c r="M59" s="335">
        <v>2.67</v>
      </c>
      <c r="Q59" s="217"/>
    </row>
    <row r="60" spans="1:17" x14ac:dyDescent="0.25">
      <c r="A60" s="1">
        <f t="shared" si="0"/>
        <v>51</v>
      </c>
      <c r="B60" s="60" t="str">
        <f t="shared" ref="B60:C62" si="14">+B59</f>
        <v xml:space="preserve">52E </v>
      </c>
      <c r="C60" s="68" t="str">
        <f t="shared" si="14"/>
        <v>Metal Halide</v>
      </c>
      <c r="D60" s="68">
        <v>250</v>
      </c>
      <c r="E60" s="335">
        <f t="shared" si="11"/>
        <v>6.34</v>
      </c>
      <c r="F60" s="288">
        <f t="shared" si="12"/>
        <v>-0.19</v>
      </c>
      <c r="G60" s="48">
        <v>732</v>
      </c>
      <c r="H60" s="287">
        <f t="shared" si="13"/>
        <v>4641</v>
      </c>
      <c r="I60" s="287">
        <f t="shared" si="13"/>
        <v>-139</v>
      </c>
      <c r="K60" s="340"/>
      <c r="L60" s="335">
        <v>2.52</v>
      </c>
      <c r="M60" s="335">
        <v>3.82</v>
      </c>
      <c r="Q60" s="217"/>
    </row>
    <row r="61" spans="1:17" x14ac:dyDescent="0.25">
      <c r="A61" s="1">
        <f t="shared" si="0"/>
        <v>52</v>
      </c>
      <c r="B61" s="60" t="str">
        <f t="shared" si="14"/>
        <v xml:space="preserve">52E </v>
      </c>
      <c r="C61" s="68" t="str">
        <f t="shared" si="14"/>
        <v>Metal Halide</v>
      </c>
      <c r="D61" s="68">
        <v>400</v>
      </c>
      <c r="E61" s="335">
        <f t="shared" si="11"/>
        <v>10.15</v>
      </c>
      <c r="F61" s="288">
        <f t="shared" si="12"/>
        <v>-0.3</v>
      </c>
      <c r="G61" s="48">
        <v>684</v>
      </c>
      <c r="H61" s="287">
        <f t="shared" si="13"/>
        <v>6943</v>
      </c>
      <c r="I61" s="287">
        <f t="shared" si="13"/>
        <v>-205</v>
      </c>
      <c r="K61" s="340"/>
      <c r="L61" s="335">
        <v>4.04</v>
      </c>
      <c r="M61" s="335">
        <v>6.11</v>
      </c>
      <c r="Q61" s="217"/>
    </row>
    <row r="62" spans="1:17" x14ac:dyDescent="0.25">
      <c r="A62" s="1">
        <f t="shared" si="0"/>
        <v>53</v>
      </c>
      <c r="B62" s="60" t="str">
        <f t="shared" si="14"/>
        <v xml:space="preserve">52E </v>
      </c>
      <c r="C62" s="68" t="str">
        <f t="shared" si="14"/>
        <v>Metal Halide</v>
      </c>
      <c r="D62" s="68">
        <v>1000</v>
      </c>
      <c r="E62" s="335">
        <f t="shared" si="11"/>
        <v>25.36</v>
      </c>
      <c r="F62" s="288">
        <f t="shared" si="12"/>
        <v>-0.75</v>
      </c>
      <c r="G62" s="48">
        <v>216</v>
      </c>
      <c r="H62" s="287">
        <f t="shared" si="13"/>
        <v>5478</v>
      </c>
      <c r="I62" s="287">
        <f t="shared" si="13"/>
        <v>-162</v>
      </c>
      <c r="K62" s="340"/>
      <c r="L62" s="335">
        <v>10.09</v>
      </c>
      <c r="M62" s="335">
        <v>15.27</v>
      </c>
      <c r="Q62" s="217"/>
    </row>
    <row r="63" spans="1:17" x14ac:dyDescent="0.25">
      <c r="A63" s="1">
        <f t="shared" si="0"/>
        <v>54</v>
      </c>
      <c r="B63" s="66"/>
      <c r="C63" s="58"/>
      <c r="D63" s="58"/>
      <c r="E63" s="335"/>
      <c r="F63" s="58"/>
      <c r="G63" s="48"/>
      <c r="H63" s="48"/>
      <c r="I63" s="48"/>
      <c r="K63" s="340"/>
      <c r="L63" s="335"/>
      <c r="M63" s="335"/>
      <c r="Q63" s="217"/>
    </row>
    <row r="64" spans="1:17" x14ac:dyDescent="0.25">
      <c r="A64" s="1">
        <f t="shared" si="0"/>
        <v>55</v>
      </c>
      <c r="B64" s="66" t="s">
        <v>247</v>
      </c>
      <c r="C64" s="58"/>
      <c r="D64" s="58"/>
      <c r="E64" s="335"/>
      <c r="F64" s="58"/>
      <c r="G64" s="48"/>
      <c r="H64" s="48"/>
      <c r="I64" s="48"/>
      <c r="K64" s="340"/>
      <c r="L64" s="335"/>
      <c r="M64" s="335"/>
      <c r="Q64" s="217"/>
    </row>
    <row r="65" spans="1:17" x14ac:dyDescent="0.25">
      <c r="A65" s="1">
        <f t="shared" si="0"/>
        <v>56</v>
      </c>
      <c r="B65" s="60" t="s">
        <v>248</v>
      </c>
      <c r="C65" s="68" t="s">
        <v>34</v>
      </c>
      <c r="D65" s="68">
        <v>50</v>
      </c>
      <c r="E65" s="335">
        <f t="shared" ref="E65:E73" si="15">SUM(L65:M65)</f>
        <v>1.26</v>
      </c>
      <c r="F65" s="288">
        <f t="shared" ref="F65:F73" si="16">ROUND(+E65*$J$10,2)</f>
        <v>-0.04</v>
      </c>
      <c r="G65" s="48">
        <v>0</v>
      </c>
      <c r="H65" s="287">
        <f t="shared" ref="H65:I73" si="17">ROUND($G65*E65,0)</f>
        <v>0</v>
      </c>
      <c r="I65" s="287">
        <f t="shared" si="17"/>
        <v>0</v>
      </c>
      <c r="K65" s="340"/>
      <c r="L65" s="335">
        <v>0.5</v>
      </c>
      <c r="M65" s="335">
        <v>0.76</v>
      </c>
      <c r="Q65" s="217"/>
    </row>
    <row r="66" spans="1:17" x14ac:dyDescent="0.25">
      <c r="A66" s="1">
        <f t="shared" si="0"/>
        <v>57</v>
      </c>
      <c r="B66" s="60" t="str">
        <f t="shared" ref="B66:B73" si="18">+B65</f>
        <v>53E - Company Owned</v>
      </c>
      <c r="C66" s="68" t="s">
        <v>34</v>
      </c>
      <c r="D66" s="68">
        <v>70</v>
      </c>
      <c r="E66" s="335">
        <f t="shared" si="15"/>
        <v>1.78</v>
      </c>
      <c r="F66" s="288">
        <f t="shared" si="16"/>
        <v>-0.05</v>
      </c>
      <c r="G66" s="48">
        <v>55968</v>
      </c>
      <c r="H66" s="287">
        <f t="shared" si="17"/>
        <v>99623</v>
      </c>
      <c r="I66" s="287">
        <f t="shared" si="17"/>
        <v>-2798</v>
      </c>
      <c r="K66" s="340"/>
      <c r="L66" s="335">
        <v>0.71</v>
      </c>
      <c r="M66" s="335">
        <v>1.07</v>
      </c>
      <c r="Q66" s="217"/>
    </row>
    <row r="67" spans="1:17" x14ac:dyDescent="0.25">
      <c r="A67" s="1">
        <f t="shared" si="0"/>
        <v>58</v>
      </c>
      <c r="B67" s="60" t="str">
        <f t="shared" si="18"/>
        <v>53E - Company Owned</v>
      </c>
      <c r="C67" s="68" t="s">
        <v>34</v>
      </c>
      <c r="D67" s="68">
        <v>100</v>
      </c>
      <c r="E67" s="335">
        <f t="shared" si="15"/>
        <v>2.54</v>
      </c>
      <c r="F67" s="288">
        <f t="shared" si="16"/>
        <v>-7.0000000000000007E-2</v>
      </c>
      <c r="G67" s="48">
        <v>392307</v>
      </c>
      <c r="H67" s="287">
        <f t="shared" si="17"/>
        <v>996460</v>
      </c>
      <c r="I67" s="287">
        <f t="shared" si="17"/>
        <v>-27461</v>
      </c>
      <c r="K67" s="340"/>
      <c r="L67" s="335">
        <v>1.01</v>
      </c>
      <c r="M67" s="335">
        <v>1.53</v>
      </c>
      <c r="Q67" s="217"/>
    </row>
    <row r="68" spans="1:17" x14ac:dyDescent="0.25">
      <c r="A68" s="1">
        <f t="shared" si="0"/>
        <v>59</v>
      </c>
      <c r="B68" s="60" t="str">
        <f t="shared" si="18"/>
        <v>53E - Company Owned</v>
      </c>
      <c r="C68" s="68" t="s">
        <v>34</v>
      </c>
      <c r="D68" s="68">
        <v>150</v>
      </c>
      <c r="E68" s="335">
        <f t="shared" si="15"/>
        <v>3.8</v>
      </c>
      <c r="F68" s="288">
        <f t="shared" si="16"/>
        <v>-0.11</v>
      </c>
      <c r="G68" s="48">
        <v>46857</v>
      </c>
      <c r="H68" s="287">
        <f t="shared" si="17"/>
        <v>178057</v>
      </c>
      <c r="I68" s="287">
        <f t="shared" si="17"/>
        <v>-5154</v>
      </c>
      <c r="K68" s="340"/>
      <c r="L68" s="335">
        <v>1.51</v>
      </c>
      <c r="M68" s="335">
        <v>2.29</v>
      </c>
      <c r="Q68" s="217"/>
    </row>
    <row r="69" spans="1:17" x14ac:dyDescent="0.25">
      <c r="A69" s="1">
        <f t="shared" si="0"/>
        <v>60</v>
      </c>
      <c r="B69" s="60" t="str">
        <f t="shared" si="18"/>
        <v>53E - Company Owned</v>
      </c>
      <c r="C69" s="68" t="s">
        <v>34</v>
      </c>
      <c r="D69" s="68">
        <v>200</v>
      </c>
      <c r="E69" s="335">
        <f t="shared" si="15"/>
        <v>5.07</v>
      </c>
      <c r="F69" s="288">
        <f t="shared" si="16"/>
        <v>-0.15</v>
      </c>
      <c r="G69" s="48">
        <v>61677</v>
      </c>
      <c r="H69" s="287">
        <f t="shared" si="17"/>
        <v>312702</v>
      </c>
      <c r="I69" s="287">
        <f t="shared" si="17"/>
        <v>-9252</v>
      </c>
      <c r="K69" s="340"/>
      <c r="L69" s="335">
        <v>2.02</v>
      </c>
      <c r="M69" s="335">
        <v>3.05</v>
      </c>
      <c r="Q69" s="217"/>
    </row>
    <row r="70" spans="1:17" x14ac:dyDescent="0.25">
      <c r="A70" s="1">
        <f t="shared" si="0"/>
        <v>61</v>
      </c>
      <c r="B70" s="60" t="str">
        <f t="shared" si="18"/>
        <v>53E - Company Owned</v>
      </c>
      <c r="C70" s="68" t="s">
        <v>34</v>
      </c>
      <c r="D70" s="68">
        <v>250</v>
      </c>
      <c r="E70" s="335">
        <f t="shared" si="15"/>
        <v>6.34</v>
      </c>
      <c r="F70" s="288">
        <f t="shared" si="16"/>
        <v>-0.19</v>
      </c>
      <c r="G70" s="48">
        <v>21023</v>
      </c>
      <c r="H70" s="287">
        <f t="shared" si="17"/>
        <v>133286</v>
      </c>
      <c r="I70" s="287">
        <f t="shared" si="17"/>
        <v>-3994</v>
      </c>
      <c r="K70" s="340"/>
      <c r="L70" s="335">
        <v>2.52</v>
      </c>
      <c r="M70" s="335">
        <v>3.82</v>
      </c>
      <c r="Q70" s="217"/>
    </row>
    <row r="71" spans="1:17" x14ac:dyDescent="0.25">
      <c r="A71" s="1">
        <f t="shared" si="0"/>
        <v>62</v>
      </c>
      <c r="B71" s="60" t="str">
        <f t="shared" si="18"/>
        <v>53E - Company Owned</v>
      </c>
      <c r="C71" s="68" t="s">
        <v>34</v>
      </c>
      <c r="D71" s="68">
        <v>310</v>
      </c>
      <c r="E71" s="335">
        <f t="shared" si="15"/>
        <v>7.86</v>
      </c>
      <c r="F71" s="288">
        <f t="shared" si="16"/>
        <v>-0.23</v>
      </c>
      <c r="G71" s="48">
        <v>203</v>
      </c>
      <c r="H71" s="287">
        <f t="shared" si="17"/>
        <v>1596</v>
      </c>
      <c r="I71" s="287">
        <f t="shared" si="17"/>
        <v>-47</v>
      </c>
      <c r="K71" s="340"/>
      <c r="L71" s="335">
        <v>3.13</v>
      </c>
      <c r="M71" s="335">
        <v>4.7300000000000004</v>
      </c>
      <c r="Q71" s="217"/>
    </row>
    <row r="72" spans="1:17" x14ac:dyDescent="0.25">
      <c r="A72" s="1">
        <f t="shared" si="0"/>
        <v>63</v>
      </c>
      <c r="B72" s="60" t="str">
        <f t="shared" si="18"/>
        <v>53E - Company Owned</v>
      </c>
      <c r="C72" s="68" t="s">
        <v>34</v>
      </c>
      <c r="D72" s="68">
        <v>400</v>
      </c>
      <c r="E72" s="335">
        <f t="shared" si="15"/>
        <v>10.15</v>
      </c>
      <c r="F72" s="288">
        <f t="shared" si="16"/>
        <v>-0.3</v>
      </c>
      <c r="G72" s="48">
        <v>12217</v>
      </c>
      <c r="H72" s="287">
        <f t="shared" si="17"/>
        <v>124003</v>
      </c>
      <c r="I72" s="287">
        <f t="shared" si="17"/>
        <v>-3665</v>
      </c>
      <c r="K72" s="340"/>
      <c r="L72" s="335">
        <v>4.04</v>
      </c>
      <c r="M72" s="335">
        <v>6.11</v>
      </c>
      <c r="Q72" s="217"/>
    </row>
    <row r="73" spans="1:17" x14ac:dyDescent="0.25">
      <c r="A73" s="1">
        <f t="shared" si="0"/>
        <v>64</v>
      </c>
      <c r="B73" s="60" t="str">
        <f t="shared" si="18"/>
        <v>53E - Company Owned</v>
      </c>
      <c r="C73" s="68" t="s">
        <v>34</v>
      </c>
      <c r="D73" s="68">
        <v>1000</v>
      </c>
      <c r="E73" s="335">
        <f t="shared" si="15"/>
        <v>25.36</v>
      </c>
      <c r="F73" s="288">
        <f t="shared" si="16"/>
        <v>-0.75</v>
      </c>
      <c r="G73" s="48"/>
      <c r="H73" s="287">
        <f t="shared" si="17"/>
        <v>0</v>
      </c>
      <c r="I73" s="287">
        <f t="shared" si="17"/>
        <v>0</v>
      </c>
      <c r="K73" s="340"/>
      <c r="L73" s="335">
        <v>10.09</v>
      </c>
      <c r="M73" s="335">
        <v>15.27</v>
      </c>
      <c r="Q73" s="217"/>
    </row>
    <row r="74" spans="1:17" x14ac:dyDescent="0.25">
      <c r="A74" s="1">
        <f t="shared" si="0"/>
        <v>65</v>
      </c>
      <c r="B74" s="60"/>
      <c r="C74" s="68"/>
      <c r="D74" s="68"/>
      <c r="E74" s="335"/>
      <c r="F74" s="58"/>
      <c r="G74" s="48"/>
      <c r="H74" s="48"/>
      <c r="I74" s="48"/>
      <c r="K74" s="340"/>
      <c r="L74" s="335"/>
      <c r="M74" s="335"/>
      <c r="Q74" s="217"/>
    </row>
    <row r="75" spans="1:17" x14ac:dyDescent="0.25">
      <c r="A75" s="1">
        <f t="shared" si="0"/>
        <v>66</v>
      </c>
      <c r="B75" s="60" t="str">
        <f>+B73</f>
        <v>53E - Company Owned</v>
      </c>
      <c r="C75" s="68" t="s">
        <v>246</v>
      </c>
      <c r="D75" s="68">
        <v>70</v>
      </c>
      <c r="E75" s="335">
        <f t="shared" ref="E75:E79" si="19">SUM(L75:M75)</f>
        <v>1.78</v>
      </c>
      <c r="F75" s="288">
        <f>ROUND(+E75*$J$10,2)</f>
        <v>-0.05</v>
      </c>
      <c r="G75" s="48"/>
      <c r="H75" s="287">
        <f t="shared" ref="H75:I79" si="20">ROUND($G75*E75,0)</f>
        <v>0</v>
      </c>
      <c r="I75" s="287">
        <f t="shared" si="20"/>
        <v>0</v>
      </c>
      <c r="K75" s="340"/>
      <c r="L75" s="335">
        <v>0.71</v>
      </c>
      <c r="M75" s="335">
        <v>1.07</v>
      </c>
      <c r="Q75" s="217"/>
    </row>
    <row r="76" spans="1:17" x14ac:dyDescent="0.25">
      <c r="A76" s="1">
        <f t="shared" ref="A76:A139" si="21">+A75+1</f>
        <v>67</v>
      </c>
      <c r="B76" s="60" t="str">
        <f>+B75</f>
        <v>53E - Company Owned</v>
      </c>
      <c r="C76" s="68" t="s">
        <v>246</v>
      </c>
      <c r="D76" s="68">
        <v>100</v>
      </c>
      <c r="E76" s="335">
        <f t="shared" si="19"/>
        <v>2.54</v>
      </c>
      <c r="F76" s="288">
        <f>ROUND(+E76*$J$10,2)</f>
        <v>-7.0000000000000007E-2</v>
      </c>
      <c r="G76" s="48"/>
      <c r="H76" s="287">
        <f t="shared" si="20"/>
        <v>0</v>
      </c>
      <c r="I76" s="287">
        <f t="shared" si="20"/>
        <v>0</v>
      </c>
      <c r="K76" s="340"/>
      <c r="L76" s="335">
        <v>1.01</v>
      </c>
      <c r="M76" s="335">
        <v>1.53</v>
      </c>
      <c r="Q76" s="217"/>
    </row>
    <row r="77" spans="1:17" x14ac:dyDescent="0.25">
      <c r="A77" s="1">
        <f t="shared" si="21"/>
        <v>68</v>
      </c>
      <c r="B77" s="60" t="str">
        <f>+B76</f>
        <v>53E - Company Owned</v>
      </c>
      <c r="C77" s="68" t="s">
        <v>246</v>
      </c>
      <c r="D77" s="68">
        <v>150</v>
      </c>
      <c r="E77" s="335">
        <f t="shared" si="19"/>
        <v>3.8</v>
      </c>
      <c r="F77" s="288">
        <f>ROUND(+E77*$J$10,2)</f>
        <v>-0.11</v>
      </c>
      <c r="G77" s="48"/>
      <c r="H77" s="287">
        <f t="shared" si="20"/>
        <v>0</v>
      </c>
      <c r="I77" s="287">
        <f t="shared" si="20"/>
        <v>0</v>
      </c>
      <c r="K77" s="340"/>
      <c r="L77" s="335">
        <v>1.51</v>
      </c>
      <c r="M77" s="335">
        <v>2.29</v>
      </c>
      <c r="Q77" s="217"/>
    </row>
    <row r="78" spans="1:17" x14ac:dyDescent="0.25">
      <c r="A78" s="1">
        <f t="shared" si="21"/>
        <v>69</v>
      </c>
      <c r="B78" s="60" t="str">
        <f>B77</f>
        <v>53E - Company Owned</v>
      </c>
      <c r="C78" s="68" t="s">
        <v>246</v>
      </c>
      <c r="D78" s="68">
        <v>250</v>
      </c>
      <c r="E78" s="335">
        <f t="shared" si="19"/>
        <v>6.34</v>
      </c>
      <c r="F78" s="288">
        <f>ROUND(+E78*$J$10,2)</f>
        <v>-0.19</v>
      </c>
      <c r="G78" s="48"/>
      <c r="H78" s="287">
        <f t="shared" si="20"/>
        <v>0</v>
      </c>
      <c r="I78" s="287">
        <f t="shared" si="20"/>
        <v>0</v>
      </c>
      <c r="K78" s="340"/>
      <c r="L78" s="335">
        <v>2.52</v>
      </c>
      <c r="M78" s="335">
        <v>3.82</v>
      </c>
      <c r="Q78" s="217"/>
    </row>
    <row r="79" spans="1:17" x14ac:dyDescent="0.25">
      <c r="A79" s="1">
        <f t="shared" si="21"/>
        <v>70</v>
      </c>
      <c r="B79" s="60" t="str">
        <f>B78</f>
        <v>53E - Company Owned</v>
      </c>
      <c r="C79" s="68" t="s">
        <v>246</v>
      </c>
      <c r="D79" s="68">
        <v>400</v>
      </c>
      <c r="E79" s="335">
        <f t="shared" si="19"/>
        <v>10.15</v>
      </c>
      <c r="F79" s="288">
        <f>ROUND(+E79*$J$10,2)</f>
        <v>-0.3</v>
      </c>
      <c r="G79" s="48"/>
      <c r="H79" s="287">
        <f t="shared" si="20"/>
        <v>0</v>
      </c>
      <c r="I79" s="287">
        <f t="shared" si="20"/>
        <v>0</v>
      </c>
      <c r="K79" s="340"/>
      <c r="L79" s="335">
        <v>4.04</v>
      </c>
      <c r="M79" s="335">
        <v>6.11</v>
      </c>
      <c r="Q79" s="217"/>
    </row>
    <row r="80" spans="1:17" x14ac:dyDescent="0.25">
      <c r="A80" s="1">
        <f t="shared" si="21"/>
        <v>71</v>
      </c>
      <c r="B80" s="60"/>
      <c r="C80" s="68"/>
      <c r="D80" s="68"/>
      <c r="E80" s="335"/>
      <c r="F80" s="58"/>
      <c r="G80" s="48"/>
      <c r="H80" s="48"/>
      <c r="I80" s="48"/>
      <c r="K80" s="340"/>
      <c r="L80" s="335"/>
      <c r="M80" s="335"/>
      <c r="Q80" s="217"/>
    </row>
    <row r="81" spans="1:17" x14ac:dyDescent="0.25">
      <c r="A81" s="1">
        <f t="shared" si="21"/>
        <v>72</v>
      </c>
      <c r="B81" s="60" t="str">
        <f>+B79</f>
        <v>53E - Company Owned</v>
      </c>
      <c r="C81" s="68" t="s">
        <v>234</v>
      </c>
      <c r="D81" s="65" t="s">
        <v>235</v>
      </c>
      <c r="E81" s="335">
        <f t="shared" ref="E81:E89" si="22">SUM(L81:M81)</f>
        <v>1.1399999999999999</v>
      </c>
      <c r="F81" s="288">
        <f t="shared" ref="F81:F89" si="23">ROUND(+E81*$J$10,2)</f>
        <v>-0.03</v>
      </c>
      <c r="G81" s="48">
        <v>206645</v>
      </c>
      <c r="H81" s="287">
        <f t="shared" ref="H81:I89" si="24">ROUND($G81*E81,0)</f>
        <v>235575</v>
      </c>
      <c r="I81" s="287">
        <f t="shared" si="24"/>
        <v>-6199</v>
      </c>
      <c r="K81" s="340"/>
      <c r="L81" s="335">
        <v>0.45</v>
      </c>
      <c r="M81" s="335">
        <v>0.69</v>
      </c>
      <c r="Q81" s="217"/>
    </row>
    <row r="82" spans="1:17" x14ac:dyDescent="0.25">
      <c r="A82" s="1">
        <f t="shared" si="21"/>
        <v>73</v>
      </c>
      <c r="B82" s="60" t="str">
        <f t="shared" ref="B82:B89" si="25">B81</f>
        <v>53E - Company Owned</v>
      </c>
      <c r="C82" s="68" t="s">
        <v>234</v>
      </c>
      <c r="D82" s="65" t="s">
        <v>236</v>
      </c>
      <c r="E82" s="335">
        <f t="shared" si="22"/>
        <v>1.91</v>
      </c>
      <c r="F82" s="288">
        <f t="shared" si="23"/>
        <v>-0.06</v>
      </c>
      <c r="G82" s="48">
        <v>338</v>
      </c>
      <c r="H82" s="287">
        <f t="shared" si="24"/>
        <v>646</v>
      </c>
      <c r="I82" s="287">
        <f t="shared" si="24"/>
        <v>-20</v>
      </c>
      <c r="K82" s="340"/>
      <c r="L82" s="335">
        <v>0.76</v>
      </c>
      <c r="M82" s="335">
        <v>1.1499999999999999</v>
      </c>
      <c r="Q82" s="217"/>
    </row>
    <row r="83" spans="1:17" x14ac:dyDescent="0.25">
      <c r="A83" s="1">
        <f t="shared" si="21"/>
        <v>74</v>
      </c>
      <c r="B83" s="60" t="str">
        <f t="shared" si="25"/>
        <v>53E - Company Owned</v>
      </c>
      <c r="C83" s="68" t="s">
        <v>234</v>
      </c>
      <c r="D83" s="65" t="s">
        <v>237</v>
      </c>
      <c r="E83" s="335">
        <f t="shared" si="22"/>
        <v>2.66</v>
      </c>
      <c r="F83" s="288">
        <f t="shared" si="23"/>
        <v>-0.08</v>
      </c>
      <c r="G83" s="48">
        <v>22903</v>
      </c>
      <c r="H83" s="287">
        <f t="shared" si="24"/>
        <v>60922</v>
      </c>
      <c r="I83" s="287">
        <f t="shared" si="24"/>
        <v>-1832</v>
      </c>
      <c r="K83" s="340"/>
      <c r="L83" s="335">
        <v>1.06</v>
      </c>
      <c r="M83" s="335">
        <v>1.6</v>
      </c>
      <c r="Q83" s="217"/>
    </row>
    <row r="84" spans="1:17" x14ac:dyDescent="0.25">
      <c r="A84" s="1">
        <f t="shared" si="21"/>
        <v>75</v>
      </c>
      <c r="B84" s="60" t="str">
        <f t="shared" si="25"/>
        <v>53E - Company Owned</v>
      </c>
      <c r="C84" s="68" t="s">
        <v>234</v>
      </c>
      <c r="D84" s="65" t="s">
        <v>238</v>
      </c>
      <c r="E84" s="335">
        <f t="shared" si="22"/>
        <v>3.42</v>
      </c>
      <c r="F84" s="288">
        <f t="shared" si="23"/>
        <v>-0.1</v>
      </c>
      <c r="G84" s="48">
        <v>20718</v>
      </c>
      <c r="H84" s="287">
        <f t="shared" si="24"/>
        <v>70856</v>
      </c>
      <c r="I84" s="287">
        <f t="shared" si="24"/>
        <v>-2072</v>
      </c>
      <c r="K84" s="340"/>
      <c r="L84" s="335">
        <v>1.36</v>
      </c>
      <c r="M84" s="335">
        <v>2.06</v>
      </c>
      <c r="Q84" s="217"/>
    </row>
    <row r="85" spans="1:17" x14ac:dyDescent="0.25">
      <c r="A85" s="1">
        <f t="shared" si="21"/>
        <v>76</v>
      </c>
      <c r="B85" s="60" t="str">
        <f t="shared" si="25"/>
        <v>53E - Company Owned</v>
      </c>
      <c r="C85" s="68" t="s">
        <v>234</v>
      </c>
      <c r="D85" s="65" t="s">
        <v>239</v>
      </c>
      <c r="E85" s="335">
        <f t="shared" si="22"/>
        <v>4.1899999999999995</v>
      </c>
      <c r="F85" s="288">
        <f t="shared" si="23"/>
        <v>-0.12</v>
      </c>
      <c r="G85" s="48">
        <v>882</v>
      </c>
      <c r="H85" s="287">
        <f t="shared" si="24"/>
        <v>3696</v>
      </c>
      <c r="I85" s="287">
        <f t="shared" si="24"/>
        <v>-106</v>
      </c>
      <c r="K85" s="340"/>
      <c r="L85" s="335">
        <v>1.67</v>
      </c>
      <c r="M85" s="335">
        <v>2.52</v>
      </c>
      <c r="Q85" s="217"/>
    </row>
    <row r="86" spans="1:17" x14ac:dyDescent="0.25">
      <c r="A86" s="1">
        <f t="shared" si="21"/>
        <v>77</v>
      </c>
      <c r="B86" s="60" t="str">
        <f t="shared" si="25"/>
        <v>53E - Company Owned</v>
      </c>
      <c r="C86" s="68" t="s">
        <v>234</v>
      </c>
      <c r="D86" s="65" t="s">
        <v>240</v>
      </c>
      <c r="E86" s="335">
        <f t="shared" si="22"/>
        <v>4.95</v>
      </c>
      <c r="F86" s="288">
        <f t="shared" si="23"/>
        <v>-0.15</v>
      </c>
      <c r="G86" s="48">
        <v>4762</v>
      </c>
      <c r="H86" s="287">
        <f t="shared" si="24"/>
        <v>23572</v>
      </c>
      <c r="I86" s="287">
        <f t="shared" si="24"/>
        <v>-714</v>
      </c>
      <c r="K86" s="340"/>
      <c r="L86" s="335">
        <v>1.97</v>
      </c>
      <c r="M86" s="335">
        <v>2.98</v>
      </c>
      <c r="Q86" s="217"/>
    </row>
    <row r="87" spans="1:17" x14ac:dyDescent="0.25">
      <c r="A87" s="1">
        <f t="shared" si="21"/>
        <v>78</v>
      </c>
      <c r="B87" s="60" t="str">
        <f t="shared" si="25"/>
        <v>53E - Company Owned</v>
      </c>
      <c r="C87" s="68" t="s">
        <v>234</v>
      </c>
      <c r="D87" s="65" t="s">
        <v>241</v>
      </c>
      <c r="E87" s="335">
        <f t="shared" si="22"/>
        <v>5.71</v>
      </c>
      <c r="F87" s="288">
        <f t="shared" si="23"/>
        <v>-0.17</v>
      </c>
      <c r="G87" s="48"/>
      <c r="H87" s="287">
        <f t="shared" si="24"/>
        <v>0</v>
      </c>
      <c r="I87" s="287">
        <f t="shared" si="24"/>
        <v>0</v>
      </c>
      <c r="K87" s="340"/>
      <c r="L87" s="335">
        <v>2.27</v>
      </c>
      <c r="M87" s="335">
        <v>3.44</v>
      </c>
      <c r="Q87" s="217"/>
    </row>
    <row r="88" spans="1:17" x14ac:dyDescent="0.25">
      <c r="A88" s="1">
        <f t="shared" si="21"/>
        <v>79</v>
      </c>
      <c r="B88" s="60" t="str">
        <f t="shared" si="25"/>
        <v>53E - Company Owned</v>
      </c>
      <c r="C88" s="68" t="s">
        <v>234</v>
      </c>
      <c r="D88" s="65" t="s">
        <v>242</v>
      </c>
      <c r="E88" s="335">
        <f t="shared" si="22"/>
        <v>6.46</v>
      </c>
      <c r="F88" s="288">
        <f t="shared" si="23"/>
        <v>-0.19</v>
      </c>
      <c r="G88" s="48">
        <v>288</v>
      </c>
      <c r="H88" s="287">
        <f t="shared" si="24"/>
        <v>1860</v>
      </c>
      <c r="I88" s="287">
        <f t="shared" si="24"/>
        <v>-55</v>
      </c>
      <c r="K88" s="340"/>
      <c r="L88" s="335">
        <v>2.57</v>
      </c>
      <c r="M88" s="335">
        <v>3.89</v>
      </c>
      <c r="Q88" s="217"/>
    </row>
    <row r="89" spans="1:17" x14ac:dyDescent="0.25">
      <c r="A89" s="1">
        <f t="shared" si="21"/>
        <v>80</v>
      </c>
      <c r="B89" s="60" t="str">
        <f t="shared" si="25"/>
        <v>53E - Company Owned</v>
      </c>
      <c r="C89" s="68" t="s">
        <v>234</v>
      </c>
      <c r="D89" s="65" t="s">
        <v>243</v>
      </c>
      <c r="E89" s="335">
        <f t="shared" si="22"/>
        <v>7.2299999999999995</v>
      </c>
      <c r="F89" s="288">
        <f t="shared" si="23"/>
        <v>-0.21</v>
      </c>
      <c r="G89" s="48">
        <v>1258</v>
      </c>
      <c r="H89" s="287">
        <f t="shared" si="24"/>
        <v>9095</v>
      </c>
      <c r="I89" s="287">
        <f t="shared" si="24"/>
        <v>-264</v>
      </c>
      <c r="K89" s="340"/>
      <c r="L89" s="335">
        <v>2.88</v>
      </c>
      <c r="M89" s="335">
        <v>4.3499999999999996</v>
      </c>
      <c r="Q89" s="217"/>
    </row>
    <row r="90" spans="1:17" x14ac:dyDescent="0.25">
      <c r="A90" s="1">
        <f t="shared" si="21"/>
        <v>81</v>
      </c>
      <c r="B90" s="60"/>
      <c r="C90" s="68"/>
      <c r="D90" s="68"/>
      <c r="E90" s="335"/>
      <c r="F90" s="58"/>
      <c r="G90" s="48"/>
      <c r="H90" s="48"/>
      <c r="I90" s="48"/>
      <c r="K90" s="340"/>
      <c r="L90" s="335"/>
      <c r="M90" s="335"/>
      <c r="Q90" s="217"/>
    </row>
    <row r="91" spans="1:17" x14ac:dyDescent="0.25">
      <c r="A91" s="1">
        <f t="shared" si="21"/>
        <v>82</v>
      </c>
      <c r="B91" s="60" t="s">
        <v>249</v>
      </c>
      <c r="C91" s="68" t="s">
        <v>34</v>
      </c>
      <c r="D91" s="68">
        <v>50</v>
      </c>
      <c r="E91" s="335">
        <f t="shared" ref="E91:E99" si="26">SUM(L91:M91)</f>
        <v>1.26</v>
      </c>
      <c r="F91" s="288">
        <f t="shared" ref="F91:F99" si="27">ROUND(+E91*$J$10,2)</f>
        <v>-0.04</v>
      </c>
      <c r="G91" s="48">
        <v>0</v>
      </c>
      <c r="H91" s="287">
        <f t="shared" ref="H91:I99" si="28">ROUND($G91*E91,0)</f>
        <v>0</v>
      </c>
      <c r="I91" s="287">
        <f t="shared" si="28"/>
        <v>0</v>
      </c>
      <c r="K91" s="340"/>
      <c r="L91" s="335">
        <v>0.5</v>
      </c>
      <c r="M91" s="335">
        <v>0.76</v>
      </c>
      <c r="Q91" s="217"/>
    </row>
    <row r="92" spans="1:17" x14ac:dyDescent="0.25">
      <c r="A92" s="1">
        <f t="shared" si="21"/>
        <v>83</v>
      </c>
      <c r="B92" s="60" t="str">
        <f t="shared" ref="B92:B99" si="29">+B91</f>
        <v>53E - Customer Owned</v>
      </c>
      <c r="C92" s="68" t="s">
        <v>34</v>
      </c>
      <c r="D92" s="68">
        <v>70</v>
      </c>
      <c r="E92" s="335">
        <f t="shared" si="26"/>
        <v>1.78</v>
      </c>
      <c r="F92" s="288">
        <f t="shared" si="27"/>
        <v>-0.05</v>
      </c>
      <c r="G92" s="48">
        <v>684</v>
      </c>
      <c r="H92" s="287">
        <f t="shared" si="28"/>
        <v>1218</v>
      </c>
      <c r="I92" s="287">
        <f t="shared" si="28"/>
        <v>-34</v>
      </c>
      <c r="K92" s="340"/>
      <c r="L92" s="335">
        <v>0.71</v>
      </c>
      <c r="M92" s="335">
        <v>1.07</v>
      </c>
      <c r="Q92" s="217"/>
    </row>
    <row r="93" spans="1:17" x14ac:dyDescent="0.25">
      <c r="A93" s="1">
        <f t="shared" si="21"/>
        <v>84</v>
      </c>
      <c r="B93" s="60" t="str">
        <f t="shared" si="29"/>
        <v>53E - Customer Owned</v>
      </c>
      <c r="C93" s="68" t="s">
        <v>34</v>
      </c>
      <c r="D93" s="68">
        <v>100</v>
      </c>
      <c r="E93" s="335">
        <f t="shared" si="26"/>
        <v>2.54</v>
      </c>
      <c r="F93" s="288">
        <f t="shared" si="27"/>
        <v>-7.0000000000000007E-2</v>
      </c>
      <c r="G93" s="48">
        <v>3146</v>
      </c>
      <c r="H93" s="287">
        <f t="shared" si="28"/>
        <v>7991</v>
      </c>
      <c r="I93" s="287">
        <f t="shared" si="28"/>
        <v>-220</v>
      </c>
      <c r="K93" s="340"/>
      <c r="L93" s="335">
        <v>1.01</v>
      </c>
      <c r="M93" s="335">
        <v>1.53</v>
      </c>
      <c r="Q93" s="217"/>
    </row>
    <row r="94" spans="1:17" x14ac:dyDescent="0.25">
      <c r="A94" s="1">
        <f t="shared" si="21"/>
        <v>85</v>
      </c>
      <c r="B94" s="60" t="str">
        <f t="shared" si="29"/>
        <v>53E - Customer Owned</v>
      </c>
      <c r="C94" s="68" t="s">
        <v>34</v>
      </c>
      <c r="D94" s="68">
        <v>150</v>
      </c>
      <c r="E94" s="335">
        <f t="shared" si="26"/>
        <v>3.8</v>
      </c>
      <c r="F94" s="288">
        <f t="shared" si="27"/>
        <v>-0.11</v>
      </c>
      <c r="G94" s="48">
        <v>1811</v>
      </c>
      <c r="H94" s="287">
        <f t="shared" si="28"/>
        <v>6882</v>
      </c>
      <c r="I94" s="287">
        <f t="shared" si="28"/>
        <v>-199</v>
      </c>
      <c r="K94" s="340"/>
      <c r="L94" s="335">
        <v>1.51</v>
      </c>
      <c r="M94" s="335">
        <v>2.29</v>
      </c>
      <c r="Q94" s="217"/>
    </row>
    <row r="95" spans="1:17" x14ac:dyDescent="0.25">
      <c r="A95" s="1">
        <f t="shared" si="21"/>
        <v>86</v>
      </c>
      <c r="B95" s="60" t="str">
        <f t="shared" si="29"/>
        <v>53E - Customer Owned</v>
      </c>
      <c r="C95" s="68" t="s">
        <v>34</v>
      </c>
      <c r="D95" s="68">
        <v>200</v>
      </c>
      <c r="E95" s="335">
        <f t="shared" si="26"/>
        <v>5.07</v>
      </c>
      <c r="F95" s="288">
        <f t="shared" si="27"/>
        <v>-0.15</v>
      </c>
      <c r="G95" s="48">
        <v>5196</v>
      </c>
      <c r="H95" s="287">
        <f t="shared" si="28"/>
        <v>26344</v>
      </c>
      <c r="I95" s="287">
        <f t="shared" si="28"/>
        <v>-779</v>
      </c>
      <c r="K95" s="340"/>
      <c r="L95" s="335">
        <v>2.02</v>
      </c>
      <c r="M95" s="335">
        <v>3.05</v>
      </c>
      <c r="Q95" s="217"/>
    </row>
    <row r="96" spans="1:17" x14ac:dyDescent="0.25">
      <c r="A96" s="1">
        <f t="shared" si="21"/>
        <v>87</v>
      </c>
      <c r="B96" s="60" t="str">
        <f t="shared" si="29"/>
        <v>53E - Customer Owned</v>
      </c>
      <c r="C96" s="68" t="s">
        <v>34</v>
      </c>
      <c r="D96" s="68">
        <v>250</v>
      </c>
      <c r="E96" s="335">
        <f t="shared" si="26"/>
        <v>6.34</v>
      </c>
      <c r="F96" s="288">
        <f t="shared" si="27"/>
        <v>-0.19</v>
      </c>
      <c r="G96" s="48">
        <v>3487</v>
      </c>
      <c r="H96" s="287">
        <f t="shared" si="28"/>
        <v>22108</v>
      </c>
      <c r="I96" s="287">
        <f t="shared" si="28"/>
        <v>-663</v>
      </c>
      <c r="K96" s="340"/>
      <c r="L96" s="335">
        <v>2.52</v>
      </c>
      <c r="M96" s="335">
        <v>3.82</v>
      </c>
      <c r="Q96" s="217"/>
    </row>
    <row r="97" spans="1:17" x14ac:dyDescent="0.25">
      <c r="A97" s="1">
        <f t="shared" si="21"/>
        <v>88</v>
      </c>
      <c r="B97" s="60" t="str">
        <f t="shared" si="29"/>
        <v>53E - Customer Owned</v>
      </c>
      <c r="C97" s="68" t="s">
        <v>34</v>
      </c>
      <c r="D97" s="68">
        <v>310</v>
      </c>
      <c r="E97" s="335">
        <f t="shared" si="26"/>
        <v>7.86</v>
      </c>
      <c r="F97" s="288">
        <f t="shared" si="27"/>
        <v>-0.23</v>
      </c>
      <c r="G97" s="48">
        <v>84</v>
      </c>
      <c r="H97" s="287">
        <f t="shared" si="28"/>
        <v>660</v>
      </c>
      <c r="I97" s="287">
        <f t="shared" si="28"/>
        <v>-19</v>
      </c>
      <c r="K97" s="340"/>
      <c r="L97" s="335">
        <v>3.13</v>
      </c>
      <c r="M97" s="335">
        <v>4.7300000000000004</v>
      </c>
      <c r="Q97" s="217"/>
    </row>
    <row r="98" spans="1:17" x14ac:dyDescent="0.25">
      <c r="A98" s="1">
        <f t="shared" si="21"/>
        <v>89</v>
      </c>
      <c r="B98" s="60" t="str">
        <f t="shared" si="29"/>
        <v>53E - Customer Owned</v>
      </c>
      <c r="C98" s="68" t="s">
        <v>34</v>
      </c>
      <c r="D98" s="68">
        <v>400</v>
      </c>
      <c r="E98" s="335">
        <f t="shared" si="26"/>
        <v>10.15</v>
      </c>
      <c r="F98" s="288">
        <f t="shared" si="27"/>
        <v>-0.3</v>
      </c>
      <c r="G98" s="48">
        <v>5375</v>
      </c>
      <c r="H98" s="287">
        <f t="shared" si="28"/>
        <v>54556</v>
      </c>
      <c r="I98" s="287">
        <f t="shared" si="28"/>
        <v>-1613</v>
      </c>
      <c r="K98" s="340"/>
      <c r="L98" s="335">
        <v>4.04</v>
      </c>
      <c r="M98" s="335">
        <v>6.11</v>
      </c>
      <c r="Q98" s="217"/>
    </row>
    <row r="99" spans="1:17" x14ac:dyDescent="0.25">
      <c r="A99" s="1">
        <f t="shared" si="21"/>
        <v>90</v>
      </c>
      <c r="B99" s="60" t="str">
        <f t="shared" si="29"/>
        <v>53E - Customer Owned</v>
      </c>
      <c r="C99" s="68" t="s">
        <v>34</v>
      </c>
      <c r="D99" s="68">
        <v>1000</v>
      </c>
      <c r="E99" s="335">
        <f t="shared" si="26"/>
        <v>25.36</v>
      </c>
      <c r="F99" s="288">
        <f t="shared" si="27"/>
        <v>-0.75</v>
      </c>
      <c r="G99" s="48"/>
      <c r="H99" s="287">
        <f t="shared" si="28"/>
        <v>0</v>
      </c>
      <c r="I99" s="287">
        <f t="shared" si="28"/>
        <v>0</v>
      </c>
      <c r="K99" s="340"/>
      <c r="L99" s="335">
        <v>10.09</v>
      </c>
      <c r="M99" s="335">
        <v>15.27</v>
      </c>
      <c r="Q99" s="217"/>
    </row>
    <row r="100" spans="1:17" x14ac:dyDescent="0.25">
      <c r="A100" s="1">
        <f t="shared" si="21"/>
        <v>91</v>
      </c>
      <c r="B100" s="60"/>
      <c r="C100" s="68"/>
      <c r="D100" s="68"/>
      <c r="E100" s="335"/>
      <c r="F100" s="58"/>
      <c r="G100" s="48"/>
      <c r="H100" s="48"/>
      <c r="I100" s="48"/>
      <c r="K100" s="340"/>
      <c r="L100" s="335"/>
      <c r="M100" s="335"/>
      <c r="Q100" s="217"/>
    </row>
    <row r="101" spans="1:17" x14ac:dyDescent="0.25">
      <c r="A101" s="1">
        <f t="shared" si="21"/>
        <v>92</v>
      </c>
      <c r="B101" s="60" t="str">
        <f>+B99</f>
        <v>53E - Customer Owned</v>
      </c>
      <c r="C101" s="68" t="s">
        <v>246</v>
      </c>
      <c r="D101" s="68">
        <v>70</v>
      </c>
      <c r="E101" s="335">
        <f t="shared" ref="E101:E106" si="30">SUM(L101:M101)</f>
        <v>1.78</v>
      </c>
      <c r="F101" s="288">
        <f t="shared" ref="F101:F106" si="31">ROUND(+E101*$J$10,2)</f>
        <v>-0.05</v>
      </c>
      <c r="G101" s="48"/>
      <c r="H101" s="287">
        <f t="shared" ref="H101:I106" si="32">ROUND($G101*E101,0)</f>
        <v>0</v>
      </c>
      <c r="I101" s="287">
        <f t="shared" si="32"/>
        <v>0</v>
      </c>
      <c r="K101" s="340"/>
      <c r="L101" s="335">
        <v>0.71</v>
      </c>
      <c r="M101" s="335">
        <v>1.07</v>
      </c>
      <c r="Q101" s="217"/>
    </row>
    <row r="102" spans="1:17" x14ac:dyDescent="0.25">
      <c r="A102" s="1">
        <f t="shared" si="21"/>
        <v>93</v>
      </c>
      <c r="B102" s="60" t="str">
        <f>+B101</f>
        <v>53E - Customer Owned</v>
      </c>
      <c r="C102" s="68" t="s">
        <v>246</v>
      </c>
      <c r="D102" s="68">
        <v>100</v>
      </c>
      <c r="E102" s="335">
        <f t="shared" si="30"/>
        <v>2.54</v>
      </c>
      <c r="F102" s="288">
        <f t="shared" si="31"/>
        <v>-7.0000000000000007E-2</v>
      </c>
      <c r="G102" s="48"/>
      <c r="H102" s="287">
        <f t="shared" si="32"/>
        <v>0</v>
      </c>
      <c r="I102" s="287">
        <f t="shared" si="32"/>
        <v>0</v>
      </c>
      <c r="K102" s="340"/>
      <c r="L102" s="335">
        <v>1.01</v>
      </c>
      <c r="M102" s="335">
        <v>1.53</v>
      </c>
      <c r="Q102" s="217"/>
    </row>
    <row r="103" spans="1:17" x14ac:dyDescent="0.25">
      <c r="A103" s="1">
        <f t="shared" si="21"/>
        <v>94</v>
      </c>
      <c r="B103" s="60" t="str">
        <f>+B102</f>
        <v>53E - Customer Owned</v>
      </c>
      <c r="C103" s="68" t="s">
        <v>246</v>
      </c>
      <c r="D103" s="68">
        <v>150</v>
      </c>
      <c r="E103" s="335">
        <f t="shared" si="30"/>
        <v>3.8</v>
      </c>
      <c r="F103" s="288">
        <f t="shared" si="31"/>
        <v>-0.11</v>
      </c>
      <c r="G103" s="48"/>
      <c r="H103" s="287">
        <f t="shared" si="32"/>
        <v>0</v>
      </c>
      <c r="I103" s="287">
        <f t="shared" si="32"/>
        <v>0</v>
      </c>
      <c r="K103" s="340"/>
      <c r="L103" s="335">
        <v>1.51</v>
      </c>
      <c r="M103" s="335">
        <v>2.29</v>
      </c>
      <c r="Q103" s="217"/>
    </row>
    <row r="104" spans="1:17" x14ac:dyDescent="0.25">
      <c r="A104" s="1">
        <f t="shared" si="21"/>
        <v>95</v>
      </c>
      <c r="B104" s="60" t="str">
        <f>+B103</f>
        <v>53E - Customer Owned</v>
      </c>
      <c r="C104" s="68" t="s">
        <v>246</v>
      </c>
      <c r="D104" s="68">
        <v>175</v>
      </c>
      <c r="E104" s="335">
        <f t="shared" si="30"/>
        <v>4.4399999999999995</v>
      </c>
      <c r="F104" s="288">
        <f t="shared" si="31"/>
        <v>-0.13</v>
      </c>
      <c r="G104" s="48">
        <v>48</v>
      </c>
      <c r="H104" s="287">
        <f t="shared" si="32"/>
        <v>213</v>
      </c>
      <c r="I104" s="287">
        <f t="shared" si="32"/>
        <v>-6</v>
      </c>
      <c r="K104" s="340"/>
      <c r="L104" s="335">
        <v>1.77</v>
      </c>
      <c r="M104" s="335">
        <v>2.67</v>
      </c>
      <c r="Q104" s="217"/>
    </row>
    <row r="105" spans="1:17" x14ac:dyDescent="0.25">
      <c r="A105" s="1">
        <f t="shared" si="21"/>
        <v>96</v>
      </c>
      <c r="B105" s="60" t="str">
        <f>+B104</f>
        <v>53E - Customer Owned</v>
      </c>
      <c r="C105" s="68" t="s">
        <v>246</v>
      </c>
      <c r="D105" s="68">
        <v>250</v>
      </c>
      <c r="E105" s="335">
        <f t="shared" si="30"/>
        <v>6.34</v>
      </c>
      <c r="F105" s="288">
        <f t="shared" si="31"/>
        <v>-0.19</v>
      </c>
      <c r="G105" s="48"/>
      <c r="H105" s="287">
        <f t="shared" si="32"/>
        <v>0</v>
      </c>
      <c r="I105" s="287">
        <f t="shared" si="32"/>
        <v>0</v>
      </c>
      <c r="K105" s="340"/>
      <c r="L105" s="335">
        <v>2.52</v>
      </c>
      <c r="M105" s="335">
        <v>3.82</v>
      </c>
      <c r="Q105" s="217"/>
    </row>
    <row r="106" spans="1:17" x14ac:dyDescent="0.25">
      <c r="A106" s="1">
        <f t="shared" si="21"/>
        <v>97</v>
      </c>
      <c r="B106" s="60" t="str">
        <f>+B105</f>
        <v>53E - Customer Owned</v>
      </c>
      <c r="C106" s="68" t="s">
        <v>246</v>
      </c>
      <c r="D106" s="68">
        <v>400</v>
      </c>
      <c r="E106" s="335">
        <f t="shared" si="30"/>
        <v>10.15</v>
      </c>
      <c r="F106" s="288">
        <f t="shared" si="31"/>
        <v>-0.3</v>
      </c>
      <c r="G106" s="48"/>
      <c r="H106" s="287">
        <f t="shared" si="32"/>
        <v>0</v>
      </c>
      <c r="I106" s="287">
        <f t="shared" si="32"/>
        <v>0</v>
      </c>
      <c r="K106" s="340"/>
      <c r="L106" s="335">
        <v>4.04</v>
      </c>
      <c r="M106" s="335">
        <v>6.11</v>
      </c>
      <c r="Q106" s="217"/>
    </row>
    <row r="107" spans="1:17" x14ac:dyDescent="0.25">
      <c r="A107" s="1">
        <f t="shared" si="21"/>
        <v>98</v>
      </c>
      <c r="B107" s="60"/>
      <c r="C107" s="68"/>
      <c r="D107" s="68"/>
      <c r="E107" s="335"/>
      <c r="F107" s="58"/>
      <c r="G107" s="48"/>
      <c r="H107" s="48"/>
      <c r="I107" s="48"/>
      <c r="K107" s="340"/>
      <c r="L107" s="335"/>
      <c r="M107" s="335"/>
      <c r="Q107" s="217"/>
    </row>
    <row r="108" spans="1:17" x14ac:dyDescent="0.25">
      <c r="A108" s="1">
        <f t="shared" si="21"/>
        <v>99</v>
      </c>
      <c r="B108" s="60" t="str">
        <f>+B106</f>
        <v>53E - Customer Owned</v>
      </c>
      <c r="C108" s="68" t="s">
        <v>234</v>
      </c>
      <c r="D108" s="65" t="s">
        <v>235</v>
      </c>
      <c r="E108" s="335">
        <f t="shared" ref="E108:E116" si="33">SUM(L108:M108)</f>
        <v>1.1399999999999999</v>
      </c>
      <c r="F108" s="288">
        <f t="shared" ref="F108:F116" si="34">ROUND(+E108*$J$10,2)</f>
        <v>-0.03</v>
      </c>
      <c r="G108" s="48">
        <v>7077</v>
      </c>
      <c r="H108" s="287">
        <f t="shared" ref="H108:I116" si="35">ROUND($G108*E108,0)</f>
        <v>8068</v>
      </c>
      <c r="I108" s="287">
        <f t="shared" si="35"/>
        <v>-212</v>
      </c>
      <c r="K108" s="340"/>
      <c r="L108" s="335">
        <v>0.45</v>
      </c>
      <c r="M108" s="335">
        <v>0.69</v>
      </c>
      <c r="Q108" s="217"/>
    </row>
    <row r="109" spans="1:17" x14ac:dyDescent="0.25">
      <c r="A109" s="1">
        <f t="shared" si="21"/>
        <v>100</v>
      </c>
      <c r="B109" s="60" t="str">
        <f t="shared" ref="B109:B116" si="36">B108</f>
        <v>53E - Customer Owned</v>
      </c>
      <c r="C109" s="68" t="s">
        <v>234</v>
      </c>
      <c r="D109" s="65" t="s">
        <v>236</v>
      </c>
      <c r="E109" s="335">
        <f t="shared" si="33"/>
        <v>1.91</v>
      </c>
      <c r="F109" s="288">
        <f t="shared" si="34"/>
        <v>-0.06</v>
      </c>
      <c r="G109" s="48">
        <v>7366</v>
      </c>
      <c r="H109" s="287">
        <f t="shared" si="35"/>
        <v>14069</v>
      </c>
      <c r="I109" s="287">
        <f t="shared" si="35"/>
        <v>-442</v>
      </c>
      <c r="K109" s="340"/>
      <c r="L109" s="335">
        <v>0.76</v>
      </c>
      <c r="M109" s="335">
        <v>1.1499999999999999</v>
      </c>
      <c r="Q109" s="217"/>
    </row>
    <row r="110" spans="1:17" x14ac:dyDescent="0.25">
      <c r="A110" s="1">
        <f t="shared" si="21"/>
        <v>101</v>
      </c>
      <c r="B110" s="60" t="str">
        <f t="shared" si="36"/>
        <v>53E - Customer Owned</v>
      </c>
      <c r="C110" s="68" t="s">
        <v>234</v>
      </c>
      <c r="D110" s="65" t="s">
        <v>237</v>
      </c>
      <c r="E110" s="335">
        <f t="shared" si="33"/>
        <v>2.66</v>
      </c>
      <c r="F110" s="288">
        <f t="shared" si="34"/>
        <v>-0.08</v>
      </c>
      <c r="G110" s="48">
        <v>10355</v>
      </c>
      <c r="H110" s="287">
        <f t="shared" si="35"/>
        <v>27544</v>
      </c>
      <c r="I110" s="287">
        <f t="shared" si="35"/>
        <v>-828</v>
      </c>
      <c r="K110" s="340"/>
      <c r="L110" s="335">
        <v>1.06</v>
      </c>
      <c r="M110" s="335">
        <v>1.6</v>
      </c>
      <c r="Q110" s="217"/>
    </row>
    <row r="111" spans="1:17" x14ac:dyDescent="0.25">
      <c r="A111" s="1">
        <f t="shared" si="21"/>
        <v>102</v>
      </c>
      <c r="B111" s="60" t="str">
        <f t="shared" si="36"/>
        <v>53E - Customer Owned</v>
      </c>
      <c r="C111" s="68" t="s">
        <v>234</v>
      </c>
      <c r="D111" s="65" t="s">
        <v>238</v>
      </c>
      <c r="E111" s="335">
        <f t="shared" si="33"/>
        <v>3.42</v>
      </c>
      <c r="F111" s="288">
        <f t="shared" si="34"/>
        <v>-0.1</v>
      </c>
      <c r="G111" s="48">
        <v>1537</v>
      </c>
      <c r="H111" s="287">
        <f t="shared" si="35"/>
        <v>5257</v>
      </c>
      <c r="I111" s="287">
        <f t="shared" si="35"/>
        <v>-154</v>
      </c>
      <c r="K111" s="340"/>
      <c r="L111" s="335">
        <v>1.36</v>
      </c>
      <c r="M111" s="335">
        <v>2.06</v>
      </c>
      <c r="Q111" s="217"/>
    </row>
    <row r="112" spans="1:17" x14ac:dyDescent="0.25">
      <c r="A112" s="1">
        <f t="shared" si="21"/>
        <v>103</v>
      </c>
      <c r="B112" s="60" t="str">
        <f t="shared" si="36"/>
        <v>53E - Customer Owned</v>
      </c>
      <c r="C112" s="68" t="s">
        <v>234</v>
      </c>
      <c r="D112" s="65" t="s">
        <v>239</v>
      </c>
      <c r="E112" s="335">
        <f t="shared" si="33"/>
        <v>4.1899999999999995</v>
      </c>
      <c r="F112" s="288">
        <f t="shared" si="34"/>
        <v>-0.12</v>
      </c>
      <c r="G112" s="48">
        <v>15781</v>
      </c>
      <c r="H112" s="287">
        <f t="shared" si="35"/>
        <v>66122</v>
      </c>
      <c r="I112" s="287">
        <f t="shared" si="35"/>
        <v>-1894</v>
      </c>
      <c r="K112" s="340"/>
      <c r="L112" s="335">
        <v>1.67</v>
      </c>
      <c r="M112" s="335">
        <v>2.52</v>
      </c>
      <c r="Q112" s="217"/>
    </row>
    <row r="113" spans="1:17" x14ac:dyDescent="0.25">
      <c r="A113" s="1">
        <f t="shared" si="21"/>
        <v>104</v>
      </c>
      <c r="B113" s="60" t="str">
        <f t="shared" si="36"/>
        <v>53E - Customer Owned</v>
      </c>
      <c r="C113" s="68" t="s">
        <v>234</v>
      </c>
      <c r="D113" s="65" t="s">
        <v>240</v>
      </c>
      <c r="E113" s="335">
        <f t="shared" si="33"/>
        <v>4.95</v>
      </c>
      <c r="F113" s="288">
        <f t="shared" si="34"/>
        <v>-0.15</v>
      </c>
      <c r="G113" s="48">
        <v>1249</v>
      </c>
      <c r="H113" s="287">
        <f t="shared" si="35"/>
        <v>6183</v>
      </c>
      <c r="I113" s="287">
        <f t="shared" si="35"/>
        <v>-187</v>
      </c>
      <c r="K113" s="340"/>
      <c r="L113" s="335">
        <v>1.97</v>
      </c>
      <c r="M113" s="335">
        <v>2.98</v>
      </c>
      <c r="Q113" s="217"/>
    </row>
    <row r="114" spans="1:17" x14ac:dyDescent="0.25">
      <c r="A114" s="1">
        <f t="shared" si="21"/>
        <v>105</v>
      </c>
      <c r="B114" s="60" t="str">
        <f t="shared" si="36"/>
        <v>53E - Customer Owned</v>
      </c>
      <c r="C114" s="68" t="s">
        <v>234</v>
      </c>
      <c r="D114" s="65" t="s">
        <v>241</v>
      </c>
      <c r="E114" s="335">
        <f t="shared" si="33"/>
        <v>5.71</v>
      </c>
      <c r="F114" s="288">
        <f t="shared" si="34"/>
        <v>-0.17</v>
      </c>
      <c r="G114" s="48"/>
      <c r="H114" s="287">
        <f t="shared" si="35"/>
        <v>0</v>
      </c>
      <c r="I114" s="287">
        <f t="shared" si="35"/>
        <v>0</v>
      </c>
      <c r="K114" s="340"/>
      <c r="L114" s="335">
        <v>2.27</v>
      </c>
      <c r="M114" s="335">
        <v>3.44</v>
      </c>
      <c r="Q114" s="217"/>
    </row>
    <row r="115" spans="1:17" x14ac:dyDescent="0.25">
      <c r="A115" s="1">
        <f t="shared" si="21"/>
        <v>106</v>
      </c>
      <c r="B115" s="60" t="str">
        <f t="shared" si="36"/>
        <v>53E - Customer Owned</v>
      </c>
      <c r="C115" s="68" t="s">
        <v>234</v>
      </c>
      <c r="D115" s="65" t="s">
        <v>242</v>
      </c>
      <c r="E115" s="335">
        <f t="shared" si="33"/>
        <v>6.46</v>
      </c>
      <c r="F115" s="288">
        <f t="shared" si="34"/>
        <v>-0.19</v>
      </c>
      <c r="G115" s="48"/>
      <c r="H115" s="287">
        <f t="shared" si="35"/>
        <v>0</v>
      </c>
      <c r="I115" s="287">
        <f t="shared" si="35"/>
        <v>0</v>
      </c>
      <c r="K115" s="340"/>
      <c r="L115" s="335">
        <v>2.57</v>
      </c>
      <c r="M115" s="335">
        <v>3.89</v>
      </c>
      <c r="Q115" s="217"/>
    </row>
    <row r="116" spans="1:17" x14ac:dyDescent="0.25">
      <c r="A116" s="1">
        <f t="shared" si="21"/>
        <v>107</v>
      </c>
      <c r="B116" s="60" t="str">
        <f t="shared" si="36"/>
        <v>53E - Customer Owned</v>
      </c>
      <c r="C116" s="68" t="s">
        <v>234</v>
      </c>
      <c r="D116" s="65" t="s">
        <v>243</v>
      </c>
      <c r="E116" s="335">
        <f t="shared" si="33"/>
        <v>7.2299999999999995</v>
      </c>
      <c r="F116" s="288">
        <f t="shared" si="34"/>
        <v>-0.21</v>
      </c>
      <c r="G116" s="48"/>
      <c r="H116" s="287">
        <f t="shared" si="35"/>
        <v>0</v>
      </c>
      <c r="I116" s="287">
        <f t="shared" si="35"/>
        <v>0</v>
      </c>
      <c r="K116" s="340"/>
      <c r="L116" s="335">
        <v>2.88</v>
      </c>
      <c r="M116" s="335">
        <v>4.3499999999999996</v>
      </c>
      <c r="Q116" s="217"/>
    </row>
    <row r="117" spans="1:17" x14ac:dyDescent="0.25">
      <c r="A117" s="1">
        <f t="shared" si="21"/>
        <v>108</v>
      </c>
      <c r="B117" s="70"/>
      <c r="C117" s="68"/>
      <c r="D117" s="68"/>
      <c r="E117" s="335"/>
      <c r="F117" s="58"/>
      <c r="G117" s="48"/>
      <c r="H117" s="48"/>
      <c r="I117" s="48"/>
      <c r="K117" s="340"/>
      <c r="L117" s="335"/>
      <c r="M117" s="335"/>
      <c r="Q117" s="217"/>
    </row>
    <row r="118" spans="1:17" x14ac:dyDescent="0.25">
      <c r="A118" s="1">
        <f t="shared" si="21"/>
        <v>109</v>
      </c>
      <c r="B118" s="58" t="s">
        <v>250</v>
      </c>
      <c r="C118" s="58"/>
      <c r="D118" s="58"/>
      <c r="E118" s="335"/>
      <c r="F118" s="58"/>
      <c r="G118" s="48"/>
      <c r="H118" s="48"/>
      <c r="I118" s="48"/>
      <c r="K118" s="340"/>
      <c r="L118" s="335"/>
      <c r="M118" s="335"/>
      <c r="Q118" s="217"/>
    </row>
    <row r="119" spans="1:17" x14ac:dyDescent="0.25">
      <c r="A119" s="1">
        <f t="shared" si="21"/>
        <v>110</v>
      </c>
      <c r="B119" s="60" t="s">
        <v>251</v>
      </c>
      <c r="C119" s="68" t="s">
        <v>34</v>
      </c>
      <c r="D119" s="68">
        <v>50</v>
      </c>
      <c r="E119" s="335">
        <f t="shared" ref="E119:E127" si="37">SUM(L119:M119)</f>
        <v>1.26</v>
      </c>
      <c r="F119" s="288">
        <f t="shared" ref="F119:F127" si="38">ROUND(+E119*$J$10,2)</f>
        <v>-0.04</v>
      </c>
      <c r="G119" s="48">
        <v>456</v>
      </c>
      <c r="H119" s="287">
        <f t="shared" ref="H119:I127" si="39">ROUND($G119*E119,0)</f>
        <v>575</v>
      </c>
      <c r="I119" s="287">
        <f t="shared" si="39"/>
        <v>-18</v>
      </c>
      <c r="K119" s="340"/>
      <c r="L119" s="335">
        <v>0.5</v>
      </c>
      <c r="M119" s="335">
        <v>0.76</v>
      </c>
      <c r="Q119" s="217"/>
    </row>
    <row r="120" spans="1:17" x14ac:dyDescent="0.25">
      <c r="A120" s="1">
        <f t="shared" si="21"/>
        <v>111</v>
      </c>
      <c r="B120" s="60" t="str">
        <f t="shared" ref="B120:B127" si="40">+B119</f>
        <v>54E</v>
      </c>
      <c r="C120" s="68" t="s">
        <v>34</v>
      </c>
      <c r="D120" s="68">
        <v>70</v>
      </c>
      <c r="E120" s="335">
        <f t="shared" si="37"/>
        <v>1.78</v>
      </c>
      <c r="F120" s="288">
        <f t="shared" si="38"/>
        <v>-0.05</v>
      </c>
      <c r="G120" s="48">
        <v>8821</v>
      </c>
      <c r="H120" s="287">
        <f t="shared" si="39"/>
        <v>15701</v>
      </c>
      <c r="I120" s="287">
        <f t="shared" si="39"/>
        <v>-441</v>
      </c>
      <c r="K120" s="340"/>
      <c r="L120" s="335">
        <v>0.71</v>
      </c>
      <c r="M120" s="335">
        <v>1.07</v>
      </c>
      <c r="Q120" s="217"/>
    </row>
    <row r="121" spans="1:17" x14ac:dyDescent="0.25">
      <c r="A121" s="1">
        <f t="shared" si="21"/>
        <v>112</v>
      </c>
      <c r="B121" s="60" t="str">
        <f t="shared" si="40"/>
        <v>54E</v>
      </c>
      <c r="C121" s="68" t="s">
        <v>34</v>
      </c>
      <c r="D121" s="68">
        <v>100</v>
      </c>
      <c r="E121" s="335">
        <f t="shared" si="37"/>
        <v>2.54</v>
      </c>
      <c r="F121" s="288">
        <f t="shared" si="38"/>
        <v>-7.0000000000000007E-2</v>
      </c>
      <c r="G121" s="48">
        <v>20720</v>
      </c>
      <c r="H121" s="287">
        <f t="shared" si="39"/>
        <v>52629</v>
      </c>
      <c r="I121" s="287">
        <f t="shared" si="39"/>
        <v>-1450</v>
      </c>
      <c r="K121" s="340"/>
      <c r="L121" s="335">
        <v>1.01</v>
      </c>
      <c r="M121" s="335">
        <v>1.53</v>
      </c>
      <c r="Q121" s="217"/>
    </row>
    <row r="122" spans="1:17" x14ac:dyDescent="0.25">
      <c r="A122" s="1">
        <f t="shared" si="21"/>
        <v>113</v>
      </c>
      <c r="B122" s="60" t="str">
        <f t="shared" si="40"/>
        <v>54E</v>
      </c>
      <c r="C122" s="68" t="s">
        <v>34</v>
      </c>
      <c r="D122" s="68">
        <v>150</v>
      </c>
      <c r="E122" s="335">
        <f t="shared" si="37"/>
        <v>3.8</v>
      </c>
      <c r="F122" s="288">
        <f t="shared" si="38"/>
        <v>-0.11</v>
      </c>
      <c r="G122" s="48">
        <v>6208</v>
      </c>
      <c r="H122" s="287">
        <f t="shared" si="39"/>
        <v>23590</v>
      </c>
      <c r="I122" s="287">
        <f t="shared" si="39"/>
        <v>-683</v>
      </c>
      <c r="K122" s="340"/>
      <c r="L122" s="335">
        <v>1.51</v>
      </c>
      <c r="M122" s="335">
        <v>2.29</v>
      </c>
      <c r="Q122" s="217"/>
    </row>
    <row r="123" spans="1:17" x14ac:dyDescent="0.25">
      <c r="A123" s="1">
        <f t="shared" si="21"/>
        <v>114</v>
      </c>
      <c r="B123" s="60" t="str">
        <f t="shared" si="40"/>
        <v>54E</v>
      </c>
      <c r="C123" s="68" t="s">
        <v>34</v>
      </c>
      <c r="D123" s="68">
        <v>200</v>
      </c>
      <c r="E123" s="335">
        <f t="shared" si="37"/>
        <v>5.07</v>
      </c>
      <c r="F123" s="288">
        <f t="shared" si="38"/>
        <v>-0.15</v>
      </c>
      <c r="G123" s="48">
        <v>8142</v>
      </c>
      <c r="H123" s="287">
        <f t="shared" si="39"/>
        <v>41280</v>
      </c>
      <c r="I123" s="287">
        <f t="shared" si="39"/>
        <v>-1221</v>
      </c>
      <c r="K123" s="340"/>
      <c r="L123" s="335">
        <v>2.02</v>
      </c>
      <c r="M123" s="335">
        <v>3.05</v>
      </c>
      <c r="Q123" s="217"/>
    </row>
    <row r="124" spans="1:17" x14ac:dyDescent="0.25">
      <c r="A124" s="1">
        <f t="shared" si="21"/>
        <v>115</v>
      </c>
      <c r="B124" s="60" t="str">
        <f t="shared" si="40"/>
        <v>54E</v>
      </c>
      <c r="C124" s="68" t="s">
        <v>34</v>
      </c>
      <c r="D124" s="68">
        <v>250</v>
      </c>
      <c r="E124" s="335">
        <f t="shared" si="37"/>
        <v>6.34</v>
      </c>
      <c r="F124" s="288">
        <f t="shared" si="38"/>
        <v>-0.19</v>
      </c>
      <c r="G124" s="48">
        <v>18225</v>
      </c>
      <c r="H124" s="287">
        <f t="shared" si="39"/>
        <v>115547</v>
      </c>
      <c r="I124" s="287">
        <f t="shared" si="39"/>
        <v>-3463</v>
      </c>
      <c r="K124" s="340"/>
      <c r="L124" s="335">
        <v>2.52</v>
      </c>
      <c r="M124" s="335">
        <v>3.82</v>
      </c>
      <c r="Q124" s="217"/>
    </row>
    <row r="125" spans="1:17" x14ac:dyDescent="0.25">
      <c r="A125" s="1">
        <f t="shared" si="21"/>
        <v>116</v>
      </c>
      <c r="B125" s="60" t="str">
        <f t="shared" si="40"/>
        <v>54E</v>
      </c>
      <c r="C125" s="68" t="s">
        <v>34</v>
      </c>
      <c r="D125" s="68">
        <v>310</v>
      </c>
      <c r="E125" s="335">
        <f t="shared" si="37"/>
        <v>7.86</v>
      </c>
      <c r="F125" s="288">
        <f t="shared" si="38"/>
        <v>-0.23</v>
      </c>
      <c r="G125" s="48">
        <v>924</v>
      </c>
      <c r="H125" s="287">
        <f t="shared" si="39"/>
        <v>7263</v>
      </c>
      <c r="I125" s="287">
        <f t="shared" si="39"/>
        <v>-213</v>
      </c>
      <c r="K125" s="340"/>
      <c r="L125" s="335">
        <v>3.13</v>
      </c>
      <c r="M125" s="335">
        <v>4.7300000000000004</v>
      </c>
      <c r="Q125" s="217"/>
    </row>
    <row r="126" spans="1:17" x14ac:dyDescent="0.25">
      <c r="A126" s="1">
        <f t="shared" si="21"/>
        <v>117</v>
      </c>
      <c r="B126" s="60" t="str">
        <f t="shared" si="40"/>
        <v>54E</v>
      </c>
      <c r="C126" s="68" t="s">
        <v>34</v>
      </c>
      <c r="D126" s="68">
        <v>400</v>
      </c>
      <c r="E126" s="335">
        <f t="shared" si="37"/>
        <v>10.15</v>
      </c>
      <c r="F126" s="288">
        <f t="shared" si="38"/>
        <v>-0.3</v>
      </c>
      <c r="G126" s="48">
        <v>9047</v>
      </c>
      <c r="H126" s="287">
        <f t="shared" si="39"/>
        <v>91827</v>
      </c>
      <c r="I126" s="287">
        <f t="shared" si="39"/>
        <v>-2714</v>
      </c>
      <c r="K126" s="340"/>
      <c r="L126" s="335">
        <v>4.04</v>
      </c>
      <c r="M126" s="335">
        <v>6.11</v>
      </c>
      <c r="Q126" s="217"/>
    </row>
    <row r="127" spans="1:17" x14ac:dyDescent="0.25">
      <c r="A127" s="1">
        <f t="shared" si="21"/>
        <v>118</v>
      </c>
      <c r="B127" s="60" t="str">
        <f t="shared" si="40"/>
        <v>54E</v>
      </c>
      <c r="C127" s="68" t="s">
        <v>34</v>
      </c>
      <c r="D127" s="68">
        <v>1000</v>
      </c>
      <c r="E127" s="335">
        <f t="shared" si="37"/>
        <v>25.36</v>
      </c>
      <c r="F127" s="288">
        <f t="shared" si="38"/>
        <v>-0.75</v>
      </c>
      <c r="G127" s="48">
        <v>132</v>
      </c>
      <c r="H127" s="287">
        <f t="shared" si="39"/>
        <v>3348</v>
      </c>
      <c r="I127" s="287">
        <f t="shared" si="39"/>
        <v>-99</v>
      </c>
      <c r="K127" s="340"/>
      <c r="L127" s="335">
        <v>10.09</v>
      </c>
      <c r="M127" s="335">
        <v>15.27</v>
      </c>
      <c r="Q127" s="217"/>
    </row>
    <row r="128" spans="1:17" x14ac:dyDescent="0.25">
      <c r="A128" s="1">
        <f t="shared" si="21"/>
        <v>119</v>
      </c>
      <c r="B128" s="70"/>
      <c r="C128" s="68"/>
      <c r="D128" s="68"/>
      <c r="E128" s="335"/>
      <c r="F128" s="58"/>
      <c r="G128" s="48"/>
      <c r="H128" s="48"/>
      <c r="I128" s="48"/>
      <c r="K128" s="340"/>
      <c r="L128" s="335"/>
      <c r="M128" s="335"/>
      <c r="Q128" s="217"/>
    </row>
    <row r="129" spans="1:17" x14ac:dyDescent="0.25">
      <c r="A129" s="1">
        <f t="shared" si="21"/>
        <v>120</v>
      </c>
      <c r="B129" s="70"/>
      <c r="C129" s="68"/>
      <c r="D129" s="68"/>
      <c r="E129" s="335"/>
      <c r="F129" s="58"/>
      <c r="G129" s="48"/>
      <c r="H129" s="48"/>
      <c r="I129" s="48"/>
      <c r="K129" s="340"/>
      <c r="L129" s="335"/>
      <c r="M129" s="335"/>
      <c r="Q129" s="217"/>
    </row>
    <row r="130" spans="1:17" x14ac:dyDescent="0.25">
      <c r="A130" s="1">
        <f t="shared" si="21"/>
        <v>121</v>
      </c>
      <c r="B130" s="60" t="str">
        <f>+B127</f>
        <v>54E</v>
      </c>
      <c r="C130" s="68" t="s">
        <v>234</v>
      </c>
      <c r="D130" s="65" t="s">
        <v>235</v>
      </c>
      <c r="E130" s="335">
        <f t="shared" ref="E130:E138" si="41">SUM(L130:M130)</f>
        <v>1.1399999999999999</v>
      </c>
      <c r="F130" s="288">
        <f t="shared" ref="F130:F138" si="42">ROUND(+E130*$J$10,2)</f>
        <v>-0.03</v>
      </c>
      <c r="G130" s="48">
        <v>16632</v>
      </c>
      <c r="H130" s="287">
        <f t="shared" ref="H130:I138" si="43">ROUND($G130*E130,0)</f>
        <v>18960</v>
      </c>
      <c r="I130" s="287">
        <f t="shared" si="43"/>
        <v>-499</v>
      </c>
      <c r="K130" s="340"/>
      <c r="L130" s="335">
        <v>0.45</v>
      </c>
      <c r="M130" s="335">
        <v>0.69</v>
      </c>
      <c r="Q130" s="217"/>
    </row>
    <row r="131" spans="1:17" x14ac:dyDescent="0.25">
      <c r="A131" s="1">
        <f t="shared" si="21"/>
        <v>122</v>
      </c>
      <c r="B131" s="60" t="str">
        <f t="shared" ref="B131:B138" si="44">+B130</f>
        <v>54E</v>
      </c>
      <c r="C131" s="68" t="s">
        <v>234</v>
      </c>
      <c r="D131" s="65" t="s">
        <v>236</v>
      </c>
      <c r="E131" s="335">
        <f t="shared" si="41"/>
        <v>1.91</v>
      </c>
      <c r="F131" s="288">
        <f t="shared" si="42"/>
        <v>-0.06</v>
      </c>
      <c r="G131" s="48">
        <v>199</v>
      </c>
      <c r="H131" s="287">
        <f t="shared" si="43"/>
        <v>380</v>
      </c>
      <c r="I131" s="287">
        <f t="shared" si="43"/>
        <v>-12</v>
      </c>
      <c r="K131" s="340"/>
      <c r="L131" s="335">
        <v>0.76</v>
      </c>
      <c r="M131" s="335">
        <v>1.1499999999999999</v>
      </c>
      <c r="Q131" s="217"/>
    </row>
    <row r="132" spans="1:17" x14ac:dyDescent="0.25">
      <c r="A132" s="1">
        <f t="shared" si="21"/>
        <v>123</v>
      </c>
      <c r="B132" s="60" t="str">
        <f t="shared" si="44"/>
        <v>54E</v>
      </c>
      <c r="C132" s="68" t="s">
        <v>234</v>
      </c>
      <c r="D132" s="65" t="s">
        <v>237</v>
      </c>
      <c r="E132" s="335">
        <f t="shared" si="41"/>
        <v>2.66</v>
      </c>
      <c r="F132" s="288">
        <f t="shared" si="42"/>
        <v>-0.08</v>
      </c>
      <c r="G132" s="48">
        <v>20345</v>
      </c>
      <c r="H132" s="287">
        <f t="shared" si="43"/>
        <v>54118</v>
      </c>
      <c r="I132" s="287">
        <f t="shared" si="43"/>
        <v>-1628</v>
      </c>
      <c r="K132" s="340"/>
      <c r="L132" s="335">
        <v>1.06</v>
      </c>
      <c r="M132" s="335">
        <v>1.6</v>
      </c>
      <c r="Q132" s="217"/>
    </row>
    <row r="133" spans="1:17" x14ac:dyDescent="0.25">
      <c r="A133" s="1">
        <f t="shared" si="21"/>
        <v>124</v>
      </c>
      <c r="B133" s="60" t="str">
        <f t="shared" si="44"/>
        <v>54E</v>
      </c>
      <c r="C133" s="68" t="s">
        <v>234</v>
      </c>
      <c r="D133" s="65" t="s">
        <v>238</v>
      </c>
      <c r="E133" s="335">
        <f t="shared" si="41"/>
        <v>3.42</v>
      </c>
      <c r="F133" s="288">
        <f t="shared" si="42"/>
        <v>-0.1</v>
      </c>
      <c r="G133" s="48">
        <v>9600</v>
      </c>
      <c r="H133" s="287">
        <f t="shared" si="43"/>
        <v>32832</v>
      </c>
      <c r="I133" s="287">
        <f t="shared" si="43"/>
        <v>-960</v>
      </c>
      <c r="K133" s="340"/>
      <c r="L133" s="335">
        <v>1.36</v>
      </c>
      <c r="M133" s="335">
        <v>2.06</v>
      </c>
      <c r="Q133" s="217"/>
    </row>
    <row r="134" spans="1:17" x14ac:dyDescent="0.25">
      <c r="A134" s="1">
        <f t="shared" si="21"/>
        <v>125</v>
      </c>
      <c r="B134" s="60" t="str">
        <f t="shared" si="44"/>
        <v>54E</v>
      </c>
      <c r="C134" s="68" t="s">
        <v>234</v>
      </c>
      <c r="D134" s="65" t="s">
        <v>239</v>
      </c>
      <c r="E134" s="335">
        <f t="shared" si="41"/>
        <v>4.1899999999999995</v>
      </c>
      <c r="F134" s="288">
        <f t="shared" si="42"/>
        <v>-0.12</v>
      </c>
      <c r="G134" s="48">
        <v>3792</v>
      </c>
      <c r="H134" s="287">
        <f t="shared" si="43"/>
        <v>15888</v>
      </c>
      <c r="I134" s="287">
        <f t="shared" si="43"/>
        <v>-455</v>
      </c>
      <c r="K134" s="340"/>
      <c r="L134" s="335">
        <v>1.67</v>
      </c>
      <c r="M134" s="335">
        <v>2.52</v>
      </c>
      <c r="Q134" s="217"/>
    </row>
    <row r="135" spans="1:17" x14ac:dyDescent="0.25">
      <c r="A135" s="1">
        <f t="shared" si="21"/>
        <v>126</v>
      </c>
      <c r="B135" s="60" t="str">
        <f t="shared" si="44"/>
        <v>54E</v>
      </c>
      <c r="C135" s="68" t="s">
        <v>234</v>
      </c>
      <c r="D135" s="65" t="s">
        <v>240</v>
      </c>
      <c r="E135" s="335">
        <f t="shared" si="41"/>
        <v>4.95</v>
      </c>
      <c r="F135" s="288">
        <f t="shared" si="42"/>
        <v>-0.15</v>
      </c>
      <c r="G135" s="48">
        <v>202</v>
      </c>
      <c r="H135" s="287">
        <f t="shared" si="43"/>
        <v>1000</v>
      </c>
      <c r="I135" s="287">
        <f t="shared" si="43"/>
        <v>-30</v>
      </c>
      <c r="K135" s="340"/>
      <c r="L135" s="335">
        <v>1.97</v>
      </c>
      <c r="M135" s="335">
        <v>2.98</v>
      </c>
      <c r="Q135" s="217"/>
    </row>
    <row r="136" spans="1:17" x14ac:dyDescent="0.25">
      <c r="A136" s="1">
        <f t="shared" si="21"/>
        <v>127</v>
      </c>
      <c r="B136" s="60" t="str">
        <f t="shared" si="44"/>
        <v>54E</v>
      </c>
      <c r="C136" s="68" t="s">
        <v>234</v>
      </c>
      <c r="D136" s="65" t="s">
        <v>241</v>
      </c>
      <c r="E136" s="335">
        <f t="shared" si="41"/>
        <v>5.71</v>
      </c>
      <c r="F136" s="288">
        <f t="shared" si="42"/>
        <v>-0.17</v>
      </c>
      <c r="G136" s="48">
        <v>118</v>
      </c>
      <c r="H136" s="287">
        <f t="shared" si="43"/>
        <v>674</v>
      </c>
      <c r="I136" s="287">
        <f t="shared" si="43"/>
        <v>-20</v>
      </c>
      <c r="K136" s="340"/>
      <c r="L136" s="335">
        <v>2.27</v>
      </c>
      <c r="M136" s="335">
        <v>3.44</v>
      </c>
      <c r="Q136" s="217"/>
    </row>
    <row r="137" spans="1:17" x14ac:dyDescent="0.25">
      <c r="A137" s="1">
        <f t="shared" si="21"/>
        <v>128</v>
      </c>
      <c r="B137" s="60" t="str">
        <f t="shared" si="44"/>
        <v>54E</v>
      </c>
      <c r="C137" s="68" t="s">
        <v>234</v>
      </c>
      <c r="D137" s="65" t="s">
        <v>242</v>
      </c>
      <c r="E137" s="335">
        <f t="shared" si="41"/>
        <v>6.46</v>
      </c>
      <c r="F137" s="288">
        <f t="shared" si="42"/>
        <v>-0.19</v>
      </c>
      <c r="G137" s="48"/>
      <c r="H137" s="287">
        <f t="shared" si="43"/>
        <v>0</v>
      </c>
      <c r="I137" s="287">
        <f t="shared" si="43"/>
        <v>0</v>
      </c>
      <c r="K137" s="340"/>
      <c r="L137" s="335">
        <v>2.57</v>
      </c>
      <c r="M137" s="335">
        <v>3.89</v>
      </c>
      <c r="Q137" s="217"/>
    </row>
    <row r="138" spans="1:17" x14ac:dyDescent="0.25">
      <c r="A138" s="1">
        <f t="shared" si="21"/>
        <v>129</v>
      </c>
      <c r="B138" s="60" t="str">
        <f t="shared" si="44"/>
        <v>54E</v>
      </c>
      <c r="C138" s="68" t="s">
        <v>234</v>
      </c>
      <c r="D138" s="65" t="s">
        <v>243</v>
      </c>
      <c r="E138" s="335">
        <f t="shared" si="41"/>
        <v>7.2299999999999995</v>
      </c>
      <c r="F138" s="288">
        <f t="shared" si="42"/>
        <v>-0.21</v>
      </c>
      <c r="G138" s="48"/>
      <c r="H138" s="287">
        <f t="shared" si="43"/>
        <v>0</v>
      </c>
      <c r="I138" s="287">
        <f t="shared" si="43"/>
        <v>0</v>
      </c>
      <c r="K138" s="340"/>
      <c r="L138" s="335">
        <v>2.88</v>
      </c>
      <c r="M138" s="335">
        <v>4.3499999999999996</v>
      </c>
      <c r="Q138" s="217"/>
    </row>
    <row r="139" spans="1:17" x14ac:dyDescent="0.25">
      <c r="A139" s="1">
        <f t="shared" si="21"/>
        <v>130</v>
      </c>
      <c r="B139" s="70"/>
      <c r="C139" s="68"/>
      <c r="D139" s="68"/>
      <c r="E139" s="335"/>
      <c r="F139" s="58"/>
      <c r="G139" s="48"/>
      <c r="H139" s="48"/>
      <c r="I139" s="48"/>
      <c r="K139" s="340"/>
      <c r="L139" s="335"/>
      <c r="M139" s="335"/>
      <c r="Q139" s="217"/>
    </row>
    <row r="140" spans="1:17" x14ac:dyDescent="0.25">
      <c r="A140" s="1">
        <f t="shared" ref="A140:A200" si="45">+A139+1</f>
        <v>131</v>
      </c>
      <c r="B140" s="58" t="s">
        <v>252</v>
      </c>
      <c r="C140" s="68"/>
      <c r="D140" s="68"/>
      <c r="E140" s="335"/>
      <c r="F140" s="58"/>
      <c r="G140" s="48"/>
      <c r="H140" s="48"/>
      <c r="I140" s="48"/>
      <c r="K140" s="340"/>
      <c r="L140" s="335"/>
      <c r="M140" s="335"/>
      <c r="Q140" s="217"/>
    </row>
    <row r="141" spans="1:17" x14ac:dyDescent="0.25">
      <c r="A141" s="1">
        <f t="shared" si="45"/>
        <v>132</v>
      </c>
      <c r="B141" s="60" t="s">
        <v>253</v>
      </c>
      <c r="C141" s="68" t="s">
        <v>34</v>
      </c>
      <c r="D141" s="68">
        <v>70</v>
      </c>
      <c r="E141" s="335">
        <f t="shared" ref="E141:E146" si="46">SUM(L141:M141)</f>
        <v>1.81</v>
      </c>
      <c r="F141" s="288">
        <f t="shared" ref="F141:F146" si="47">ROUND(+E141*$J$10,2)</f>
        <v>-0.05</v>
      </c>
      <c r="G141" s="48">
        <v>208</v>
      </c>
      <c r="H141" s="287">
        <f t="shared" ref="H141:I146" si="48">ROUND($G141*E141,0)</f>
        <v>376</v>
      </c>
      <c r="I141" s="287">
        <f t="shared" si="48"/>
        <v>-10</v>
      </c>
      <c r="K141" s="340"/>
      <c r="L141" s="335">
        <v>0.74</v>
      </c>
      <c r="M141" s="335">
        <v>1.07</v>
      </c>
      <c r="Q141" s="217"/>
    </row>
    <row r="142" spans="1:17" x14ac:dyDescent="0.25">
      <c r="A142" s="1">
        <f t="shared" si="45"/>
        <v>133</v>
      </c>
      <c r="B142" s="70" t="str">
        <f>+B141</f>
        <v>55E &amp; 56E</v>
      </c>
      <c r="C142" s="68" t="s">
        <v>34</v>
      </c>
      <c r="D142" s="68">
        <v>100</v>
      </c>
      <c r="E142" s="335">
        <f t="shared" si="46"/>
        <v>2.58</v>
      </c>
      <c r="F142" s="288">
        <f t="shared" si="47"/>
        <v>-0.08</v>
      </c>
      <c r="G142" s="48">
        <v>47145</v>
      </c>
      <c r="H142" s="287">
        <f t="shared" si="48"/>
        <v>121634</v>
      </c>
      <c r="I142" s="287">
        <f t="shared" si="48"/>
        <v>-3772</v>
      </c>
      <c r="K142" s="340"/>
      <c r="L142" s="335">
        <v>1.05</v>
      </c>
      <c r="M142" s="335">
        <v>1.53</v>
      </c>
      <c r="Q142" s="217"/>
    </row>
    <row r="143" spans="1:17" x14ac:dyDescent="0.25">
      <c r="A143" s="1">
        <f t="shared" si="45"/>
        <v>134</v>
      </c>
      <c r="B143" s="70" t="str">
        <f>+B142</f>
        <v>55E &amp; 56E</v>
      </c>
      <c r="C143" s="68" t="s">
        <v>34</v>
      </c>
      <c r="D143" s="68">
        <v>150</v>
      </c>
      <c r="E143" s="335">
        <f t="shared" si="46"/>
        <v>3.87</v>
      </c>
      <c r="F143" s="288">
        <f t="shared" si="47"/>
        <v>-0.11</v>
      </c>
      <c r="G143" s="48">
        <v>6311</v>
      </c>
      <c r="H143" s="287">
        <f t="shared" si="48"/>
        <v>24424</v>
      </c>
      <c r="I143" s="287">
        <f t="shared" si="48"/>
        <v>-694</v>
      </c>
      <c r="K143" s="340"/>
      <c r="L143" s="335">
        <v>1.58</v>
      </c>
      <c r="M143" s="335">
        <v>2.29</v>
      </c>
      <c r="Q143" s="217"/>
    </row>
    <row r="144" spans="1:17" x14ac:dyDescent="0.25">
      <c r="A144" s="1">
        <f t="shared" si="45"/>
        <v>135</v>
      </c>
      <c r="B144" s="70" t="str">
        <f>+B143</f>
        <v>55E &amp; 56E</v>
      </c>
      <c r="C144" s="68" t="s">
        <v>34</v>
      </c>
      <c r="D144" s="68">
        <v>200</v>
      </c>
      <c r="E144" s="335">
        <f t="shared" si="46"/>
        <v>5.15</v>
      </c>
      <c r="F144" s="288">
        <f t="shared" si="47"/>
        <v>-0.15</v>
      </c>
      <c r="G144" s="48">
        <v>13527</v>
      </c>
      <c r="H144" s="287">
        <f t="shared" si="48"/>
        <v>69664</v>
      </c>
      <c r="I144" s="287">
        <f t="shared" si="48"/>
        <v>-2029</v>
      </c>
      <c r="K144" s="340"/>
      <c r="L144" s="335">
        <v>2.1</v>
      </c>
      <c r="M144" s="335">
        <v>3.05</v>
      </c>
      <c r="Q144" s="217"/>
    </row>
    <row r="145" spans="1:17" x14ac:dyDescent="0.25">
      <c r="A145" s="1">
        <f t="shared" si="45"/>
        <v>136</v>
      </c>
      <c r="B145" s="70" t="str">
        <f>+B144</f>
        <v>55E &amp; 56E</v>
      </c>
      <c r="C145" s="68" t="s">
        <v>34</v>
      </c>
      <c r="D145" s="68">
        <v>250</v>
      </c>
      <c r="E145" s="335">
        <f t="shared" si="46"/>
        <v>6.4499999999999993</v>
      </c>
      <c r="F145" s="288">
        <f t="shared" si="47"/>
        <v>-0.19</v>
      </c>
      <c r="G145" s="48">
        <v>1435</v>
      </c>
      <c r="H145" s="287">
        <f t="shared" si="48"/>
        <v>9256</v>
      </c>
      <c r="I145" s="287">
        <f t="shared" si="48"/>
        <v>-273</v>
      </c>
      <c r="K145" s="340"/>
      <c r="L145" s="335">
        <v>2.63</v>
      </c>
      <c r="M145" s="335">
        <v>3.82</v>
      </c>
      <c r="Q145" s="217"/>
    </row>
    <row r="146" spans="1:17" x14ac:dyDescent="0.25">
      <c r="A146" s="1">
        <f t="shared" si="45"/>
        <v>137</v>
      </c>
      <c r="B146" s="70" t="str">
        <f>+B145</f>
        <v>55E &amp; 56E</v>
      </c>
      <c r="C146" s="68" t="s">
        <v>34</v>
      </c>
      <c r="D146" s="68">
        <v>400</v>
      </c>
      <c r="E146" s="335">
        <f t="shared" si="46"/>
        <v>10.31</v>
      </c>
      <c r="F146" s="288">
        <f t="shared" si="47"/>
        <v>-0.3</v>
      </c>
      <c r="G146" s="48">
        <v>595</v>
      </c>
      <c r="H146" s="287">
        <f t="shared" si="48"/>
        <v>6134</v>
      </c>
      <c r="I146" s="287">
        <f t="shared" si="48"/>
        <v>-179</v>
      </c>
      <c r="K146" s="340"/>
      <c r="L146" s="335">
        <v>4.2</v>
      </c>
      <c r="M146" s="335">
        <v>6.11</v>
      </c>
      <c r="Q146" s="217"/>
    </row>
    <row r="147" spans="1:17" x14ac:dyDescent="0.25">
      <c r="A147" s="1">
        <f t="shared" si="45"/>
        <v>138</v>
      </c>
      <c r="B147" s="70"/>
      <c r="C147" s="68"/>
      <c r="D147" s="68"/>
      <c r="E147" s="335"/>
      <c r="F147" s="58"/>
      <c r="G147" s="48"/>
      <c r="H147" s="48"/>
      <c r="I147" s="48"/>
      <c r="K147" s="340"/>
      <c r="L147" s="335"/>
      <c r="M147" s="335"/>
      <c r="Q147" s="217"/>
    </row>
    <row r="148" spans="1:17" x14ac:dyDescent="0.25">
      <c r="A148" s="1">
        <f t="shared" si="45"/>
        <v>139</v>
      </c>
      <c r="B148" s="70" t="str">
        <f>+B146</f>
        <v>55E &amp; 56E</v>
      </c>
      <c r="C148" s="68" t="s">
        <v>246</v>
      </c>
      <c r="D148" s="68">
        <v>250</v>
      </c>
      <c r="E148" s="335">
        <f>SUM(L148:M148)</f>
        <v>6.4499999999999993</v>
      </c>
      <c r="F148" s="288">
        <f>ROUND(+E148*$J$10,2)</f>
        <v>-0.19</v>
      </c>
      <c r="G148" s="48">
        <v>72</v>
      </c>
      <c r="H148" s="287">
        <f>ROUND($G148*E148,0)</f>
        <v>464</v>
      </c>
      <c r="I148" s="287">
        <f>ROUND($G148*F148,0)</f>
        <v>-14</v>
      </c>
      <c r="K148" s="340"/>
      <c r="L148" s="335">
        <v>2.63</v>
      </c>
      <c r="M148" s="335">
        <v>3.82</v>
      </c>
      <c r="Q148" s="217"/>
    </row>
    <row r="149" spans="1:17" x14ac:dyDescent="0.25">
      <c r="A149" s="1">
        <f t="shared" si="45"/>
        <v>140</v>
      </c>
      <c r="B149" s="70"/>
      <c r="C149" s="68"/>
      <c r="D149" s="68"/>
      <c r="E149" s="335"/>
      <c r="F149" s="58"/>
      <c r="G149" s="48"/>
      <c r="H149" s="48"/>
      <c r="I149" s="48"/>
      <c r="K149" s="340"/>
      <c r="L149" s="335"/>
      <c r="M149" s="335"/>
      <c r="Q149" s="217"/>
    </row>
    <row r="150" spans="1:17" x14ac:dyDescent="0.25">
      <c r="A150" s="1">
        <f t="shared" si="45"/>
        <v>141</v>
      </c>
      <c r="B150" s="70" t="s">
        <v>253</v>
      </c>
      <c r="C150" s="68" t="s">
        <v>234</v>
      </c>
      <c r="D150" s="65" t="s">
        <v>235</v>
      </c>
      <c r="E150" s="335">
        <f t="shared" ref="E150:E158" si="49">SUM(L150:M150)</f>
        <v>1.1599999999999999</v>
      </c>
      <c r="F150" s="288">
        <f t="shared" ref="F150:F158" si="50">ROUND(+E150*$J$10,2)</f>
        <v>-0.03</v>
      </c>
      <c r="G150" s="48">
        <v>4449</v>
      </c>
      <c r="H150" s="287">
        <f t="shared" ref="H150:I158" si="51">ROUND($G150*E150,0)</f>
        <v>5161</v>
      </c>
      <c r="I150" s="287">
        <f t="shared" si="51"/>
        <v>-133</v>
      </c>
      <c r="K150" s="340"/>
      <c r="L150" s="335">
        <v>0.47</v>
      </c>
      <c r="M150" s="335">
        <v>0.69</v>
      </c>
      <c r="Q150" s="217"/>
    </row>
    <row r="151" spans="1:17" x14ac:dyDescent="0.25">
      <c r="A151" s="1">
        <f t="shared" si="45"/>
        <v>142</v>
      </c>
      <c r="B151" s="70" t="s">
        <v>253</v>
      </c>
      <c r="C151" s="68" t="s">
        <v>234</v>
      </c>
      <c r="D151" s="65" t="s">
        <v>236</v>
      </c>
      <c r="E151" s="335">
        <f t="shared" si="49"/>
        <v>1.94</v>
      </c>
      <c r="F151" s="288">
        <f t="shared" si="50"/>
        <v>-0.06</v>
      </c>
      <c r="G151" s="48">
        <v>368</v>
      </c>
      <c r="H151" s="287">
        <f t="shared" si="51"/>
        <v>714</v>
      </c>
      <c r="I151" s="287">
        <f t="shared" si="51"/>
        <v>-22</v>
      </c>
      <c r="K151" s="340"/>
      <c r="L151" s="335">
        <v>0.79</v>
      </c>
      <c r="M151" s="335">
        <v>1.1499999999999999</v>
      </c>
      <c r="Q151" s="217"/>
    </row>
    <row r="152" spans="1:17" x14ac:dyDescent="0.25">
      <c r="A152" s="1">
        <f t="shared" si="45"/>
        <v>143</v>
      </c>
      <c r="B152" s="70" t="s">
        <v>253</v>
      </c>
      <c r="C152" s="68" t="s">
        <v>234</v>
      </c>
      <c r="D152" s="65" t="s">
        <v>237</v>
      </c>
      <c r="E152" s="335">
        <f t="shared" si="49"/>
        <v>2.7</v>
      </c>
      <c r="F152" s="288">
        <f t="shared" si="50"/>
        <v>-0.08</v>
      </c>
      <c r="G152" s="48">
        <v>825</v>
      </c>
      <c r="H152" s="287">
        <f t="shared" si="51"/>
        <v>2228</v>
      </c>
      <c r="I152" s="287">
        <f t="shared" si="51"/>
        <v>-66</v>
      </c>
      <c r="K152" s="340"/>
      <c r="L152" s="335">
        <v>1.1000000000000001</v>
      </c>
      <c r="M152" s="335">
        <v>1.6</v>
      </c>
      <c r="Q152" s="217"/>
    </row>
    <row r="153" spans="1:17" x14ac:dyDescent="0.25">
      <c r="A153" s="1">
        <f t="shared" si="45"/>
        <v>144</v>
      </c>
      <c r="B153" s="70" t="s">
        <v>253</v>
      </c>
      <c r="C153" s="68" t="s">
        <v>234</v>
      </c>
      <c r="D153" s="65" t="s">
        <v>238</v>
      </c>
      <c r="E153" s="335">
        <f t="shared" si="49"/>
        <v>3.48</v>
      </c>
      <c r="F153" s="288">
        <f t="shared" si="50"/>
        <v>-0.1</v>
      </c>
      <c r="G153" s="48"/>
      <c r="H153" s="287">
        <f t="shared" si="51"/>
        <v>0</v>
      </c>
      <c r="I153" s="287">
        <f t="shared" si="51"/>
        <v>0</v>
      </c>
      <c r="K153" s="340"/>
      <c r="L153" s="335">
        <v>1.42</v>
      </c>
      <c r="M153" s="335">
        <v>2.06</v>
      </c>
      <c r="Q153" s="217"/>
    </row>
    <row r="154" spans="1:17" x14ac:dyDescent="0.25">
      <c r="A154" s="1">
        <f t="shared" si="45"/>
        <v>145</v>
      </c>
      <c r="B154" s="70" t="s">
        <v>253</v>
      </c>
      <c r="C154" s="68" t="s">
        <v>234</v>
      </c>
      <c r="D154" s="65" t="s">
        <v>239</v>
      </c>
      <c r="E154" s="335">
        <f t="shared" si="49"/>
        <v>4.25</v>
      </c>
      <c r="F154" s="288">
        <f t="shared" si="50"/>
        <v>-0.13</v>
      </c>
      <c r="G154" s="48"/>
      <c r="H154" s="287">
        <f t="shared" si="51"/>
        <v>0</v>
      </c>
      <c r="I154" s="287">
        <f t="shared" si="51"/>
        <v>0</v>
      </c>
      <c r="K154" s="340"/>
      <c r="L154" s="335">
        <v>1.73</v>
      </c>
      <c r="M154" s="335">
        <v>2.52</v>
      </c>
      <c r="Q154" s="217"/>
    </row>
    <row r="155" spans="1:17" x14ac:dyDescent="0.25">
      <c r="A155" s="1">
        <f t="shared" si="45"/>
        <v>146</v>
      </c>
      <c r="B155" s="70" t="s">
        <v>253</v>
      </c>
      <c r="C155" s="68" t="s">
        <v>234</v>
      </c>
      <c r="D155" s="65" t="s">
        <v>240</v>
      </c>
      <c r="E155" s="335">
        <f t="shared" si="49"/>
        <v>5.0299999999999994</v>
      </c>
      <c r="F155" s="288">
        <f t="shared" si="50"/>
        <v>-0.15</v>
      </c>
      <c r="G155" s="48"/>
      <c r="H155" s="287">
        <f t="shared" si="51"/>
        <v>0</v>
      </c>
      <c r="I155" s="287">
        <f t="shared" si="51"/>
        <v>0</v>
      </c>
      <c r="K155" s="340"/>
      <c r="L155" s="335">
        <v>2.0499999999999998</v>
      </c>
      <c r="M155" s="335">
        <v>2.98</v>
      </c>
      <c r="Q155" s="217"/>
    </row>
    <row r="156" spans="1:17" x14ac:dyDescent="0.25">
      <c r="A156" s="1">
        <f t="shared" si="45"/>
        <v>147</v>
      </c>
      <c r="B156" s="70" t="s">
        <v>253</v>
      </c>
      <c r="C156" s="68" t="s">
        <v>234</v>
      </c>
      <c r="D156" s="65" t="s">
        <v>241</v>
      </c>
      <c r="E156" s="335">
        <f t="shared" si="49"/>
        <v>5.8</v>
      </c>
      <c r="F156" s="288">
        <f t="shared" si="50"/>
        <v>-0.17</v>
      </c>
      <c r="G156" s="48"/>
      <c r="H156" s="287">
        <f t="shared" si="51"/>
        <v>0</v>
      </c>
      <c r="I156" s="287">
        <f t="shared" si="51"/>
        <v>0</v>
      </c>
      <c r="K156" s="340"/>
      <c r="L156" s="335">
        <v>2.36</v>
      </c>
      <c r="M156" s="335">
        <v>3.44</v>
      </c>
      <c r="Q156" s="217"/>
    </row>
    <row r="157" spans="1:17" x14ac:dyDescent="0.25">
      <c r="A157" s="1">
        <f t="shared" si="45"/>
        <v>148</v>
      </c>
      <c r="B157" s="70" t="s">
        <v>253</v>
      </c>
      <c r="C157" s="68" t="s">
        <v>234</v>
      </c>
      <c r="D157" s="65" t="s">
        <v>242</v>
      </c>
      <c r="E157" s="335">
        <f t="shared" si="49"/>
        <v>6.57</v>
      </c>
      <c r="F157" s="288">
        <f t="shared" si="50"/>
        <v>-0.19</v>
      </c>
      <c r="G157" s="48"/>
      <c r="H157" s="287">
        <f t="shared" si="51"/>
        <v>0</v>
      </c>
      <c r="I157" s="287">
        <f t="shared" si="51"/>
        <v>0</v>
      </c>
      <c r="K157" s="340"/>
      <c r="L157" s="335">
        <v>2.68</v>
      </c>
      <c r="M157" s="335">
        <v>3.89</v>
      </c>
      <c r="Q157" s="217"/>
    </row>
    <row r="158" spans="1:17" x14ac:dyDescent="0.25">
      <c r="A158" s="1">
        <f t="shared" si="45"/>
        <v>149</v>
      </c>
      <c r="B158" s="70" t="s">
        <v>253</v>
      </c>
      <c r="C158" s="68" t="s">
        <v>234</v>
      </c>
      <c r="D158" s="65" t="s">
        <v>243</v>
      </c>
      <c r="E158" s="335">
        <f t="shared" si="49"/>
        <v>7.35</v>
      </c>
      <c r="F158" s="288">
        <f t="shared" si="50"/>
        <v>-0.22</v>
      </c>
      <c r="G158" s="48"/>
      <c r="H158" s="287">
        <f t="shared" si="51"/>
        <v>0</v>
      </c>
      <c r="I158" s="287">
        <f t="shared" si="51"/>
        <v>0</v>
      </c>
      <c r="K158" s="340"/>
      <c r="L158" s="335">
        <v>3</v>
      </c>
      <c r="M158" s="335">
        <v>4.3499999999999996</v>
      </c>
      <c r="Q158" s="217"/>
    </row>
    <row r="159" spans="1:17" x14ac:dyDescent="0.25">
      <c r="A159" s="1">
        <f t="shared" si="45"/>
        <v>150</v>
      </c>
      <c r="B159" s="70"/>
      <c r="C159" s="68"/>
      <c r="D159" s="68"/>
      <c r="E159" s="335"/>
      <c r="F159" s="58"/>
      <c r="G159" s="48"/>
      <c r="H159" s="48"/>
      <c r="I159" s="48"/>
      <c r="K159" s="340"/>
      <c r="L159" s="335"/>
      <c r="M159" s="335"/>
      <c r="Q159" s="217"/>
    </row>
    <row r="160" spans="1:17" x14ac:dyDescent="0.25">
      <c r="A160" s="1">
        <f t="shared" si="45"/>
        <v>151</v>
      </c>
      <c r="B160" s="58" t="s">
        <v>254</v>
      </c>
      <c r="C160" s="68"/>
      <c r="D160" s="68"/>
      <c r="E160" s="335"/>
      <c r="F160" s="58"/>
      <c r="G160" s="48"/>
      <c r="H160" s="48"/>
      <c r="I160" s="48"/>
      <c r="K160" s="340"/>
      <c r="L160" s="335"/>
      <c r="M160" s="335"/>
      <c r="Q160" s="217"/>
    </row>
    <row r="161" spans="1:17" x14ac:dyDescent="0.25">
      <c r="A161" s="1">
        <f t="shared" si="45"/>
        <v>152</v>
      </c>
      <c r="B161" s="70" t="s">
        <v>255</v>
      </c>
      <c r="C161" s="68" t="s">
        <v>256</v>
      </c>
      <c r="D161" s="68">
        <v>0</v>
      </c>
      <c r="E161" s="341">
        <f>SUM(L161:M161)</f>
        <v>3.823E-2</v>
      </c>
      <c r="F161" s="341">
        <f>ROUND(+E161*$J$10,5)</f>
        <v>-1.1299999999999999E-3</v>
      </c>
      <c r="G161" s="48">
        <v>13262859</v>
      </c>
      <c r="H161" s="287">
        <f>ROUND($G161*E161,0)</f>
        <v>507039</v>
      </c>
      <c r="I161" s="287">
        <f>ROUND($G161*F161,0)</f>
        <v>-14987</v>
      </c>
      <c r="K161" s="340"/>
      <c r="L161" s="341">
        <v>6.3800000000000003E-3</v>
      </c>
      <c r="M161" s="341">
        <v>3.1850000000000003E-2</v>
      </c>
      <c r="Q161" s="217"/>
    </row>
    <row r="162" spans="1:17" x14ac:dyDescent="0.25">
      <c r="A162" s="1">
        <f t="shared" si="45"/>
        <v>153</v>
      </c>
      <c r="B162" s="70"/>
      <c r="C162" s="68"/>
      <c r="D162" s="68"/>
      <c r="E162" s="335"/>
      <c r="F162" s="58"/>
      <c r="G162" s="48"/>
      <c r="H162" s="48"/>
      <c r="I162" s="48"/>
      <c r="K162" s="340"/>
      <c r="L162" s="335"/>
      <c r="M162" s="335"/>
      <c r="Q162" s="217"/>
    </row>
    <row r="163" spans="1:17" x14ac:dyDescent="0.25">
      <c r="A163" s="1">
        <f t="shared" si="45"/>
        <v>154</v>
      </c>
      <c r="B163" s="58" t="s">
        <v>257</v>
      </c>
      <c r="C163" s="68"/>
      <c r="D163" s="68"/>
      <c r="E163" s="335"/>
      <c r="F163" s="58"/>
      <c r="G163" s="48"/>
      <c r="H163" s="48"/>
      <c r="I163" s="48"/>
      <c r="K163" s="340"/>
      <c r="L163" s="335"/>
      <c r="M163" s="335"/>
      <c r="Q163" s="217"/>
    </row>
    <row r="164" spans="1:17" x14ac:dyDescent="0.25">
      <c r="A164" s="1">
        <f t="shared" si="45"/>
        <v>155</v>
      </c>
      <c r="B164" s="60" t="s">
        <v>258</v>
      </c>
      <c r="C164" s="68" t="s">
        <v>34</v>
      </c>
      <c r="D164" s="71">
        <v>70</v>
      </c>
      <c r="E164" s="335">
        <f t="shared" ref="E164:E183" si="52">SUM(L164:M164)</f>
        <v>1.81</v>
      </c>
      <c r="F164" s="288">
        <f t="shared" ref="F164:F169" si="53">ROUND(+E164*$J$10,2)</f>
        <v>-0.05</v>
      </c>
      <c r="G164" s="48">
        <v>686</v>
      </c>
      <c r="H164" s="287">
        <f t="shared" ref="H164:I169" si="54">ROUND($G164*E164,0)</f>
        <v>1242</v>
      </c>
      <c r="I164" s="287">
        <f t="shared" si="54"/>
        <v>-34</v>
      </c>
      <c r="K164" s="340"/>
      <c r="L164" s="335">
        <v>0.74</v>
      </c>
      <c r="M164" s="335">
        <v>1.07</v>
      </c>
      <c r="Q164" s="217"/>
    </row>
    <row r="165" spans="1:17" x14ac:dyDescent="0.25">
      <c r="A165" s="1">
        <f t="shared" si="45"/>
        <v>156</v>
      </c>
      <c r="B165" s="70" t="str">
        <f>+B164</f>
        <v>58E &amp; 59E - Directional</v>
      </c>
      <c r="C165" s="68" t="s">
        <v>34</v>
      </c>
      <c r="D165" s="71">
        <v>100</v>
      </c>
      <c r="E165" s="335">
        <f t="shared" si="52"/>
        <v>2.58</v>
      </c>
      <c r="F165" s="288">
        <f t="shared" si="53"/>
        <v>-0.08</v>
      </c>
      <c r="G165" s="48">
        <v>72</v>
      </c>
      <c r="H165" s="287">
        <f t="shared" si="54"/>
        <v>186</v>
      </c>
      <c r="I165" s="287">
        <f t="shared" si="54"/>
        <v>-6</v>
      </c>
      <c r="K165" s="340"/>
      <c r="L165" s="335">
        <v>1.05</v>
      </c>
      <c r="M165" s="335">
        <v>1.53</v>
      </c>
      <c r="Q165" s="217"/>
    </row>
    <row r="166" spans="1:17" x14ac:dyDescent="0.25">
      <c r="A166" s="1">
        <f t="shared" si="45"/>
        <v>157</v>
      </c>
      <c r="B166" s="70" t="str">
        <f>+B165</f>
        <v>58E &amp; 59E - Directional</v>
      </c>
      <c r="C166" s="68" t="s">
        <v>34</v>
      </c>
      <c r="D166" s="71">
        <v>150</v>
      </c>
      <c r="E166" s="335">
        <f t="shared" si="52"/>
        <v>3.87</v>
      </c>
      <c r="F166" s="288">
        <f t="shared" si="53"/>
        <v>-0.11</v>
      </c>
      <c r="G166" s="48">
        <v>1992</v>
      </c>
      <c r="H166" s="287">
        <f t="shared" si="54"/>
        <v>7709</v>
      </c>
      <c r="I166" s="287">
        <f t="shared" si="54"/>
        <v>-219</v>
      </c>
      <c r="K166" s="340"/>
      <c r="L166" s="335">
        <v>1.58</v>
      </c>
      <c r="M166" s="335">
        <v>2.29</v>
      </c>
      <c r="Q166" s="217"/>
    </row>
    <row r="167" spans="1:17" x14ac:dyDescent="0.25">
      <c r="A167" s="1">
        <f t="shared" si="45"/>
        <v>158</v>
      </c>
      <c r="B167" s="70" t="str">
        <f>+B166</f>
        <v>58E &amp; 59E - Directional</v>
      </c>
      <c r="C167" s="68" t="s">
        <v>34</v>
      </c>
      <c r="D167" s="68">
        <v>200</v>
      </c>
      <c r="E167" s="335">
        <f t="shared" si="52"/>
        <v>5.15</v>
      </c>
      <c r="F167" s="288">
        <f t="shared" si="53"/>
        <v>-0.15</v>
      </c>
      <c r="G167" s="48">
        <v>3512</v>
      </c>
      <c r="H167" s="287">
        <f t="shared" si="54"/>
        <v>18087</v>
      </c>
      <c r="I167" s="287">
        <f t="shared" si="54"/>
        <v>-527</v>
      </c>
      <c r="K167" s="340"/>
      <c r="L167" s="335">
        <v>2.1</v>
      </c>
      <c r="M167" s="335">
        <v>3.05</v>
      </c>
      <c r="Q167" s="217"/>
    </row>
    <row r="168" spans="1:17" x14ac:dyDescent="0.25">
      <c r="A168" s="1">
        <f t="shared" si="45"/>
        <v>159</v>
      </c>
      <c r="B168" s="70" t="str">
        <f>+B167</f>
        <v>58E &amp; 59E - Directional</v>
      </c>
      <c r="C168" s="68" t="s">
        <v>34</v>
      </c>
      <c r="D168" s="68">
        <v>250</v>
      </c>
      <c r="E168" s="335">
        <f t="shared" si="52"/>
        <v>6.4499999999999993</v>
      </c>
      <c r="F168" s="288">
        <f t="shared" si="53"/>
        <v>-0.19</v>
      </c>
      <c r="G168" s="48">
        <v>476</v>
      </c>
      <c r="H168" s="287">
        <f t="shared" si="54"/>
        <v>3070</v>
      </c>
      <c r="I168" s="287">
        <f t="shared" si="54"/>
        <v>-90</v>
      </c>
      <c r="K168" s="340"/>
      <c r="L168" s="335">
        <v>2.63</v>
      </c>
      <c r="M168" s="335">
        <v>3.82</v>
      </c>
      <c r="Q168" s="217"/>
    </row>
    <row r="169" spans="1:17" x14ac:dyDescent="0.25">
      <c r="A169" s="1">
        <f t="shared" si="45"/>
        <v>160</v>
      </c>
      <c r="B169" s="70" t="str">
        <f>+B168</f>
        <v>58E &amp; 59E - Directional</v>
      </c>
      <c r="C169" s="68" t="s">
        <v>34</v>
      </c>
      <c r="D169" s="68">
        <v>400</v>
      </c>
      <c r="E169" s="335">
        <f t="shared" si="52"/>
        <v>10.31</v>
      </c>
      <c r="F169" s="288">
        <f t="shared" si="53"/>
        <v>-0.3</v>
      </c>
      <c r="G169" s="48">
        <v>4565</v>
      </c>
      <c r="H169" s="287">
        <f t="shared" si="54"/>
        <v>47065</v>
      </c>
      <c r="I169" s="287">
        <f t="shared" si="54"/>
        <v>-1370</v>
      </c>
      <c r="K169" s="340"/>
      <c r="L169" s="335">
        <v>4.2</v>
      </c>
      <c r="M169" s="335">
        <v>6.11</v>
      </c>
      <c r="Q169" s="217"/>
    </row>
    <row r="170" spans="1:17" x14ac:dyDescent="0.25">
      <c r="A170" s="1">
        <f t="shared" si="45"/>
        <v>161</v>
      </c>
      <c r="B170" s="70"/>
      <c r="C170" s="68"/>
      <c r="D170" s="68"/>
      <c r="E170" s="335"/>
      <c r="F170" s="58"/>
      <c r="G170" s="48"/>
      <c r="H170" s="48"/>
      <c r="I170" s="48"/>
      <c r="K170" s="340"/>
      <c r="L170" s="335"/>
      <c r="M170" s="335"/>
      <c r="Q170" s="217"/>
    </row>
    <row r="171" spans="1:17" x14ac:dyDescent="0.25">
      <c r="A171" s="1">
        <f t="shared" si="45"/>
        <v>162</v>
      </c>
      <c r="B171" s="60" t="s">
        <v>259</v>
      </c>
      <c r="C171" s="68" t="s">
        <v>34</v>
      </c>
      <c r="D171" s="68">
        <v>100</v>
      </c>
      <c r="E171" s="335">
        <f t="shared" si="52"/>
        <v>2.58</v>
      </c>
      <c r="F171" s="288">
        <f>ROUND(+E171*$J$10,2)</f>
        <v>-0.08</v>
      </c>
      <c r="G171" s="48">
        <v>13</v>
      </c>
      <c r="H171" s="287">
        <f t="shared" ref="H171:I175" si="55">ROUND($G171*E171,0)</f>
        <v>34</v>
      </c>
      <c r="I171" s="287">
        <f t="shared" si="55"/>
        <v>-1</v>
      </c>
      <c r="K171" s="340"/>
      <c r="L171" s="335">
        <v>1.05</v>
      </c>
      <c r="M171" s="335">
        <v>1.53</v>
      </c>
      <c r="Q171" s="217"/>
    </row>
    <row r="172" spans="1:17" x14ac:dyDescent="0.25">
      <c r="A172" s="1">
        <f t="shared" si="45"/>
        <v>163</v>
      </c>
      <c r="B172" s="70" t="str">
        <f>B171</f>
        <v>58E &amp; 59E - Horizontal</v>
      </c>
      <c r="C172" s="68" t="s">
        <v>34</v>
      </c>
      <c r="D172" s="68">
        <v>150</v>
      </c>
      <c r="E172" s="335">
        <f t="shared" si="52"/>
        <v>3.87</v>
      </c>
      <c r="F172" s="288">
        <f>ROUND(+E172*$J$10,2)</f>
        <v>-0.11</v>
      </c>
      <c r="G172" s="48">
        <v>261</v>
      </c>
      <c r="H172" s="287">
        <f t="shared" si="55"/>
        <v>1010</v>
      </c>
      <c r="I172" s="287">
        <f t="shared" si="55"/>
        <v>-29</v>
      </c>
      <c r="K172" s="340"/>
      <c r="L172" s="335">
        <v>1.58</v>
      </c>
      <c r="M172" s="335">
        <v>2.29</v>
      </c>
      <c r="Q172" s="217"/>
    </row>
    <row r="173" spans="1:17" x14ac:dyDescent="0.25">
      <c r="A173" s="1">
        <f t="shared" si="45"/>
        <v>164</v>
      </c>
      <c r="B173" s="70" t="str">
        <f>B172</f>
        <v>58E &amp; 59E - Horizontal</v>
      </c>
      <c r="C173" s="68" t="s">
        <v>34</v>
      </c>
      <c r="D173" s="68">
        <v>200</v>
      </c>
      <c r="E173" s="335">
        <f t="shared" si="52"/>
        <v>5.15</v>
      </c>
      <c r="F173" s="288">
        <f>ROUND(+E173*$J$10,2)</f>
        <v>-0.15</v>
      </c>
      <c r="G173" s="48">
        <v>156</v>
      </c>
      <c r="H173" s="287">
        <f t="shared" si="55"/>
        <v>803</v>
      </c>
      <c r="I173" s="287">
        <f t="shared" si="55"/>
        <v>-23</v>
      </c>
      <c r="K173" s="340"/>
      <c r="L173" s="335">
        <v>2.1</v>
      </c>
      <c r="M173" s="335">
        <v>3.05</v>
      </c>
      <c r="Q173" s="217"/>
    </row>
    <row r="174" spans="1:17" x14ac:dyDescent="0.25">
      <c r="A174" s="1">
        <f t="shared" si="45"/>
        <v>165</v>
      </c>
      <c r="B174" s="70" t="str">
        <f>B173</f>
        <v>58E &amp; 59E - Horizontal</v>
      </c>
      <c r="C174" s="68" t="s">
        <v>34</v>
      </c>
      <c r="D174" s="68">
        <v>250</v>
      </c>
      <c r="E174" s="335">
        <f t="shared" si="52"/>
        <v>6.4499999999999993</v>
      </c>
      <c r="F174" s="288">
        <f>ROUND(+E174*$J$10,2)</f>
        <v>-0.19</v>
      </c>
      <c r="G174" s="48">
        <v>421</v>
      </c>
      <c r="H174" s="287">
        <f t="shared" si="55"/>
        <v>2715</v>
      </c>
      <c r="I174" s="287">
        <f t="shared" si="55"/>
        <v>-80</v>
      </c>
      <c r="K174" s="340"/>
      <c r="L174" s="335">
        <v>2.63</v>
      </c>
      <c r="M174" s="335">
        <v>3.82</v>
      </c>
      <c r="Q174" s="217"/>
    </row>
    <row r="175" spans="1:17" x14ac:dyDescent="0.25">
      <c r="A175" s="1">
        <f t="shared" si="45"/>
        <v>166</v>
      </c>
      <c r="B175" s="70" t="str">
        <f>B174</f>
        <v>58E &amp; 59E - Horizontal</v>
      </c>
      <c r="C175" s="68" t="s">
        <v>34</v>
      </c>
      <c r="D175" s="68">
        <v>400</v>
      </c>
      <c r="E175" s="335">
        <f t="shared" si="52"/>
        <v>10.31</v>
      </c>
      <c r="F175" s="288">
        <f>ROUND(+E175*$J$10,2)</f>
        <v>-0.3</v>
      </c>
      <c r="G175" s="48">
        <v>577</v>
      </c>
      <c r="H175" s="287">
        <f t="shared" si="55"/>
        <v>5949</v>
      </c>
      <c r="I175" s="287">
        <f t="shared" si="55"/>
        <v>-173</v>
      </c>
      <c r="K175" s="340"/>
      <c r="L175" s="335">
        <v>4.2</v>
      </c>
      <c r="M175" s="335">
        <v>6.11</v>
      </c>
      <c r="Q175" s="217"/>
    </row>
    <row r="176" spans="1:17" x14ac:dyDescent="0.25">
      <c r="A176" s="1">
        <f t="shared" si="45"/>
        <v>167</v>
      </c>
      <c r="B176" s="70"/>
      <c r="C176" s="68"/>
      <c r="D176" s="68"/>
      <c r="F176" s="58"/>
      <c r="G176" s="48"/>
      <c r="H176" s="48"/>
      <c r="I176" s="48"/>
      <c r="K176" s="340"/>
      <c r="L176" s="335"/>
      <c r="M176" s="335"/>
      <c r="Q176" s="217"/>
    </row>
    <row r="177" spans="1:17" x14ac:dyDescent="0.25">
      <c r="A177" s="1">
        <f t="shared" si="45"/>
        <v>168</v>
      </c>
      <c r="B177" s="70" t="str">
        <f>B165</f>
        <v>58E &amp; 59E - Directional</v>
      </c>
      <c r="C177" s="68" t="s">
        <v>246</v>
      </c>
      <c r="D177" s="68">
        <v>175</v>
      </c>
      <c r="E177" s="335">
        <f t="shared" si="52"/>
        <v>4.51</v>
      </c>
      <c r="F177" s="288">
        <f>ROUND(+E177*$J$10,2)</f>
        <v>-0.13</v>
      </c>
      <c r="G177" s="48">
        <v>36</v>
      </c>
      <c r="H177" s="287">
        <f t="shared" ref="H177:I180" si="56">ROUND($G177*E177,0)</f>
        <v>162</v>
      </c>
      <c r="I177" s="287">
        <f t="shared" si="56"/>
        <v>-5</v>
      </c>
      <c r="K177" s="340"/>
      <c r="L177" s="335">
        <v>1.84</v>
      </c>
      <c r="M177" s="335">
        <v>2.67</v>
      </c>
      <c r="Q177" s="217"/>
    </row>
    <row r="178" spans="1:17" x14ac:dyDescent="0.25">
      <c r="A178" s="1">
        <f t="shared" si="45"/>
        <v>169</v>
      </c>
      <c r="B178" s="70" t="str">
        <f>B177</f>
        <v>58E &amp; 59E - Directional</v>
      </c>
      <c r="C178" s="68" t="s">
        <v>246</v>
      </c>
      <c r="D178" s="68">
        <v>250</v>
      </c>
      <c r="E178" s="335">
        <f t="shared" si="52"/>
        <v>6.4499999999999993</v>
      </c>
      <c r="F178" s="288">
        <f>ROUND(+E178*$J$10,2)</f>
        <v>-0.19</v>
      </c>
      <c r="G178" s="48">
        <v>266</v>
      </c>
      <c r="H178" s="287">
        <f t="shared" si="56"/>
        <v>1716</v>
      </c>
      <c r="I178" s="287">
        <f t="shared" si="56"/>
        <v>-51</v>
      </c>
      <c r="K178" s="340"/>
      <c r="L178" s="335">
        <v>2.63</v>
      </c>
      <c r="M178" s="335">
        <v>3.82</v>
      </c>
      <c r="Q178" s="217"/>
    </row>
    <row r="179" spans="1:17" x14ac:dyDescent="0.25">
      <c r="A179" s="1">
        <f t="shared" si="45"/>
        <v>170</v>
      </c>
      <c r="B179" s="70" t="str">
        <f>B178</f>
        <v>58E &amp; 59E - Directional</v>
      </c>
      <c r="C179" s="68" t="s">
        <v>246</v>
      </c>
      <c r="D179" s="68">
        <v>400</v>
      </c>
      <c r="E179" s="335">
        <f t="shared" si="52"/>
        <v>10.31</v>
      </c>
      <c r="F179" s="288">
        <f>ROUND(+E179*$J$10,2)</f>
        <v>-0.3</v>
      </c>
      <c r="G179" s="48">
        <v>1056</v>
      </c>
      <c r="H179" s="287">
        <f t="shared" si="56"/>
        <v>10887</v>
      </c>
      <c r="I179" s="287">
        <f t="shared" si="56"/>
        <v>-317</v>
      </c>
      <c r="K179" s="340"/>
      <c r="L179" s="335">
        <v>4.2</v>
      </c>
      <c r="M179" s="335">
        <v>6.11</v>
      </c>
      <c r="Q179" s="217"/>
    </row>
    <row r="180" spans="1:17" x14ac:dyDescent="0.25">
      <c r="A180" s="1">
        <f t="shared" si="45"/>
        <v>171</v>
      </c>
      <c r="B180" s="70" t="str">
        <f>B179</f>
        <v>58E &amp; 59E - Directional</v>
      </c>
      <c r="C180" s="68" t="s">
        <v>246</v>
      </c>
      <c r="D180" s="68">
        <v>1000</v>
      </c>
      <c r="E180" s="335">
        <f t="shared" si="52"/>
        <v>25.78</v>
      </c>
      <c r="F180" s="288">
        <f>ROUND(+E180*$J$10,2)</f>
        <v>-0.76</v>
      </c>
      <c r="G180" s="48">
        <v>1633</v>
      </c>
      <c r="H180" s="287">
        <f t="shared" si="56"/>
        <v>42099</v>
      </c>
      <c r="I180" s="287">
        <f t="shared" si="56"/>
        <v>-1241</v>
      </c>
      <c r="K180" s="340"/>
      <c r="L180" s="335">
        <v>10.51</v>
      </c>
      <c r="M180" s="335">
        <v>15.27</v>
      </c>
      <c r="Q180" s="217"/>
    </row>
    <row r="181" spans="1:17" x14ac:dyDescent="0.25">
      <c r="A181" s="1">
        <f t="shared" si="45"/>
        <v>172</v>
      </c>
      <c r="B181" s="70"/>
      <c r="C181" s="68"/>
      <c r="D181" s="68"/>
      <c r="F181" s="58"/>
      <c r="G181" s="48"/>
      <c r="H181" s="48"/>
      <c r="I181" s="48"/>
      <c r="K181" s="340"/>
      <c r="L181" s="335"/>
      <c r="M181" s="335"/>
      <c r="Q181" s="217"/>
    </row>
    <row r="182" spans="1:17" x14ac:dyDescent="0.25">
      <c r="A182" s="1">
        <f t="shared" si="45"/>
        <v>173</v>
      </c>
      <c r="B182" s="70" t="str">
        <f>B171</f>
        <v>58E &amp; 59E - Horizontal</v>
      </c>
      <c r="C182" s="68" t="s">
        <v>246</v>
      </c>
      <c r="D182" s="68">
        <v>250</v>
      </c>
      <c r="E182" s="335">
        <f t="shared" si="52"/>
        <v>6.4499999999999993</v>
      </c>
      <c r="F182" s="288">
        <f>ROUND(+E182*$J$10,2)</f>
        <v>-0.19</v>
      </c>
      <c r="G182" s="48">
        <v>132</v>
      </c>
      <c r="H182" s="287">
        <f t="shared" ref="H182:I183" si="57">ROUND($G182*E182,0)</f>
        <v>851</v>
      </c>
      <c r="I182" s="287">
        <f t="shared" si="57"/>
        <v>-25</v>
      </c>
      <c r="K182" s="340"/>
      <c r="L182" s="335">
        <v>2.63</v>
      </c>
      <c r="M182" s="335">
        <v>3.82</v>
      </c>
      <c r="Q182" s="217"/>
    </row>
    <row r="183" spans="1:17" x14ac:dyDescent="0.25">
      <c r="A183" s="1">
        <f t="shared" si="45"/>
        <v>174</v>
      </c>
      <c r="B183" s="70" t="str">
        <f>B182</f>
        <v>58E &amp; 59E - Horizontal</v>
      </c>
      <c r="C183" s="68" t="s">
        <v>246</v>
      </c>
      <c r="D183" s="68">
        <v>400</v>
      </c>
      <c r="E183" s="335">
        <f t="shared" si="52"/>
        <v>10.31</v>
      </c>
      <c r="F183" s="288">
        <f>ROUND(+E183*$J$10,2)</f>
        <v>-0.3</v>
      </c>
      <c r="G183" s="48">
        <v>480</v>
      </c>
      <c r="H183" s="287">
        <f t="shared" si="57"/>
        <v>4949</v>
      </c>
      <c r="I183" s="287">
        <f t="shared" si="57"/>
        <v>-144</v>
      </c>
      <c r="K183" s="340"/>
      <c r="L183" s="335">
        <v>4.2</v>
      </c>
      <c r="M183" s="335">
        <v>6.11</v>
      </c>
      <c r="Q183" s="217"/>
    </row>
    <row r="184" spans="1:17" x14ac:dyDescent="0.25">
      <c r="A184" s="1">
        <f t="shared" si="45"/>
        <v>175</v>
      </c>
      <c r="B184" s="70"/>
      <c r="C184" s="68"/>
      <c r="D184" s="68"/>
      <c r="F184" s="58"/>
      <c r="G184" s="48"/>
      <c r="H184" s="48"/>
      <c r="I184" s="48"/>
      <c r="K184" s="340"/>
      <c r="L184" s="335"/>
      <c r="M184" s="335"/>
      <c r="Q184" s="217"/>
    </row>
    <row r="185" spans="1:17" x14ac:dyDescent="0.25">
      <c r="A185" s="1">
        <f t="shared" si="45"/>
        <v>176</v>
      </c>
      <c r="B185" s="70"/>
      <c r="C185" s="68"/>
      <c r="D185" s="68"/>
      <c r="F185" s="58"/>
      <c r="G185" s="48"/>
      <c r="H185" s="48"/>
      <c r="I185" s="48"/>
      <c r="K185" s="340"/>
      <c r="L185" s="335"/>
      <c r="M185" s="335"/>
      <c r="Q185" s="217"/>
    </row>
    <row r="186" spans="1:17" x14ac:dyDescent="0.25">
      <c r="A186" s="1">
        <f t="shared" si="45"/>
        <v>177</v>
      </c>
      <c r="B186" s="70" t="s">
        <v>260</v>
      </c>
      <c r="C186" s="68" t="s">
        <v>234</v>
      </c>
      <c r="D186" s="65" t="s">
        <v>235</v>
      </c>
      <c r="E186" s="335">
        <f t="shared" ref="E186:E200" si="58">SUM(L186:M186)</f>
        <v>1.1599999999999999</v>
      </c>
      <c r="F186" s="288">
        <f t="shared" ref="F186:F200" si="59">ROUND(+E186*$J$10,2)</f>
        <v>-0.03</v>
      </c>
      <c r="G186" s="48">
        <v>17</v>
      </c>
      <c r="H186" s="287">
        <f t="shared" ref="H186:I200" si="60">ROUND($G186*E186,0)</f>
        <v>20</v>
      </c>
      <c r="I186" s="287">
        <f t="shared" si="60"/>
        <v>-1</v>
      </c>
      <c r="K186" s="340"/>
      <c r="L186" s="335">
        <v>0.47</v>
      </c>
      <c r="M186" s="335">
        <v>0.69</v>
      </c>
      <c r="Q186" s="217"/>
    </row>
    <row r="187" spans="1:17" x14ac:dyDescent="0.25">
      <c r="A187" s="1">
        <f t="shared" si="45"/>
        <v>178</v>
      </c>
      <c r="B187" s="70" t="str">
        <f t="shared" ref="B187:B200" si="61">B186</f>
        <v>58E &amp; 59E</v>
      </c>
      <c r="C187" s="68" t="s">
        <v>234</v>
      </c>
      <c r="D187" s="65" t="s">
        <v>236</v>
      </c>
      <c r="E187" s="335">
        <f t="shared" si="58"/>
        <v>1.94</v>
      </c>
      <c r="F187" s="288">
        <f t="shared" si="59"/>
        <v>-0.06</v>
      </c>
      <c r="G187" s="48">
        <v>144</v>
      </c>
      <c r="H187" s="287">
        <f t="shared" si="60"/>
        <v>279</v>
      </c>
      <c r="I187" s="287">
        <f t="shared" si="60"/>
        <v>-9</v>
      </c>
      <c r="K187" s="340"/>
      <c r="L187" s="335">
        <v>0.79</v>
      </c>
      <c r="M187" s="335">
        <v>1.1499999999999999</v>
      </c>
      <c r="Q187" s="217"/>
    </row>
    <row r="188" spans="1:17" x14ac:dyDescent="0.25">
      <c r="A188" s="1">
        <f t="shared" si="45"/>
        <v>179</v>
      </c>
      <c r="B188" s="70" t="str">
        <f t="shared" si="61"/>
        <v>58E &amp; 59E</v>
      </c>
      <c r="C188" s="68" t="s">
        <v>234</v>
      </c>
      <c r="D188" s="65" t="s">
        <v>237</v>
      </c>
      <c r="E188" s="335">
        <f t="shared" si="58"/>
        <v>2.7</v>
      </c>
      <c r="F188" s="288">
        <f t="shared" si="59"/>
        <v>-0.08</v>
      </c>
      <c r="G188" s="48">
        <v>250</v>
      </c>
      <c r="H188" s="287">
        <f t="shared" si="60"/>
        <v>675</v>
      </c>
      <c r="I188" s="287">
        <f t="shared" si="60"/>
        <v>-20</v>
      </c>
      <c r="K188" s="340"/>
      <c r="L188" s="335">
        <v>1.1000000000000001</v>
      </c>
      <c r="M188" s="335">
        <v>1.6</v>
      </c>
      <c r="Q188" s="217"/>
    </row>
    <row r="189" spans="1:17" x14ac:dyDescent="0.25">
      <c r="A189" s="1">
        <f t="shared" si="45"/>
        <v>180</v>
      </c>
      <c r="B189" s="70" t="str">
        <f t="shared" si="61"/>
        <v>58E &amp; 59E</v>
      </c>
      <c r="C189" s="68" t="s">
        <v>234</v>
      </c>
      <c r="D189" s="65" t="s">
        <v>238</v>
      </c>
      <c r="E189" s="335">
        <f t="shared" si="58"/>
        <v>3.48</v>
      </c>
      <c r="F189" s="288">
        <f t="shared" si="59"/>
        <v>-0.1</v>
      </c>
      <c r="G189" s="48">
        <v>617</v>
      </c>
      <c r="H189" s="287">
        <f t="shared" si="60"/>
        <v>2147</v>
      </c>
      <c r="I189" s="287">
        <f t="shared" si="60"/>
        <v>-62</v>
      </c>
      <c r="K189" s="340"/>
      <c r="L189" s="335">
        <v>1.42</v>
      </c>
      <c r="M189" s="335">
        <v>2.06</v>
      </c>
      <c r="Q189" s="217"/>
    </row>
    <row r="190" spans="1:17" x14ac:dyDescent="0.25">
      <c r="A190" s="1">
        <f t="shared" si="45"/>
        <v>181</v>
      </c>
      <c r="B190" s="70" t="str">
        <f t="shared" si="61"/>
        <v>58E &amp; 59E</v>
      </c>
      <c r="C190" s="68" t="s">
        <v>234</v>
      </c>
      <c r="D190" s="65" t="s">
        <v>239</v>
      </c>
      <c r="E190" s="335">
        <f t="shared" si="58"/>
        <v>4.25</v>
      </c>
      <c r="F190" s="288">
        <f t="shared" si="59"/>
        <v>-0.13</v>
      </c>
      <c r="G190" s="48">
        <v>60</v>
      </c>
      <c r="H190" s="287">
        <f t="shared" si="60"/>
        <v>255</v>
      </c>
      <c r="I190" s="287">
        <f t="shared" si="60"/>
        <v>-8</v>
      </c>
      <c r="K190" s="340"/>
      <c r="L190" s="335">
        <v>1.73</v>
      </c>
      <c r="M190" s="335">
        <v>2.52</v>
      </c>
      <c r="Q190" s="217"/>
    </row>
    <row r="191" spans="1:17" x14ac:dyDescent="0.25">
      <c r="A191" s="1">
        <f t="shared" si="45"/>
        <v>182</v>
      </c>
      <c r="B191" s="70" t="str">
        <f t="shared" si="61"/>
        <v>58E &amp; 59E</v>
      </c>
      <c r="C191" s="68" t="s">
        <v>234</v>
      </c>
      <c r="D191" s="65" t="s">
        <v>240</v>
      </c>
      <c r="E191" s="335">
        <f t="shared" si="58"/>
        <v>5.0299999999999994</v>
      </c>
      <c r="F191" s="288">
        <f t="shared" si="59"/>
        <v>-0.15</v>
      </c>
      <c r="G191" s="48"/>
      <c r="H191" s="287">
        <f t="shared" si="60"/>
        <v>0</v>
      </c>
      <c r="I191" s="287">
        <f t="shared" si="60"/>
        <v>0</v>
      </c>
      <c r="K191" s="340"/>
      <c r="L191" s="335">
        <v>2.0499999999999998</v>
      </c>
      <c r="M191" s="335">
        <v>2.98</v>
      </c>
      <c r="Q191" s="217"/>
    </row>
    <row r="192" spans="1:17" x14ac:dyDescent="0.25">
      <c r="A192" s="1">
        <f t="shared" si="45"/>
        <v>183</v>
      </c>
      <c r="B192" s="70" t="str">
        <f t="shared" si="61"/>
        <v>58E &amp; 59E</v>
      </c>
      <c r="C192" s="68" t="s">
        <v>234</v>
      </c>
      <c r="D192" s="65" t="s">
        <v>241</v>
      </c>
      <c r="E192" s="335">
        <f t="shared" si="58"/>
        <v>5.8</v>
      </c>
      <c r="F192" s="288">
        <f t="shared" si="59"/>
        <v>-0.17</v>
      </c>
      <c r="G192" s="48">
        <v>29</v>
      </c>
      <c r="H192" s="287">
        <f t="shared" si="60"/>
        <v>168</v>
      </c>
      <c r="I192" s="287">
        <f t="shared" si="60"/>
        <v>-5</v>
      </c>
      <c r="K192" s="340"/>
      <c r="L192" s="335">
        <v>2.36</v>
      </c>
      <c r="M192" s="335">
        <v>3.44</v>
      </c>
      <c r="Q192" s="217"/>
    </row>
    <row r="193" spans="1:17" x14ac:dyDescent="0.25">
      <c r="A193" s="1">
        <f t="shared" si="45"/>
        <v>184</v>
      </c>
      <c r="B193" s="70" t="str">
        <f t="shared" si="61"/>
        <v>58E &amp; 59E</v>
      </c>
      <c r="C193" s="68" t="s">
        <v>234</v>
      </c>
      <c r="D193" s="65" t="s">
        <v>242</v>
      </c>
      <c r="E193" s="335">
        <f t="shared" si="58"/>
        <v>6.57</v>
      </c>
      <c r="F193" s="288">
        <f t="shared" si="59"/>
        <v>-0.19</v>
      </c>
      <c r="G193" s="48">
        <v>101</v>
      </c>
      <c r="H193" s="287">
        <f t="shared" si="60"/>
        <v>664</v>
      </c>
      <c r="I193" s="287">
        <f t="shared" si="60"/>
        <v>-19</v>
      </c>
      <c r="K193" s="340"/>
      <c r="L193" s="335">
        <v>2.68</v>
      </c>
      <c r="M193" s="335">
        <v>3.89</v>
      </c>
      <c r="Q193" s="217"/>
    </row>
    <row r="194" spans="1:17" x14ac:dyDescent="0.25">
      <c r="A194" s="1">
        <f t="shared" si="45"/>
        <v>185</v>
      </c>
      <c r="B194" s="70" t="str">
        <f t="shared" si="61"/>
        <v>58E &amp; 59E</v>
      </c>
      <c r="C194" s="68" t="s">
        <v>234</v>
      </c>
      <c r="D194" s="65" t="s">
        <v>243</v>
      </c>
      <c r="E194" s="335">
        <f t="shared" si="58"/>
        <v>7.35</v>
      </c>
      <c r="F194" s="288">
        <f t="shared" si="59"/>
        <v>-0.22</v>
      </c>
      <c r="G194" s="48"/>
      <c r="H194" s="287">
        <f t="shared" si="60"/>
        <v>0</v>
      </c>
      <c r="I194" s="287">
        <f t="shared" si="60"/>
        <v>0</v>
      </c>
      <c r="K194" s="340"/>
      <c r="L194" s="335">
        <v>3</v>
      </c>
      <c r="M194" s="335">
        <v>4.3499999999999996</v>
      </c>
      <c r="Q194" s="217"/>
    </row>
    <row r="195" spans="1:17" x14ac:dyDescent="0.25">
      <c r="A195" s="1">
        <f t="shared" si="45"/>
        <v>186</v>
      </c>
      <c r="B195" s="70" t="str">
        <f t="shared" si="61"/>
        <v>58E &amp; 59E</v>
      </c>
      <c r="C195" s="68" t="s">
        <v>234</v>
      </c>
      <c r="D195" s="65" t="s">
        <v>261</v>
      </c>
      <c r="E195" s="335">
        <f t="shared" si="58"/>
        <v>9.0299999999999994</v>
      </c>
      <c r="F195" s="288">
        <f t="shared" si="59"/>
        <v>-0.27</v>
      </c>
      <c r="G195" s="48"/>
      <c r="H195" s="287">
        <f t="shared" si="60"/>
        <v>0</v>
      </c>
      <c r="I195" s="287">
        <f t="shared" si="60"/>
        <v>0</v>
      </c>
      <c r="K195" s="340"/>
      <c r="L195" s="335">
        <v>3.68</v>
      </c>
      <c r="M195" s="335">
        <v>5.35</v>
      </c>
      <c r="Q195" s="217"/>
    </row>
    <row r="196" spans="1:17" x14ac:dyDescent="0.25">
      <c r="A196" s="1">
        <f t="shared" si="45"/>
        <v>187</v>
      </c>
      <c r="B196" s="70" t="str">
        <f t="shared" si="61"/>
        <v>58E &amp; 59E</v>
      </c>
      <c r="C196" s="68" t="s">
        <v>234</v>
      </c>
      <c r="D196" s="65" t="s">
        <v>262</v>
      </c>
      <c r="E196" s="335">
        <f t="shared" si="58"/>
        <v>11.600000000000001</v>
      </c>
      <c r="F196" s="288">
        <f t="shared" si="59"/>
        <v>-0.34</v>
      </c>
      <c r="G196" s="48"/>
      <c r="H196" s="287">
        <f t="shared" si="60"/>
        <v>0</v>
      </c>
      <c r="I196" s="287">
        <f t="shared" si="60"/>
        <v>0</v>
      </c>
      <c r="K196" s="340"/>
      <c r="L196" s="335">
        <v>4.7300000000000004</v>
      </c>
      <c r="M196" s="335">
        <v>6.87</v>
      </c>
      <c r="Q196" s="217"/>
    </row>
    <row r="197" spans="1:17" x14ac:dyDescent="0.25">
      <c r="A197" s="1">
        <f t="shared" si="45"/>
        <v>188</v>
      </c>
      <c r="B197" s="70" t="str">
        <f t="shared" si="61"/>
        <v>58E &amp; 59E</v>
      </c>
      <c r="C197" s="68" t="s">
        <v>234</v>
      </c>
      <c r="D197" s="65" t="s">
        <v>263</v>
      </c>
      <c r="E197" s="335">
        <f t="shared" si="58"/>
        <v>14.18</v>
      </c>
      <c r="F197" s="288">
        <f t="shared" si="59"/>
        <v>-0.42</v>
      </c>
      <c r="G197" s="48"/>
      <c r="H197" s="287">
        <f t="shared" si="60"/>
        <v>0</v>
      </c>
      <c r="I197" s="287">
        <f t="shared" si="60"/>
        <v>0</v>
      </c>
      <c r="K197" s="340"/>
      <c r="L197" s="335">
        <v>5.78</v>
      </c>
      <c r="M197" s="335">
        <v>8.4</v>
      </c>
      <c r="Q197" s="217"/>
    </row>
    <row r="198" spans="1:17" x14ac:dyDescent="0.25">
      <c r="A198" s="1">
        <f t="shared" si="45"/>
        <v>189</v>
      </c>
      <c r="B198" s="70" t="str">
        <f t="shared" si="61"/>
        <v>58E &amp; 59E</v>
      </c>
      <c r="C198" s="68" t="s">
        <v>234</v>
      </c>
      <c r="D198" s="65" t="s">
        <v>264</v>
      </c>
      <c r="E198" s="335">
        <f t="shared" si="58"/>
        <v>16.759999999999998</v>
      </c>
      <c r="F198" s="288">
        <f t="shared" si="59"/>
        <v>-0.49</v>
      </c>
      <c r="G198" s="48"/>
      <c r="H198" s="287">
        <f t="shared" si="60"/>
        <v>0</v>
      </c>
      <c r="I198" s="287">
        <f t="shared" si="60"/>
        <v>0</v>
      </c>
      <c r="K198" s="340"/>
      <c r="L198" s="335">
        <v>6.83</v>
      </c>
      <c r="M198" s="335">
        <v>9.93</v>
      </c>
      <c r="Q198" s="217"/>
    </row>
    <row r="199" spans="1:17" x14ac:dyDescent="0.25">
      <c r="A199" s="1">
        <f t="shared" si="45"/>
        <v>190</v>
      </c>
      <c r="B199" s="70" t="str">
        <f t="shared" si="61"/>
        <v>58E &amp; 59E</v>
      </c>
      <c r="C199" s="68" t="s">
        <v>234</v>
      </c>
      <c r="D199" s="65" t="s">
        <v>265</v>
      </c>
      <c r="E199" s="335">
        <f t="shared" si="58"/>
        <v>19.329999999999998</v>
      </c>
      <c r="F199" s="288">
        <f t="shared" si="59"/>
        <v>-0.56999999999999995</v>
      </c>
      <c r="G199" s="48"/>
      <c r="H199" s="287">
        <f t="shared" si="60"/>
        <v>0</v>
      </c>
      <c r="I199" s="287">
        <f t="shared" si="60"/>
        <v>0</v>
      </c>
      <c r="K199" s="340"/>
      <c r="L199" s="335">
        <v>7.88</v>
      </c>
      <c r="M199" s="335">
        <v>11.45</v>
      </c>
      <c r="Q199" s="217"/>
    </row>
    <row r="200" spans="1:17" x14ac:dyDescent="0.25">
      <c r="A200" s="1">
        <f t="shared" si="45"/>
        <v>191</v>
      </c>
      <c r="B200" s="70" t="str">
        <f t="shared" si="61"/>
        <v>58E &amp; 59E</v>
      </c>
      <c r="C200" s="68" t="s">
        <v>234</v>
      </c>
      <c r="D200" s="65" t="s">
        <v>266</v>
      </c>
      <c r="E200" s="335">
        <f t="shared" si="58"/>
        <v>21.91</v>
      </c>
      <c r="F200" s="288">
        <f t="shared" si="59"/>
        <v>-0.65</v>
      </c>
      <c r="G200" s="48"/>
      <c r="H200" s="287">
        <f t="shared" si="60"/>
        <v>0</v>
      </c>
      <c r="I200" s="287">
        <f t="shared" si="60"/>
        <v>0</v>
      </c>
      <c r="K200" s="340"/>
      <c r="L200" s="335">
        <v>8.93</v>
      </c>
      <c r="M200" s="335">
        <v>12.98</v>
      </c>
      <c r="Q200" s="217"/>
    </row>
    <row r="201" spans="1:17" x14ac:dyDescent="0.25">
      <c r="B201" s="58"/>
      <c r="K201" s="340"/>
      <c r="L201" s="335"/>
      <c r="M201" s="335"/>
      <c r="Q201" s="217"/>
    </row>
    <row r="202" spans="1:17" x14ac:dyDescent="0.25">
      <c r="B202" s="58"/>
      <c r="K202" s="340"/>
      <c r="L202" s="335"/>
      <c r="M202" s="335"/>
      <c r="Q202" s="217"/>
    </row>
    <row r="203" spans="1:17" x14ac:dyDescent="0.25">
      <c r="Q203" s="217"/>
    </row>
    <row r="204" spans="1:17" x14ac:dyDescent="0.25">
      <c r="K204" s="340"/>
      <c r="L204" s="335"/>
      <c r="M204" s="335"/>
      <c r="Q204" s="217"/>
    </row>
    <row r="205" spans="1:17" x14ac:dyDescent="0.25">
      <c r="K205" s="340"/>
      <c r="L205" s="335"/>
      <c r="M205" s="335"/>
      <c r="Q205" s="217"/>
    </row>
    <row r="206" spans="1:17" x14ac:dyDescent="0.25">
      <c r="K206" s="340"/>
      <c r="L206" s="335"/>
      <c r="M206" s="335"/>
    </row>
    <row r="207" spans="1:17" x14ac:dyDescent="0.25">
      <c r="K207" s="340"/>
      <c r="L207" s="335"/>
      <c r="M207" s="335"/>
    </row>
    <row r="208" spans="1:17" x14ac:dyDescent="0.25">
      <c r="K208" s="340"/>
      <c r="L208" s="335"/>
      <c r="M208" s="335"/>
    </row>
  </sheetData>
  <mergeCells count="4">
    <mergeCell ref="A1:J1"/>
    <mergeCell ref="A2:J2"/>
    <mergeCell ref="A3:J3"/>
    <mergeCell ref="B4:F4"/>
  </mergeCells>
  <printOptions horizontalCentered="1"/>
  <pageMargins left="0.7" right="0.7" top="0.75" bottom="0.75" header="0.3" footer="0.3"/>
  <pageSetup scale="60" fitToHeight="0" orientation="portrait" r:id="rId1"/>
  <headerFooter alignWithMargins="0">
    <oddFooter>&amp;L&amp;F
&amp;A&amp;RSchedule 95A Filing Eff 1-1-19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workbookViewId="0">
      <pane xSplit="2" ySplit="6" topLeftCell="C34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8.7109375" defaultRowHeight="12.75" x14ac:dyDescent="0.2"/>
  <cols>
    <col min="1" max="1" width="17.7109375" style="75" customWidth="1"/>
    <col min="2" max="2" width="17.28515625" style="75" customWidth="1"/>
    <col min="3" max="3" width="11.42578125" style="75" bestFit="1" customWidth="1"/>
    <col min="4" max="5" width="8.5703125" style="75" bestFit="1" customWidth="1"/>
    <col min="6" max="6" width="11.5703125" style="75" customWidth="1"/>
    <col min="7" max="7" width="11.5703125" style="75" bestFit="1" customWidth="1"/>
    <col min="8" max="8" width="9.140625" style="75" bestFit="1" customWidth="1"/>
    <col min="9" max="9" width="7.7109375" style="75" bestFit="1" customWidth="1"/>
    <col min="10" max="11" width="7.85546875" style="75" bestFit="1" customWidth="1"/>
    <col min="12" max="13" width="8.5703125" style="75" bestFit="1" customWidth="1"/>
    <col min="14" max="14" width="10.42578125" style="75" bestFit="1" customWidth="1"/>
    <col min="15" max="16" width="8.5703125" style="75" bestFit="1" customWidth="1"/>
    <col min="17" max="17" width="10" style="75" customWidth="1"/>
    <col min="18" max="18" width="10.42578125" style="75" bestFit="1" customWidth="1"/>
    <col min="19" max="19" width="9.28515625" style="75" customWidth="1"/>
    <col min="20" max="20" width="8.7109375" style="75"/>
    <col min="21" max="21" width="8.85546875" style="75" bestFit="1" customWidth="1"/>
    <col min="22" max="16384" width="8.7109375" style="75"/>
  </cols>
  <sheetData>
    <row r="1" spans="1:22" x14ac:dyDescent="0.2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22" x14ac:dyDescent="0.2">
      <c r="A2" s="152" t="s">
        <v>39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22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5" spans="1:22" x14ac:dyDescent="0.2">
      <c r="C5" s="359" t="s">
        <v>40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</row>
    <row r="6" spans="1:22" ht="38.25" x14ac:dyDescent="0.2">
      <c r="A6" s="289" t="s">
        <v>41</v>
      </c>
      <c r="B6" s="289" t="s">
        <v>35</v>
      </c>
      <c r="C6" s="73" t="s">
        <v>134</v>
      </c>
      <c r="D6" s="73" t="s">
        <v>135</v>
      </c>
      <c r="E6" s="73" t="s">
        <v>136</v>
      </c>
      <c r="F6" s="73" t="s">
        <v>137</v>
      </c>
      <c r="G6" s="73" t="s">
        <v>138</v>
      </c>
      <c r="H6" s="73" t="s">
        <v>139</v>
      </c>
      <c r="I6" s="73" t="s">
        <v>140</v>
      </c>
      <c r="J6" s="73" t="s">
        <v>141</v>
      </c>
      <c r="K6" s="73" t="s">
        <v>142</v>
      </c>
      <c r="L6" s="73" t="s">
        <v>143</v>
      </c>
      <c r="M6" s="73" t="s">
        <v>144</v>
      </c>
      <c r="N6" s="73" t="s">
        <v>145</v>
      </c>
      <c r="O6" s="73" t="s">
        <v>158</v>
      </c>
      <c r="P6" s="73" t="s">
        <v>159</v>
      </c>
      <c r="Q6" s="73" t="s">
        <v>42</v>
      </c>
      <c r="R6" s="73" t="s">
        <v>146</v>
      </c>
      <c r="S6" s="289" t="s">
        <v>43</v>
      </c>
      <c r="T6" s="80"/>
    </row>
    <row r="7" spans="1:22" x14ac:dyDescent="0.2">
      <c r="A7" s="75" t="s">
        <v>44</v>
      </c>
      <c r="B7" s="227">
        <f>ROUND(+D67,0)</f>
        <v>1238</v>
      </c>
      <c r="C7" s="281">
        <f t="shared" ref="C7:C18" si="0">ROUND($F$31+IF($B7&gt;600,(600*$F$35+(($B7-600)*$F$42)),$B7*$F$35),2)</f>
        <v>127.71</v>
      </c>
      <c r="D7" s="281">
        <f t="shared" ref="D7:D18" si="1">ROUND($B7*$F$53,2)</f>
        <v>0</v>
      </c>
      <c r="E7" s="281">
        <f t="shared" ref="E7:E18" si="2">ROUND($B7*$F$54,2)</f>
        <v>-2.57</v>
      </c>
      <c r="F7" s="281">
        <f t="shared" ref="F7:F18" si="3">ROUND($B7*$F$55,2)</f>
        <v>6.02</v>
      </c>
      <c r="G7" s="281">
        <f t="shared" ref="G7:G18" si="4">ROUND($B7*$F$36,2)</f>
        <v>1.1100000000000001</v>
      </c>
      <c r="H7" s="281">
        <f t="shared" ref="H7:H18" si="5">ROUND($B7*$F$56,2)</f>
        <v>-0.43</v>
      </c>
      <c r="I7" s="281">
        <f t="shared" ref="I7:I18" si="6">ROUND($B7*$F$57,2)</f>
        <v>-0.04</v>
      </c>
      <c r="J7" s="281">
        <f t="shared" ref="J7:J18" si="7">ROUND($B7*$F$37,2)</f>
        <v>4.3</v>
      </c>
      <c r="K7" s="281">
        <f>ROUND($F$32+IF($B7&gt;600,(600*$F$38+(($B7-600)*$F$45)),$B7*$F$38),2)</f>
        <v>0</v>
      </c>
      <c r="L7" s="281">
        <f t="shared" ref="L7:L18" si="8">ROUND($B7*$F$39,2)</f>
        <v>-1.53</v>
      </c>
      <c r="M7" s="281">
        <f t="shared" ref="M7:M18" si="9">ROUND($B7*$F$49,2)</f>
        <v>-9.17</v>
      </c>
      <c r="N7" s="281">
        <f>SUM(C7:M7)</f>
        <v>125.40000000000002</v>
      </c>
      <c r="O7" s="281">
        <f>-E7</f>
        <v>2.57</v>
      </c>
      <c r="P7" s="281">
        <f>ROUND($B7*$G$54,2)</f>
        <v>-2.37</v>
      </c>
      <c r="Q7" s="281">
        <f>SUM(O7:P7)</f>
        <v>0.19999999999999973</v>
      </c>
      <c r="R7" s="281">
        <f>+N7+Q7</f>
        <v>125.60000000000002</v>
      </c>
      <c r="S7" s="313">
        <f>+Q7/N7</f>
        <v>1.5948963317384346E-3</v>
      </c>
      <c r="U7" s="281"/>
      <c r="V7" s="281"/>
    </row>
    <row r="8" spans="1:22" x14ac:dyDescent="0.2">
      <c r="A8" s="75" t="s">
        <v>45</v>
      </c>
      <c r="B8" s="227">
        <f t="shared" ref="B8:B18" si="10">ROUND(+D68,0)</f>
        <v>1031</v>
      </c>
      <c r="C8" s="281">
        <f t="shared" si="0"/>
        <v>105.71</v>
      </c>
      <c r="D8" s="281">
        <f t="shared" si="1"/>
        <v>0</v>
      </c>
      <c r="E8" s="281">
        <f t="shared" si="2"/>
        <v>-2.14</v>
      </c>
      <c r="F8" s="281">
        <f t="shared" si="3"/>
        <v>5.01</v>
      </c>
      <c r="G8" s="281">
        <f t="shared" si="4"/>
        <v>0.92</v>
      </c>
      <c r="H8" s="281">
        <f t="shared" si="5"/>
        <v>-0.36</v>
      </c>
      <c r="I8" s="281">
        <f t="shared" si="6"/>
        <v>-0.04</v>
      </c>
      <c r="J8" s="281">
        <f t="shared" si="7"/>
        <v>3.58</v>
      </c>
      <c r="K8" s="281">
        <f t="shared" ref="K8:K18" si="11">ROUND($F$32+IF($B8&gt;600,(600*$F$38+(($B8-600)*$F$45)),$B8*$F$38),2)</f>
        <v>0</v>
      </c>
      <c r="L8" s="281">
        <f t="shared" si="8"/>
        <v>-1.28</v>
      </c>
      <c r="M8" s="281">
        <f t="shared" si="9"/>
        <v>-7.64</v>
      </c>
      <c r="N8" s="281">
        <f t="shared" ref="N8:N17" si="12">SUM(C8:M8)</f>
        <v>103.75999999999999</v>
      </c>
      <c r="O8" s="281">
        <f t="shared" ref="O8:O18" si="13">-E8</f>
        <v>2.14</v>
      </c>
      <c r="P8" s="281">
        <f t="shared" ref="P8:P18" si="14">ROUND($B8*$G$54,2)</f>
        <v>-1.97</v>
      </c>
      <c r="Q8" s="281">
        <f t="shared" ref="Q8:Q18" si="15">SUM(O8:P8)</f>
        <v>0.17000000000000015</v>
      </c>
      <c r="R8" s="281">
        <f t="shared" ref="R8:R18" si="16">+N8+Q8</f>
        <v>103.92999999999999</v>
      </c>
      <c r="S8" s="313">
        <f t="shared" ref="S8:S18" si="17">+Q8/N8</f>
        <v>1.6383962991518906E-3</v>
      </c>
      <c r="U8" s="281"/>
      <c r="V8" s="281"/>
    </row>
    <row r="9" spans="1:22" x14ac:dyDescent="0.2">
      <c r="A9" s="75" t="s">
        <v>46</v>
      </c>
      <c r="B9" s="227">
        <f t="shared" si="10"/>
        <v>1026</v>
      </c>
      <c r="C9" s="281">
        <f t="shared" si="0"/>
        <v>105.17</v>
      </c>
      <c r="D9" s="281">
        <f t="shared" si="1"/>
        <v>0</v>
      </c>
      <c r="E9" s="281">
        <f t="shared" si="2"/>
        <v>-2.13</v>
      </c>
      <c r="F9" s="281">
        <f t="shared" si="3"/>
        <v>4.99</v>
      </c>
      <c r="G9" s="281">
        <f t="shared" si="4"/>
        <v>0.92</v>
      </c>
      <c r="H9" s="281">
        <f t="shared" si="5"/>
        <v>-0.35</v>
      </c>
      <c r="I9" s="281">
        <f t="shared" si="6"/>
        <v>-0.04</v>
      </c>
      <c r="J9" s="281">
        <f t="shared" si="7"/>
        <v>3.56</v>
      </c>
      <c r="K9" s="281">
        <f t="shared" si="11"/>
        <v>0</v>
      </c>
      <c r="L9" s="281">
        <f t="shared" si="8"/>
        <v>-1.27</v>
      </c>
      <c r="M9" s="281">
        <f t="shared" si="9"/>
        <v>-7.6</v>
      </c>
      <c r="N9" s="281">
        <f t="shared" si="12"/>
        <v>103.25000000000001</v>
      </c>
      <c r="O9" s="281">
        <f t="shared" si="13"/>
        <v>2.13</v>
      </c>
      <c r="P9" s="281">
        <f t="shared" si="14"/>
        <v>-1.96</v>
      </c>
      <c r="Q9" s="281">
        <f t="shared" si="15"/>
        <v>0.16999999999999993</v>
      </c>
      <c r="R9" s="281">
        <f t="shared" si="16"/>
        <v>103.42000000000002</v>
      </c>
      <c r="S9" s="313">
        <f t="shared" si="17"/>
        <v>1.6464891041162218E-3</v>
      </c>
      <c r="U9" s="281"/>
      <c r="V9" s="281"/>
    </row>
    <row r="10" spans="1:22" x14ac:dyDescent="0.2">
      <c r="A10" s="75" t="s">
        <v>47</v>
      </c>
      <c r="B10" s="227">
        <f t="shared" si="10"/>
        <v>845</v>
      </c>
      <c r="C10" s="281">
        <f t="shared" si="0"/>
        <v>85.93</v>
      </c>
      <c r="D10" s="281">
        <f t="shared" si="1"/>
        <v>0</v>
      </c>
      <c r="E10" s="281">
        <f t="shared" si="2"/>
        <v>-1.75</v>
      </c>
      <c r="F10" s="281">
        <f t="shared" si="3"/>
        <v>4.1100000000000003</v>
      </c>
      <c r="G10" s="281">
        <f t="shared" si="4"/>
        <v>0.76</v>
      </c>
      <c r="H10" s="281">
        <f t="shared" si="5"/>
        <v>-0.28999999999999998</v>
      </c>
      <c r="I10" s="281">
        <f t="shared" si="6"/>
        <v>-0.03</v>
      </c>
      <c r="J10" s="281">
        <f t="shared" si="7"/>
        <v>2.93</v>
      </c>
      <c r="K10" s="281">
        <f t="shared" si="11"/>
        <v>0</v>
      </c>
      <c r="L10" s="281">
        <f t="shared" si="8"/>
        <v>-1.05</v>
      </c>
      <c r="M10" s="281">
        <f t="shared" si="9"/>
        <v>-6.26</v>
      </c>
      <c r="N10" s="281">
        <f t="shared" si="12"/>
        <v>84.350000000000009</v>
      </c>
      <c r="O10" s="281">
        <f t="shared" si="13"/>
        <v>1.75</v>
      </c>
      <c r="P10" s="281">
        <f t="shared" si="14"/>
        <v>-1.62</v>
      </c>
      <c r="Q10" s="281">
        <f t="shared" si="15"/>
        <v>0.12999999999999989</v>
      </c>
      <c r="R10" s="281">
        <f t="shared" si="16"/>
        <v>84.48</v>
      </c>
      <c r="S10" s="313">
        <f t="shared" si="17"/>
        <v>1.5411973918197971E-3</v>
      </c>
      <c r="U10" s="281"/>
      <c r="V10" s="281"/>
    </row>
    <row r="11" spans="1:22" x14ac:dyDescent="0.2">
      <c r="A11" s="75" t="s">
        <v>48</v>
      </c>
      <c r="B11" s="227">
        <f t="shared" si="10"/>
        <v>725</v>
      </c>
      <c r="C11" s="281">
        <f t="shared" si="0"/>
        <v>73.180000000000007</v>
      </c>
      <c r="D11" s="281">
        <f t="shared" si="1"/>
        <v>0</v>
      </c>
      <c r="E11" s="281">
        <f t="shared" si="2"/>
        <v>-1.5</v>
      </c>
      <c r="F11" s="281">
        <f t="shared" si="3"/>
        <v>3.52</v>
      </c>
      <c r="G11" s="281">
        <f t="shared" si="4"/>
        <v>0.65</v>
      </c>
      <c r="H11" s="281">
        <f t="shared" si="5"/>
        <v>-0.25</v>
      </c>
      <c r="I11" s="281">
        <f t="shared" si="6"/>
        <v>-0.03</v>
      </c>
      <c r="J11" s="281">
        <f t="shared" si="7"/>
        <v>2.52</v>
      </c>
      <c r="K11" s="281">
        <f t="shared" si="11"/>
        <v>0</v>
      </c>
      <c r="L11" s="281">
        <f t="shared" si="8"/>
        <v>-0.9</v>
      </c>
      <c r="M11" s="281">
        <f t="shared" si="9"/>
        <v>-5.37</v>
      </c>
      <c r="N11" s="281">
        <f t="shared" si="12"/>
        <v>71.819999999999993</v>
      </c>
      <c r="O11" s="281">
        <f t="shared" si="13"/>
        <v>1.5</v>
      </c>
      <c r="P11" s="281">
        <f t="shared" si="14"/>
        <v>-1.39</v>
      </c>
      <c r="Q11" s="281">
        <f t="shared" si="15"/>
        <v>0.1100000000000001</v>
      </c>
      <c r="R11" s="281">
        <f t="shared" si="16"/>
        <v>71.929999999999993</v>
      </c>
      <c r="S11" s="313">
        <f t="shared" si="17"/>
        <v>1.5316067947646909E-3</v>
      </c>
      <c r="U11" s="281"/>
      <c r="V11" s="281"/>
    </row>
    <row r="12" spans="1:22" x14ac:dyDescent="0.2">
      <c r="A12" s="75" t="s">
        <v>49</v>
      </c>
      <c r="B12" s="227">
        <f t="shared" si="10"/>
        <v>666</v>
      </c>
      <c r="C12" s="281">
        <f t="shared" si="0"/>
        <v>66.91</v>
      </c>
      <c r="D12" s="281">
        <f t="shared" si="1"/>
        <v>0</v>
      </c>
      <c r="E12" s="281">
        <f t="shared" si="2"/>
        <v>-1.38</v>
      </c>
      <c r="F12" s="281">
        <f t="shared" si="3"/>
        <v>3.24</v>
      </c>
      <c r="G12" s="281">
        <f t="shared" si="4"/>
        <v>0.6</v>
      </c>
      <c r="H12" s="281">
        <f t="shared" si="5"/>
        <v>-0.23</v>
      </c>
      <c r="I12" s="281">
        <f t="shared" si="6"/>
        <v>-0.02</v>
      </c>
      <c r="J12" s="281">
        <f t="shared" si="7"/>
        <v>2.31</v>
      </c>
      <c r="K12" s="281">
        <f t="shared" si="11"/>
        <v>0</v>
      </c>
      <c r="L12" s="281">
        <f t="shared" si="8"/>
        <v>-0.82</v>
      </c>
      <c r="M12" s="281">
        <f t="shared" si="9"/>
        <v>-4.93</v>
      </c>
      <c r="N12" s="281">
        <f t="shared" si="12"/>
        <v>65.680000000000007</v>
      </c>
      <c r="O12" s="281">
        <f t="shared" si="13"/>
        <v>1.38</v>
      </c>
      <c r="P12" s="281">
        <f t="shared" si="14"/>
        <v>-1.27</v>
      </c>
      <c r="Q12" s="281">
        <f t="shared" si="15"/>
        <v>0.10999999999999988</v>
      </c>
      <c r="R12" s="281">
        <f t="shared" si="16"/>
        <v>65.790000000000006</v>
      </c>
      <c r="S12" s="313">
        <f t="shared" si="17"/>
        <v>1.6747868453105947E-3</v>
      </c>
      <c r="U12" s="281"/>
      <c r="V12" s="281"/>
    </row>
    <row r="13" spans="1:22" x14ac:dyDescent="0.2">
      <c r="A13" s="75" t="s">
        <v>50</v>
      </c>
      <c r="B13" s="227">
        <f t="shared" si="10"/>
        <v>667</v>
      </c>
      <c r="C13" s="281">
        <f t="shared" si="0"/>
        <v>67.010000000000005</v>
      </c>
      <c r="D13" s="281">
        <f t="shared" si="1"/>
        <v>0</v>
      </c>
      <c r="E13" s="281">
        <f t="shared" si="2"/>
        <v>-1.38</v>
      </c>
      <c r="F13" s="281">
        <f t="shared" si="3"/>
        <v>3.24</v>
      </c>
      <c r="G13" s="281">
        <f t="shared" si="4"/>
        <v>0.6</v>
      </c>
      <c r="H13" s="281">
        <f t="shared" si="5"/>
        <v>-0.23</v>
      </c>
      <c r="I13" s="281">
        <f t="shared" si="6"/>
        <v>-0.02</v>
      </c>
      <c r="J13" s="281">
        <f t="shared" si="7"/>
        <v>2.3199999999999998</v>
      </c>
      <c r="K13" s="281">
        <f t="shared" si="11"/>
        <v>0</v>
      </c>
      <c r="L13" s="281">
        <f t="shared" si="8"/>
        <v>-0.83</v>
      </c>
      <c r="M13" s="281">
        <f t="shared" si="9"/>
        <v>-4.9400000000000004</v>
      </c>
      <c r="N13" s="281">
        <f t="shared" si="12"/>
        <v>65.77</v>
      </c>
      <c r="O13" s="281">
        <f t="shared" si="13"/>
        <v>1.38</v>
      </c>
      <c r="P13" s="281">
        <f t="shared" si="14"/>
        <v>-1.28</v>
      </c>
      <c r="Q13" s="281">
        <f t="shared" si="15"/>
        <v>9.9999999999999867E-2</v>
      </c>
      <c r="R13" s="281">
        <f t="shared" si="16"/>
        <v>65.86999999999999</v>
      </c>
      <c r="S13" s="313">
        <f t="shared" si="17"/>
        <v>1.52045005321575E-3</v>
      </c>
      <c r="U13" s="281"/>
      <c r="V13" s="281"/>
    </row>
    <row r="14" spans="1:22" x14ac:dyDescent="0.2">
      <c r="A14" s="75" t="s">
        <v>51</v>
      </c>
      <c r="B14" s="227">
        <f t="shared" si="10"/>
        <v>650</v>
      </c>
      <c r="C14" s="281">
        <f t="shared" si="0"/>
        <v>65.209999999999994</v>
      </c>
      <c r="D14" s="281">
        <f t="shared" si="1"/>
        <v>0</v>
      </c>
      <c r="E14" s="281">
        <f t="shared" si="2"/>
        <v>-1.35</v>
      </c>
      <c r="F14" s="281">
        <f t="shared" si="3"/>
        <v>3.16</v>
      </c>
      <c r="G14" s="281">
        <f t="shared" si="4"/>
        <v>0.57999999999999996</v>
      </c>
      <c r="H14" s="281">
        <f t="shared" si="5"/>
        <v>-0.22</v>
      </c>
      <c r="I14" s="281">
        <f t="shared" si="6"/>
        <v>-0.02</v>
      </c>
      <c r="J14" s="281">
        <f t="shared" si="7"/>
        <v>2.2599999999999998</v>
      </c>
      <c r="K14" s="281">
        <f t="shared" si="11"/>
        <v>0</v>
      </c>
      <c r="L14" s="281">
        <f t="shared" si="8"/>
        <v>-0.8</v>
      </c>
      <c r="M14" s="281">
        <f t="shared" si="9"/>
        <v>-4.8099999999999996</v>
      </c>
      <c r="N14" s="281">
        <f t="shared" si="12"/>
        <v>64.010000000000005</v>
      </c>
      <c r="O14" s="281">
        <f t="shared" si="13"/>
        <v>1.35</v>
      </c>
      <c r="P14" s="281">
        <f t="shared" si="14"/>
        <v>-1.24</v>
      </c>
      <c r="Q14" s="281">
        <f t="shared" si="15"/>
        <v>0.1100000000000001</v>
      </c>
      <c r="R14" s="281">
        <f t="shared" si="16"/>
        <v>64.12</v>
      </c>
      <c r="S14" s="313">
        <f t="shared" si="17"/>
        <v>1.7184814872676158E-3</v>
      </c>
      <c r="U14" s="281"/>
      <c r="V14" s="281"/>
    </row>
    <row r="15" spans="1:22" x14ac:dyDescent="0.2">
      <c r="A15" s="75" t="s">
        <v>52</v>
      </c>
      <c r="B15" s="227">
        <f t="shared" si="10"/>
        <v>652</v>
      </c>
      <c r="C15" s="281">
        <f t="shared" si="0"/>
        <v>65.42</v>
      </c>
      <c r="D15" s="281">
        <f t="shared" si="1"/>
        <v>0</v>
      </c>
      <c r="E15" s="281">
        <f t="shared" si="2"/>
        <v>-1.35</v>
      </c>
      <c r="F15" s="281">
        <f t="shared" si="3"/>
        <v>3.17</v>
      </c>
      <c r="G15" s="281">
        <f t="shared" si="4"/>
        <v>0.57999999999999996</v>
      </c>
      <c r="H15" s="281">
        <f t="shared" si="5"/>
        <v>-0.23</v>
      </c>
      <c r="I15" s="281">
        <f t="shared" si="6"/>
        <v>-0.02</v>
      </c>
      <c r="J15" s="281">
        <f t="shared" si="7"/>
        <v>2.2599999999999998</v>
      </c>
      <c r="K15" s="281">
        <f t="shared" si="11"/>
        <v>0</v>
      </c>
      <c r="L15" s="281">
        <f t="shared" si="8"/>
        <v>-0.81</v>
      </c>
      <c r="M15" s="281">
        <f t="shared" si="9"/>
        <v>-4.83</v>
      </c>
      <c r="N15" s="281">
        <f t="shared" si="12"/>
        <v>64.190000000000012</v>
      </c>
      <c r="O15" s="281">
        <f t="shared" si="13"/>
        <v>1.35</v>
      </c>
      <c r="P15" s="281">
        <f t="shared" si="14"/>
        <v>-1.25</v>
      </c>
      <c r="Q15" s="281">
        <f t="shared" si="15"/>
        <v>0.10000000000000009</v>
      </c>
      <c r="R15" s="281">
        <f t="shared" si="16"/>
        <v>64.290000000000006</v>
      </c>
      <c r="S15" s="313">
        <f t="shared" si="17"/>
        <v>1.5578750584203157E-3</v>
      </c>
      <c r="U15" s="281"/>
      <c r="V15" s="281"/>
    </row>
    <row r="16" spans="1:22" x14ac:dyDescent="0.2">
      <c r="A16" s="75" t="s">
        <v>53</v>
      </c>
      <c r="B16" s="227">
        <f t="shared" si="10"/>
        <v>812</v>
      </c>
      <c r="C16" s="281">
        <f t="shared" si="0"/>
        <v>82.43</v>
      </c>
      <c r="D16" s="281">
        <f t="shared" si="1"/>
        <v>0</v>
      </c>
      <c r="E16" s="281">
        <f t="shared" si="2"/>
        <v>-1.68</v>
      </c>
      <c r="F16" s="281">
        <f t="shared" si="3"/>
        <v>3.95</v>
      </c>
      <c r="G16" s="281">
        <f t="shared" si="4"/>
        <v>0.73</v>
      </c>
      <c r="H16" s="281">
        <f t="shared" si="5"/>
        <v>-0.28000000000000003</v>
      </c>
      <c r="I16" s="281">
        <f t="shared" si="6"/>
        <v>-0.03</v>
      </c>
      <c r="J16" s="281">
        <f t="shared" si="7"/>
        <v>2.82</v>
      </c>
      <c r="K16" s="281">
        <f t="shared" si="11"/>
        <v>0</v>
      </c>
      <c r="L16" s="281">
        <f t="shared" si="8"/>
        <v>-1</v>
      </c>
      <c r="M16" s="281">
        <f t="shared" si="9"/>
        <v>-6.01</v>
      </c>
      <c r="N16" s="281">
        <f t="shared" si="12"/>
        <v>80.929999999999993</v>
      </c>
      <c r="O16" s="281">
        <f t="shared" si="13"/>
        <v>1.68</v>
      </c>
      <c r="P16" s="281">
        <f t="shared" si="14"/>
        <v>-1.55</v>
      </c>
      <c r="Q16" s="281">
        <f t="shared" si="15"/>
        <v>0.12999999999999989</v>
      </c>
      <c r="R16" s="281">
        <f t="shared" si="16"/>
        <v>81.059999999999988</v>
      </c>
      <c r="S16" s="313">
        <f t="shared" si="17"/>
        <v>1.6063264549610763E-3</v>
      </c>
      <c r="U16" s="281"/>
      <c r="V16" s="281"/>
    </row>
    <row r="17" spans="1:22" x14ac:dyDescent="0.2">
      <c r="A17" s="75" t="s">
        <v>54</v>
      </c>
      <c r="B17" s="227">
        <f t="shared" si="10"/>
        <v>1001</v>
      </c>
      <c r="C17" s="281">
        <f t="shared" si="0"/>
        <v>102.52</v>
      </c>
      <c r="D17" s="281">
        <f t="shared" si="1"/>
        <v>0</v>
      </c>
      <c r="E17" s="281">
        <f t="shared" si="2"/>
        <v>-2.0699999999999998</v>
      </c>
      <c r="F17" s="281">
        <f t="shared" si="3"/>
        <v>4.8600000000000003</v>
      </c>
      <c r="G17" s="281">
        <f t="shared" si="4"/>
        <v>0.9</v>
      </c>
      <c r="H17" s="281">
        <f t="shared" si="5"/>
        <v>-0.35</v>
      </c>
      <c r="I17" s="281">
        <f t="shared" si="6"/>
        <v>-0.04</v>
      </c>
      <c r="J17" s="281">
        <f t="shared" si="7"/>
        <v>3.48</v>
      </c>
      <c r="K17" s="281">
        <f t="shared" si="11"/>
        <v>0</v>
      </c>
      <c r="L17" s="281">
        <f t="shared" si="8"/>
        <v>-1.24</v>
      </c>
      <c r="M17" s="281">
        <f t="shared" si="9"/>
        <v>-7.41</v>
      </c>
      <c r="N17" s="281">
        <f t="shared" si="12"/>
        <v>100.65000000000002</v>
      </c>
      <c r="O17" s="281">
        <f t="shared" si="13"/>
        <v>2.0699999999999998</v>
      </c>
      <c r="P17" s="281">
        <f t="shared" si="14"/>
        <v>-1.91</v>
      </c>
      <c r="Q17" s="281">
        <f t="shared" si="15"/>
        <v>0.15999999999999992</v>
      </c>
      <c r="R17" s="281">
        <f t="shared" si="16"/>
        <v>100.81000000000002</v>
      </c>
      <c r="S17" s="313">
        <f t="shared" si="17"/>
        <v>1.5896671634376542E-3</v>
      </c>
      <c r="U17" s="281"/>
      <c r="V17" s="281"/>
    </row>
    <row r="18" spans="1:22" x14ac:dyDescent="0.2">
      <c r="A18" s="75" t="s">
        <v>55</v>
      </c>
      <c r="B18" s="227">
        <f t="shared" si="10"/>
        <v>1264</v>
      </c>
      <c r="C18" s="281">
        <f t="shared" si="0"/>
        <v>130.47</v>
      </c>
      <c r="D18" s="281">
        <f t="shared" si="1"/>
        <v>0</v>
      </c>
      <c r="E18" s="281">
        <f t="shared" si="2"/>
        <v>-2.62</v>
      </c>
      <c r="F18" s="281">
        <f t="shared" si="3"/>
        <v>6.14</v>
      </c>
      <c r="G18" s="281">
        <f t="shared" si="4"/>
        <v>1.1299999999999999</v>
      </c>
      <c r="H18" s="281">
        <f t="shared" si="5"/>
        <v>-0.44</v>
      </c>
      <c r="I18" s="281">
        <f t="shared" si="6"/>
        <v>-0.04</v>
      </c>
      <c r="J18" s="281">
        <f t="shared" si="7"/>
        <v>4.3899999999999997</v>
      </c>
      <c r="K18" s="281">
        <f t="shared" si="11"/>
        <v>0</v>
      </c>
      <c r="L18" s="281">
        <f t="shared" si="8"/>
        <v>-1.56</v>
      </c>
      <c r="M18" s="281">
        <f t="shared" si="9"/>
        <v>-9.36</v>
      </c>
      <c r="N18" s="281">
        <f t="shared" ref="N18" si="18">SUM(C18:M18)</f>
        <v>128.10999999999996</v>
      </c>
      <c r="O18" s="281">
        <f t="shared" si="13"/>
        <v>2.62</v>
      </c>
      <c r="P18" s="281">
        <f t="shared" si="14"/>
        <v>-2.42</v>
      </c>
      <c r="Q18" s="281">
        <f t="shared" si="15"/>
        <v>0.20000000000000018</v>
      </c>
      <c r="R18" s="281">
        <f t="shared" si="16"/>
        <v>128.30999999999995</v>
      </c>
      <c r="S18" s="313">
        <f t="shared" si="17"/>
        <v>1.561158379517604E-3</v>
      </c>
      <c r="U18" s="281"/>
      <c r="V18" s="281"/>
    </row>
    <row r="19" spans="1:22" x14ac:dyDescent="0.2"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313"/>
    </row>
    <row r="20" spans="1:22" ht="13.5" thickBot="1" x14ac:dyDescent="0.25">
      <c r="A20" s="297" t="s">
        <v>56</v>
      </c>
      <c r="B20" s="299">
        <f>SUM(B7:B19)</f>
        <v>10577</v>
      </c>
      <c r="C20" s="314">
        <f>SUM(C7:C19)</f>
        <v>1077.67</v>
      </c>
      <c r="D20" s="314">
        <f t="shared" ref="D20:R20" si="19">SUM(D7:D19)</f>
        <v>0</v>
      </c>
      <c r="E20" s="314">
        <f t="shared" si="19"/>
        <v>-21.919999999999998</v>
      </c>
      <c r="F20" s="314">
        <f t="shared" si="19"/>
        <v>51.410000000000011</v>
      </c>
      <c r="G20" s="314">
        <f t="shared" si="19"/>
        <v>9.48</v>
      </c>
      <c r="H20" s="314">
        <f t="shared" si="19"/>
        <v>-3.66</v>
      </c>
      <c r="I20" s="314">
        <f t="shared" si="19"/>
        <v>-0.36999999999999988</v>
      </c>
      <c r="J20" s="314">
        <f t="shared" si="19"/>
        <v>36.729999999999997</v>
      </c>
      <c r="K20" s="314">
        <f t="shared" si="19"/>
        <v>0</v>
      </c>
      <c r="L20" s="314">
        <f t="shared" si="19"/>
        <v>-13.090000000000002</v>
      </c>
      <c r="M20" s="314">
        <f t="shared" si="19"/>
        <v>-78.329999999999984</v>
      </c>
      <c r="N20" s="314">
        <f t="shared" si="19"/>
        <v>1057.9199999999998</v>
      </c>
      <c r="O20" s="314">
        <f t="shared" si="19"/>
        <v>21.919999999999998</v>
      </c>
      <c r="P20" s="314">
        <f t="shared" si="19"/>
        <v>-20.229999999999997</v>
      </c>
      <c r="Q20" s="314">
        <f t="shared" si="19"/>
        <v>1.6899999999999997</v>
      </c>
      <c r="R20" s="314">
        <f t="shared" si="19"/>
        <v>1059.6100000000001</v>
      </c>
      <c r="S20" s="315">
        <f t="shared" ref="S20:S22" si="20">+Q20/N20</f>
        <v>1.5974742891712039E-3</v>
      </c>
    </row>
    <row r="21" spans="1:22" ht="13.5" thickTop="1" x14ac:dyDescent="0.2">
      <c r="A21" s="297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313"/>
    </row>
    <row r="22" spans="1:22" ht="13.5" thickBot="1" x14ac:dyDescent="0.25">
      <c r="A22" s="93" t="s">
        <v>57</v>
      </c>
      <c r="B22" s="299">
        <f>ROUND(+B20/12,0)</f>
        <v>881</v>
      </c>
      <c r="C22" s="314">
        <f>+C20/12</f>
        <v>89.805833333333339</v>
      </c>
      <c r="D22" s="314">
        <f t="shared" ref="D22:R22" si="21">+D20/12</f>
        <v>0</v>
      </c>
      <c r="E22" s="314">
        <f t="shared" si="21"/>
        <v>-1.8266666666666664</v>
      </c>
      <c r="F22" s="314">
        <f t="shared" si="21"/>
        <v>4.2841666666666676</v>
      </c>
      <c r="G22" s="314">
        <f t="shared" si="21"/>
        <v>0.79</v>
      </c>
      <c r="H22" s="314">
        <f t="shared" si="21"/>
        <v>-0.30499999999999999</v>
      </c>
      <c r="I22" s="314">
        <f t="shared" si="21"/>
        <v>-3.0833333333333324E-2</v>
      </c>
      <c r="J22" s="314">
        <f t="shared" si="21"/>
        <v>3.0608333333333331</v>
      </c>
      <c r="K22" s="314">
        <f t="shared" si="21"/>
        <v>0</v>
      </c>
      <c r="L22" s="314">
        <f t="shared" si="21"/>
        <v>-1.0908333333333335</v>
      </c>
      <c r="M22" s="314">
        <f t="shared" si="21"/>
        <v>-6.527499999999999</v>
      </c>
      <c r="N22" s="314">
        <f t="shared" si="21"/>
        <v>88.159999999999982</v>
      </c>
      <c r="O22" s="314">
        <f t="shared" si="21"/>
        <v>1.8266666666666664</v>
      </c>
      <c r="P22" s="314">
        <f t="shared" si="21"/>
        <v>-1.6858333333333331</v>
      </c>
      <c r="Q22" s="314">
        <f t="shared" si="21"/>
        <v>0.14083333333333331</v>
      </c>
      <c r="R22" s="314">
        <f t="shared" si="21"/>
        <v>88.300833333333344</v>
      </c>
      <c r="S22" s="315">
        <f t="shared" si="20"/>
        <v>1.5974742891712039E-3</v>
      </c>
    </row>
    <row r="23" spans="1:22" ht="13.5" thickTop="1" x14ac:dyDescent="0.2"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</row>
    <row r="24" spans="1:22" x14ac:dyDescent="0.2">
      <c r="A24" s="75" t="s">
        <v>58</v>
      </c>
      <c r="C24" s="282">
        <f>+C20/$B$20*100</f>
        <v>10.18880589959346</v>
      </c>
      <c r="D24" s="282">
        <f t="shared" ref="D24:R24" si="22">+D20/$B$20*100</f>
        <v>0</v>
      </c>
      <c r="E24" s="282">
        <f t="shared" si="22"/>
        <v>-0.20724212914815165</v>
      </c>
      <c r="F24" s="282">
        <f t="shared" si="22"/>
        <v>0.48605464687529554</v>
      </c>
      <c r="G24" s="282">
        <f t="shared" si="22"/>
        <v>8.9628439065897708E-2</v>
      </c>
      <c r="H24" s="282">
        <f t="shared" si="22"/>
        <v>-3.4603384702656712E-2</v>
      </c>
      <c r="I24" s="282">
        <f t="shared" si="22"/>
        <v>-3.4981563770445294E-3</v>
      </c>
      <c r="J24" s="282">
        <f t="shared" si="22"/>
        <v>0.34726292899687999</v>
      </c>
      <c r="K24" s="282">
        <f t="shared" si="22"/>
        <v>0</v>
      </c>
      <c r="L24" s="282">
        <f t="shared" si="22"/>
        <v>-0.12375909993381869</v>
      </c>
      <c r="M24" s="282">
        <f t="shared" si="22"/>
        <v>-0.74056915949702173</v>
      </c>
      <c r="N24" s="282">
        <f t="shared" si="22"/>
        <v>10.002079984872836</v>
      </c>
      <c r="O24" s="282">
        <f t="shared" si="22"/>
        <v>0.20724212914815165</v>
      </c>
      <c r="P24" s="282">
        <f t="shared" si="22"/>
        <v>-0.19126406353408335</v>
      </c>
      <c r="Q24" s="282">
        <f t="shared" si="22"/>
        <v>1.5978065614068258E-2</v>
      </c>
      <c r="R24" s="282">
        <f t="shared" si="22"/>
        <v>10.018058050486907</v>
      </c>
    </row>
    <row r="25" spans="1:22" x14ac:dyDescent="0.2"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</row>
    <row r="26" spans="1:22" ht="13.5" thickBot="1" x14ac:dyDescent="0.25">
      <c r="A26" s="93" t="s">
        <v>147</v>
      </c>
      <c r="B26" s="299">
        <f>ROUND(B22,-2)</f>
        <v>900</v>
      </c>
      <c r="C26" s="314">
        <f>ROUND($F$31+IF($B26&gt;600,(600*$F$35+(($B26-600)*$F$42)),$B26*$F$35),2)</f>
        <v>91.78</v>
      </c>
      <c r="D26" s="314">
        <f>ROUND($B26*$F$53,2)</f>
        <v>0</v>
      </c>
      <c r="E26" s="314">
        <f>ROUND($B26*$F$54,2)</f>
        <v>-1.86</v>
      </c>
      <c r="F26" s="314">
        <f>ROUND($B26*$F$55,2)</f>
        <v>4.37</v>
      </c>
      <c r="G26" s="314">
        <f>ROUND($B26*$F$36,2)</f>
        <v>0.81</v>
      </c>
      <c r="H26" s="314">
        <f>ROUND($B26*$F$56,2)</f>
        <v>-0.31</v>
      </c>
      <c r="I26" s="314">
        <f>ROUND($B26*$F$57,2)</f>
        <v>-0.03</v>
      </c>
      <c r="J26" s="314">
        <f>ROUND($B26*$F$37,2)</f>
        <v>3.12</v>
      </c>
      <c r="K26" s="314">
        <f>ROUND($F$32+IF($B26&gt;600,(600*$F$38+(($B26-600)*$F$45)),$B26*$F$35),2)</f>
        <v>0</v>
      </c>
      <c r="L26" s="314">
        <f>ROUND($B26*$F$39,2)</f>
        <v>-1.1100000000000001</v>
      </c>
      <c r="M26" s="314">
        <f>ROUND($B26*$F$49,2)</f>
        <v>-6.67</v>
      </c>
      <c r="N26" s="314">
        <f>SUM(C26:M26)</f>
        <v>90.100000000000009</v>
      </c>
      <c r="O26" s="314">
        <f t="shared" ref="O26" si="23">-E26</f>
        <v>1.86</v>
      </c>
      <c r="P26" s="314">
        <f t="shared" ref="P26" si="24">ROUND($B26*$G$54,2)</f>
        <v>-1.72</v>
      </c>
      <c r="Q26" s="314">
        <f>SUM(O26:P26)</f>
        <v>0.14000000000000012</v>
      </c>
      <c r="R26" s="314">
        <f>+N26+Q26</f>
        <v>90.240000000000009</v>
      </c>
      <c r="S26" s="315">
        <f>+Q26/N26</f>
        <v>1.5538290788013331E-3</v>
      </c>
    </row>
    <row r="27" spans="1:22" ht="13.5" thickTop="1" x14ac:dyDescent="0.2"/>
    <row r="29" spans="1:22" ht="51" x14ac:dyDescent="0.2">
      <c r="A29" s="316" t="s">
        <v>148</v>
      </c>
      <c r="B29" s="317"/>
      <c r="C29" s="317"/>
      <c r="D29" s="317"/>
      <c r="F29" s="318" t="s">
        <v>489</v>
      </c>
      <c r="G29" s="319" t="s">
        <v>487</v>
      </c>
    </row>
    <row r="30" spans="1:22" x14ac:dyDescent="0.2">
      <c r="A30" s="360" t="s">
        <v>59</v>
      </c>
      <c r="B30" s="360"/>
      <c r="C30" s="360"/>
      <c r="D30" s="360"/>
      <c r="F30" s="320"/>
      <c r="G30" s="321"/>
    </row>
    <row r="31" spans="1:22" x14ac:dyDescent="0.2">
      <c r="A31" s="361" t="s">
        <v>149</v>
      </c>
      <c r="B31" s="361"/>
      <c r="C31" s="361"/>
      <c r="D31" s="361"/>
      <c r="F31" s="322">
        <v>7.49</v>
      </c>
      <c r="G31" s="323">
        <f>+F31</f>
        <v>7.49</v>
      </c>
      <c r="H31" s="75" t="s">
        <v>60</v>
      </c>
    </row>
    <row r="32" spans="1:22" x14ac:dyDescent="0.2">
      <c r="A32" s="361" t="s">
        <v>111</v>
      </c>
      <c r="B32" s="361"/>
      <c r="C32" s="361"/>
      <c r="D32" s="361"/>
      <c r="F32" s="324">
        <v>0</v>
      </c>
      <c r="G32" s="325">
        <f>+F32</f>
        <v>0</v>
      </c>
      <c r="H32" s="75" t="s">
        <v>60</v>
      </c>
      <c r="P32" s="281"/>
    </row>
    <row r="33" spans="1:8" ht="13.5" thickBot="1" x14ac:dyDescent="0.25">
      <c r="A33" s="358" t="s">
        <v>117</v>
      </c>
      <c r="B33" s="358"/>
      <c r="C33" s="358"/>
      <c r="D33" s="358"/>
      <c r="F33" s="326">
        <v>7.49</v>
      </c>
      <c r="G33" s="327">
        <f>SUM(G31:G32)</f>
        <v>7.49</v>
      </c>
    </row>
    <row r="34" spans="1:8" ht="13.5" thickTop="1" x14ac:dyDescent="0.2">
      <c r="A34" s="360" t="s">
        <v>61</v>
      </c>
      <c r="B34" s="360"/>
      <c r="C34" s="360"/>
      <c r="D34" s="360"/>
      <c r="F34" s="328"/>
      <c r="G34" s="329"/>
    </row>
    <row r="35" spans="1:8" x14ac:dyDescent="0.2">
      <c r="A35" s="361" t="s">
        <v>62</v>
      </c>
      <c r="B35" s="361"/>
      <c r="C35" s="361"/>
      <c r="D35" s="361"/>
      <c r="F35" s="330">
        <v>8.7335999999999997E-2</v>
      </c>
      <c r="G35" s="331">
        <f>+F35</f>
        <v>8.7335999999999997E-2</v>
      </c>
      <c r="H35" s="75" t="s">
        <v>32</v>
      </c>
    </row>
    <row r="36" spans="1:8" x14ac:dyDescent="0.2">
      <c r="A36" s="361" t="s">
        <v>66</v>
      </c>
      <c r="B36" s="361"/>
      <c r="C36" s="361"/>
      <c r="D36" s="361"/>
      <c r="F36" s="330">
        <v>8.9499999999999996E-4</v>
      </c>
      <c r="G36" s="331">
        <f t="shared" ref="G36" si="25">+F36</f>
        <v>8.9499999999999996E-4</v>
      </c>
      <c r="H36" s="75" t="s">
        <v>32</v>
      </c>
    </row>
    <row r="37" spans="1:8" x14ac:dyDescent="0.2">
      <c r="A37" s="361" t="s">
        <v>110</v>
      </c>
      <c r="B37" s="361"/>
      <c r="C37" s="361"/>
      <c r="D37" s="361"/>
      <c r="F37" s="330">
        <v>3.4719999999999998E-3</v>
      </c>
      <c r="G37" s="331">
        <f t="shared" ref="G37:G39" si="26">+F37</f>
        <v>3.4719999999999998E-3</v>
      </c>
      <c r="H37" s="75" t="s">
        <v>32</v>
      </c>
    </row>
    <row r="38" spans="1:8" x14ac:dyDescent="0.2">
      <c r="A38" s="361" t="s">
        <v>112</v>
      </c>
      <c r="B38" s="361"/>
      <c r="C38" s="361"/>
      <c r="D38" s="361"/>
      <c r="F38" s="330">
        <v>0</v>
      </c>
      <c r="G38" s="331">
        <f t="shared" si="26"/>
        <v>0</v>
      </c>
      <c r="H38" s="75" t="s">
        <v>32</v>
      </c>
    </row>
    <row r="39" spans="1:8" x14ac:dyDescent="0.2">
      <c r="A39" s="361" t="s">
        <v>114</v>
      </c>
      <c r="B39" s="361"/>
      <c r="C39" s="361"/>
      <c r="D39" s="361"/>
      <c r="F39" s="330">
        <v>-1.237E-3</v>
      </c>
      <c r="G39" s="331">
        <f t="shared" si="26"/>
        <v>-1.237E-3</v>
      </c>
      <c r="H39" s="75" t="s">
        <v>32</v>
      </c>
    </row>
    <row r="40" spans="1:8" ht="13.5" thickBot="1" x14ac:dyDescent="0.25">
      <c r="A40" s="358" t="s">
        <v>118</v>
      </c>
      <c r="B40" s="358"/>
      <c r="C40" s="358"/>
      <c r="D40" s="358"/>
      <c r="F40" s="332">
        <f>SUM(F35:F39)</f>
        <v>9.0466000000000005E-2</v>
      </c>
      <c r="G40" s="332">
        <f>SUM(G35:G39)</f>
        <v>9.0466000000000005E-2</v>
      </c>
      <c r="H40" s="75" t="s">
        <v>32</v>
      </c>
    </row>
    <row r="41" spans="1:8" ht="13.5" thickTop="1" x14ac:dyDescent="0.2">
      <c r="A41" s="360"/>
      <c r="B41" s="360"/>
      <c r="C41" s="360"/>
      <c r="D41" s="360"/>
      <c r="F41" s="330"/>
      <c r="G41" s="331"/>
    </row>
    <row r="42" spans="1:8" x14ac:dyDescent="0.2">
      <c r="A42" s="360" t="s">
        <v>63</v>
      </c>
      <c r="B42" s="360"/>
      <c r="C42" s="360"/>
      <c r="D42" s="360"/>
      <c r="F42" s="330">
        <v>0.106297</v>
      </c>
      <c r="G42" s="331">
        <f>+F42</f>
        <v>0.106297</v>
      </c>
      <c r="H42" s="75" t="s">
        <v>32</v>
      </c>
    </row>
    <row r="43" spans="1:8" x14ac:dyDescent="0.2">
      <c r="A43" s="361" t="s">
        <v>66</v>
      </c>
      <c r="B43" s="361"/>
      <c r="C43" s="361"/>
      <c r="D43" s="361"/>
      <c r="F43" s="330">
        <f>+F36</f>
        <v>8.9499999999999996E-4</v>
      </c>
      <c r="G43" s="331">
        <f>G36</f>
        <v>8.9499999999999996E-4</v>
      </c>
      <c r="H43" s="75" t="s">
        <v>32</v>
      </c>
    </row>
    <row r="44" spans="1:8" x14ac:dyDescent="0.2">
      <c r="A44" s="361" t="s">
        <v>110</v>
      </c>
      <c r="B44" s="361"/>
      <c r="C44" s="361"/>
      <c r="D44" s="361"/>
      <c r="F44" s="330">
        <f>+F37</f>
        <v>3.4719999999999998E-3</v>
      </c>
      <c r="G44" s="331">
        <f t="shared" ref="G44:G46" si="27">+F44</f>
        <v>3.4719999999999998E-3</v>
      </c>
      <c r="H44" s="75" t="s">
        <v>32</v>
      </c>
    </row>
    <row r="45" spans="1:8" x14ac:dyDescent="0.2">
      <c r="A45" s="361" t="s">
        <v>113</v>
      </c>
      <c r="B45" s="361"/>
      <c r="C45" s="361"/>
      <c r="D45" s="361"/>
      <c r="F45" s="330">
        <f>+F38</f>
        <v>0</v>
      </c>
      <c r="G45" s="331">
        <f t="shared" si="27"/>
        <v>0</v>
      </c>
      <c r="H45" s="75" t="s">
        <v>32</v>
      </c>
    </row>
    <row r="46" spans="1:8" x14ac:dyDescent="0.2">
      <c r="A46" s="361" t="s">
        <v>114</v>
      </c>
      <c r="B46" s="361"/>
      <c r="C46" s="361"/>
      <c r="D46" s="361"/>
      <c r="F46" s="330">
        <f>+F39</f>
        <v>-1.237E-3</v>
      </c>
      <c r="G46" s="331">
        <f t="shared" si="27"/>
        <v>-1.237E-3</v>
      </c>
      <c r="H46" s="75" t="s">
        <v>32</v>
      </c>
    </row>
    <row r="47" spans="1:8" ht="13.5" thickBot="1" x14ac:dyDescent="0.25">
      <c r="A47" s="358" t="s">
        <v>119</v>
      </c>
      <c r="B47" s="358"/>
      <c r="C47" s="358"/>
      <c r="D47" s="358"/>
      <c r="F47" s="332">
        <f>SUM(F42:F46)</f>
        <v>0.10942700000000001</v>
      </c>
      <c r="G47" s="332">
        <f>SUM(G42:G46)</f>
        <v>0.10942700000000001</v>
      </c>
      <c r="H47" s="75" t="s">
        <v>32</v>
      </c>
    </row>
    <row r="48" spans="1:8" ht="13.5" thickTop="1" x14ac:dyDescent="0.2">
      <c r="A48" s="360"/>
      <c r="B48" s="360"/>
      <c r="C48" s="360"/>
      <c r="D48" s="360"/>
      <c r="F48" s="330"/>
      <c r="G48" s="331"/>
    </row>
    <row r="49" spans="1:8" x14ac:dyDescent="0.2">
      <c r="A49" s="358" t="s">
        <v>67</v>
      </c>
      <c r="B49" s="358"/>
      <c r="C49" s="358"/>
      <c r="D49" s="358"/>
      <c r="F49" s="330">
        <v>-7.4060000000000003E-3</v>
      </c>
      <c r="G49" s="331">
        <f>+F49</f>
        <v>-7.4060000000000003E-3</v>
      </c>
      <c r="H49" s="75" t="s">
        <v>32</v>
      </c>
    </row>
    <row r="50" spans="1:8" x14ac:dyDescent="0.2">
      <c r="A50" s="358" t="s">
        <v>108</v>
      </c>
      <c r="B50" s="358"/>
      <c r="C50" s="358"/>
      <c r="D50" s="358"/>
      <c r="F50" s="330">
        <v>0</v>
      </c>
      <c r="G50" s="331">
        <f>+F50</f>
        <v>0</v>
      </c>
      <c r="H50" s="75" t="s">
        <v>32</v>
      </c>
    </row>
    <row r="51" spans="1:8" x14ac:dyDescent="0.2">
      <c r="A51" s="360"/>
      <c r="B51" s="360"/>
      <c r="C51" s="360"/>
      <c r="D51" s="360"/>
      <c r="F51" s="330"/>
      <c r="G51" s="331"/>
    </row>
    <row r="52" spans="1:8" x14ac:dyDescent="0.2">
      <c r="A52" s="360" t="s">
        <v>150</v>
      </c>
      <c r="B52" s="360"/>
      <c r="C52" s="360"/>
      <c r="D52" s="360"/>
      <c r="F52" s="330"/>
      <c r="G52" s="331"/>
      <c r="H52" s="75" t="s">
        <v>32</v>
      </c>
    </row>
    <row r="53" spans="1:8" x14ac:dyDescent="0.2">
      <c r="A53" s="361" t="s">
        <v>64</v>
      </c>
      <c r="B53" s="361"/>
      <c r="C53" s="361"/>
      <c r="D53" s="361"/>
      <c r="F53" s="330">
        <v>0</v>
      </c>
      <c r="G53" s="331">
        <f>+F53</f>
        <v>0</v>
      </c>
      <c r="H53" s="75" t="s">
        <v>32</v>
      </c>
    </row>
    <row r="54" spans="1:8" x14ac:dyDescent="0.2">
      <c r="A54" s="361" t="s">
        <v>106</v>
      </c>
      <c r="B54" s="361"/>
      <c r="C54" s="361"/>
      <c r="D54" s="361"/>
      <c r="F54" s="331">
        <f>+'Rate Impacts'!F8</f>
        <v>-2.0720000000000001E-3</v>
      </c>
      <c r="G54" s="331">
        <f>+'Rate Impacts'!G8</f>
        <v>-1.913E-3</v>
      </c>
      <c r="H54" s="75" t="s">
        <v>32</v>
      </c>
    </row>
    <row r="55" spans="1:8" x14ac:dyDescent="0.2">
      <c r="A55" s="361" t="s">
        <v>65</v>
      </c>
      <c r="B55" s="361"/>
      <c r="C55" s="361"/>
      <c r="D55" s="361"/>
      <c r="F55" s="330">
        <v>4.8599999999999997E-3</v>
      </c>
      <c r="G55" s="331">
        <f t="shared" ref="G55:G57" si="28">+F55</f>
        <v>4.8599999999999997E-3</v>
      </c>
      <c r="H55" s="75" t="s">
        <v>32</v>
      </c>
    </row>
    <row r="56" spans="1:8" x14ac:dyDescent="0.2">
      <c r="A56" s="361" t="s">
        <v>107</v>
      </c>
      <c r="B56" s="361"/>
      <c r="C56" s="361"/>
      <c r="D56" s="361"/>
      <c r="F56" s="330">
        <v>-3.4600000000000001E-4</v>
      </c>
      <c r="G56" s="331">
        <f t="shared" si="28"/>
        <v>-3.4600000000000001E-4</v>
      </c>
      <c r="H56" s="75" t="s">
        <v>32</v>
      </c>
    </row>
    <row r="57" spans="1:8" x14ac:dyDescent="0.2">
      <c r="A57" s="361" t="s">
        <v>109</v>
      </c>
      <c r="B57" s="361"/>
      <c r="C57" s="361"/>
      <c r="D57" s="361"/>
      <c r="F57" s="330">
        <v>-3.4999999999999997E-5</v>
      </c>
      <c r="G57" s="331">
        <f t="shared" si="28"/>
        <v>-3.4999999999999997E-5</v>
      </c>
      <c r="H57" s="75" t="s">
        <v>32</v>
      </c>
    </row>
    <row r="58" spans="1:8" ht="13.5" thickBot="1" x14ac:dyDescent="0.25">
      <c r="A58" s="358" t="s">
        <v>151</v>
      </c>
      <c r="B58" s="358"/>
      <c r="C58" s="358"/>
      <c r="D58" s="358"/>
      <c r="F58" s="332">
        <f>SUM(F53:F57)</f>
        <v>2.4069999999999999E-3</v>
      </c>
      <c r="G58" s="332">
        <f>SUM(G53:G57)</f>
        <v>2.5660000000000001E-3</v>
      </c>
      <c r="H58" s="75" t="s">
        <v>32</v>
      </c>
    </row>
    <row r="59" spans="1:8" ht="13.5" thickTop="1" x14ac:dyDescent="0.2">
      <c r="A59" s="360"/>
      <c r="B59" s="360"/>
      <c r="C59" s="360"/>
      <c r="D59" s="360"/>
      <c r="F59" s="328"/>
      <c r="G59" s="329"/>
    </row>
    <row r="60" spans="1:8" x14ac:dyDescent="0.2">
      <c r="A60" s="358" t="s">
        <v>152</v>
      </c>
      <c r="B60" s="358"/>
      <c r="C60" s="358"/>
      <c r="D60" s="358"/>
      <c r="F60" s="324">
        <f>SUM(F40,F49:F50,F58)</f>
        <v>8.5467000000000015E-2</v>
      </c>
      <c r="G60" s="325">
        <f>SUM(G40,G49:G50,G58)</f>
        <v>8.5626000000000008E-2</v>
      </c>
      <c r="H60" s="75" t="s">
        <v>32</v>
      </c>
    </row>
    <row r="61" spans="1:8" x14ac:dyDescent="0.2">
      <c r="A61" s="358" t="s">
        <v>153</v>
      </c>
      <c r="B61" s="358"/>
      <c r="C61" s="358"/>
      <c r="D61" s="358"/>
      <c r="F61" s="333">
        <f>SUM(F47,F49:F50,F58)</f>
        <v>0.10442800000000002</v>
      </c>
      <c r="G61" s="334">
        <f>SUM(G47,G49:G50,G58)</f>
        <v>0.10458700000000001</v>
      </c>
      <c r="H61" s="75" t="s">
        <v>32</v>
      </c>
    </row>
    <row r="65" spans="1:19" x14ac:dyDescent="0.2">
      <c r="A65" s="355" t="s">
        <v>488</v>
      </c>
      <c r="B65" s="355"/>
      <c r="C65" s="355"/>
      <c r="D65" s="355"/>
    </row>
    <row r="66" spans="1:19" ht="51" x14ac:dyDescent="0.2">
      <c r="A66" s="80"/>
      <c r="B66" s="80" t="s">
        <v>154</v>
      </c>
      <c r="C66" s="80" t="s">
        <v>155</v>
      </c>
      <c r="D66" s="80" t="s">
        <v>156</v>
      </c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</row>
    <row r="67" spans="1:19" x14ac:dyDescent="0.2">
      <c r="A67" s="75" t="str">
        <f>+A7</f>
        <v>January</v>
      </c>
      <c r="B67" s="227">
        <f>+'F2018 Del Load &amp; Cust'!E24*1000</f>
        <v>1259288000</v>
      </c>
      <c r="C67" s="227">
        <f>+'F2018 Del Load &amp; Cust'!E6</f>
        <v>1017096</v>
      </c>
      <c r="D67" s="227">
        <f>+B67/C67</f>
        <v>1238.1210819824284</v>
      </c>
    </row>
    <row r="68" spans="1:19" x14ac:dyDescent="0.2">
      <c r="A68" s="75" t="str">
        <f t="shared" ref="A68:A78" si="29">+A8</f>
        <v>February</v>
      </c>
      <c r="B68" s="227">
        <f>+'F2018 Del Load &amp; Cust'!E25*1000</f>
        <v>1049964000</v>
      </c>
      <c r="C68" s="227">
        <f>+'F2018 Del Load &amp; Cust'!E7</f>
        <v>1018173</v>
      </c>
      <c r="D68" s="227">
        <f t="shared" ref="D68:D78" si="30">+B68/C68</f>
        <v>1031.223573989882</v>
      </c>
    </row>
    <row r="69" spans="1:19" x14ac:dyDescent="0.2">
      <c r="A69" s="75" t="str">
        <f t="shared" si="29"/>
        <v>March</v>
      </c>
      <c r="B69" s="227">
        <f>+'F2018 Del Load &amp; Cust'!E26*1000</f>
        <v>1045413000</v>
      </c>
      <c r="C69" s="227">
        <f>+'F2018 Del Load &amp; Cust'!E8</f>
        <v>1019088</v>
      </c>
      <c r="D69" s="227">
        <f t="shared" si="30"/>
        <v>1025.831920305214</v>
      </c>
    </row>
    <row r="70" spans="1:19" x14ac:dyDescent="0.2">
      <c r="A70" s="75" t="str">
        <f t="shared" si="29"/>
        <v>April</v>
      </c>
      <c r="B70" s="227">
        <f>+'F2018 Del Load &amp; Cust'!E27*1000</f>
        <v>862305000</v>
      </c>
      <c r="C70" s="227">
        <f>+'F2018 Del Load &amp; Cust'!E9</f>
        <v>1019934</v>
      </c>
      <c r="D70" s="227">
        <f t="shared" si="30"/>
        <v>845.45176452593989</v>
      </c>
    </row>
    <row r="71" spans="1:19" x14ac:dyDescent="0.2">
      <c r="A71" s="75" t="str">
        <f t="shared" si="29"/>
        <v>May</v>
      </c>
      <c r="B71" s="227">
        <f>+'F2018 Del Load &amp; Cust'!E28*1000</f>
        <v>739742000</v>
      </c>
      <c r="C71" s="227">
        <f>+'F2018 Del Load &amp; Cust'!E10</f>
        <v>1020686</v>
      </c>
      <c r="D71" s="227">
        <f t="shared" si="30"/>
        <v>724.74982511761698</v>
      </c>
    </row>
    <row r="72" spans="1:19" x14ac:dyDescent="0.2">
      <c r="A72" s="75" t="str">
        <f t="shared" si="29"/>
        <v>June</v>
      </c>
      <c r="B72" s="227">
        <f>+'F2018 Del Load &amp; Cust'!E29*1000</f>
        <v>680386000</v>
      </c>
      <c r="C72" s="227">
        <f>+'F2018 Del Load &amp; Cust'!E11</f>
        <v>1021433</v>
      </c>
      <c r="D72" s="227">
        <f t="shared" si="30"/>
        <v>666.10927980591975</v>
      </c>
    </row>
    <row r="73" spans="1:19" x14ac:dyDescent="0.2">
      <c r="A73" s="75" t="str">
        <f t="shared" si="29"/>
        <v>July</v>
      </c>
      <c r="B73" s="227">
        <f>+'F2018 Del Load &amp; Cust'!E30*1000</f>
        <v>681210000</v>
      </c>
      <c r="C73" s="227">
        <f>+'F2018 Del Load &amp; Cust'!E12</f>
        <v>1021991</v>
      </c>
      <c r="D73" s="227">
        <f t="shared" si="30"/>
        <v>666.5518580887699</v>
      </c>
    </row>
    <row r="74" spans="1:19" x14ac:dyDescent="0.2">
      <c r="A74" s="75" t="str">
        <f t="shared" si="29"/>
        <v>August</v>
      </c>
      <c r="B74" s="227">
        <f>+'F2018 Del Load &amp; Cust'!E31*1000</f>
        <v>664685000</v>
      </c>
      <c r="C74" s="227">
        <f>+'F2018 Del Load &amp; Cust'!E13</f>
        <v>1022870</v>
      </c>
      <c r="D74" s="227">
        <f t="shared" si="30"/>
        <v>649.82353573767932</v>
      </c>
    </row>
    <row r="75" spans="1:19" x14ac:dyDescent="0.2">
      <c r="A75" s="75" t="str">
        <f t="shared" si="29"/>
        <v>September</v>
      </c>
      <c r="B75" s="227">
        <f>+'F2018 Del Load &amp; Cust'!E32*1000</f>
        <v>667588000</v>
      </c>
      <c r="C75" s="227">
        <f>+'F2018 Del Load &amp; Cust'!E14</f>
        <v>1024028</v>
      </c>
      <c r="D75" s="227">
        <f t="shared" si="30"/>
        <v>651.92358021460348</v>
      </c>
    </row>
    <row r="76" spans="1:19" x14ac:dyDescent="0.2">
      <c r="A76" s="75" t="str">
        <f t="shared" si="29"/>
        <v>October</v>
      </c>
      <c r="B76" s="227">
        <f>+'F2018 Del Load &amp; Cust'!E33*1000</f>
        <v>832842000</v>
      </c>
      <c r="C76" s="227">
        <f>+'F2018 Del Load &amp; Cust'!E15</f>
        <v>1025543</v>
      </c>
      <c r="D76" s="227">
        <f t="shared" si="30"/>
        <v>812.09856632047604</v>
      </c>
    </row>
    <row r="77" spans="1:19" x14ac:dyDescent="0.2">
      <c r="A77" s="75" t="str">
        <f t="shared" si="29"/>
        <v>November</v>
      </c>
      <c r="B77" s="227">
        <f>+'F2018 Del Load &amp; Cust'!E34*1000</f>
        <v>1028038000</v>
      </c>
      <c r="C77" s="227">
        <f>+'F2018 Del Load &amp; Cust'!E16</f>
        <v>1026942</v>
      </c>
      <c r="D77" s="227">
        <f t="shared" si="30"/>
        <v>1001.0672462514923</v>
      </c>
    </row>
    <row r="78" spans="1:19" x14ac:dyDescent="0.2">
      <c r="A78" s="75" t="str">
        <f t="shared" si="29"/>
        <v>December</v>
      </c>
      <c r="B78" s="227">
        <f>+'F2018 Del Load &amp; Cust'!E35*1000</f>
        <v>1299084000</v>
      </c>
      <c r="C78" s="227">
        <f>+'F2018 Del Load &amp; Cust'!E17</f>
        <v>1028067</v>
      </c>
      <c r="D78" s="227">
        <f t="shared" si="30"/>
        <v>1263.6180326768585</v>
      </c>
    </row>
    <row r="79" spans="1:19" x14ac:dyDescent="0.2">
      <c r="A79" s="75" t="s">
        <v>12</v>
      </c>
      <c r="B79" s="227">
        <f>SUM(B67:B78)</f>
        <v>10810545000</v>
      </c>
      <c r="C79" s="227">
        <f>SUM(C67:C78)</f>
        <v>12265851</v>
      </c>
      <c r="D79" s="227">
        <f>SUM(D67:D78)</f>
        <v>10576.570265016881</v>
      </c>
    </row>
    <row r="80" spans="1:19" x14ac:dyDescent="0.2">
      <c r="D80" s="227"/>
    </row>
    <row r="81" spans="1:4" x14ac:dyDescent="0.2">
      <c r="A81" s="75" t="s">
        <v>157</v>
      </c>
      <c r="B81" s="227"/>
      <c r="C81" s="227"/>
      <c r="D81" s="227">
        <f>AVERAGE(D67:D78)</f>
        <v>881.38085541807334</v>
      </c>
    </row>
  </sheetData>
  <mergeCells count="34">
    <mergeCell ref="A65:D65"/>
    <mergeCell ref="A59:D59"/>
    <mergeCell ref="A60:D60"/>
    <mergeCell ref="A61:D61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C5:N5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</mergeCells>
  <printOptions horizontalCentered="1"/>
  <pageMargins left="0.7" right="0.7" top="0.75" bottom="0.75" header="0.3" footer="0.3"/>
  <pageSetup scale="61" orientation="landscape" r:id="rId1"/>
  <headerFooter alignWithMargins="0">
    <oddFooter>&amp;L&amp;F
&amp;A&amp;RSchedule 95A Filing Eff 1-1-19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>
      <pane xSplit="3" ySplit="9" topLeftCell="D31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 activeCell="A4" sqref="A1:XFD1048576"/>
    </sheetView>
  </sheetViews>
  <sheetFormatPr defaultColWidth="8.85546875" defaultRowHeight="15" x14ac:dyDescent="0.25"/>
  <cols>
    <col min="1" max="1" width="3" style="204" bestFit="1" customWidth="1"/>
    <col min="2" max="2" width="76.7109375" style="204" bestFit="1" customWidth="1"/>
    <col min="3" max="3" width="2.28515625" style="204" bestFit="1" customWidth="1"/>
    <col min="4" max="4" width="14.140625" style="204" bestFit="1" customWidth="1"/>
    <col min="5" max="5" width="12" style="204" bestFit="1" customWidth="1"/>
    <col min="6" max="6" width="14.140625" style="204" bestFit="1" customWidth="1"/>
    <col min="7" max="7" width="15.28515625" style="204" bestFit="1" customWidth="1"/>
    <col min="8" max="8" width="13.7109375" style="204" bestFit="1" customWidth="1"/>
    <col min="9" max="9" width="15.28515625" style="204" bestFit="1" customWidth="1"/>
    <col min="10" max="10" width="14.85546875" style="204" bestFit="1" customWidth="1"/>
    <col min="11" max="11" width="14.140625" style="204" bestFit="1" customWidth="1"/>
    <col min="12" max="12" width="14.85546875" style="204" bestFit="1" customWidth="1"/>
    <col min="13" max="16384" width="8.85546875" style="204"/>
  </cols>
  <sheetData>
    <row r="1" spans="1:12" x14ac:dyDescent="0.25">
      <c r="A1" s="363" t="s">
        <v>86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2" ht="21" x14ac:dyDescent="0.35">
      <c r="A2" s="362" t="s">
        <v>490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x14ac:dyDescent="0.25">
      <c r="A3" s="363" t="s">
        <v>491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x14ac:dyDescent="0.25">
      <c r="A5" s="364" t="s">
        <v>492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ht="15.75" thickBot="1" x14ac:dyDescent="0.3">
      <c r="A6" s="75"/>
      <c r="B6" s="225"/>
      <c r="C6" s="226"/>
      <c r="D6" s="227"/>
      <c r="E6" s="227"/>
      <c r="F6" s="75"/>
      <c r="G6" s="227"/>
      <c r="H6" s="227"/>
      <c r="I6" s="75"/>
      <c r="J6" s="75"/>
      <c r="K6" s="75"/>
      <c r="L6" s="75"/>
    </row>
    <row r="7" spans="1:12" ht="16.5" thickBot="1" x14ac:dyDescent="0.3">
      <c r="A7" s="228"/>
      <c r="B7" s="229"/>
      <c r="C7" s="230"/>
      <c r="D7" s="307" t="s">
        <v>93</v>
      </c>
      <c r="E7" s="308"/>
      <c r="F7" s="309"/>
      <c r="G7" s="310" t="s">
        <v>94</v>
      </c>
      <c r="H7" s="311"/>
      <c r="I7" s="312"/>
      <c r="J7" s="311" t="s">
        <v>95</v>
      </c>
      <c r="K7" s="311"/>
      <c r="L7" s="312"/>
    </row>
    <row r="8" spans="1:12" x14ac:dyDescent="0.25">
      <c r="A8" s="231"/>
      <c r="B8" s="232" t="s">
        <v>96</v>
      </c>
      <c r="C8" s="233"/>
      <c r="D8" s="192" t="s">
        <v>87</v>
      </c>
      <c r="E8" s="193" t="s">
        <v>88</v>
      </c>
      <c r="F8" s="194" t="s">
        <v>89</v>
      </c>
      <c r="G8" s="195" t="s">
        <v>87</v>
      </c>
      <c r="H8" s="196" t="s">
        <v>88</v>
      </c>
      <c r="I8" s="197" t="s">
        <v>89</v>
      </c>
      <c r="J8" s="195" t="s">
        <v>87</v>
      </c>
      <c r="K8" s="196" t="s">
        <v>88</v>
      </c>
      <c r="L8" s="197" t="s">
        <v>89</v>
      </c>
    </row>
    <row r="9" spans="1:12" x14ac:dyDescent="0.25">
      <c r="A9" s="113"/>
      <c r="B9" s="234"/>
      <c r="C9" s="14"/>
      <c r="D9" s="235" t="s">
        <v>36</v>
      </c>
      <c r="E9" s="236" t="s">
        <v>37</v>
      </c>
      <c r="F9" s="237" t="s">
        <v>38</v>
      </c>
      <c r="G9" s="235" t="s">
        <v>97</v>
      </c>
      <c r="H9" s="236" t="s">
        <v>98</v>
      </c>
      <c r="I9" s="237" t="s">
        <v>99</v>
      </c>
      <c r="J9" s="235" t="s">
        <v>100</v>
      </c>
      <c r="K9" s="236" t="s">
        <v>101</v>
      </c>
      <c r="L9" s="237" t="s">
        <v>102</v>
      </c>
    </row>
    <row r="10" spans="1:12" x14ac:dyDescent="0.25">
      <c r="A10" s="113"/>
      <c r="B10" s="234"/>
      <c r="C10" s="14"/>
      <c r="D10" s="113"/>
      <c r="E10" s="14"/>
      <c r="F10" s="16"/>
      <c r="G10" s="113"/>
      <c r="H10" s="14"/>
      <c r="I10" s="16"/>
      <c r="J10" s="113"/>
      <c r="K10" s="14"/>
      <c r="L10" s="16"/>
    </row>
    <row r="11" spans="1:12" x14ac:dyDescent="0.25">
      <c r="A11" s="238">
        <v>1</v>
      </c>
      <c r="B11" s="239" t="s">
        <v>103</v>
      </c>
      <c r="C11" s="14"/>
      <c r="D11" s="240">
        <v>-28674664</v>
      </c>
      <c r="E11" s="14"/>
      <c r="F11" s="241"/>
      <c r="G11" s="240">
        <v>-205261327</v>
      </c>
      <c r="H11" s="14"/>
      <c r="I11" s="242"/>
      <c r="J11" s="240"/>
      <c r="K11" s="14"/>
      <c r="L11" s="242"/>
    </row>
    <row r="12" spans="1:12" x14ac:dyDescent="0.25">
      <c r="A12" s="238">
        <v>2</v>
      </c>
      <c r="B12" s="239" t="s">
        <v>493</v>
      </c>
      <c r="C12" s="14"/>
      <c r="D12" s="240"/>
      <c r="E12" s="243">
        <v>-1536038.6772560298</v>
      </c>
      <c r="F12" s="241"/>
      <c r="G12" s="240"/>
      <c r="H12" s="243">
        <v>-72571579.253481671</v>
      </c>
      <c r="I12" s="242"/>
      <c r="J12" s="240"/>
      <c r="K12" s="243"/>
      <c r="L12" s="242"/>
    </row>
    <row r="13" spans="1:12" x14ac:dyDescent="0.25">
      <c r="A13" s="238">
        <v>3</v>
      </c>
      <c r="B13" s="234"/>
      <c r="C13" s="14"/>
      <c r="D13" s="240"/>
      <c r="E13" s="243"/>
      <c r="F13" s="244"/>
      <c r="G13" s="240"/>
      <c r="H13" s="243"/>
      <c r="I13" s="242"/>
      <c r="J13" s="240"/>
      <c r="K13" s="243"/>
      <c r="L13" s="242"/>
    </row>
    <row r="14" spans="1:12" x14ac:dyDescent="0.25">
      <c r="A14" s="238">
        <v>4</v>
      </c>
      <c r="B14" s="239" t="s">
        <v>115</v>
      </c>
      <c r="C14" s="245" t="s">
        <v>90</v>
      </c>
      <c r="D14" s="246">
        <v>10</v>
      </c>
      <c r="E14" s="243"/>
      <c r="F14" s="242"/>
      <c r="G14" s="246">
        <v>10</v>
      </c>
      <c r="H14" s="243"/>
      <c r="I14" s="242"/>
      <c r="J14" s="246"/>
      <c r="K14" s="243"/>
      <c r="L14" s="242"/>
    </row>
    <row r="15" spans="1:12" x14ac:dyDescent="0.25">
      <c r="A15" s="238">
        <v>5</v>
      </c>
      <c r="B15" s="247" t="s">
        <v>494</v>
      </c>
      <c r="C15" s="233" t="s">
        <v>104</v>
      </c>
      <c r="D15" s="113"/>
      <c r="E15" s="248">
        <v>6.9699999999999998E-2</v>
      </c>
      <c r="F15" s="249"/>
      <c r="G15" s="250"/>
      <c r="H15" s="248">
        <v>6.9699999999999998E-2</v>
      </c>
      <c r="I15" s="249"/>
      <c r="J15" s="113"/>
      <c r="K15" s="251"/>
      <c r="L15" s="242"/>
    </row>
    <row r="16" spans="1:12" x14ac:dyDescent="0.25">
      <c r="A16" s="238">
        <v>6</v>
      </c>
      <c r="B16" s="234"/>
      <c r="C16" s="14"/>
      <c r="D16" s="252"/>
      <c r="E16" s="253"/>
      <c r="F16" s="254"/>
      <c r="G16" s="252"/>
      <c r="H16" s="253"/>
      <c r="I16" s="254"/>
      <c r="J16" s="252"/>
      <c r="K16" s="253"/>
      <c r="L16" s="254"/>
    </row>
    <row r="17" spans="1:12" x14ac:dyDescent="0.25">
      <c r="A17" s="238">
        <v>7</v>
      </c>
      <c r="B17" s="234" t="s">
        <v>116</v>
      </c>
      <c r="C17" s="14"/>
      <c r="D17" s="246">
        <v>-2867466.4</v>
      </c>
      <c r="E17" s="255">
        <v>-107061.89580474528</v>
      </c>
      <c r="F17" s="241">
        <v>-2974528.2958047451</v>
      </c>
      <c r="G17" s="246">
        <v>-20526132.699999999</v>
      </c>
      <c r="H17" s="255">
        <v>-5058239.073967672</v>
      </c>
      <c r="I17" s="241">
        <v>-25584371.773967672</v>
      </c>
      <c r="J17" s="246">
        <v>-23393599.099999998</v>
      </c>
      <c r="K17" s="255">
        <v>-5165300.9697724171</v>
      </c>
      <c r="L17" s="241">
        <v>-28558900.069772419</v>
      </c>
    </row>
    <row r="18" spans="1:12" x14ac:dyDescent="0.25">
      <c r="A18" s="238">
        <v>8</v>
      </c>
      <c r="B18" s="234"/>
      <c r="C18" s="14"/>
      <c r="D18" s="113"/>
      <c r="E18" s="14"/>
      <c r="F18" s="16"/>
      <c r="G18" s="87"/>
      <c r="H18" s="88"/>
      <c r="I18" s="89"/>
      <c r="J18" s="87"/>
      <c r="K18" s="88"/>
      <c r="L18" s="89"/>
    </row>
    <row r="19" spans="1:12" x14ac:dyDescent="0.25">
      <c r="A19" s="238">
        <v>9</v>
      </c>
      <c r="B19" s="247" t="s">
        <v>196</v>
      </c>
      <c r="C19" s="256" t="s">
        <v>90</v>
      </c>
      <c r="D19" s="257">
        <v>0.79</v>
      </c>
      <c r="E19" s="258">
        <v>0.79</v>
      </c>
      <c r="F19" s="259">
        <v>0.79</v>
      </c>
      <c r="G19" s="260">
        <v>0.79</v>
      </c>
      <c r="H19" s="261">
        <v>0.79</v>
      </c>
      <c r="I19" s="259">
        <v>0.79</v>
      </c>
      <c r="J19" s="260">
        <v>0.79</v>
      </c>
      <c r="K19" s="261">
        <v>0.79</v>
      </c>
      <c r="L19" s="259">
        <v>0.79</v>
      </c>
    </row>
    <row r="20" spans="1:12" x14ac:dyDescent="0.25">
      <c r="A20" s="238">
        <v>10</v>
      </c>
      <c r="B20" s="234"/>
      <c r="C20" s="245"/>
      <c r="D20" s="262"/>
      <c r="E20" s="263"/>
      <c r="F20" s="264"/>
      <c r="G20" s="113"/>
      <c r="H20" s="14"/>
      <c r="I20" s="265"/>
      <c r="J20" s="113"/>
      <c r="K20" s="14"/>
      <c r="L20" s="265"/>
    </row>
    <row r="21" spans="1:12" x14ac:dyDescent="0.25">
      <c r="A21" s="238">
        <v>11</v>
      </c>
      <c r="B21" s="239" t="s">
        <v>91</v>
      </c>
      <c r="C21" s="245"/>
      <c r="D21" s="246">
        <v>-3629704.3037974681</v>
      </c>
      <c r="E21" s="255">
        <v>-135521.38709461427</v>
      </c>
      <c r="F21" s="241">
        <v>-3765225.6908920822</v>
      </c>
      <c r="G21" s="246">
        <v>-25982446.455696199</v>
      </c>
      <c r="H21" s="255">
        <v>-6402834.2708451543</v>
      </c>
      <c r="I21" s="241">
        <v>-32385280.726541355</v>
      </c>
      <c r="J21" s="246">
        <v>-29612150.759493668</v>
      </c>
      <c r="K21" s="255">
        <v>-6538355.6579397684</v>
      </c>
      <c r="L21" s="241">
        <v>-36150506.417433433</v>
      </c>
    </row>
    <row r="22" spans="1:12" x14ac:dyDescent="0.25">
      <c r="A22" s="238">
        <v>12</v>
      </c>
      <c r="B22" s="234"/>
      <c r="C22" s="14"/>
      <c r="D22" s="113"/>
      <c r="E22" s="14"/>
      <c r="F22" s="16"/>
      <c r="G22" s="113"/>
      <c r="H22" s="14"/>
      <c r="I22" s="16"/>
      <c r="J22" s="113"/>
      <c r="K22" s="14"/>
      <c r="L22" s="16"/>
    </row>
    <row r="23" spans="1:12" x14ac:dyDescent="0.25">
      <c r="A23" s="238">
        <v>13</v>
      </c>
      <c r="B23" s="247" t="s">
        <v>197</v>
      </c>
      <c r="C23" s="256" t="s">
        <v>90</v>
      </c>
      <c r="D23" s="266">
        <v>0.95238599999999995</v>
      </c>
      <c r="E23" s="267">
        <v>0.95238599999999995</v>
      </c>
      <c r="F23" s="268">
        <v>0.95238599999999995</v>
      </c>
      <c r="G23" s="266">
        <v>0.95238599999999995</v>
      </c>
      <c r="H23" s="267">
        <v>0.95238599999999995</v>
      </c>
      <c r="I23" s="268">
        <v>0.95238599999999995</v>
      </c>
      <c r="J23" s="266">
        <v>0.95238599999999995</v>
      </c>
      <c r="K23" s="267">
        <v>0.95238599999999995</v>
      </c>
      <c r="L23" s="268">
        <v>0.95238599999999995</v>
      </c>
    </row>
    <row r="24" spans="1:12" x14ac:dyDescent="0.25">
      <c r="A24" s="238">
        <v>14</v>
      </c>
      <c r="B24" s="234"/>
      <c r="C24" s="14"/>
      <c r="D24" s="252"/>
      <c r="E24" s="253"/>
      <c r="F24" s="254"/>
      <c r="G24" s="252"/>
      <c r="H24" s="253"/>
      <c r="I24" s="254"/>
      <c r="J24" s="252"/>
      <c r="K24" s="253"/>
      <c r="L24" s="254"/>
    </row>
    <row r="25" spans="1:12" x14ac:dyDescent="0.25">
      <c r="A25" s="238">
        <v>15</v>
      </c>
      <c r="B25" s="239" t="s">
        <v>92</v>
      </c>
      <c r="C25" s="14"/>
      <c r="D25" s="246">
        <v>-3811169.3197899465</v>
      </c>
      <c r="E25" s="255">
        <v>-142296.70227682294</v>
      </c>
      <c r="F25" s="241">
        <v>-3953466.0220667697</v>
      </c>
      <c r="G25" s="246">
        <v>-27281424.186932821</v>
      </c>
      <c r="H25" s="255">
        <v>-6722940.3528035423</v>
      </c>
      <c r="I25" s="241">
        <v>-34004364.53973636</v>
      </c>
      <c r="J25" s="246">
        <v>-31092593.506722767</v>
      </c>
      <c r="K25" s="255">
        <v>-6865237.0550803654</v>
      </c>
      <c r="L25" s="241">
        <v>-37957830.561803132</v>
      </c>
    </row>
    <row r="26" spans="1:12" x14ac:dyDescent="0.25">
      <c r="A26" s="238">
        <v>16</v>
      </c>
      <c r="B26" s="239"/>
      <c r="C26" s="14"/>
      <c r="D26" s="113"/>
      <c r="E26" s="14"/>
      <c r="F26" s="16"/>
      <c r="G26" s="113"/>
      <c r="H26" s="14"/>
      <c r="I26" s="16"/>
      <c r="J26" s="113"/>
      <c r="K26" s="14"/>
      <c r="L26" s="16"/>
    </row>
    <row r="27" spans="1:12" x14ac:dyDescent="0.25">
      <c r="A27" s="238">
        <v>17</v>
      </c>
      <c r="B27" s="269" t="s">
        <v>495</v>
      </c>
      <c r="C27" s="233"/>
      <c r="D27" s="246">
        <v>-68826.031837429589</v>
      </c>
      <c r="E27" s="270">
        <v>-10403.926887309184</v>
      </c>
      <c r="F27" s="241">
        <v>-79229.958724738768</v>
      </c>
      <c r="G27" s="246">
        <v>-492542.6383994802</v>
      </c>
      <c r="H27" s="270">
        <v>-168427.671787948</v>
      </c>
      <c r="I27" s="271">
        <v>-660970.31018742826</v>
      </c>
      <c r="J27" s="272">
        <v>-561368.67023690976</v>
      </c>
      <c r="K27" s="273">
        <v>-178831.59867525718</v>
      </c>
      <c r="L27" s="271">
        <v>-740200.26891216706</v>
      </c>
    </row>
    <row r="28" spans="1:12" x14ac:dyDescent="0.25">
      <c r="A28" s="238">
        <v>18</v>
      </c>
      <c r="B28" s="234"/>
      <c r="C28" s="14"/>
      <c r="D28" s="252"/>
      <c r="E28" s="14"/>
      <c r="F28" s="254"/>
      <c r="G28" s="252"/>
      <c r="H28" s="253"/>
      <c r="I28" s="254"/>
      <c r="J28" s="252"/>
      <c r="K28" s="253"/>
      <c r="L28" s="254"/>
    </row>
    <row r="29" spans="1:12" ht="15.75" thickBot="1" x14ac:dyDescent="0.3">
      <c r="A29" s="238">
        <v>19</v>
      </c>
      <c r="B29" s="274" t="s">
        <v>496</v>
      </c>
      <c r="C29" s="275"/>
      <c r="D29" s="276">
        <v>-3879995.3516273759</v>
      </c>
      <c r="E29" s="277">
        <v>-152700.62916413211</v>
      </c>
      <c r="F29" s="278">
        <v>-4032695.9807915082</v>
      </c>
      <c r="G29" s="276">
        <v>-27773966.825332303</v>
      </c>
      <c r="H29" s="277">
        <v>-6891368.0245914906</v>
      </c>
      <c r="I29" s="278">
        <v>-34665334.84992379</v>
      </c>
      <c r="J29" s="276">
        <v>-31653962.176959679</v>
      </c>
      <c r="K29" s="277">
        <v>-7044068.6537556229</v>
      </c>
      <c r="L29" s="278">
        <v>-38698030.830715299</v>
      </c>
    </row>
    <row r="30" spans="1:12" ht="15.75" thickTop="1" x14ac:dyDescent="0.25">
      <c r="A30" s="238">
        <v>20</v>
      </c>
      <c r="B30" s="239"/>
      <c r="C30" s="14"/>
      <c r="D30" s="87"/>
      <c r="E30" s="88"/>
      <c r="F30" s="89"/>
      <c r="G30" s="87"/>
      <c r="H30" s="88"/>
      <c r="I30" s="89"/>
      <c r="J30" s="87"/>
      <c r="K30" s="88"/>
      <c r="L30" s="89"/>
    </row>
    <row r="31" spans="1:12" x14ac:dyDescent="0.25">
      <c r="A31" s="238">
        <v>21</v>
      </c>
      <c r="B31" s="239" t="s">
        <v>497</v>
      </c>
      <c r="C31" s="245"/>
      <c r="D31" s="246">
        <v>21993155</v>
      </c>
      <c r="E31" s="255">
        <v>21993155</v>
      </c>
      <c r="F31" s="241">
        <v>21993155</v>
      </c>
      <c r="G31" s="246">
        <v>21993155</v>
      </c>
      <c r="H31" s="255">
        <v>21993155</v>
      </c>
      <c r="I31" s="241">
        <v>21993155</v>
      </c>
      <c r="J31" s="246">
        <v>21993155</v>
      </c>
      <c r="K31" s="255">
        <v>21993155</v>
      </c>
      <c r="L31" s="241">
        <v>21993155</v>
      </c>
    </row>
    <row r="32" spans="1:12" x14ac:dyDescent="0.25">
      <c r="A32" s="238">
        <v>22</v>
      </c>
      <c r="B32" s="239" t="s">
        <v>498</v>
      </c>
      <c r="C32" s="245"/>
      <c r="D32" s="198">
        <v>-1.7641831522705022E-2</v>
      </c>
      <c r="E32" s="199">
        <v>-6.9430979395240073E-4</v>
      </c>
      <c r="F32" s="200">
        <v>-1.8336141316657426E-2</v>
      </c>
      <c r="G32" s="198">
        <v>-0.12628459548133181</v>
      </c>
      <c r="H32" s="199">
        <v>-3.133414930505192E-2</v>
      </c>
      <c r="I32" s="200">
        <v>-0.15761874478638371</v>
      </c>
      <c r="J32" s="198">
        <v>-0.14392642700403685</v>
      </c>
      <c r="K32" s="199">
        <v>-3.2028459099004321E-2</v>
      </c>
      <c r="L32" s="200">
        <v>-0.17595488610304116</v>
      </c>
    </row>
    <row r="33" spans="1:12" x14ac:dyDescent="0.25">
      <c r="A33" s="238">
        <v>23</v>
      </c>
      <c r="B33" s="239"/>
      <c r="C33" s="245"/>
      <c r="D33" s="246"/>
      <c r="E33" s="255"/>
      <c r="F33" s="241"/>
      <c r="G33" s="246"/>
      <c r="H33" s="255"/>
      <c r="I33" s="241"/>
      <c r="J33" s="246"/>
      <c r="K33" s="255"/>
      <c r="L33" s="241"/>
    </row>
    <row r="34" spans="1:12" x14ac:dyDescent="0.25">
      <c r="A34" s="238">
        <v>24</v>
      </c>
      <c r="B34" s="239" t="s">
        <v>499</v>
      </c>
      <c r="C34" s="14"/>
      <c r="D34" s="198">
        <v>-1.7999999999999999E-2</v>
      </c>
      <c r="E34" s="199">
        <v>-2.2000000000000001E-3</v>
      </c>
      <c r="F34" s="199">
        <v>-2.0199999999999999E-2</v>
      </c>
      <c r="G34" s="198">
        <v>-0.12889999999999999</v>
      </c>
      <c r="H34" s="199">
        <v>-3.9899999999999998E-2</v>
      </c>
      <c r="I34" s="199">
        <v>-0.16869999999999999</v>
      </c>
      <c r="J34" s="198">
        <v>-0.1469</v>
      </c>
      <c r="K34" s="199">
        <v>-4.2000000000000003E-2</v>
      </c>
      <c r="L34" s="200">
        <v>-0.18890000000000001</v>
      </c>
    </row>
    <row r="35" spans="1:12" x14ac:dyDescent="0.25">
      <c r="A35" s="238">
        <v>25</v>
      </c>
      <c r="B35" s="234"/>
      <c r="C35" s="14"/>
      <c r="D35" s="113"/>
      <c r="E35" s="14"/>
      <c r="F35" s="16"/>
      <c r="G35" s="113"/>
      <c r="H35" s="14"/>
      <c r="I35" s="16"/>
      <c r="J35" s="113"/>
      <c r="K35" s="14"/>
      <c r="L35" s="16"/>
    </row>
    <row r="36" spans="1:12" x14ac:dyDescent="0.25">
      <c r="A36" s="238">
        <v>26</v>
      </c>
      <c r="B36" s="239" t="s">
        <v>105</v>
      </c>
      <c r="C36" s="14"/>
      <c r="D36" s="198">
        <v>3.5816847729497683E-4</v>
      </c>
      <c r="E36" s="199">
        <v>1.5056902060475994E-3</v>
      </c>
      <c r="F36" s="200">
        <v>1.863858683342573E-3</v>
      </c>
      <c r="G36" s="198">
        <v>2.6154045186681796E-3</v>
      </c>
      <c r="H36" s="199">
        <v>8.5658506949480781E-3</v>
      </c>
      <c r="I36" s="200">
        <v>1.1081255213616276E-2</v>
      </c>
      <c r="J36" s="198">
        <v>2.9735729959631529E-3</v>
      </c>
      <c r="K36" s="199">
        <v>9.9715409009956818E-3</v>
      </c>
      <c r="L36" s="200">
        <v>1.2945113896958849E-2</v>
      </c>
    </row>
    <row r="37" spans="1:12" ht="15.75" thickBot="1" x14ac:dyDescent="0.3">
      <c r="A37" s="279"/>
      <c r="B37" s="280"/>
      <c r="C37" s="43"/>
      <c r="D37" s="201"/>
      <c r="E37" s="202"/>
      <c r="F37" s="203"/>
      <c r="G37" s="201"/>
      <c r="H37" s="202"/>
      <c r="I37" s="203"/>
      <c r="J37" s="201"/>
      <c r="K37" s="202"/>
      <c r="L37" s="203"/>
    </row>
  </sheetData>
  <mergeCells count="5">
    <mergeCell ref="A2:L2"/>
    <mergeCell ref="A3:L3"/>
    <mergeCell ref="A4:L4"/>
    <mergeCell ref="A5:L5"/>
    <mergeCell ref="A1:L1"/>
  </mergeCells>
  <conditionalFormatting sqref="D6:H6">
    <cfRule type="cellIs" dxfId="0" priority="1" operator="notEqual">
      <formula>0</formula>
    </cfRule>
  </conditionalFormatting>
  <printOptions horizontalCentered="1"/>
  <pageMargins left="0.7" right="0.7" top="0.75" bottom="0.75" header="0.3" footer="0.3"/>
  <pageSetup scale="59" fitToHeight="6" orientation="landscape" r:id="rId1"/>
  <headerFooter alignWithMargins="0">
    <oddFooter>&amp;L&amp;F
&amp;A&amp;RSchedule 95A Filing Eff 1-1-19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4" sqref="A1:XFD1048576"/>
    </sheetView>
  </sheetViews>
  <sheetFormatPr defaultColWidth="8.85546875" defaultRowHeight="12.75" x14ac:dyDescent="0.2"/>
  <cols>
    <col min="1" max="1" width="5" style="75" bestFit="1" customWidth="1"/>
    <col min="2" max="2" width="5.85546875" style="75" bestFit="1" customWidth="1"/>
    <col min="3" max="3" width="9.140625" style="75" bestFit="1" customWidth="1"/>
    <col min="4" max="4" width="1" style="75" customWidth="1"/>
    <col min="5" max="5" width="16.7109375" style="75" bestFit="1" customWidth="1"/>
    <col min="6" max="7" width="8.85546875" style="75"/>
    <col min="8" max="8" width="10.42578125" style="75" bestFit="1" customWidth="1"/>
    <col min="9" max="16384" width="8.85546875" style="75"/>
  </cols>
  <sheetData>
    <row r="1" spans="1:5" ht="90" customHeight="1" x14ac:dyDescent="0.2">
      <c r="A1" s="366" t="s">
        <v>481</v>
      </c>
      <c r="B1" s="367"/>
      <c r="C1" s="367"/>
      <c r="D1" s="367"/>
      <c r="E1" s="367"/>
    </row>
    <row r="2" spans="1:5" ht="21" x14ac:dyDescent="0.35">
      <c r="A2" s="365" t="s">
        <v>165</v>
      </c>
      <c r="B2" s="365"/>
      <c r="C2" s="365"/>
      <c r="D2" s="365"/>
      <c r="E2" s="365"/>
    </row>
    <row r="3" spans="1:5" ht="13.5" thickBot="1" x14ac:dyDescent="0.25"/>
    <row r="4" spans="1:5" x14ac:dyDescent="0.2">
      <c r="E4" s="218" t="s">
        <v>165</v>
      </c>
    </row>
    <row r="5" spans="1:5" x14ac:dyDescent="0.2">
      <c r="A5" s="74" t="s">
        <v>85</v>
      </c>
      <c r="B5" s="74" t="s">
        <v>41</v>
      </c>
      <c r="C5" s="74" t="s">
        <v>163</v>
      </c>
      <c r="E5" s="219" t="s">
        <v>1</v>
      </c>
    </row>
    <row r="6" spans="1:5" x14ac:dyDescent="0.2">
      <c r="A6" s="74">
        <v>2019</v>
      </c>
      <c r="B6" s="74">
        <v>1</v>
      </c>
      <c r="C6" s="220">
        <v>43466</v>
      </c>
      <c r="E6" s="221">
        <v>1017096</v>
      </c>
    </row>
    <row r="7" spans="1:5" x14ac:dyDescent="0.2">
      <c r="A7" s="74">
        <v>2019</v>
      </c>
      <c r="B7" s="74">
        <v>2</v>
      </c>
      <c r="C7" s="220">
        <v>43497</v>
      </c>
      <c r="E7" s="221">
        <v>1018173</v>
      </c>
    </row>
    <row r="8" spans="1:5" x14ac:dyDescent="0.2">
      <c r="A8" s="74">
        <v>2019</v>
      </c>
      <c r="B8" s="74">
        <v>3</v>
      </c>
      <c r="C8" s="220">
        <v>43525</v>
      </c>
      <c r="E8" s="221">
        <v>1019088</v>
      </c>
    </row>
    <row r="9" spans="1:5" x14ac:dyDescent="0.2">
      <c r="A9" s="74">
        <v>2019</v>
      </c>
      <c r="B9" s="74">
        <v>4</v>
      </c>
      <c r="C9" s="220">
        <v>43556</v>
      </c>
      <c r="E9" s="221">
        <v>1019934</v>
      </c>
    </row>
    <row r="10" spans="1:5" x14ac:dyDescent="0.2">
      <c r="A10" s="74">
        <v>2019</v>
      </c>
      <c r="B10" s="74">
        <v>5</v>
      </c>
      <c r="C10" s="220">
        <v>43586</v>
      </c>
      <c r="E10" s="221">
        <v>1020686</v>
      </c>
    </row>
    <row r="11" spans="1:5" x14ac:dyDescent="0.2">
      <c r="A11" s="74">
        <v>2019</v>
      </c>
      <c r="B11" s="74">
        <v>6</v>
      </c>
      <c r="C11" s="220">
        <v>43617</v>
      </c>
      <c r="E11" s="221">
        <v>1021433</v>
      </c>
    </row>
    <row r="12" spans="1:5" x14ac:dyDescent="0.2">
      <c r="A12" s="74">
        <v>2019</v>
      </c>
      <c r="B12" s="74">
        <v>7</v>
      </c>
      <c r="C12" s="220">
        <v>43647</v>
      </c>
      <c r="E12" s="221">
        <v>1021991</v>
      </c>
    </row>
    <row r="13" spans="1:5" x14ac:dyDescent="0.2">
      <c r="A13" s="74">
        <v>2019</v>
      </c>
      <c r="B13" s="74">
        <v>8</v>
      </c>
      <c r="C13" s="220">
        <v>43678</v>
      </c>
      <c r="E13" s="221">
        <v>1022870</v>
      </c>
    </row>
    <row r="14" spans="1:5" x14ac:dyDescent="0.2">
      <c r="A14" s="74">
        <v>2019</v>
      </c>
      <c r="B14" s="74">
        <v>9</v>
      </c>
      <c r="C14" s="220">
        <v>43709</v>
      </c>
      <c r="E14" s="221">
        <v>1024028</v>
      </c>
    </row>
    <row r="15" spans="1:5" x14ac:dyDescent="0.2">
      <c r="A15" s="74">
        <v>2019</v>
      </c>
      <c r="B15" s="74">
        <v>10</v>
      </c>
      <c r="C15" s="220">
        <v>43739</v>
      </c>
      <c r="E15" s="221">
        <v>1025543</v>
      </c>
    </row>
    <row r="16" spans="1:5" x14ac:dyDescent="0.2">
      <c r="A16" s="74">
        <v>2019</v>
      </c>
      <c r="B16" s="74">
        <v>11</v>
      </c>
      <c r="C16" s="220">
        <v>43770</v>
      </c>
      <c r="E16" s="221">
        <v>1026942</v>
      </c>
    </row>
    <row r="17" spans="1:10" ht="13.5" thickBot="1" x14ac:dyDescent="0.25">
      <c r="A17" s="74">
        <v>2019</v>
      </c>
      <c r="B17" s="74">
        <v>12</v>
      </c>
      <c r="C17" s="220">
        <v>43800</v>
      </c>
      <c r="E17" s="222">
        <v>1028067</v>
      </c>
    </row>
    <row r="19" spans="1:10" ht="21" x14ac:dyDescent="0.35">
      <c r="A19" s="365" t="s">
        <v>161</v>
      </c>
      <c r="B19" s="365"/>
      <c r="C19" s="365"/>
      <c r="D19" s="365"/>
      <c r="E19" s="365"/>
    </row>
    <row r="20" spans="1:10" ht="13.5" thickBot="1" x14ac:dyDescent="0.25"/>
    <row r="21" spans="1:10" x14ac:dyDescent="0.2">
      <c r="E21" s="223" t="s">
        <v>162</v>
      </c>
    </row>
    <row r="22" spans="1:10" x14ac:dyDescent="0.2">
      <c r="A22" s="74" t="s">
        <v>85</v>
      </c>
      <c r="B22" s="74" t="s">
        <v>41</v>
      </c>
      <c r="C22" s="74" t="s">
        <v>163</v>
      </c>
      <c r="E22" s="219" t="s">
        <v>1</v>
      </c>
    </row>
    <row r="23" spans="1:10" x14ac:dyDescent="0.2">
      <c r="E23" s="224"/>
    </row>
    <row r="24" spans="1:10" x14ac:dyDescent="0.2">
      <c r="A24" s="74">
        <v>2019</v>
      </c>
      <c r="B24" s="74">
        <v>1</v>
      </c>
      <c r="C24" s="220">
        <v>43466</v>
      </c>
      <c r="E24" s="221">
        <v>1259288</v>
      </c>
      <c r="G24" s="227"/>
      <c r="H24" s="227"/>
      <c r="J24" s="227"/>
    </row>
    <row r="25" spans="1:10" x14ac:dyDescent="0.2">
      <c r="A25" s="74">
        <v>2019</v>
      </c>
      <c r="B25" s="74">
        <v>2</v>
      </c>
      <c r="C25" s="220">
        <v>43497</v>
      </c>
      <c r="E25" s="221">
        <v>1049964</v>
      </c>
      <c r="G25" s="227"/>
      <c r="H25" s="227"/>
      <c r="J25" s="227"/>
    </row>
    <row r="26" spans="1:10" x14ac:dyDescent="0.2">
      <c r="A26" s="74">
        <v>2019</v>
      </c>
      <c r="B26" s="74">
        <v>3</v>
      </c>
      <c r="C26" s="220">
        <v>43525</v>
      </c>
      <c r="E26" s="221">
        <v>1045413</v>
      </c>
      <c r="G26" s="227"/>
      <c r="H26" s="227"/>
      <c r="J26" s="227"/>
    </row>
    <row r="27" spans="1:10" x14ac:dyDescent="0.2">
      <c r="A27" s="74">
        <v>2019</v>
      </c>
      <c r="B27" s="74">
        <v>4</v>
      </c>
      <c r="C27" s="220">
        <v>43556</v>
      </c>
      <c r="E27" s="221">
        <v>862305</v>
      </c>
      <c r="G27" s="227"/>
      <c r="H27" s="227"/>
      <c r="J27" s="227"/>
    </row>
    <row r="28" spans="1:10" x14ac:dyDescent="0.2">
      <c r="A28" s="74">
        <v>2019</v>
      </c>
      <c r="B28" s="74">
        <v>5</v>
      </c>
      <c r="C28" s="220">
        <v>43586</v>
      </c>
      <c r="E28" s="221">
        <v>739742</v>
      </c>
      <c r="G28" s="227"/>
      <c r="H28" s="227"/>
      <c r="J28" s="227"/>
    </row>
    <row r="29" spans="1:10" x14ac:dyDescent="0.2">
      <c r="A29" s="74">
        <v>2019</v>
      </c>
      <c r="B29" s="74">
        <v>6</v>
      </c>
      <c r="C29" s="220">
        <v>43617</v>
      </c>
      <c r="E29" s="221">
        <v>680386</v>
      </c>
      <c r="G29" s="227"/>
      <c r="H29" s="227"/>
      <c r="J29" s="227"/>
    </row>
    <row r="30" spans="1:10" x14ac:dyDescent="0.2">
      <c r="A30" s="74">
        <v>2019</v>
      </c>
      <c r="B30" s="74">
        <v>7</v>
      </c>
      <c r="C30" s="220">
        <v>43647</v>
      </c>
      <c r="E30" s="221">
        <v>681210</v>
      </c>
      <c r="G30" s="227"/>
      <c r="H30" s="227"/>
      <c r="J30" s="227"/>
    </row>
    <row r="31" spans="1:10" x14ac:dyDescent="0.2">
      <c r="A31" s="74">
        <v>2019</v>
      </c>
      <c r="B31" s="74">
        <v>8</v>
      </c>
      <c r="C31" s="220">
        <v>43678</v>
      </c>
      <c r="E31" s="221">
        <v>664685</v>
      </c>
      <c r="G31" s="227"/>
      <c r="H31" s="227"/>
      <c r="J31" s="227"/>
    </row>
    <row r="32" spans="1:10" x14ac:dyDescent="0.2">
      <c r="A32" s="74">
        <v>2019</v>
      </c>
      <c r="B32" s="74">
        <v>9</v>
      </c>
      <c r="C32" s="220">
        <v>43709</v>
      </c>
      <c r="E32" s="221">
        <v>667588</v>
      </c>
      <c r="G32" s="227"/>
      <c r="H32" s="227"/>
      <c r="J32" s="227"/>
    </row>
    <row r="33" spans="1:10" x14ac:dyDescent="0.2">
      <c r="A33" s="74">
        <v>2019</v>
      </c>
      <c r="B33" s="74">
        <v>10</v>
      </c>
      <c r="C33" s="220">
        <v>43739</v>
      </c>
      <c r="E33" s="221">
        <v>832842</v>
      </c>
      <c r="G33" s="227"/>
      <c r="H33" s="227"/>
      <c r="J33" s="227"/>
    </row>
    <row r="34" spans="1:10" x14ac:dyDescent="0.2">
      <c r="A34" s="74">
        <v>2019</v>
      </c>
      <c r="B34" s="74">
        <v>11</v>
      </c>
      <c r="C34" s="220">
        <v>43770</v>
      </c>
      <c r="E34" s="221">
        <v>1028038</v>
      </c>
      <c r="G34" s="227"/>
      <c r="H34" s="227"/>
      <c r="J34" s="227"/>
    </row>
    <row r="35" spans="1:10" ht="13.5" thickBot="1" x14ac:dyDescent="0.25">
      <c r="A35" s="74">
        <v>2019</v>
      </c>
      <c r="B35" s="74">
        <v>12</v>
      </c>
      <c r="C35" s="220">
        <v>43800</v>
      </c>
      <c r="E35" s="222">
        <v>1299084</v>
      </c>
      <c r="G35" s="227"/>
      <c r="H35" s="227"/>
      <c r="J35" s="227"/>
    </row>
  </sheetData>
  <mergeCells count="3">
    <mergeCell ref="A19:E19"/>
    <mergeCell ref="A1:E1"/>
    <mergeCell ref="A2:E2"/>
  </mergeCells>
  <printOptions horizontalCentered="1"/>
  <pageMargins left="0.7" right="0.7" top="0.75" bottom="0.75" header="0.3" footer="0.3"/>
  <pageSetup scale="96" orientation="landscape" r:id="rId1"/>
  <headerFooter>
    <oddFooter>&amp;L&amp;F
&amp;A&amp;RSchedule 95A Filing Eff 1-1-19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4" workbookViewId="0">
      <selection activeCell="A4" sqref="A1:XFD1048576"/>
    </sheetView>
  </sheetViews>
  <sheetFormatPr defaultColWidth="8.85546875" defaultRowHeight="15" x14ac:dyDescent="0.25"/>
  <cols>
    <col min="1" max="1" width="7.7109375" style="204" bestFit="1" customWidth="1"/>
    <col min="2" max="2" width="15.7109375" style="204" bestFit="1" customWidth="1"/>
    <col min="3" max="4" width="15.140625" style="204" bestFit="1" customWidth="1"/>
    <col min="5" max="8" width="10.42578125" style="204" bestFit="1" customWidth="1"/>
    <col min="9" max="9" width="15.28515625" style="204" customWidth="1"/>
    <col min="10" max="10" width="12.7109375" style="204" bestFit="1" customWidth="1"/>
    <col min="11" max="11" width="15.140625" style="204" bestFit="1" customWidth="1"/>
    <col min="12" max="14" width="10.42578125" style="204" bestFit="1" customWidth="1"/>
    <col min="15" max="16384" width="8.85546875" style="204"/>
  </cols>
  <sheetData>
    <row r="1" spans="1:14" x14ac:dyDescent="0.25">
      <c r="A1" s="354" t="s">
        <v>13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74"/>
    </row>
    <row r="2" spans="1:14" x14ac:dyDescent="0.25">
      <c r="A2" s="354" t="s">
        <v>286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74"/>
    </row>
    <row r="3" spans="1:14" x14ac:dyDescent="0.25">
      <c r="A3" s="355" t="s">
        <v>287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74"/>
    </row>
    <row r="4" spans="1:14" x14ac:dyDescent="0.25">
      <c r="A4" s="355" t="s">
        <v>288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74"/>
    </row>
    <row r="5" spans="1:14" ht="15.7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.75" thickBot="1" x14ac:dyDescent="0.3">
      <c r="A6" s="75"/>
      <c r="B6" s="75"/>
      <c r="C6" s="368" t="s">
        <v>289</v>
      </c>
      <c r="D6" s="369"/>
      <c r="E6" s="369"/>
      <c r="F6" s="369"/>
      <c r="G6" s="369"/>
      <c r="H6" s="369"/>
      <c r="I6" s="369"/>
      <c r="J6" s="370"/>
      <c r="K6" s="368" t="s">
        <v>290</v>
      </c>
      <c r="L6" s="369"/>
      <c r="M6" s="369"/>
      <c r="N6" s="370"/>
    </row>
    <row r="7" spans="1:14" ht="15.75" thickBot="1" x14ac:dyDescent="0.3">
      <c r="A7" s="75"/>
      <c r="B7" s="75"/>
      <c r="C7" s="76" t="s">
        <v>291</v>
      </c>
      <c r="D7" s="77" t="s">
        <v>292</v>
      </c>
      <c r="E7" s="78" t="s">
        <v>293</v>
      </c>
      <c r="F7" s="77" t="s">
        <v>294</v>
      </c>
      <c r="G7" s="77" t="s">
        <v>295</v>
      </c>
      <c r="H7" s="77" t="s">
        <v>296</v>
      </c>
      <c r="I7" s="77" t="s">
        <v>297</v>
      </c>
      <c r="J7" s="79" t="s">
        <v>298</v>
      </c>
      <c r="K7" s="368" t="s">
        <v>299</v>
      </c>
      <c r="L7" s="369"/>
      <c r="M7" s="369"/>
      <c r="N7" s="370"/>
    </row>
    <row r="8" spans="1:14" ht="65.25" thickBot="1" x14ac:dyDescent="0.3">
      <c r="A8" s="80" t="s">
        <v>0</v>
      </c>
      <c r="B8" s="80" t="s">
        <v>166</v>
      </c>
      <c r="C8" s="81" t="s">
        <v>300</v>
      </c>
      <c r="D8" s="82" t="s">
        <v>301</v>
      </c>
      <c r="E8" s="82" t="s">
        <v>302</v>
      </c>
      <c r="F8" s="82" t="s">
        <v>303</v>
      </c>
      <c r="G8" s="82" t="s">
        <v>304</v>
      </c>
      <c r="H8" s="82" t="s">
        <v>305</v>
      </c>
      <c r="I8" s="82" t="s">
        <v>306</v>
      </c>
      <c r="J8" s="83" t="s">
        <v>307</v>
      </c>
      <c r="K8" s="81" t="s">
        <v>308</v>
      </c>
      <c r="L8" s="82" t="s">
        <v>309</v>
      </c>
      <c r="M8" s="84"/>
      <c r="N8" s="85"/>
    </row>
    <row r="9" spans="1:14" x14ac:dyDescent="0.25">
      <c r="A9" s="76">
        <v>1</v>
      </c>
      <c r="B9" s="86">
        <v>7</v>
      </c>
      <c r="C9" s="87">
        <f>+K9</f>
        <v>11362694034.5944</v>
      </c>
      <c r="D9" s="88">
        <f>+C9</f>
        <v>11362694034.5944</v>
      </c>
      <c r="E9" s="88"/>
      <c r="F9" s="88"/>
      <c r="G9" s="88"/>
      <c r="H9" s="88">
        <f>+L9</f>
        <v>2401760.8159533199</v>
      </c>
      <c r="I9" s="88">
        <f>+H9</f>
        <v>2401760.8159533199</v>
      </c>
      <c r="J9" s="89"/>
      <c r="K9" s="87">
        <f>+'UE-170033 LR Data -Energy'!J20</f>
        <v>11362694034.5944</v>
      </c>
      <c r="L9" s="88">
        <f>+'UE-170033 LR Data- Dem 4CP'!S19</f>
        <v>2401760.8159533199</v>
      </c>
      <c r="M9" s="88"/>
      <c r="N9" s="89"/>
    </row>
    <row r="10" spans="1:14" x14ac:dyDescent="0.25">
      <c r="A10" s="13">
        <v>2</v>
      </c>
      <c r="B10" s="90">
        <v>24</v>
      </c>
      <c r="C10" s="87">
        <f t="shared" ref="C10:C21" si="0">+K10</f>
        <v>2983833723.3713889</v>
      </c>
      <c r="D10" s="88">
        <f t="shared" ref="D10:D18" si="1">+C10</f>
        <v>2983833723.3713889</v>
      </c>
      <c r="E10" s="88"/>
      <c r="F10" s="88"/>
      <c r="G10" s="88"/>
      <c r="H10" s="88">
        <f t="shared" ref="H10:H21" si="2">+L10</f>
        <v>483797.35950569448</v>
      </c>
      <c r="I10" s="88">
        <f t="shared" ref="I10:I21" si="3">+H10</f>
        <v>483797.35950569448</v>
      </c>
      <c r="J10" s="89"/>
      <c r="K10" s="87">
        <f>+'UE-170033 LR Data -Energy'!J21</f>
        <v>2983833723.3713889</v>
      </c>
      <c r="L10" s="88">
        <f>+'UE-170033 LR Data- Dem 4CP'!E19</f>
        <v>483797.35950569448</v>
      </c>
      <c r="M10" s="88"/>
      <c r="N10" s="89"/>
    </row>
    <row r="11" spans="1:14" x14ac:dyDescent="0.25">
      <c r="A11" s="13">
        <v>3</v>
      </c>
      <c r="B11" s="90" t="s">
        <v>310</v>
      </c>
      <c r="C11" s="87">
        <f t="shared" si="0"/>
        <v>3080584885.4856691</v>
      </c>
      <c r="D11" s="88">
        <f t="shared" si="1"/>
        <v>3080584885.4856691</v>
      </c>
      <c r="E11" s="88"/>
      <c r="F11" s="88"/>
      <c r="G11" s="88"/>
      <c r="H11" s="88">
        <f t="shared" si="2"/>
        <v>452472.55815379717</v>
      </c>
      <c r="I11" s="88">
        <f t="shared" si="3"/>
        <v>452472.55815379717</v>
      </c>
      <c r="J11" s="89"/>
      <c r="K11" s="87">
        <f>+'UE-170033 LR Data -Energy'!J22+'UE-170033 LR Data -Energy'!J24</f>
        <v>3080584885.4856691</v>
      </c>
      <c r="L11" s="88">
        <f>+'UE-170033 LR Data- Dem 4CP'!F19+'UE-170033 LR Data- Dem 4CP'!H19</f>
        <v>452472.55815379717</v>
      </c>
      <c r="M11" s="88"/>
      <c r="N11" s="89"/>
    </row>
    <row r="12" spans="1:14" x14ac:dyDescent="0.25">
      <c r="A12" s="13">
        <v>4</v>
      </c>
      <c r="B12" s="90">
        <v>26</v>
      </c>
      <c r="C12" s="87">
        <f t="shared" si="0"/>
        <v>2051022389.543107</v>
      </c>
      <c r="D12" s="88">
        <f t="shared" si="1"/>
        <v>2051022389.543107</v>
      </c>
      <c r="E12" s="88"/>
      <c r="F12" s="88"/>
      <c r="G12" s="88"/>
      <c r="H12" s="88">
        <f t="shared" si="2"/>
        <v>261562.891393383</v>
      </c>
      <c r="I12" s="88">
        <f t="shared" si="3"/>
        <v>261562.891393383</v>
      </c>
      <c r="J12" s="89"/>
      <c r="K12" s="87">
        <f>+'UE-170033 LR Data -Energy'!J23</f>
        <v>2051022389.543107</v>
      </c>
      <c r="L12" s="88">
        <f>+'UE-170033 LR Data- Dem 4CP'!G19</f>
        <v>261562.891393383</v>
      </c>
      <c r="M12" s="88"/>
      <c r="N12" s="89"/>
    </row>
    <row r="13" spans="1:14" x14ac:dyDescent="0.25">
      <c r="A13" s="13">
        <v>5</v>
      </c>
      <c r="B13" s="90">
        <v>31</v>
      </c>
      <c r="C13" s="87">
        <f t="shared" si="0"/>
        <v>1342870567.1184549</v>
      </c>
      <c r="D13" s="88">
        <f t="shared" si="1"/>
        <v>1342870567.1184549</v>
      </c>
      <c r="E13" s="88"/>
      <c r="F13" s="88"/>
      <c r="G13" s="88"/>
      <c r="H13" s="88">
        <f t="shared" si="2"/>
        <v>179157.07260351363</v>
      </c>
      <c r="I13" s="88">
        <f t="shared" si="3"/>
        <v>179157.07260351363</v>
      </c>
      <c r="J13" s="89"/>
      <c r="K13" s="87">
        <f>+'UE-170033 LR Data -Energy'!J25</f>
        <v>1342870567.1184549</v>
      </c>
      <c r="L13" s="88">
        <f>+'UE-170033 LR Data- Dem 4CP'!I19</f>
        <v>179157.07260351363</v>
      </c>
      <c r="M13" s="88"/>
      <c r="N13" s="89"/>
    </row>
    <row r="14" spans="1:14" x14ac:dyDescent="0.25">
      <c r="A14" s="13">
        <v>6</v>
      </c>
      <c r="B14" s="90">
        <v>35</v>
      </c>
      <c r="C14" s="87">
        <f t="shared" si="0"/>
        <v>4594563.3633324662</v>
      </c>
      <c r="D14" s="88">
        <f t="shared" si="1"/>
        <v>4594563.3633324662</v>
      </c>
      <c r="E14" s="88"/>
      <c r="F14" s="88"/>
      <c r="G14" s="88"/>
      <c r="H14" s="88">
        <f t="shared" si="2"/>
        <v>4.0419526549894496</v>
      </c>
      <c r="I14" s="88">
        <f t="shared" si="3"/>
        <v>4.0419526549894496</v>
      </c>
      <c r="J14" s="89"/>
      <c r="K14" s="87">
        <f>+'UE-170033 LR Data -Energy'!J26</f>
        <v>4594563.3633324662</v>
      </c>
      <c r="L14" s="88">
        <f>+'UE-170033 LR Data- Dem 4CP'!J19</f>
        <v>4.0419526549894496</v>
      </c>
      <c r="M14" s="88"/>
      <c r="N14" s="89"/>
    </row>
    <row r="15" spans="1:14" x14ac:dyDescent="0.25">
      <c r="A15" s="13">
        <v>7</v>
      </c>
      <c r="B15" s="90">
        <v>43</v>
      </c>
      <c r="C15" s="87">
        <f t="shared" si="0"/>
        <v>124979540.86316925</v>
      </c>
      <c r="D15" s="88">
        <f t="shared" si="1"/>
        <v>124979540.86316925</v>
      </c>
      <c r="E15" s="88"/>
      <c r="F15" s="88"/>
      <c r="G15" s="88"/>
      <c r="H15" s="88">
        <v>0</v>
      </c>
      <c r="I15" s="88">
        <f t="shared" si="3"/>
        <v>0</v>
      </c>
      <c r="J15" s="89"/>
      <c r="K15" s="87">
        <f>+'UE-170033 LR Data -Energy'!J28</f>
        <v>124979540.86316925</v>
      </c>
      <c r="L15" s="88">
        <f>+'UE-170033 LR Data- Dem 4CP'!L19</f>
        <v>40576.134916547075</v>
      </c>
      <c r="M15" s="88"/>
      <c r="N15" s="89"/>
    </row>
    <row r="16" spans="1:14" x14ac:dyDescent="0.25">
      <c r="A16" s="13">
        <v>8</v>
      </c>
      <c r="B16" s="90">
        <v>40</v>
      </c>
      <c r="C16" s="87">
        <f t="shared" si="0"/>
        <v>639599439.09802258</v>
      </c>
      <c r="D16" s="88">
        <f t="shared" si="1"/>
        <v>639599439.09802258</v>
      </c>
      <c r="E16" s="88"/>
      <c r="F16" s="88"/>
      <c r="G16" s="88"/>
      <c r="H16" s="88">
        <f t="shared" si="2"/>
        <v>80420.565981487191</v>
      </c>
      <c r="I16" s="88">
        <f t="shared" si="3"/>
        <v>80420.565981487191</v>
      </c>
      <c r="J16" s="89"/>
      <c r="K16" s="87">
        <f>+'UE-170033 LR Data -Energy'!J27</f>
        <v>639599439.09802258</v>
      </c>
      <c r="L16" s="88">
        <f>+'UE-170033 LR Data- Dem 4CP'!K19</f>
        <v>80420.565981487191</v>
      </c>
      <c r="M16" s="88"/>
      <c r="N16" s="89"/>
    </row>
    <row r="17" spans="1:14" x14ac:dyDescent="0.25">
      <c r="A17" s="13">
        <v>9</v>
      </c>
      <c r="B17" s="90" t="s">
        <v>133</v>
      </c>
      <c r="C17" s="87">
        <f t="shared" si="0"/>
        <v>632887813.72208166</v>
      </c>
      <c r="D17" s="88">
        <f t="shared" si="1"/>
        <v>632887813.72208166</v>
      </c>
      <c r="E17" s="88"/>
      <c r="F17" s="88"/>
      <c r="G17" s="88"/>
      <c r="H17" s="88">
        <f>+'UE-170033 LR Data- Dem 4CP'!Q21</f>
        <v>67179.705291231017</v>
      </c>
      <c r="I17" s="88">
        <f t="shared" si="3"/>
        <v>67179.705291231017</v>
      </c>
      <c r="J17" s="89"/>
      <c r="K17" s="87">
        <f>+'UE-170033 LR Data -Energy'!J29+'UE-170033 LR Data -Energy'!J30</f>
        <v>632887813.72208166</v>
      </c>
      <c r="L17" s="88">
        <f>+'UE-170033 LR Data- Dem 4CP'!P19+'UE-170033 LR Data- Dem 4CP'!Q19</f>
        <v>72695.711848550389</v>
      </c>
      <c r="M17" s="88"/>
      <c r="N17" s="89"/>
    </row>
    <row r="18" spans="1:14" x14ac:dyDescent="0.25">
      <c r="A18" s="13">
        <v>10</v>
      </c>
      <c r="B18" s="90" t="s">
        <v>311</v>
      </c>
      <c r="C18" s="87">
        <f t="shared" si="0"/>
        <v>81534389.017231286</v>
      </c>
      <c r="D18" s="88">
        <f t="shared" si="1"/>
        <v>81534389.017231286</v>
      </c>
      <c r="E18" s="88"/>
      <c r="F18" s="88"/>
      <c r="G18" s="88"/>
      <c r="H18" s="88">
        <f t="shared" si="2"/>
        <v>13772.381425311305</v>
      </c>
      <c r="I18" s="88">
        <f t="shared" si="3"/>
        <v>13772.381425311305</v>
      </c>
      <c r="J18" s="89"/>
      <c r="K18" s="87">
        <f>+'UE-170033 LR Data -Energy'!J32</f>
        <v>81534389.017231286</v>
      </c>
      <c r="L18" s="88">
        <f>+'UE-170033 LR Data- Dem 4CP'!T19+'UE-170033 LR Data- Dem 4CP'!U19</f>
        <v>13772.381425311305</v>
      </c>
      <c r="M18" s="88"/>
      <c r="N18" s="89"/>
    </row>
    <row r="19" spans="1:14" x14ac:dyDescent="0.25">
      <c r="A19" s="13">
        <v>11</v>
      </c>
      <c r="B19" s="90" t="s">
        <v>312</v>
      </c>
      <c r="C19" s="87">
        <f t="shared" si="0"/>
        <v>107396590.46418484</v>
      </c>
      <c r="D19" s="88">
        <v>0</v>
      </c>
      <c r="E19" s="88"/>
      <c r="F19" s="88"/>
      <c r="G19" s="88"/>
      <c r="H19" s="88">
        <f t="shared" si="2"/>
        <v>12414.482378834524</v>
      </c>
      <c r="I19" s="88">
        <v>0</v>
      </c>
      <c r="J19" s="89"/>
      <c r="K19" s="87">
        <f>+'UE-170033 LR Data -Energy'!J41</f>
        <v>107396590.46418484</v>
      </c>
      <c r="L19" s="88">
        <f>+'UE-170033 LR Data- Dem 4CP'!N19</f>
        <v>12414.482378834524</v>
      </c>
      <c r="M19" s="88"/>
      <c r="N19" s="89"/>
    </row>
    <row r="20" spans="1:14" x14ac:dyDescent="0.25">
      <c r="A20" s="13">
        <v>12</v>
      </c>
      <c r="B20" s="91" t="s">
        <v>313</v>
      </c>
      <c r="C20" s="87">
        <f t="shared" si="0"/>
        <v>2033050978.3414011</v>
      </c>
      <c r="D20" s="88">
        <v>0</v>
      </c>
      <c r="E20" s="88"/>
      <c r="F20" s="88"/>
      <c r="G20" s="88"/>
      <c r="H20" s="88">
        <f t="shared" si="2"/>
        <v>230846.168346208</v>
      </c>
      <c r="I20" s="88">
        <v>0</v>
      </c>
      <c r="J20" s="89"/>
      <c r="K20" s="87">
        <f>+'UE-170033 LR Data -Energy'!J39+'UE-170033 LR Data -Energy'!J40</f>
        <v>2033050978.3414011</v>
      </c>
      <c r="L20" s="88">
        <f>+'UE-170033 LR Data- Dem 4CP'!M19+'UE-170033 LR Data- Dem 4CP'!O19</f>
        <v>230846.168346208</v>
      </c>
      <c r="M20" s="88"/>
      <c r="N20" s="89"/>
    </row>
    <row r="21" spans="1:14" x14ac:dyDescent="0.25">
      <c r="A21" s="13">
        <v>14</v>
      </c>
      <c r="B21" s="90" t="s">
        <v>314</v>
      </c>
      <c r="C21" s="87">
        <f t="shared" si="0"/>
        <v>7227693.8231415441</v>
      </c>
      <c r="D21" s="88">
        <f t="shared" ref="D21" si="4">+C21</f>
        <v>7227693.8231415441</v>
      </c>
      <c r="E21" s="88"/>
      <c r="F21" s="88"/>
      <c r="G21" s="88"/>
      <c r="H21" s="88">
        <f t="shared" si="2"/>
        <v>1530.4662657410647</v>
      </c>
      <c r="I21" s="88">
        <f t="shared" si="3"/>
        <v>1530.4662657410647</v>
      </c>
      <c r="J21" s="89"/>
      <c r="K21" s="87">
        <f>+'UE-170033 LR Data -Energy'!J31</f>
        <v>7227693.8231415441</v>
      </c>
      <c r="L21" s="88">
        <f>+'UE-170033 LR Data- Dem 4CP'!R19</f>
        <v>1530.4662657410647</v>
      </c>
      <c r="M21" s="88"/>
      <c r="N21" s="89"/>
    </row>
    <row r="22" spans="1:14" x14ac:dyDescent="0.25">
      <c r="A22" s="13">
        <v>15</v>
      </c>
      <c r="B22" s="14"/>
      <c r="C22" s="87"/>
      <c r="D22" s="88"/>
      <c r="E22" s="88"/>
      <c r="F22" s="88"/>
      <c r="G22" s="88"/>
      <c r="H22" s="88"/>
      <c r="I22" s="88"/>
      <c r="J22" s="89"/>
      <c r="K22" s="87"/>
      <c r="L22" s="88"/>
      <c r="M22" s="88"/>
      <c r="N22" s="89"/>
    </row>
    <row r="23" spans="1:14" x14ac:dyDescent="0.25">
      <c r="A23" s="13">
        <v>16</v>
      </c>
      <c r="B23" s="14" t="s">
        <v>12</v>
      </c>
      <c r="C23" s="87">
        <f>SUM(C9:C21)</f>
        <v>24452276608.80558</v>
      </c>
      <c r="D23" s="88">
        <f>SUM(D9:D22)</f>
        <v>22311829039.999996</v>
      </c>
      <c r="E23" s="88"/>
      <c r="F23" s="88"/>
      <c r="G23" s="88"/>
      <c r="H23" s="88">
        <f t="shared" ref="H23:I23" si="5">SUM(H9:H21)</f>
        <v>4184918.5092511764</v>
      </c>
      <c r="I23" s="88">
        <f t="shared" si="5"/>
        <v>3941657.8585261339</v>
      </c>
      <c r="J23" s="89"/>
      <c r="K23" s="87">
        <f>SUM(K9:K21)</f>
        <v>24452276608.80558</v>
      </c>
      <c r="L23" s="88">
        <f>SUM(L9:L21)</f>
        <v>4231010.6507250424</v>
      </c>
      <c r="M23" s="88"/>
      <c r="N23" s="89"/>
    </row>
    <row r="24" spans="1:14" x14ac:dyDescent="0.25">
      <c r="A24" s="13">
        <v>17</v>
      </c>
      <c r="B24" s="14" t="s">
        <v>315</v>
      </c>
      <c r="C24" s="87">
        <f>+'UE-170033 LR Data -Energy'!J34+'UE-170033 LR Data -Energy'!J43</f>
        <v>24452276608.805588</v>
      </c>
      <c r="D24" s="88">
        <f>+'UE-170033 LR Data -Energy'!J34</f>
        <v>22311829040</v>
      </c>
      <c r="E24" s="88"/>
      <c r="F24" s="88"/>
      <c r="G24" s="88"/>
      <c r="H24" s="88">
        <f>+'UE-170033 LR Data- Dem 4CP'!D21</f>
        <v>4184918.5092511764</v>
      </c>
      <c r="I24" s="88">
        <f>+'UE-170033 LR Data- Dem 4CP'!D23</f>
        <v>3941657.8585261335</v>
      </c>
      <c r="J24" s="89"/>
      <c r="K24" s="87">
        <f>+'UE-170033 LR Data -Energy'!J34+'UE-170033 LR Data -Energy'!J43</f>
        <v>24452276608.805588</v>
      </c>
      <c r="L24" s="88">
        <f>+'UE-170033 LR Data- Dem 4CP'!D19</f>
        <v>4231010.6507250424</v>
      </c>
      <c r="M24" s="88"/>
      <c r="N24" s="89"/>
    </row>
    <row r="25" spans="1:14" x14ac:dyDescent="0.25">
      <c r="A25" s="13">
        <v>18</v>
      </c>
      <c r="B25" s="14" t="s">
        <v>315</v>
      </c>
      <c r="C25" s="87">
        <f>+C23-C24</f>
        <v>0</v>
      </c>
      <c r="D25" s="88">
        <f>+D23-D24</f>
        <v>0</v>
      </c>
      <c r="E25" s="88"/>
      <c r="F25" s="88"/>
      <c r="G25" s="88"/>
      <c r="H25" s="88">
        <f t="shared" ref="H25:L25" si="6">+H23-H24</f>
        <v>0</v>
      </c>
      <c r="I25" s="88">
        <f t="shared" si="6"/>
        <v>0</v>
      </c>
      <c r="J25" s="89"/>
      <c r="K25" s="87">
        <f t="shared" si="6"/>
        <v>0</v>
      </c>
      <c r="L25" s="88">
        <f t="shared" si="6"/>
        <v>0</v>
      </c>
      <c r="M25" s="88"/>
      <c r="N25" s="89"/>
    </row>
    <row r="26" spans="1:14" ht="15.75" thickBot="1" x14ac:dyDescent="0.3">
      <c r="A26" s="92"/>
      <c r="B26" s="43"/>
      <c r="C26" s="92"/>
      <c r="D26" s="43"/>
      <c r="E26" s="43"/>
      <c r="F26" s="43"/>
      <c r="G26" s="43"/>
      <c r="H26" s="43"/>
      <c r="I26" s="43"/>
      <c r="J26" s="47"/>
      <c r="K26" s="92"/>
      <c r="L26" s="43"/>
      <c r="M26" s="43"/>
      <c r="N26" s="47"/>
    </row>
    <row r="27" spans="1:14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x14ac:dyDescent="0.25">
      <c r="D28" s="217">
        <f>+D23-'Peak Credit Spread'!D27</f>
        <v>0</v>
      </c>
      <c r="I28" s="217">
        <f>+I23-'Peak Credit Spread'!F27</f>
        <v>0</v>
      </c>
    </row>
    <row r="29" spans="1:14" x14ac:dyDescent="0.25">
      <c r="B29" s="205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</row>
    <row r="30" spans="1:14" x14ac:dyDescent="0.25">
      <c r="D30" s="217"/>
      <c r="I30" s="217"/>
    </row>
  </sheetData>
  <mergeCells count="7">
    <mergeCell ref="K7:N7"/>
    <mergeCell ref="A1:M1"/>
    <mergeCell ref="A2:M2"/>
    <mergeCell ref="A3:M3"/>
    <mergeCell ref="A4:M4"/>
    <mergeCell ref="C6:J6"/>
    <mergeCell ref="K6:N6"/>
  </mergeCells>
  <printOptions horizontalCentered="1"/>
  <pageMargins left="0.7" right="0.7" top="0.75" bottom="0.75" header="0.3" footer="0.3"/>
  <pageSetup scale="73" orientation="landscape" r:id="rId1"/>
  <headerFooter>
    <oddFooter>&amp;L&amp;"Times New Roman,Regular"&amp;F
&amp;A&amp;R&amp;"Times New Roman,Regular"Schedule 95A Filing Eff 1-1-19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F6F0731907D14AAE41747F18783C9E" ma:contentTypeVersion="76" ma:contentTypeDescription="" ma:contentTypeScope="" ma:versionID="8ce190921b5f12983c60605e265200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2018-11-01T07:00:00+00:00</OpenedDate>
    <SignificantOrder xmlns="dc463f71-b30c-4ab2-9473-d307f9d35888">false</SignificantOrder>
    <Date1 xmlns="dc463f71-b30c-4ab2-9473-d307f9d35888">2018-11-01T07:00:00+00:00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180887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4931D4F-294D-49D7-BA74-2F4A7DC1239E}"/>
</file>

<file path=customXml/itemProps2.xml><?xml version="1.0" encoding="utf-8"?>
<ds:datastoreItem xmlns:ds="http://schemas.openxmlformats.org/officeDocument/2006/customXml" ds:itemID="{06C5789E-C94E-4CF6-95C0-90CB96A09C0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5B0494-56A7-4F7D-A5ED-2C74E7C851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E9BD73-9BB9-402E-B052-F2ACF7C05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Lead Sheet</vt:lpstr>
      <vt:lpstr>Rate Impacts</vt:lpstr>
      <vt:lpstr>Peak Credit Spread</vt:lpstr>
      <vt:lpstr>Estimated Proforma Net Revenue</vt:lpstr>
      <vt:lpstr>Street &amp; Area Lighting</vt:lpstr>
      <vt:lpstr>Typical Res</vt:lpstr>
      <vt:lpstr>Rev Req Eff 1-1-2019</vt:lpstr>
      <vt:lpstr>F2018 Del Load &amp; Cust</vt:lpstr>
      <vt:lpstr>UE-170033 LR Data Summary</vt:lpstr>
      <vt:lpstr>UE-170033 LR Data- Dem 4CP</vt:lpstr>
      <vt:lpstr>UE-170033 LR Data -Energy</vt:lpstr>
      <vt:lpstr>Sch 95A Eff 5-1-18</vt:lpstr>
      <vt:lpstr>'Estimated Proforma Net Revenue'!Print_Area</vt:lpstr>
      <vt:lpstr>'Lead Sheet'!Print_Area</vt:lpstr>
      <vt:lpstr>'Peak Credit Spread'!Print_Area</vt:lpstr>
      <vt:lpstr>'Rate Impacts'!Print_Area</vt:lpstr>
      <vt:lpstr>'Rev Req Eff 1-1-2019'!Print_Area</vt:lpstr>
      <vt:lpstr>'Sch 95A Eff 5-1-18'!Print_Area</vt:lpstr>
      <vt:lpstr>'Street &amp; Area Lighting'!Print_Area</vt:lpstr>
      <vt:lpstr>'Typical Res'!Print_Area</vt:lpstr>
      <vt:lpstr>'UE-170033 LR Data- Dem 4CP'!Print_Area</vt:lpstr>
      <vt:lpstr>'UE-170033 LR Data -Energy'!Print_Area</vt:lpstr>
      <vt:lpstr>'UE-170033 LR Data Summary'!Print_Area</vt:lpstr>
      <vt:lpstr>'Street &amp; Area Lighting'!Print_Titles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Oates, Bryan (UTC)</cp:lastModifiedBy>
  <cp:lastPrinted>2018-10-26T21:53:38Z</cp:lastPrinted>
  <dcterms:created xsi:type="dcterms:W3CDTF">2006-05-11T20:49:14Z</dcterms:created>
  <dcterms:modified xsi:type="dcterms:W3CDTF">2018-11-01T16:05:10Z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0x0101006E56B4D1795A2E4DB2F0B01679ED314A00EEF6F0731907D14AAE41747F18783C9E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