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8-37 Natural Gas Schedule 129 - Low Income Program (UG-18xxxx) (Eff. 10-04-18)\Workpapers\"/>
    </mc:Choice>
  </mc:AlternateContent>
  <bookViews>
    <workbookView xWindow="-60" yWindow="-45" windowWidth="14970" windowHeight="14490" tabRatio="694"/>
  </bookViews>
  <sheets>
    <sheet name="Rates" sheetId="7" r:id="rId1"/>
    <sheet name="Sch 85 87 Rate Calc" sheetId="9" r:id="rId2"/>
    <sheet name="Margin Revenue" sheetId="8" r:id="rId3"/>
    <sheet name="Revenue Req 2018-2019 " sheetId="21" r:id="rId4"/>
    <sheet name="Rate Impacts--&gt;" sheetId="16" r:id="rId5"/>
    <sheet name="Rate Impacts" sheetId="17" r:id="rId6"/>
    <sheet name="Typical Res Bill" sheetId="18" r:id="rId7"/>
    <sheet name="Schedule 129 Revenue" sheetId="1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Feb04" localSheetId="7">[1]BS!$S$7:$S$3582</definedName>
    <definedName name="__Feb04">[1]BS!$S$7:$S$3582</definedName>
    <definedName name="__Jan04" localSheetId="7">[1]BS!$R$7:$R$3582</definedName>
    <definedName name="__Jan04">[1]BS!$R$7:$R$3582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r04" localSheetId="7">[1]BS!$T$7:$T$3582</definedName>
    <definedName name="__Mar04">[1]BS!$T$7:$T$3582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pr17">[6]BS!$U$8:$U$2552</definedName>
    <definedName name="_Aug04">[1]BS!$Y$7:$Y$3582</definedName>
    <definedName name="_Aug09" xml:space="preserve"> [2]BS!$Y$7:$Y$1726</definedName>
    <definedName name="_Aug16">[6]BS!$M$8:$M$2551</definedName>
    <definedName name="_Aug17">[6]BS!$Y$8:$Y$2552</definedName>
    <definedName name="_Dec03">[3]BS!$T$7:$T$3582</definedName>
    <definedName name="_Dec04">[1]BS!$AC$7:$AC$3580</definedName>
    <definedName name="_Dec08" xml:space="preserve"> [2]BS!$Q$7:$Q$1726</definedName>
    <definedName name="_Dec16">[6]BS!$Q$8:$Q$2553</definedName>
    <definedName name="_Feb04">[1]BS!$S$7:$S$3582</definedName>
    <definedName name="_FEB09" xml:space="preserve"> [2]BS!$S$7:$S$1726</definedName>
    <definedName name="_Feb17">[6]BS!$S$8:$S$2552</definedName>
    <definedName name="_FEDERAL_INCOME_TAX">'[7]MJS-7'!$N$21</definedName>
    <definedName name="_Jan04">[1]BS!$R$7:$R$3582</definedName>
    <definedName name="_Jan17">[6]BS!$R$8:$R$2553</definedName>
    <definedName name="_Jul04">[1]BS!$X$7:$X$3582</definedName>
    <definedName name="_Jul09" xml:space="preserve"> [2]BS!$X$7:$X$1726</definedName>
    <definedName name="_July16">[6]BS!$L$8:$L$2551</definedName>
    <definedName name="_July17">[6]BS!$X$8:$X$2553</definedName>
    <definedName name="_Jun04">[1]BS!$W$7:$W$3582</definedName>
    <definedName name="_Jun09" xml:space="preserve"> [2]BS!$W$7:$W$1726</definedName>
    <definedName name="_Jun16">[6]BS!$K$8:$K$2553</definedName>
    <definedName name="_Jun17">[6]BS!$W$8:$W$2553</definedName>
    <definedName name="_Mar04">[1]BS!$T$7:$T$3582</definedName>
    <definedName name="_Mar17">[6]BS!$T$8:$T$2552</definedName>
    <definedName name="_May04">[1]BS!$V$7:$V$3582</definedName>
    <definedName name="_May09" xml:space="preserve"> [2]BS!$V$7:$V$1726</definedName>
    <definedName name="_May16">[6]BS!$J$8:$J$2551</definedName>
    <definedName name="_May17">[6]BS!$V$8:$V$2552</definedName>
    <definedName name="_Nov03">[3]BS!$S$7:$S$3582</definedName>
    <definedName name="_Nov04">[1]BS!$AB$7:$AB$3582</definedName>
    <definedName name="_Nov16">[6]BS!$P$8:$P$2556</definedName>
    <definedName name="_Oct03">[3]BS!$R$7:$R$3582</definedName>
    <definedName name="_Oct04">[1]BS!$AA$7:$AA$3582</definedName>
    <definedName name="_Oct09" xml:space="preserve"> [2]BS!$AA$7:$AA$1726</definedName>
    <definedName name="_Oct16">[6]BS!$O$8:$O$2553</definedName>
    <definedName name="_Oct17">[6]BS!$AA$8:$AA$2552</definedName>
    <definedName name="_Order1" localSheetId="2">0</definedName>
    <definedName name="_Order1" localSheetId="4">0</definedName>
    <definedName name="_Order1" localSheetId="0">0</definedName>
    <definedName name="_Order1" localSheetId="1">0</definedName>
    <definedName name="_Order1" localSheetId="7">0</definedName>
    <definedName name="_Order1" localSheetId="6">0</definedName>
    <definedName name="_Order1">255</definedName>
    <definedName name="_Order2" localSheetId="2">0</definedName>
    <definedName name="_Order2" localSheetId="4">0</definedName>
    <definedName name="_Order2" localSheetId="0">0</definedName>
    <definedName name="_Order2" localSheetId="1">0</definedName>
    <definedName name="_Order2" localSheetId="7">0</definedName>
    <definedName name="_Order2" localSheetId="6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3">[8]BS!$AB$7:$AB$3420</definedName>
    <definedName name="_Sep03">[3]BS!$Q$7:$Q$3582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>[10]model!$A$6</definedName>
    <definedName name="AccessDatabase">"I:\COMTREL\FINICLE\TradeSummary.mdb"</definedName>
    <definedName name="Acct2281SO">'[11]Func Study'!$H$2190</definedName>
    <definedName name="Acct2283SO">'[11]Func Study'!$H$2198</definedName>
    <definedName name="Acct228SO">'[11]Func Study'!$H$2194</definedName>
    <definedName name="Acct350">'[11]Func Study'!$H$1628</definedName>
    <definedName name="Acct352">'[11]Func Study'!$H$1635</definedName>
    <definedName name="Acct353">'[11]Func Study'!$H$1641</definedName>
    <definedName name="Acct354">'[11]Func Study'!$H$1647</definedName>
    <definedName name="Acct355">'[11]Func Study'!$H$1654</definedName>
    <definedName name="Acct356">'[11]Func Study'!$H$1660</definedName>
    <definedName name="Acct357">'[11]Func Study'!$H$1666</definedName>
    <definedName name="Acct358">'[11]Func Study'!$H$1672</definedName>
    <definedName name="Acct359">'[11]Func Study'!$H$1678</definedName>
    <definedName name="Acct360">'[11]Func Study'!$H$1698</definedName>
    <definedName name="Acct361">'[11]Func Study'!$H$1704</definedName>
    <definedName name="Acct362">'[11]Func Study'!$H$1710</definedName>
    <definedName name="Acct364">'[11]Func Study'!$H$1717</definedName>
    <definedName name="Acct365">'[11]Func Study'!$H$1724</definedName>
    <definedName name="Acct366">'[11]Func Study'!$H$1731</definedName>
    <definedName name="Acct367">'[11]Func Study'!$H$1738</definedName>
    <definedName name="Acct368">'[11]Func Study'!$H$1744</definedName>
    <definedName name="Acct369">'[11]Func Study'!$H$1751</definedName>
    <definedName name="Acct370">'[11]Func Study'!$H$1762</definedName>
    <definedName name="Acct371">'[11]Func Study'!$H$1769</definedName>
    <definedName name="Acct372">'[11]Func Study'!$H$1776</definedName>
    <definedName name="Acct372A">'[11]Func Study'!$H$1775</definedName>
    <definedName name="Acct372DP">'[11]Func Study'!$H$1773</definedName>
    <definedName name="Acct372DS">'[11]Func Study'!$H$1774</definedName>
    <definedName name="Acct373">'[11]Func Study'!$H$1782</definedName>
    <definedName name="Acct448S">'[11]Func Study'!$H$274</definedName>
    <definedName name="Acct450S">'[11]Func Study'!$H$302</definedName>
    <definedName name="Acct451S">'[11]Func Study'!$H$307</definedName>
    <definedName name="Acct454S">'[11]Func Study'!$H$318</definedName>
    <definedName name="Acct456S">'[11]Func Study'!$H$325</definedName>
    <definedName name="ACCT557CAGE">'[11]Func Study'!$H$683</definedName>
    <definedName name="Acct557CT">'[11]Func Study'!$H$681</definedName>
    <definedName name="Acct580">'[11]Func Study'!$H$791</definedName>
    <definedName name="Acct581">'[11]Func Study'!$H$796</definedName>
    <definedName name="Acct582">'[11]Func Study'!$H$801</definedName>
    <definedName name="Acct583">'[11]Func Study'!$H$806</definedName>
    <definedName name="Acct584">'[11]Func Study'!$H$811</definedName>
    <definedName name="Acct585">'[11]Func Study'!$H$816</definedName>
    <definedName name="Acct586">'[11]Func Study'!$H$821</definedName>
    <definedName name="Acct587">'[11]Func Study'!$H$826</definedName>
    <definedName name="Acct588">'[11]Func Study'!$H$831</definedName>
    <definedName name="Acct589">'[11]Func Study'!$H$836</definedName>
    <definedName name="Acct590">'[11]Func Study'!$H$841</definedName>
    <definedName name="Acct591">'[11]Func Study'!$H$846</definedName>
    <definedName name="Acct592">'[11]Func Study'!$H$851</definedName>
    <definedName name="Acct593">'[11]Func Study'!$H$856</definedName>
    <definedName name="Acct594">'[11]Func Study'!$H$861</definedName>
    <definedName name="Acct595">'[11]Func Study'!$H$866</definedName>
    <definedName name="Acct596">'[11]Func Study'!$H$876</definedName>
    <definedName name="Acct597">'[11]Func Study'!$H$881</definedName>
    <definedName name="Acct598">'[11]Func Study'!$H$886</definedName>
    <definedName name="AcctAGA">'[11]Func Study'!$H$296</definedName>
    <definedName name="AcctTable">[12]Variables!$AK$42:$AK$396</definedName>
    <definedName name="AcctTS0">'[11]Func Study'!$H$1686</definedName>
    <definedName name="Acq1Plant">'[13]Acquisition Inputs'!$C$8</definedName>
    <definedName name="Acq2Plant">'[13]Acquisition Inputs'!$C$70</definedName>
    <definedName name="ActualROR">'[14]G+T+D+R+M'!$H$61</definedName>
    <definedName name="ADJPTDCE.T">[4]INTERNAL!$A$31:$IV$33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pr17AMA">[6]BS!$AH$8:$AH$2554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>[1]BS!$AK$7:$AK$3582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eg_Unb_KWHs">[19]LeadSht!$L$10</definedName>
    <definedName name="BOOK_LIFE" localSheetId="3">'[20]Lvl FCR'!$G$10</definedName>
    <definedName name="BOOK_LIFE">'[21]Lvl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[22]Readings!$B$2</definedName>
    <definedName name="Capital_Inflation">'[16]Assumptions (Input)'!$B$11</definedName>
    <definedName name="CASE" localSheetId="3">[23]INPUTS!$C$8</definedName>
    <definedName name="CASE" localSheetId="7">[24]INPUTS!$C$8</definedName>
    <definedName name="CASE">[24]INPUTS!$C$8</definedName>
    <definedName name="Case_Name">'[25]KJB-6,13 Cmn Adj'!$B$8</definedName>
    <definedName name="CaseDescription">'[13]Dispatch Cases'!$C$11</definedName>
    <definedName name="CBWorkbookPriority">-2060790043</definedName>
    <definedName name="CCGT_HeatRate">[13]Assumptions!$H$23</definedName>
    <definedName name="CCGTPrice">[13]Assumptions!$H$22</definedName>
    <definedName name="CL_RT2">'[26]Transp Data'!$A$6:$C$81</definedName>
    <definedName name="Close_Date">'[16]Capital Projects(Input)'!$D$7:$D$53</definedName>
    <definedName name="Construction_OH" localSheetId="3">'[27]Virtual 49 Back-Up'!$E$54</definedName>
    <definedName name="Construction_OH">'[28]Virtual 49 Back-Up'!$E$54</definedName>
    <definedName name="ConversionFactor">[13]Assumptions!$I$65</definedName>
    <definedName name="COSFacVal">[11]Inputs!$R$5</definedName>
    <definedName name="CurrQtr">'[29]Inc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'[29]Avg Amts'!$A$5:$BP$34</definedName>
    <definedName name="Data.Qtrs.Avg">'[29]Avg Amts'!$A$5:$IV$5</definedName>
    <definedName name="data1" localSheetId="4">'[30]Mix Variance'!$O$5:$T$25</definedName>
    <definedName name="DebtPerc">[13]Assumptions!$I$58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c16AMA">[6]BS!$AD$8:$AD$2553</definedName>
    <definedName name="Dec17AMA">[6]BS!$AP$8:$AP$2554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[31]Inputs!$D$11</definedName>
    <definedName name="DES1.T">[4]INTERNAL!$A$40:$IV$42</definedName>
    <definedName name="DES2.T">[4]INTERNAL!$A$43:$IV$45</definedName>
    <definedName name="DF_HeatRate">[13]Assumptions!$L$23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'[11]Func Study'!$AB$250</definedName>
    <definedName name="Discount_for_Revenue_Reqmt">'[32]Assumptions of Purchase'!$B$45</definedName>
    <definedName name="DisFac">'[11]Func Dist Factor Table'!$A$11:$G$25</definedName>
    <definedName name="DocketNumber" localSheetId="3">'[33]JHS-19'!$AR$2</definedName>
    <definedName name="DocketNumber">'[34]JHS-4'!$AP$2</definedName>
    <definedName name="DP.T">[4]INTERNAL!$A$46:$IV$48</definedName>
    <definedName name="EBFIT.T">[4]INTERNAL!$A$88:$IV$90</definedName>
    <definedName name="EffTax" localSheetId="7">[4]INPUTS!$F$31</definedName>
    <definedName name="EffTax">[4]INPUTS!$F$31</definedName>
    <definedName name="Electric_Prices">'[35]Monthly Price Summary'!$B$4:$E$27</definedName>
    <definedName name="ElecWC_LineItems">[8]BS!$AO$7:$AO$3420</definedName>
    <definedName name="ElRBLine" localSheetId="3">[8]BS!$AP$7:$AP$3141</definedName>
    <definedName name="ElRBLine">[1]BS!$AQ$7:$AQ$3303</definedName>
    <definedName name="EndDate">[13]Assumptions!$C$11</definedName>
    <definedName name="ENERGY_1">[4]EXTERNAL!$A$4:$IV$6</definedName>
    <definedName name="ENERGY_2">[4]EXTERNAL!$A$145:$IV$147</definedName>
    <definedName name="Engy">[14]Inputs!$D$9</definedName>
    <definedName name="Engy2">[31]Inputs!$D$12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>'[11]COS Factor Table'!$O$15:$O$113</definedName>
    <definedName name="FactorType">[12]Variables!$AK$2:$AL$12</definedName>
    <definedName name="FactSum">'[11]COS Factor Table'!$A$14:$O$113</definedName>
    <definedName name="FCR" localSheetId="3">'[27]Virtual 49 Back-Up'!$B$20</definedName>
    <definedName name="FCR">'[28]Virtual 49 Back-Up'!$B$20</definedName>
    <definedName name="Feb04AMA">[1]BS!$AE$7:$AE$3582</definedName>
    <definedName name="Feb09AMA">[2]BS!$AL$7:$AL$1725</definedName>
    <definedName name="Feb10AMA">[2]BS!$AX$7:$AX$1726</definedName>
    <definedName name="Feb17AMA">[6]BS!$AF$8:$AF$2552</definedName>
    <definedName name="Fed_Cap_Tax">[36]Inputs!$E$112</definedName>
    <definedName name="FedTaxRate">[13]Assumptions!$C$33</definedName>
    <definedName name="FERC_Lookup">'[37]Map Table'!$E$2:$F$58</definedName>
    <definedName name="FIT" localSheetId="4">'[38]ROR &amp; CONV FACTOR'!$J$20</definedName>
    <definedName name="FIT_Tax_Rate">'[16]Assumptions (Input)'!$B$5</definedName>
    <definedName name="FranchiseTax">[15]Variables!$D$26</definedName>
    <definedName name="FTAX" localSheetId="7">[4]INPUTS!$F$30</definedName>
    <definedName name="FTAX">[4]INPUTS!$F$30</definedName>
    <definedName name="Func">'[11]Func Factor Table'!$A$10:$H$77</definedName>
    <definedName name="Function">'[11]Func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4">{"'Sheet1'!$A$1:$J$121"}</definedName>
    <definedName name="HTML_Control" localSheetId="3">{"'Sheet1'!$A$1:$J$121"}</definedName>
    <definedName name="HTML_Control" localSheetId="7">{"'Sheet1'!$A$1:$J$121"}</definedName>
    <definedName name="HTML_Control" localSheetId="6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'[16]Assumptions (Input)'!$B$9</definedName>
    <definedName name="INTRESEXCH">[39]Sheet1!$AG$1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an17AMA">[6]BS!$AE$8:$AE$2551</definedName>
    <definedName name="jjj">[40]Inputs!$N$18</definedName>
    <definedName name="JP_Bal" localSheetId="3">[41]ACCOUNTS!$AG$31</definedName>
    <definedName name="JP_Bal">[42]ACCOUNTS!$AG$31</definedName>
    <definedName name="Jul04AMA">[1]BS!$AJ$7:$AJ$3582</definedName>
    <definedName name="Jul09AMA">[2]BS!$AQ$7:$AQ$1726</definedName>
    <definedName name="July17AMA">[6]BS!$AK$8:$AK$2552</definedName>
    <definedName name="Jun04AMA">[1]BS!$AI$7:$AI$3582</definedName>
    <definedName name="Jun09AMA">[2]BS!$AP$7:$AP$1726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_Docket_Number">'[25]KJB-12 Sum'!$AS$2</definedName>
    <definedName name="k_FITrate">'[25]KJB-3,11 Def'!$L$20</definedName>
    <definedName name="keep_Docket_Number">'[43]KJB-3 Sum'!$AQ$2</definedName>
    <definedName name="keep_FIT">'[43]KJB-7 Def'!$L$20</definedName>
    <definedName name="keep_KJB_3_Rate_Increase">'[43]KJB-7 Def'!$C$3</definedName>
    <definedName name="keep_KJB_4_Electric_Summary">'[43]KJB-3 Sum'!$AQ$3</definedName>
    <definedName name="keep_KJB_8_Common_Adjs">'[43]KJB-5 Cmn Adj'!$L$3</definedName>
    <definedName name="keep_KJB_9_Electric_Only">'[43]KJB-5 El Adj'!$E$3</definedName>
    <definedName name="keep_PSE" localSheetId="3">'[44]Gas Summary'!$I$5</definedName>
    <definedName name="keep_PSE">'[44]Gas Summary'!$I$5</definedName>
    <definedName name="keep_TESTYEAR" localSheetId="3">'[43]KJB-5 Cmn Adj'!$B$7</definedName>
    <definedName name="keep_TESTYEAR">'[44]Gas Detail Pages'!$A$8</definedName>
    <definedName name="kp_DOCKET" localSheetId="3">'[44]Gas Detail Pages'!$A$9</definedName>
    <definedName name="kp_DOCKET">'[44]Gas Detail Pages'!$A$9</definedName>
    <definedName name="Last_Row" localSheetId="4">IF('Rate Impacts--&gt;'!Values_Entered,Header_Row+'Rate Impacts--&gt;'!Number_of_Payments,Header_Row)</definedName>
    <definedName name="Last_Row">IF([0]!Values_Entered,Header_Row+[0]!Number_of_Payments,Header_Row)</definedName>
    <definedName name="LATEPAY">[39]Sheet1!$E$3:$E$25</definedName>
    <definedName name="Levy_Rate">'[16]Assumptions (Input)'!$B$6</definedName>
    <definedName name="limcount">1</definedName>
    <definedName name="LINE.T">[4]INTERNAL!$A$55:$IV$57</definedName>
    <definedName name="LinkCos">'[11]JAM Download'!$K$4</definedName>
    <definedName name="Load_Factor" localSheetId="3">[45]ACCOUNTS!$AG$167</definedName>
    <definedName name="Load_Factor">[42]ACCOUNTS!$AG$167</definedName>
    <definedName name="LoadArray">'[46]Load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[47]M9100F4!$A$1:$V$99</definedName>
    <definedName name="MACRS">'[16]MACRS RATES'!$A$3:$AT$10</definedName>
    <definedName name="Mar04AMA">[1]BS!$AF$7:$AF$3582</definedName>
    <definedName name="MAR09AMA">[2]BS!$AM$7:$AM$1725</definedName>
    <definedName name="Mar10AMA">[2]BS!$AY$7:$AY$1726</definedName>
    <definedName name="Mar17AMA">[6]BS!$AG$8:$AG$2552</definedName>
    <definedName name="May04AMA">[1]BS!$AH$7:$AH$3582</definedName>
    <definedName name="MAY09AMA">[2]BS!$AO$7:$AO$1726</definedName>
    <definedName name="May10AMA">[2]BS!$BA$7:$BA$1726</definedName>
    <definedName name="May17AMA">[6]BS!$AI$8:$AI$2552</definedName>
    <definedName name="menu1_Button5_Click" localSheetId="3">[48]!menu1_Button5_Click</definedName>
    <definedName name="menu1_Button5_Click">[48]!menu1_Button5_Click</definedName>
    <definedName name="menu1_Button6_Click" localSheetId="3">[48]!menu1_Button6_Click</definedName>
    <definedName name="menu1_Button6_Click">[48]!menu1_Button6_Click</definedName>
    <definedName name="MERGER_COST" localSheetId="4">[49]Sheet1!$AF$3:$AJ$28</definedName>
    <definedName name="MERGER_COST" localSheetId="7">[39]Sheet1!$AF$3:$AJ$28</definedName>
    <definedName name="MERGER_COST">[39]Sheet1!$AF$3:$AJ$28</definedName>
    <definedName name="METER">[4]EXTERNAL!$A$34:$IV$36</definedName>
    <definedName name="Method">[14]Inputs!$C$6</definedName>
    <definedName name="monthlist">[50]Table!$R$2:$S$13</definedName>
    <definedName name="monthtotals">'[50]WA SBC'!$D$40:$O$40</definedName>
    <definedName name="MTD_Format" localSheetId="4">[51]Mthly!$B$11:$D$11,[51]Mthly!$B$32:$D$32</definedName>
    <definedName name="MTD_Format" localSheetId="3">[52]Mthly!$B$11:$D$11,[52]Mthly!$B$31:$D$31</definedName>
    <definedName name="MTD_Format" localSheetId="7">[53]Mthly!$B$11:$D$11,[53]Mthly!$B$35:$D$35</definedName>
    <definedName name="MTD_Format">[53]Mthly!$B$11:$D$11,[53]Mthly!$B$35:$D$35</definedName>
    <definedName name="MTR_YR3">[54]Variables!$E$14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[11]Inputs!$G$8</definedName>
    <definedName name="NetToGross">[15]Variables!$D$23</definedName>
    <definedName name="Nov03AMA">[3]BS!$AI$7:$AI$3582</definedName>
    <definedName name="Nov04AMA">[1]BS!$AN$7:$AN$3582</definedName>
    <definedName name="Nov09AMA">[2]BS!$AU$7:$AU$1726</definedName>
    <definedName name="NPC">[55]Inputs!$N$18</definedName>
    <definedName name="NRG">[4]CLASSIFIERS!$A$5:$IV$5</definedName>
    <definedName name="Number_of_Payments" localSheetId="4">MATCH(0.01,End_Bal,-1)+1</definedName>
    <definedName name="Number_of_Payments" localSheetId="3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3">'[27]Virtual 49 Back-Up'!$B$21</definedName>
    <definedName name="O_M_Rate">'[28]Virtual 49 Back-Up'!$B$21</definedName>
    <definedName name="OBCLEASE">[39]Sheet1!$AF$4:$AI$23</definedName>
    <definedName name="Oct03AMA">[3]BS!$AH$7:$AH$3582</definedName>
    <definedName name="Oct04AMA">[1]BS!$AM$7:$AM$3582</definedName>
    <definedName name="Oct09AMA">[2]BS!$AT$7:$AT$1726</definedName>
    <definedName name="Oct17AMA">[6]BS!$AN$8:$AN$2552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'[56]Dist Misc'!$F$120</definedName>
    <definedName name="OthRCF" localSheetId="3">[23]INPUTS!$F$41</definedName>
    <definedName name="OthRCF">[24]INPUTS!$F$41</definedName>
    <definedName name="OthUnc">[4]INPUTS!$F$36</definedName>
    <definedName name="outlookdata">'[57]pivoted data'!$D$3:$Q$90</definedName>
    <definedName name="peak_new_table">'[58]2008 Extreme Peaks - 080403'!$E$5:$AD$8</definedName>
    <definedName name="peak_table">'[58]Peaks-F01'!$C$5:$E$243</definedName>
    <definedName name="PeakMethod">[14]Inputs!$T$5</definedName>
    <definedName name="Percent_debt">[36]Inputs!$E$129</definedName>
    <definedName name="Plant_Input">'[16]Plant(Input)'!$B$7:$AP$9,'[16]Plant(Input)'!$B$11,'[16]Plant(Input)'!$B$15:$AP$15,'[16]Plant(Input)'!$B$18,'[16]Plant(Input)'!$B$20:$AP$20</definedName>
    <definedName name="POWER.T">[4]INTERNAL!$A$58:$IV$60</definedName>
    <definedName name="PP.T">[4]INTERNAL!$A$61:$IV$63</definedName>
    <definedName name="PreTaxDebtCost">[13]Assumptions!$I$56</definedName>
    <definedName name="PreTaxWACC">[13]Assumptions!$I$62</definedName>
    <definedName name="Prices_Aurora">'[35]Monthly Price Summary'!$C$4:$H$63</definedName>
    <definedName name="_xlnm.Print_Area" localSheetId="2">'Margin Revenue'!$B$1:$L$35</definedName>
    <definedName name="_xlnm.Print_Area" localSheetId="5">'Rate Impacts'!$B$1:$U$43</definedName>
    <definedName name="_xlnm.Print_Area" localSheetId="0">Rates!$B$1:$K$53</definedName>
    <definedName name="_xlnm.Print_Area" localSheetId="1">'Sch 85 87 Rate Calc'!$B$1:$N$54</definedName>
    <definedName name="_xlnm.Print_Area" localSheetId="7">'Schedule 129 Revenue'!$A$1:$I$49</definedName>
    <definedName name="_xlnm.Print_Area" localSheetId="6">'Typical Res Bill'!$B$1:$H$39</definedName>
    <definedName name="Prior_Month" localSheetId="3">[19]Sch_120!$I$21</definedName>
    <definedName name="Prior_Month">[59]Sch_120!$I$21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[60]Sheet1!$A$1147:$B$1887</definedName>
    <definedName name="Prov_Cap_Tax">[36]Inputs!$E$111</definedName>
    <definedName name="PSE">'[61]4.04'!$A$6</definedName>
    <definedName name="PSE_Pre_Tax_Equity_Rate">'[32]Assumptions of Purchase'!$B$42</definedName>
    <definedName name="PTDGP.T">[4]INTERNAL!$A$64:$IV$66</definedName>
    <definedName name="PTDP.T">[4]INTERNAL!$A$67:$IV$69</definedName>
    <definedName name="QTD_Format">[53]QTD!$B$11:$D$11,[53]QTD!$B$35:$D$35</definedName>
    <definedName name="RATE2">'[26]Transp Data'!$A$8:$I$112</definedName>
    <definedName name="Rates">[62]Codes!$A$1:$C$500</definedName>
    <definedName name="RB.T">[4]INTERNAL!$A$70:$IV$72</definedName>
    <definedName name="RCF" localSheetId="3">[41]INPUTS!$F$48</definedName>
    <definedName name="RCF">[42]INPUTS!$F$48</definedName>
    <definedName name="Requlated_scenario">'[16]Assumptions (Input)'!$B$12</definedName>
    <definedName name="ResExchCrRate" localSheetId="3">[19]Sch_194!$M$31</definedName>
    <definedName name="ResExchCrRate" localSheetId="7">[59]Sch_194!$M$31</definedName>
    <definedName name="ResExchCrRate">[59]Sch_194!$M$31</definedName>
    <definedName name="RESID">[4]EXTERNAL!$A$88:$IV$90</definedName>
    <definedName name="resource_lookup">'[63]#REF'!$B$3:$C$112</definedName>
    <definedName name="ResourceSupplier">[15]Variables!$D$28</definedName>
    <definedName name="ResRCF" localSheetId="3">[23]INPUTS!$F$39</definedName>
    <definedName name="ResRCF" localSheetId="7">[24]INPUTS!$F$39</definedName>
    <definedName name="ResRCF">[24]INPUTS!$F$39</definedName>
    <definedName name="ResUnc" localSheetId="7">[4]INPUTS!$F$34</definedName>
    <definedName name="ResUnc">[4]INPUTS!$F$34</definedName>
    <definedName name="RevClass">[62]Codes!$F$2:$G$10</definedName>
    <definedName name="revenue_flag">'[16]Assumptions (Input)'!$C$12</definedName>
    <definedName name="Revenue_Taxes">'[16]Assumptions (Input)'!$B$8</definedName>
    <definedName name="REVFAC1.T">[4]INTERNAL!$A$73:$IV$75</definedName>
    <definedName name="ROD" localSheetId="3">[4]INPUTS!$F$25</definedName>
    <definedName name="ROD" localSheetId="7">[64]INPUTS!$F$25</definedName>
    <definedName name="ROD">[64]INPUTS!$F$25</definedName>
    <definedName name="ROR" localSheetId="4">[65]INPUTS!$F$29</definedName>
    <definedName name="ROR">[23]INPUTS!$F$24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3">[23]INPUTS!$F$40</definedName>
    <definedName name="SBRCF">[24]INPUTS!$F$40</definedName>
    <definedName name="SbUnc">[4]INPUTS!$F$35</definedName>
    <definedName name="Sch194Rlfwd">'[66]Sch94 Rlfwd'!$B$11</definedName>
    <definedName name="Schedule">[55]Inputs!$N$14</definedName>
    <definedName name="Sep03AMA" localSheetId="3">[8]BS!$AN$7:$AN$3420</definedName>
    <definedName name="Sep03AMA">[3]BS!$AG$7:$AG$3582</definedName>
    <definedName name="Sep04AMA">[1]BS!$AL$7:$AL$3582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>[13]Assumptions!$C$9</definedName>
    <definedName name="STATE_UTILITY_TAX">'[7]MJS-7'!$N$16</definedName>
    <definedName name="STAX" localSheetId="7">[4]INPUTS!$F$29</definedName>
    <definedName name="STAX">[4]INPUTS!$F$29</definedName>
    <definedName name="SW.T">[4]INTERNAL!$A$76:$IV$78</definedName>
    <definedName name="SWPTD.T">[4]INTERNAL!$A$79:$IV$81</definedName>
    <definedName name="TableName">"Dummy"</definedName>
    <definedName name="TargetROR">[14]Inputs!$G$29</definedName>
    <definedName name="TDP.T">[4]INTERNAL!$A$82:$IV$84</definedName>
    <definedName name="TEMPADJ">[39]Sheet1!$A$4:$E$40</definedName>
    <definedName name="TestPeriod">[11]Inputs!$C$5</definedName>
    <definedName name="TESTYEAR" localSheetId="4">'[34]JHS-6'!$A$7</definedName>
    <definedName name="TFR">[4]CLASSIFIERS!$A$11:$IV$11</definedName>
    <definedName name="ThermalBookLife">[13]Assumptions!$C$25</definedName>
    <definedName name="Title">[13]Assumptions!$A$1</definedName>
    <definedName name="Total_Payment" localSheetId="3">Scheduled_Payment+Extra_Payment</definedName>
    <definedName name="Total_Payment">Scheduled_Payment+Extra_Payment</definedName>
    <definedName name="TotalRateBase">'[11]G+T+D+R+M'!$H$58</definedName>
    <definedName name="TP.T">[4]INTERNAL!$A$91:$IV$93</definedName>
    <definedName name="transdb" localSheetId="4">'[67]Transp Unbilled'!$A$8:$E$174</definedName>
    <definedName name="TRANSM_2">[68]Transm2!$A$1:$M$461:'[68]10 Yr FC'!$M$47</definedName>
    <definedName name="UAcct103">'[11]Func Study'!$AB$1613</definedName>
    <definedName name="UAcct105Dnpg">'[11]Func Study'!$AB$2010</definedName>
    <definedName name="UAcct105S">'[11]Func Study'!$AB$2005</definedName>
    <definedName name="UAcct105Seu">'[11]Func Study'!$AB$2009</definedName>
    <definedName name="UAcct105Snppo">'[11]Func Study'!$AB$2008</definedName>
    <definedName name="UAcct105Snpps">'[11]Func Study'!$AB$2006</definedName>
    <definedName name="UAcct105Snpt">'[11]Func Study'!$AB$2007</definedName>
    <definedName name="UAcct1081390">'[11]Func Study'!$AB$2451</definedName>
    <definedName name="UAcct1081390Rcl">'[11]Func Study'!$AB$2450</definedName>
    <definedName name="UAcct1081399">'[11]Func Study'!$AB$2459</definedName>
    <definedName name="UAcct1081399Rcl">'[11]Func Study'!$AB$2458</definedName>
    <definedName name="UAcct108360">'[11]Func Study'!$AB$2355</definedName>
    <definedName name="UAcct108361">'[11]Func Study'!$AB$2359</definedName>
    <definedName name="UAcct108362">'[11]Func Study'!$AB$2363</definedName>
    <definedName name="UAcct108364">'[11]Func Study'!$AB$2367</definedName>
    <definedName name="UAcct108365">'[11]Func Study'!$AB$2371</definedName>
    <definedName name="UAcct108366">'[11]Func Study'!$AB$2375</definedName>
    <definedName name="UAcct108367">'[11]Func Study'!$AB$2379</definedName>
    <definedName name="UAcct108368">'[11]Func Study'!$AB$2383</definedName>
    <definedName name="UAcct108369">'[11]Func Study'!$AB$2387</definedName>
    <definedName name="UAcct108370">'[11]Func Study'!$AB$2391</definedName>
    <definedName name="UAcct108371">'[11]Func Study'!$AB$2395</definedName>
    <definedName name="UAcct108372">'[11]Func Study'!$AB$2399</definedName>
    <definedName name="UAcct108373">'[11]Func Study'!$AB$2403</definedName>
    <definedName name="UAcct108D">'[11]Func Study'!$AB$2415</definedName>
    <definedName name="UAcct108D00">'[11]Func Study'!$AB$2407</definedName>
    <definedName name="UAcct108Ds">'[11]Func Study'!$AB$2411</definedName>
    <definedName name="UAcct108Ep">'[11]Func Study'!$AB$2327</definedName>
    <definedName name="UAcct108Gpcn">'[11]Func Study'!$AB$2429</definedName>
    <definedName name="UAcct108Gps">'[11]Func Study'!$AB$2425</definedName>
    <definedName name="UAcct108Gpse">'[11]Func Study'!$AB$2431</definedName>
    <definedName name="UAcct108Gpsg">'[11]Func Study'!$AB$2428</definedName>
    <definedName name="UAcct108Gpsgp">'[11]Func Study'!$AB$2426</definedName>
    <definedName name="UAcct108Gpsgu">'[11]Func Study'!$AB$2427</definedName>
    <definedName name="UAcct108Gpso">'[11]Func Study'!$AB$2430</definedName>
    <definedName name="UACCT108GPSSGCH">'[11]Func Study'!$AB$2434</definedName>
    <definedName name="UACCT108GPSSGCT">'[11]Func Study'!$AB$2433</definedName>
    <definedName name="UAcct108Hp">'[11]Func Study'!$AB$2313</definedName>
    <definedName name="UAcct108Mp">'[11]Func Study'!$AB$2444</definedName>
    <definedName name="UAcct108Np">'[11]Func Study'!$AB$2305</definedName>
    <definedName name="UAcct108Op">'[11]Func Study'!$AB$2322</definedName>
    <definedName name="UACCT108OPSSCCT">'[11]Func Study'!$AB$2321</definedName>
    <definedName name="UAcct108Sp">'[11]Func Study'!$AB$2299</definedName>
    <definedName name="UACCT108SPSSGCH">'[11]Func Study'!$AB$2298</definedName>
    <definedName name="UAcct108Tp">'[11]Func Study'!$AB$2346</definedName>
    <definedName name="UAcct111Clg">'[11]Func Study'!$AB$2487</definedName>
    <definedName name="UAcct111Clgsou">'[11]Func Study'!$AB$2485</definedName>
    <definedName name="UAcct111Clh">'[11]Func Study'!$AB$2493</definedName>
    <definedName name="UAcct111Cls">'[11]Func Study'!$AB$2478</definedName>
    <definedName name="UAcct111Ipcn">'[11]Func Study'!$AB$2502</definedName>
    <definedName name="UAcct111Ips">'[11]Func Study'!$AB$2497</definedName>
    <definedName name="UAcct111Ipse">'[11]Func Study'!$AB$2500</definedName>
    <definedName name="UAcct111Ipsg">'[11]Func Study'!$AB$2501</definedName>
    <definedName name="UAcct111Ipsgp">'[11]Func Study'!$AB$2498</definedName>
    <definedName name="UAcct111Ipsgu">'[11]Func Study'!$AB$2499</definedName>
    <definedName name="UAcct111Ipso">'[11]Func Study'!$AB$2506</definedName>
    <definedName name="UACCT111IPSSGCH">'[11]Func Study'!$AB$2505</definedName>
    <definedName name="UACCT111IPSSGCT">'[11]Func Study'!$AB$2504</definedName>
    <definedName name="UAcct114">'[11]Func Study'!$AB$2017</definedName>
    <definedName name="UAcct120">'[11]Func Study'!$AB$2021</definedName>
    <definedName name="UAcct124">'[11]Func Study'!$AB$2026</definedName>
    <definedName name="UAcct141">'[11]Func Study'!$AB$2173</definedName>
    <definedName name="UAcct151">'[11]Func Study'!$AB$2049</definedName>
    <definedName name="Uacct151SSECT">'[11]Func Study'!$AB$2047</definedName>
    <definedName name="UAcct154">'[11]Func Study'!$AB$2083</definedName>
    <definedName name="Uacct154SSGCT">'[11]Func Study'!$AB$2080</definedName>
    <definedName name="UAcct163">'[11]Func Study'!$AB$2093</definedName>
    <definedName name="UAcct165">'[11]Func Study'!$AB$2108</definedName>
    <definedName name="UAcct165Gps">'[11]Func Study'!$AB$2104</definedName>
    <definedName name="UAcct182">'[11]Func Study'!$AB$2033</definedName>
    <definedName name="UAcct18222">'[11]Func Study'!$AB$2163</definedName>
    <definedName name="UAcct182M">'[11]Func Study'!$AB$2118</definedName>
    <definedName name="UAcct182MSSGCH">'[11]Func Study'!$AB$2113</definedName>
    <definedName name="UAcct186">'[11]Func Study'!$AB$2041</definedName>
    <definedName name="UAcct1869">'[11]Func Study'!$AB$2168</definedName>
    <definedName name="UAcct186M">'[11]Func Study'!$AB$2129</definedName>
    <definedName name="UAcct190">'[11]Func Study'!$AB$2243</definedName>
    <definedName name="UAcct190Baddebt">'[11]Func Study'!$AB$2237</definedName>
    <definedName name="UAcct190Dop">'[11]Func Study'!$AB$2235</definedName>
    <definedName name="UAcct2281">'[11]Func Study'!$AB$2191</definedName>
    <definedName name="UAcct2282">'[11]Func Study'!$AB$2195</definedName>
    <definedName name="UAcct2283">'[11]Func Study'!$AB$2200</definedName>
    <definedName name="UACCT22841SG">'[11]Func Study'!$AB$2205</definedName>
    <definedName name="UAcct22842">'[11]Func Study'!$AB$2211</definedName>
    <definedName name="UAcct235">'[11]Func Study'!$AB$2187</definedName>
    <definedName name="UACCT235CN">'[11]Func Study'!$AB$2186</definedName>
    <definedName name="UAcct252">'[11]Func Study'!$AB$2219</definedName>
    <definedName name="UAcct25316">'[11]Func Study'!$AB$2057</definedName>
    <definedName name="UAcct25317">'[11]Func Study'!$AB$2061</definedName>
    <definedName name="UAcct25318">'[11]Func Study'!$AB$2098</definedName>
    <definedName name="UAcct25319">'[11]Func Study'!$AB$2065</definedName>
    <definedName name="uacct25398">'[11]Func Study'!$AB$2222</definedName>
    <definedName name="UAcct25399">'[11]Func Study'!$AB$2230</definedName>
    <definedName name="UACCT254SO">'[11]Func Study'!$AB$2202</definedName>
    <definedName name="UAcct255">'[11]Func Study'!$AB$2284</definedName>
    <definedName name="UAcct281">'[11]Func Study'!$AB$2249</definedName>
    <definedName name="UAcct282">'[11]Func Study'!$AB$2259</definedName>
    <definedName name="UAcct282Cn">'[11]Func Study'!$AB$2256</definedName>
    <definedName name="UAcct282So">'[11]Func Study'!$AB$2255</definedName>
    <definedName name="UAcct283">'[11]Func Study'!$AB$2271</definedName>
    <definedName name="UAcct283So">'[11]Func Study'!$AB$2265</definedName>
    <definedName name="UAcct301S">'[11]Func Study'!$AB$1964</definedName>
    <definedName name="UAcct301Sg">'[11]Func Study'!$AB$1966</definedName>
    <definedName name="UAcct301So">'[11]Func Study'!$AB$1965</definedName>
    <definedName name="UAcct302S">'[11]Func Study'!$AB$1969</definedName>
    <definedName name="UAcct302Sg">'[11]Func Study'!$AB$1970</definedName>
    <definedName name="UAcct302Sgp">'[11]Func Study'!$AB$1971</definedName>
    <definedName name="UAcct302Sgu">'[11]Func Study'!$AB$1972</definedName>
    <definedName name="UAcct303Cn">'[11]Func Study'!$AB$1980</definedName>
    <definedName name="UAcct303S">'[11]Func Study'!$AB$1976</definedName>
    <definedName name="UAcct303Se">'[11]Func Study'!$AB$1979</definedName>
    <definedName name="UAcct303Sg">'[11]Func Study'!$AB$1977</definedName>
    <definedName name="UAcct303Sgu">'[11]Func Study'!$AB$1981</definedName>
    <definedName name="UAcct303So">'[11]Func Study'!$AB$1978</definedName>
    <definedName name="UACCT303SSGCH">'[11]Func Study'!$AB$1983</definedName>
    <definedName name="UAcct310">'[11]Func Study'!$AB$1414</definedName>
    <definedName name="UAcct310JBG">'[11]Func Study'!$AB$1413</definedName>
    <definedName name="UAcct311">'[11]Func Study'!$AB$1421</definedName>
    <definedName name="UAcct311JBG">'[11]Func Study'!$AB$1420</definedName>
    <definedName name="UAcct312">'[11]Func Study'!$AB$1428</definedName>
    <definedName name="UAcct312JBG">'[11]Func Study'!$AB$1427</definedName>
    <definedName name="UAcct314">'[11]Func Study'!$AB$1435</definedName>
    <definedName name="UAcct314JBG">'[11]Func Study'!$AB$1434</definedName>
    <definedName name="UAcct315">'[11]Func Study'!$AB$1442</definedName>
    <definedName name="UAcct315JBG">'[11]Func Study'!$AB$1441</definedName>
    <definedName name="UAcct316">'[11]Func Study'!$AB$1450</definedName>
    <definedName name="UAcct316JBG">'[11]Func Study'!$AB$1449</definedName>
    <definedName name="UAcct320">'[11]Func Study'!$AB$1466</definedName>
    <definedName name="UAcct321">'[11]Func Study'!$AB$1471</definedName>
    <definedName name="UAcct322">'[11]Func Study'!$AB$1476</definedName>
    <definedName name="UAcct323">'[11]Func Study'!$AB$1481</definedName>
    <definedName name="UAcct324">'[11]Func Study'!$AB$1486</definedName>
    <definedName name="UAcct325">'[11]Func Study'!$AB$1491</definedName>
    <definedName name="UAcct33">'[11]Func Study'!$AB$295</definedName>
    <definedName name="UAcct330">'[11]Func Study'!$AB$1508</definedName>
    <definedName name="UAcct331">'[11]Func Study'!$AB$1513</definedName>
    <definedName name="UAcct332">'[11]Func Study'!$AB$1518</definedName>
    <definedName name="UAcct333">'[11]Func Study'!$AB$1523</definedName>
    <definedName name="UAcct334">'[11]Func Study'!$AB$1528</definedName>
    <definedName name="UAcct335">'[11]Func Study'!$AB$1533</definedName>
    <definedName name="UAcct336">'[11]Func Study'!$AB$1539</definedName>
    <definedName name="UAcct340Dgu">'[11]Func Study'!$AB$1564</definedName>
    <definedName name="UAcct340Sgu">'[11]Func Study'!$AB$1565</definedName>
    <definedName name="UAcct341Dgu">'[11]Func Study'!$AB$1569</definedName>
    <definedName name="UAcct341Sgu">'[11]Func Study'!$AB$1570</definedName>
    <definedName name="UAcct342Dgu">'[11]Func Study'!$AB$1574</definedName>
    <definedName name="UAcct342Sgu">'[11]Func Study'!$AB$1575</definedName>
    <definedName name="UAcct343">'[11]Func Study'!$AB$1584</definedName>
    <definedName name="UAcct344S">'[11]Func Study'!$AB$1587</definedName>
    <definedName name="UAcct344Sgp">'[11]Func Study'!$AB$1588</definedName>
    <definedName name="UAcct345Dgu">'[11]Func Study'!$AB$1594</definedName>
    <definedName name="UAcct345Sgu">'[11]Func Study'!$AB$1595</definedName>
    <definedName name="UAcct346">'[11]Func Study'!$AB$1601</definedName>
    <definedName name="UAcct350">'[11]Func Study'!$AB$1628</definedName>
    <definedName name="UAcct352">'[11]Func Study'!$AB$1635</definedName>
    <definedName name="UAcct353">'[11]Func Study'!$AB$1641</definedName>
    <definedName name="UAcct354">'[11]Func Study'!$AB$1647</definedName>
    <definedName name="UAcct355">'[11]Func Study'!$AB$1654</definedName>
    <definedName name="UAcct356">'[11]Func Study'!$AB$1660</definedName>
    <definedName name="UAcct357">'[11]Func Study'!$AB$1666</definedName>
    <definedName name="UAcct358">'[11]Func Study'!$AB$1672</definedName>
    <definedName name="UAcct359">'[11]Func Study'!$AB$1678</definedName>
    <definedName name="UAcct360">'[11]Func Study'!$AB$1698</definedName>
    <definedName name="UAcct361">'[11]Func Study'!$AB$1704</definedName>
    <definedName name="UAcct362">'[11]Func Study'!$AB$1710</definedName>
    <definedName name="UAcct368">'[11]Func Study'!$AB$1744</definedName>
    <definedName name="UAcct369">'[11]Func Study'!$AB$1751</definedName>
    <definedName name="UAcct370">'[11]Func Study'!$AB$1762</definedName>
    <definedName name="UAcct372A">'[11]Func Study'!$AB$1775</definedName>
    <definedName name="UAcct372Dp">'[11]Func Study'!$AB$1773</definedName>
    <definedName name="UAcct372Ds">'[11]Func Study'!$AB$1774</definedName>
    <definedName name="UAcct373">'[11]Func Study'!$AB$1782</definedName>
    <definedName name="UAcct389Cn">'[11]Func Study'!$AB$1800</definedName>
    <definedName name="UAcct389S">'[11]Func Study'!$AB$1799</definedName>
    <definedName name="UAcct389Sg">'[11]Func Study'!$AB$1802</definedName>
    <definedName name="UAcct389Sgu">'[11]Func Study'!$AB$1801</definedName>
    <definedName name="UAcct389So">'[11]Func Study'!$AB$1803</definedName>
    <definedName name="UAcct390Cn">'[11]Func Study'!$AB$1810</definedName>
    <definedName name="UAcct390JBG">'[11]Func Study'!$AB$1812</definedName>
    <definedName name="UAcct390L">'[11]Func Study'!$AB$1927</definedName>
    <definedName name="UACCT390LRCL">'[11]Func Study'!$AB$1929</definedName>
    <definedName name="UAcct390S">'[11]Func Study'!$AB$1807</definedName>
    <definedName name="UAcct390Sgp">'[11]Func Study'!$AB$1808</definedName>
    <definedName name="UAcct390Sgu">'[11]Func Study'!$AB$1809</definedName>
    <definedName name="UAcct390Sop">'[11]Func Study'!$AB$1811</definedName>
    <definedName name="UAcct390Sou">'[11]Func Study'!$AB$1813</definedName>
    <definedName name="UAcct391Cn">'[11]Func Study'!$AB$1820</definedName>
    <definedName name="UACCT391JBE">'[11]Func Study'!$AB$1825</definedName>
    <definedName name="UAcct391S">'[11]Func Study'!$AB$1817</definedName>
    <definedName name="UAcct391Sg">'[11]Func Study'!$AB$1821</definedName>
    <definedName name="UAcct391Sgp">'[11]Func Study'!$AB$1818</definedName>
    <definedName name="UAcct391Sgu">'[11]Func Study'!$AB$1819</definedName>
    <definedName name="UAcct391So">'[11]Func Study'!$AB$1823</definedName>
    <definedName name="UACCT391SSGCH">'[11]Func Study'!$AB$1824</definedName>
    <definedName name="UAcct392Cn">'[11]Func Study'!$AB$1832</definedName>
    <definedName name="UAcct392L">'[11]Func Study'!$AB$1935</definedName>
    <definedName name="UAcct392Lrcl">'[11]Func Study'!$AB$1937</definedName>
    <definedName name="UAcct392S">'[11]Func Study'!$AB$1829</definedName>
    <definedName name="UAcct392Se">'[11]Func Study'!$AB$1834</definedName>
    <definedName name="UAcct392Sg">'[11]Func Study'!$AB$1831</definedName>
    <definedName name="UAcct392Sgp">'[11]Func Study'!$AB$1835</definedName>
    <definedName name="UAcct392Sgu">'[11]Func Study'!$AB$1833</definedName>
    <definedName name="UAcct392So">'[11]Func Study'!$AB$1830</definedName>
    <definedName name="UACCT392SSGCH">'[11]Func Study'!$AB$1836</definedName>
    <definedName name="UAcct393S">'[11]Func Study'!$AB$1841</definedName>
    <definedName name="UAcct393Sg">'[11]Func Study'!$AB$1845</definedName>
    <definedName name="UAcct393Sgp">'[11]Func Study'!$AB$1842</definedName>
    <definedName name="UAcct393Sgu">'[11]Func Study'!$AB$1843</definedName>
    <definedName name="UAcct393So">'[11]Func Study'!$AB$1844</definedName>
    <definedName name="UACCT393SSGCT">'[11]Func Study'!$AB$1846</definedName>
    <definedName name="UAcct394S">'[11]Func Study'!$AB$1850</definedName>
    <definedName name="UAcct394Se">'[11]Func Study'!$AB$1854</definedName>
    <definedName name="UAcct394Sg">'[11]Func Study'!$AB$1855</definedName>
    <definedName name="UAcct394Sgp">'[11]Func Study'!$AB$1851</definedName>
    <definedName name="UAcct394Sgu">'[11]Func Study'!$AB$1852</definedName>
    <definedName name="UAcct394So">'[11]Func Study'!$AB$1853</definedName>
    <definedName name="UACCT394SSGCH">'[11]Func Study'!$AB$1856</definedName>
    <definedName name="UAcct395S">'[11]Func Study'!$AB$1861</definedName>
    <definedName name="UAcct395Se">'[11]Func Study'!$AB$1865</definedName>
    <definedName name="UAcct395Sg">'[11]Func Study'!$AB$1866</definedName>
    <definedName name="UAcct395Sgp">'[11]Func Study'!$AB$1862</definedName>
    <definedName name="UAcct395Sgu">'[11]Func Study'!$AB$1863</definedName>
    <definedName name="UAcct395So">'[11]Func Study'!$AB$1864</definedName>
    <definedName name="UACCT395SSGCH">'[11]Func Study'!$AB$1867</definedName>
    <definedName name="UAcct396S">'[11]Func Study'!$AB$1872</definedName>
    <definedName name="UAcct396Se">'[11]Func Study'!$AB$1877</definedName>
    <definedName name="UAcct396Sg">'[11]Func Study'!$AB$1874</definedName>
    <definedName name="UAcct396Sgp">'[11]Func Study'!$AB$1873</definedName>
    <definedName name="UAcct396Sgu">'[11]Func Study'!$AB$1876</definedName>
    <definedName name="UAcct396So">'[11]Func Study'!$AB$1875</definedName>
    <definedName name="UACCT396SSGCH">'[11]Func Study'!$AB$1879</definedName>
    <definedName name="UACCT396SSGCT">'[11]Func Study'!$AB$1878</definedName>
    <definedName name="UAcct397Cn">'[11]Func Study'!$AB$1890</definedName>
    <definedName name="UAcct397JBG">'[11]Func Study'!$AB$1893</definedName>
    <definedName name="UAcct397S">'[11]Func Study'!$AB$1886</definedName>
    <definedName name="UAcct397Se">'[11]Func Study'!$AB$1892</definedName>
    <definedName name="UAcct397Sg">'[11]Func Study'!$AB$1891</definedName>
    <definedName name="UAcct397Sgp">'[11]Func Study'!$AB$1887</definedName>
    <definedName name="UAcct397Sgu">'[11]Func Study'!$AB$1888</definedName>
    <definedName name="UAcct397So">'[11]Func Study'!$AB$1889</definedName>
    <definedName name="UAcct398Cn">'[11]Func Study'!$AB$1902</definedName>
    <definedName name="UAcct398S">'[11]Func Study'!$AB$1899</definedName>
    <definedName name="UAcct398Se">'[11]Func Study'!$AB$1904</definedName>
    <definedName name="UAcct398Sg">'[11]Func Study'!$AB$1905</definedName>
    <definedName name="UAcct398Sgp">'[11]Func Study'!$AB$1900</definedName>
    <definedName name="UAcct398Sgu">'[11]Func Study'!$AB$1901</definedName>
    <definedName name="UAcct398So">'[11]Func Study'!$AB$1903</definedName>
    <definedName name="UACCT398SSGCT">'[11]Func Study'!$AB$1906</definedName>
    <definedName name="UAcct399">'[11]Func Study'!$AB$1913</definedName>
    <definedName name="UAcct399G">'[11]Func Study'!$AB$1955</definedName>
    <definedName name="UAcct399L">'[11]Func Study'!$AB$1917</definedName>
    <definedName name="UAcct399Lrcl">'[11]Func Study'!$AB$1919</definedName>
    <definedName name="UAcct403360">'[11]Func Study'!$AB$1090</definedName>
    <definedName name="UAcct403361">'[11]Func Study'!$AB$1091</definedName>
    <definedName name="UAcct403362">'[11]Func Study'!$AB$1092</definedName>
    <definedName name="UAcct403364">'[11]Func Study'!$AB$1094</definedName>
    <definedName name="UAcct403365">'[11]Func Study'!$AB$1095</definedName>
    <definedName name="UAcct403366">'[11]Func Study'!$AB$1096</definedName>
    <definedName name="UAcct403367">'[11]Func Study'!$AB$1097</definedName>
    <definedName name="UAcct403368">'[11]Func Study'!$AB$1098</definedName>
    <definedName name="UAcct403369">'[11]Func Study'!$AB$1099</definedName>
    <definedName name="UAcct403370">'[11]Func Study'!$AB$1100</definedName>
    <definedName name="UAcct403371">'[11]Func Study'!$AB$1101</definedName>
    <definedName name="UAcct403372">'[11]Func Study'!$AB$1102</definedName>
    <definedName name="UAcct403373">'[11]Func Study'!$AB$1103</definedName>
    <definedName name="UAcct403Ep">'[11]Func Study'!$AB$1130</definedName>
    <definedName name="UAcct403Gpcn">'[11]Func Study'!$AB$1111</definedName>
    <definedName name="UAcct403GPDGP">'[11]Func Study'!$AB$1108</definedName>
    <definedName name="UAcct403GPDGU">'[11]Func Study'!$AB$1109</definedName>
    <definedName name="UAcct403GPJBG">'[11]Func Study'!$AB$1115</definedName>
    <definedName name="UAcct403Gps">'[11]Func Study'!$AB$1107</definedName>
    <definedName name="UAcct403Gpsg">'[11]Func Study'!$AB$1112</definedName>
    <definedName name="UAcct403Gpso">'[11]Func Study'!$AB$1113</definedName>
    <definedName name="UAcct403Gv0">'[11]Func Study'!$AB$1121</definedName>
    <definedName name="UAcct403Hp">'[11]Func Study'!$AB$1072</definedName>
    <definedName name="UACCT403JBE">'[11]Func Study'!$AB$1116</definedName>
    <definedName name="UAcct403Mp">'[11]Func Study'!$AB$1125</definedName>
    <definedName name="UAcct403Np">'[11]Func Study'!$AB$1065</definedName>
    <definedName name="UAcct403Op">'[11]Func Study'!$AB$1080</definedName>
    <definedName name="UAcct403OPCAGE">'[11]Func Study'!$AB$1078</definedName>
    <definedName name="UAcct403Sp">'[11]Func Study'!$AB$1061</definedName>
    <definedName name="UAcct403SPJBG">'[11]Func Study'!$AB$1058</definedName>
    <definedName name="UAcct403Tp">'[11]Func Study'!$AB$1087</definedName>
    <definedName name="UAcct404330">'[11]Func Study'!$AB$1177</definedName>
    <definedName name="UACCT404GP">'[11]Func Study'!$AB$1146</definedName>
    <definedName name="UACCT404GPCN">'[11]Func Study'!$AB$1143</definedName>
    <definedName name="UACCT404GPSO">'[11]Func Study'!$AB$1141</definedName>
    <definedName name="UAcct404Ipcn">'[11]Func Study'!$AB$1158</definedName>
    <definedName name="UAcct404IPJBG">'[11]Func Study'!$AB$1163</definedName>
    <definedName name="UAcct404Ips">'[11]Func Study'!$AB$1154</definedName>
    <definedName name="UAcct404Ipse">'[11]Func Study'!$AB$1155</definedName>
    <definedName name="UAcct404Ipsg">'[11]Func Study'!$AB$1156</definedName>
    <definedName name="UAcct404Ipsg1">'[11]Func Study'!$AB$1159</definedName>
    <definedName name="UAcct404Ipsg2">'[11]Func Study'!$AB$1160</definedName>
    <definedName name="UAcct404Ipso">'[11]Func Study'!$AB$1157</definedName>
    <definedName name="UAcct404M">'[11]Func Study'!$AB$1168</definedName>
    <definedName name="UACCT404OP">'[11]Func Study'!$AB$1172</definedName>
    <definedName name="UACCT404SP">'[11]Func Study'!$AB$1151</definedName>
    <definedName name="UAcct405">'[11]Func Study'!$AB$1185</definedName>
    <definedName name="UAcct406">'[11]Func Study'!$AB$1193</definedName>
    <definedName name="UAcct407">'[11]Func Study'!$AB$1202</definedName>
    <definedName name="UAcct408">'[11]Func Study'!$AB$1221</definedName>
    <definedName name="UAcct408S">'[11]Func Study'!$AB$1213</definedName>
    <definedName name="UAcct41010">'[11]Func Study'!$AB$1294</definedName>
    <definedName name="UAcct41011">'[11]Func Study'!$AB$1309</definedName>
    <definedName name="UAcct41110">'[11]Func Study'!$AB$1325</definedName>
    <definedName name="UAcct41140">'[11]Func Study'!$AB$1232</definedName>
    <definedName name="UAcct41141">'[11]Func Study'!$AB$1237</definedName>
    <definedName name="UAcct41160">'[11]Func Study'!$AB$369</definedName>
    <definedName name="UAcct41170">'[11]Func Study'!$AB$374</definedName>
    <definedName name="UAcct4118">'[11]Func Study'!$AB$378</definedName>
    <definedName name="UAcct41181">'[11]Func Study'!$AB$381</definedName>
    <definedName name="UAcct4194">'[11]Func Study'!$AB$385</definedName>
    <definedName name="UAcct421">'[11]Func Study'!$AB$394</definedName>
    <definedName name="UAcct4311">'[11]Func Study'!$AB$401</definedName>
    <definedName name="UAcct442Se">'[11]Func Study'!$AB$259</definedName>
    <definedName name="UAcct442Sg">'[11]Func Study'!$AB$260</definedName>
    <definedName name="UAcct447">'[11]Func Study'!$AB$281</definedName>
    <definedName name="UACCT447NPC">'[11]Func Study'!$AB$289</definedName>
    <definedName name="UACCT447NPCCAEW">'[11]Func Study'!$AB$286</definedName>
    <definedName name="UACCT447NPCCAGW">'[11]Func Study'!$AB$287</definedName>
    <definedName name="UACCT447NPCDGP">'[11]Func Study'!$AB$288</definedName>
    <definedName name="UAcct447S">'[11]Func Study'!$AB$280</definedName>
    <definedName name="UAcct448S">'[11]Func Study'!$AB$274</definedName>
    <definedName name="UAcct448So">'[11]Func Study'!$AB$275</definedName>
    <definedName name="UAcct449">'[11]Func Study'!$AB$294</definedName>
    <definedName name="UAcct450">'[11]Func Study'!$AB$304</definedName>
    <definedName name="UAcct450S">'[11]Func Study'!$AB$302</definedName>
    <definedName name="UAcct450So">'[11]Func Study'!$AB$303</definedName>
    <definedName name="UAcct451S">'[11]Func Study'!$AB$307</definedName>
    <definedName name="UAcct451Sg">'[11]Func Study'!$AB$308</definedName>
    <definedName name="UAcct451So">'[11]Func Study'!$AB$309</definedName>
    <definedName name="UAcct453">'[11]Func Study'!$AB$315</definedName>
    <definedName name="UAcct454">'[11]Func Study'!$AB$322</definedName>
    <definedName name="UAcct454JBG">'[11]Func Study'!$AB$319</definedName>
    <definedName name="UAcct454S">'[11]Func Study'!$AB$318</definedName>
    <definedName name="UAcct454Sg">'[11]Func Study'!$AB$320</definedName>
    <definedName name="UAcct454So">'[11]Func Study'!$AB$321</definedName>
    <definedName name="UAcct456">'[11]Func Study'!$AB$332</definedName>
    <definedName name="UAcct456CAEW">'[11]Func Study'!$AB$331</definedName>
    <definedName name="UAcct456S">'[11]Func Study'!$AB$325</definedName>
    <definedName name="UAcct456So">'[11]Func Study'!$AB$329</definedName>
    <definedName name="UAcct500">'[11]Func Study'!$AB$416</definedName>
    <definedName name="UAcct500JBG">'[11]Func Study'!$AB$414</definedName>
    <definedName name="UAcct501">'[11]Func Study'!$AB$423</definedName>
    <definedName name="UAcct501CAEW">'[11]Func Study'!$AB$420</definedName>
    <definedName name="UAcct501JBE">'[11]Func Study'!$AB$421</definedName>
    <definedName name="UACCT501NPCCAEW">'[11]Func Study'!$AB$426</definedName>
    <definedName name="UAcct502">'[11]Func Study'!$AB$433</definedName>
    <definedName name="UAcct502CAGE">'[11]Func Study'!$AB$431</definedName>
    <definedName name="UAcct503">'[11]Func Study'!$AB$437</definedName>
    <definedName name="UACCT503NPC">'[11]Func Study'!$AB$443</definedName>
    <definedName name="UAcct505">'[11]Func Study'!$AB$449</definedName>
    <definedName name="UAcct505CAGE">'[11]Func Study'!$AB$447</definedName>
    <definedName name="UAcct506">'[11]Func Study'!$AB$455</definedName>
    <definedName name="UAcct506CAGE">'[11]Func Study'!$AB$452</definedName>
    <definedName name="UAcct507">'[11]Func Study'!$AB$464</definedName>
    <definedName name="UAcct507CAGE">'[11]Func Study'!$AB$462</definedName>
    <definedName name="UAcct510">'[11]Func Study'!$AB$469</definedName>
    <definedName name="UAcct510CAGE">'[11]Func Study'!$AB$467</definedName>
    <definedName name="UAcct511">'[11]Func Study'!$AB$474</definedName>
    <definedName name="UAcct511CAGE">'[11]Func Study'!$AB$472</definedName>
    <definedName name="UAcct512">'[11]Func Study'!$AB$479</definedName>
    <definedName name="UAcct512CAGE">'[11]Func Study'!$AB$477</definedName>
    <definedName name="UAcct513">'[11]Func Study'!$AB$484</definedName>
    <definedName name="UAcct513CAGE">'[11]Func Study'!$AB$482</definedName>
    <definedName name="UAcct514">'[11]Func Study'!$AB$489</definedName>
    <definedName name="UAcct514CAGE">'[11]Func Study'!$AB$487</definedName>
    <definedName name="UAcct517">'[11]Func Study'!$AB$498</definedName>
    <definedName name="UAcct518">'[11]Func Study'!$AB$502</definedName>
    <definedName name="UAcct519">'[11]Func Study'!$AB$507</definedName>
    <definedName name="UAcct520">'[11]Func Study'!$AB$511</definedName>
    <definedName name="UAcct523">'[11]Func Study'!$AB$515</definedName>
    <definedName name="UAcct524">'[11]Func Study'!$AB$519</definedName>
    <definedName name="UAcct528">'[11]Func Study'!$AB$523</definedName>
    <definedName name="UAcct529">'[11]Func Study'!$AB$527</definedName>
    <definedName name="UAcct530">'[11]Func Study'!$AB$531</definedName>
    <definedName name="UAcct531">'[11]Func Study'!$AB$535</definedName>
    <definedName name="UAcct532">'[11]Func Study'!$AB$539</definedName>
    <definedName name="UAcct535">'[11]Func Study'!$AB$551</definedName>
    <definedName name="UAcct536">'[11]Func Study'!$AB$555</definedName>
    <definedName name="UAcct537">'[11]Func Study'!$AB$559</definedName>
    <definedName name="UAcct538">'[11]Func Study'!$AB$563</definedName>
    <definedName name="UAcct539">'[11]Func Study'!$AB$568</definedName>
    <definedName name="UAcct540">'[11]Func Study'!$AB$572</definedName>
    <definedName name="UAcct541">'[11]Func Study'!$AB$576</definedName>
    <definedName name="UAcct542">'[11]Func Study'!$AB$580</definedName>
    <definedName name="UAcct543">'[11]Func Study'!$AB$584</definedName>
    <definedName name="UAcct544">'[11]Func Study'!$AB$588</definedName>
    <definedName name="UAcct545">'[11]Func Study'!$AB$592</definedName>
    <definedName name="UAcct546">'[11]Func Study'!$AB$606</definedName>
    <definedName name="UAcct546CAGE">'[11]Func Study'!$AB$605</definedName>
    <definedName name="UAcct547CAEW">'[11]Func Study'!$AB$610</definedName>
    <definedName name="UACCT547NPCCAEW">'[11]Func Study'!$AB$613</definedName>
    <definedName name="UAcct547Se">'[11]Func Study'!$AB$609</definedName>
    <definedName name="UAcct548">'[11]Func Study'!$AB$621</definedName>
    <definedName name="UACCT548CAGE">'[11]Func Study'!$AB$620</definedName>
    <definedName name="UAcct549">'[11]Func Study'!$AB$626</definedName>
    <definedName name="Uacct549CAGE">'[11]Func Study'!$AB$625</definedName>
    <definedName name="UAcct551CAGE">'[11]Func Study'!$AB$634</definedName>
    <definedName name="UACCT551SG">'[11]Func Study'!$AB$635</definedName>
    <definedName name="UACCT552CAGE">'[11]Func Study'!$AB$640</definedName>
    <definedName name="UAcct552SG">'[11]Func Study'!$AB$639</definedName>
    <definedName name="UACCT553CAGE">'[11]Func Study'!$AB$646</definedName>
    <definedName name="UAcct553SG">'[11]Func Study'!$AB$645</definedName>
    <definedName name="UACCT554CAGE">'[11]Func Study'!$AB$651</definedName>
    <definedName name="UAcct554SG">'[11]Func Study'!$AB$650</definedName>
    <definedName name="UAcct555CAEW">'[11]Func Study'!$AB$665</definedName>
    <definedName name="UAcct555CAGW">'[11]Func Study'!$AB$664</definedName>
    <definedName name="UACCT555DGP">'[11]Func Study'!$AB$670</definedName>
    <definedName name="UACCT555NPCCAEW">'[11]Func Study'!$AB$669</definedName>
    <definedName name="UACCT555NPCCAGW">'[11]Func Study'!$AB$668</definedName>
    <definedName name="UAcct555S">'[11]Func Study'!$AB$663</definedName>
    <definedName name="UAcct555Se">'[11]Func Study'!$AB$665</definedName>
    <definedName name="UACCT555SG">'[11]Func Study'!$AB$664</definedName>
    <definedName name="UAcct556">'[11]Func Study'!$AB$676</definedName>
    <definedName name="UAcct557">'[11]Func Study'!$AB$685</definedName>
    <definedName name="UAcct560">'[11]Func Study'!$AB$715</definedName>
    <definedName name="UAcct561">'[11]Func Study'!$AB$720</definedName>
    <definedName name="UAcct562">'[11]Func Study'!$AB$726</definedName>
    <definedName name="UAcct563">'[11]Func Study'!$AB$731</definedName>
    <definedName name="UAcct564">'[11]Func Study'!$AB$735</definedName>
    <definedName name="UAcct565">'[11]Func Study'!$AB$739</definedName>
    <definedName name="UACCT565NPC">'[11]Func Study'!$AB$744</definedName>
    <definedName name="UACCT565NPCCAGW">'[11]Func Study'!$AB$742</definedName>
    <definedName name="UAcct566">'[11]Func Study'!$AB$748</definedName>
    <definedName name="UAcct567">'[11]Func Study'!$AB$752</definedName>
    <definedName name="UAcct568">'[11]Func Study'!$AB$756</definedName>
    <definedName name="UAcct569">'[11]Func Study'!$AB$760</definedName>
    <definedName name="UAcct570">'[11]Func Study'!$AB$765</definedName>
    <definedName name="UAcct571">'[11]Func Study'!$AB$770</definedName>
    <definedName name="UAcct572">'[11]Func Study'!$AB$774</definedName>
    <definedName name="UAcct573">'[11]Func Study'!$AB$778</definedName>
    <definedName name="UAcct580">'[11]Func Study'!$AB$791</definedName>
    <definedName name="UAcct581">'[11]Func Study'!$AB$796</definedName>
    <definedName name="UAcct582">'[11]Func Study'!$AB$801</definedName>
    <definedName name="UAcct583">'[11]Func Study'!$AB$806</definedName>
    <definedName name="UAcct584">'[11]Func Study'!$AB$811</definedName>
    <definedName name="UAcct585">'[11]Func Study'!$AB$816</definedName>
    <definedName name="UAcct586">'[11]Func Study'!$AB$821</definedName>
    <definedName name="UAcct587">'[11]Func Study'!$AB$826</definedName>
    <definedName name="UAcct588">'[11]Func Study'!$AB$831</definedName>
    <definedName name="UAcct589">'[11]Func Study'!$AB$836</definedName>
    <definedName name="UAcct590">'[11]Func Study'!$AB$841</definedName>
    <definedName name="UAcct591">'[11]Func Study'!$AB$846</definedName>
    <definedName name="UAcct592">'[11]Func Study'!$AB$851</definedName>
    <definedName name="UAcct593">'[11]Func Study'!$AB$856</definedName>
    <definedName name="UAcct594">'[11]Func Study'!$AB$861</definedName>
    <definedName name="UAcct595">'[11]Func Study'!$AB$866</definedName>
    <definedName name="UAcct596">'[11]Func Study'!$AB$876</definedName>
    <definedName name="UAcct597">'[11]Func Study'!$AB$881</definedName>
    <definedName name="UAcct598">'[11]Func Study'!$AB$886</definedName>
    <definedName name="UAcct901">'[11]Func Study'!$AB$898</definedName>
    <definedName name="UAcct902">'[11]Func Study'!$AB$903</definedName>
    <definedName name="UAcct903">'[11]Func Study'!$AB$908</definedName>
    <definedName name="UAcct904">'[11]Func Study'!$AB$914</definedName>
    <definedName name="UAcct905">'[11]Func Study'!$AB$919</definedName>
    <definedName name="UAcct907">'[11]Func Study'!$AB$933</definedName>
    <definedName name="UAcct908">'[11]Func Study'!$AB$938</definedName>
    <definedName name="UAcct909">'[11]Func Study'!$AB$943</definedName>
    <definedName name="UAcct910">'[11]Func Study'!$AB$948</definedName>
    <definedName name="UAcct911">'[11]Func Study'!$AB$959</definedName>
    <definedName name="UAcct912">'[11]Func Study'!$AB$964</definedName>
    <definedName name="UAcct913">'[11]Func Study'!$AB$969</definedName>
    <definedName name="UAcct916">'[11]Func Study'!$AB$974</definedName>
    <definedName name="UAcct920">'[11]Func Study'!$AB$985</definedName>
    <definedName name="UAcct920Cn">'[11]Func Study'!$AB$983</definedName>
    <definedName name="UAcct921">'[11]Func Study'!$AB$991</definedName>
    <definedName name="UAcct921Cn">'[11]Func Study'!$AB$989</definedName>
    <definedName name="UAcct923">'[11]Func Study'!$AB$997</definedName>
    <definedName name="UAcct923CAGW">'[11]Func Study'!$AB$995</definedName>
    <definedName name="UAcct924">'[11]Func Study'!$AB$1001</definedName>
    <definedName name="UAcct925">'[11]Func Study'!$AB$1005</definedName>
    <definedName name="UAcct926">'[11]Func Study'!$AB$1011</definedName>
    <definedName name="UAcct927">'[11]Func Study'!$AB$1016</definedName>
    <definedName name="UAcct928">'[11]Func Study'!$AB$1023</definedName>
    <definedName name="UAcct929">'[11]Func Study'!$AB$1028</definedName>
    <definedName name="UAcct930">'[11]Func Study'!$AB$1034</definedName>
    <definedName name="UAcct931">'[11]Func Study'!$AB$1039</definedName>
    <definedName name="UAcct935">'[11]Func Study'!$AB$1045</definedName>
    <definedName name="UAcctAGA">'[11]Func Study'!$AB$296</definedName>
    <definedName name="UAcctcwc">'[11]Func Study'!$AB$2136</definedName>
    <definedName name="UAcctd00">'[11]Func Study'!$AB$1786</definedName>
    <definedName name="UAcctds0">'[11]Func Study'!$AB$1790</definedName>
    <definedName name="UACCTECDDGP">'[11]Func Study'!$AB$687</definedName>
    <definedName name="UACCTECDMC">'[11]Func Study'!$AB$689</definedName>
    <definedName name="UACCTECDS">'[11]Func Study'!$AB$691</definedName>
    <definedName name="UACCTECDSG1">'[11]Func Study'!$AB$688</definedName>
    <definedName name="UACCTECDSG2">'[11]Func Study'!$AB$690</definedName>
    <definedName name="UACCTECDSG3">'[11]Func Study'!$AB$692</definedName>
    <definedName name="UAcctfit">'[11]Func Study'!$AB$1395</definedName>
    <definedName name="UAcctg00">'[11]Func Study'!$AB$1947</definedName>
    <definedName name="UAccth00">'[11]Func Study'!$AB$1545</definedName>
    <definedName name="UAccti00">'[11]Func Study'!$AB$1993</definedName>
    <definedName name="UAcctn00">'[11]Func Study'!$AB$1496</definedName>
    <definedName name="UAccto00">'[11]Func Study'!$AB$1606</definedName>
    <definedName name="UAcctowc">'[11]Func Study'!$AB$2149</definedName>
    <definedName name="UACCTOWCSSECH">'[11]Func Study'!$AB$2148</definedName>
    <definedName name="UAccts00">'[11]Func Study'!$AB$1455</definedName>
    <definedName name="UAcctsttax">'[11]Func Study'!$AB$1377</definedName>
    <definedName name="UAcctt00">'[11]Func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[15]Variables!$D$29</definedName>
    <definedName name="ValidAccount">[12]Variables!$AK$43:$AK$369</definedName>
    <definedName name="Values_Entered" localSheetId="4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OMEsc">[13]Assumptions!$C$21</definedName>
    <definedName name="WACC">[13]Assumptions!$I$61</definedName>
    <definedName name="WaRevenueTax">[15]Variables!$D$27</definedName>
    <definedName name="Winter">'[69]Input Tab'!$B$11</definedName>
    <definedName name="WinterPeak">'[70]Load Data'!$D$9:$H$12,'[70]Load Data'!$D$20:$H$22</definedName>
    <definedName name="WUTC_Docket_No._UG_11____">'[7]MJS-6'!$F$2</definedName>
    <definedName name="WUTC_FILING_FEE">'[7]MJS-7'!$O$15</definedName>
    <definedName name="Years_evaluated">'[71]Revison Inputs'!$B$6</definedName>
    <definedName name="YEFactors">[12]Factors!$S$3:$AG$99</definedName>
    <definedName name="YTD_Format" localSheetId="3">[52]YTD!$B$13:$D$13,[52]YTD!$B$32:$D$32</definedName>
    <definedName name="YTD_Format">[53]YTD!$B$13:$D$13,[53]YTD!$B$36:$D$36</definedName>
  </definedNames>
  <calcPr calcId="162913" iterate="1" calcOnSave="0"/>
</workbook>
</file>

<file path=xl/calcChain.xml><?xml version="1.0" encoding="utf-8"?>
<calcChain xmlns="http://schemas.openxmlformats.org/spreadsheetml/2006/main">
  <c r="G38" i="21" l="1"/>
  <c r="F38" i="21"/>
  <c r="H37" i="21"/>
  <c r="H36" i="21"/>
  <c r="H35" i="21"/>
  <c r="H38" i="21" s="1"/>
  <c r="H34" i="21"/>
  <c r="H25" i="21"/>
  <c r="G21" i="21"/>
  <c r="F21" i="21"/>
  <c r="G12" i="21"/>
  <c r="G14" i="21" s="1"/>
  <c r="F12" i="21"/>
  <c r="F14" i="21" s="1"/>
  <c r="F23" i="21" s="1"/>
  <c r="H11" i="21"/>
  <c r="H9" i="2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G23" i="21" l="1"/>
  <c r="I49" i="7" s="1"/>
  <c r="H14" i="21"/>
  <c r="F27" i="21"/>
  <c r="H23" i="21" l="1"/>
  <c r="H27" i="21" s="1"/>
  <c r="G27" i="21"/>
  <c r="G20" i="19"/>
  <c r="G47" i="19"/>
  <c r="L21" i="17" s="1"/>
  <c r="D47" i="19"/>
  <c r="G38" i="19"/>
  <c r="D38" i="19"/>
  <c r="G32" i="19"/>
  <c r="L16" i="17" s="1"/>
  <c r="D32" i="19"/>
  <c r="G23" i="19"/>
  <c r="G22" i="19"/>
  <c r="L14" i="17"/>
  <c r="D20" i="19"/>
  <c r="G14" i="19"/>
  <c r="G13" i="19"/>
  <c r="G11" i="19"/>
  <c r="G10" i="19"/>
  <c r="G8" i="19"/>
  <c r="D7" i="19"/>
  <c r="D37" i="18"/>
  <c r="E30" i="18"/>
  <c r="D30" i="18"/>
  <c r="G29" i="18"/>
  <c r="G28" i="18"/>
  <c r="G30" i="18" s="1"/>
  <c r="H30" i="18" s="1"/>
  <c r="H26" i="18"/>
  <c r="G26" i="18"/>
  <c r="E26" i="18"/>
  <c r="G24" i="18"/>
  <c r="H24" i="18" s="1"/>
  <c r="E24" i="18"/>
  <c r="D22" i="18"/>
  <c r="D31" i="18" s="1"/>
  <c r="G21" i="18"/>
  <c r="G19" i="18"/>
  <c r="G18" i="18"/>
  <c r="G17" i="18"/>
  <c r="G16" i="18"/>
  <c r="D13" i="18"/>
  <c r="H12" i="18"/>
  <c r="G12" i="18"/>
  <c r="E12" i="18"/>
  <c r="G11" i="18"/>
  <c r="G13" i="18" s="1"/>
  <c r="E11" i="18"/>
  <c r="E13" i="18" s="1"/>
  <c r="T39" i="17"/>
  <c r="E39" i="17"/>
  <c r="T36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D37" i="17" s="1"/>
  <c r="D40" i="17" s="1"/>
  <c r="E30" i="17"/>
  <c r="D30" i="17"/>
  <c r="F25" i="17"/>
  <c r="H25" i="17" s="1"/>
  <c r="S25" i="17" s="1"/>
  <c r="R23" i="17"/>
  <c r="R26" i="17" s="1"/>
  <c r="Q23" i="17"/>
  <c r="Q26" i="17" s="1"/>
  <c r="P23" i="17"/>
  <c r="P26" i="17" s="1"/>
  <c r="O23" i="17"/>
  <c r="O26" i="17" s="1"/>
  <c r="N23" i="17"/>
  <c r="N26" i="17" s="1"/>
  <c r="M23" i="17"/>
  <c r="M26" i="17" s="1"/>
  <c r="K23" i="17"/>
  <c r="K26" i="17" s="1"/>
  <c r="J23" i="17"/>
  <c r="J26" i="17" s="1"/>
  <c r="I23" i="17"/>
  <c r="I26" i="17" s="1"/>
  <c r="G23" i="17"/>
  <c r="E23" i="17"/>
  <c r="E26" i="17" s="1"/>
  <c r="D23" i="17"/>
  <c r="F22" i="17"/>
  <c r="H22" i="17" s="1"/>
  <c r="F21" i="17"/>
  <c r="H21" i="17" s="1"/>
  <c r="L20" i="17"/>
  <c r="F20" i="17"/>
  <c r="H20" i="17" s="1"/>
  <c r="S20" i="17" s="1"/>
  <c r="L19" i="17"/>
  <c r="H19" i="17"/>
  <c r="S19" i="17" s="1"/>
  <c r="F19" i="17"/>
  <c r="L18" i="17"/>
  <c r="F18" i="17"/>
  <c r="H18" i="17" s="1"/>
  <c r="S18" i="17" s="1"/>
  <c r="L17" i="17"/>
  <c r="F17" i="17"/>
  <c r="H17" i="17" s="1"/>
  <c r="S17" i="17" s="1"/>
  <c r="H16" i="17"/>
  <c r="F16" i="17"/>
  <c r="F15" i="17"/>
  <c r="H15" i="17" s="1"/>
  <c r="F14" i="17"/>
  <c r="H14" i="17" s="1"/>
  <c r="L13" i="17"/>
  <c r="F13" i="17"/>
  <c r="H13" i="17" s="1"/>
  <c r="S13" i="17" s="1"/>
  <c r="L12" i="17"/>
  <c r="H12" i="17"/>
  <c r="S12" i="17" s="1"/>
  <c r="F12" i="17"/>
  <c r="F11" i="17"/>
  <c r="H11" i="17" s="1"/>
  <c r="S11" i="17" s="1"/>
  <c r="U11" i="17" s="1"/>
  <c r="L10" i="17"/>
  <c r="F10" i="17"/>
  <c r="H10" i="17" s="1"/>
  <c r="S16" i="17" l="1"/>
  <c r="F23" i="17"/>
  <c r="H11" i="18"/>
  <c r="H13" i="18" s="1"/>
  <c r="E22" i="18"/>
  <c r="E31" i="18" s="1"/>
  <c r="E33" i="18" s="1"/>
  <c r="E37" i="17"/>
  <c r="E40" i="17" s="1"/>
  <c r="D49" i="19"/>
  <c r="S32" i="17"/>
  <c r="S31" i="17"/>
  <c r="S21" i="17"/>
  <c r="S35" i="17" s="1"/>
  <c r="S15" i="17"/>
  <c r="S34" i="17" s="1"/>
  <c r="H34" i="17"/>
  <c r="H36" i="17"/>
  <c r="S22" i="17"/>
  <c r="H23" i="17"/>
  <c r="H26" i="17" s="1"/>
  <c r="S14" i="17"/>
  <c r="S33" i="17" s="1"/>
  <c r="H33" i="17"/>
  <c r="U25" i="17"/>
  <c r="S39" i="17"/>
  <c r="H32" i="17"/>
  <c r="L15" i="17"/>
  <c r="L23" i="17" s="1"/>
  <c r="L26" i="17" s="1"/>
  <c r="H31" i="17"/>
  <c r="H35" i="17"/>
  <c r="G49" i="19"/>
  <c r="H39" i="17"/>
  <c r="H30" i="17"/>
  <c r="S10" i="17"/>
  <c r="U39" i="17" l="1"/>
  <c r="S30" i="17"/>
  <c r="S23" i="17"/>
  <c r="S26" i="17" s="1"/>
  <c r="H37" i="17"/>
  <c r="H40" i="17" s="1"/>
  <c r="S36" i="17"/>
  <c r="U36" i="17" s="1"/>
  <c r="U22" i="17"/>
  <c r="S37" i="17" l="1"/>
  <c r="S40" i="17" s="1"/>
  <c r="B14" i="8" l="1"/>
  <c r="B16" i="8" s="1"/>
  <c r="B18" i="8" s="1"/>
  <c r="B11" i="8"/>
  <c r="B12" i="8"/>
  <c r="B19" i="8" l="1"/>
  <c r="B20" i="8" s="1"/>
  <c r="B21" i="8" s="1"/>
  <c r="G6" i="8"/>
  <c r="G25" i="8"/>
  <c r="J25" i="8" s="1"/>
  <c r="G24" i="8"/>
  <c r="J24" i="8" s="1"/>
  <c r="G20" i="8"/>
  <c r="J20" i="8" s="1"/>
  <c r="G19" i="8"/>
  <c r="J19" i="8" s="1"/>
  <c r="G16" i="8"/>
  <c r="J16" i="8" s="1"/>
  <c r="G14" i="8"/>
  <c r="J14" i="8" s="1"/>
  <c r="G12" i="8"/>
  <c r="J12" i="8" s="1"/>
  <c r="G9" i="8"/>
  <c r="J9" i="8" s="1"/>
  <c r="B23" i="8" l="1"/>
  <c r="B24" i="8" s="1"/>
  <c r="B25" i="8" s="1"/>
  <c r="B26" i="8" s="1"/>
  <c r="B27" i="8" s="1"/>
  <c r="H44" i="9"/>
  <c r="H43" i="9"/>
  <c r="H42" i="9"/>
  <c r="H41" i="9"/>
  <c r="H40" i="9"/>
  <c r="H39" i="9"/>
  <c r="F21" i="7" l="1"/>
  <c r="F13" i="7"/>
  <c r="F11" i="7"/>
  <c r="F9" i="7"/>
  <c r="H10" i="9" l="1"/>
  <c r="H12" i="9"/>
  <c r="H14" i="9"/>
  <c r="E16" i="9"/>
  <c r="E17" i="9" s="1"/>
  <c r="F11" i="9" s="1"/>
  <c r="G11" i="9" s="1"/>
  <c r="H20" i="9"/>
  <c r="H22" i="9"/>
  <c r="H24" i="9"/>
  <c r="E26" i="9"/>
  <c r="F22" i="9" s="1"/>
  <c r="G22" i="9" s="1"/>
  <c r="B28" i="9"/>
  <c r="B29" i="9" s="1"/>
  <c r="B30" i="9" s="1"/>
  <c r="B31" i="9" s="1"/>
  <c r="B32" i="9" s="1"/>
  <c r="B33" i="9" s="1"/>
  <c r="B34" i="9" s="1"/>
  <c r="B35" i="9" s="1"/>
  <c r="B36" i="9" s="1"/>
  <c r="B38" i="9" s="1"/>
  <c r="H29" i="9"/>
  <c r="H30" i="9"/>
  <c r="H31" i="9"/>
  <c r="H32" i="9"/>
  <c r="H33" i="9"/>
  <c r="H34" i="9"/>
  <c r="E35" i="9"/>
  <c r="E36" i="9" s="1"/>
  <c r="F29" i="9" s="1"/>
  <c r="B39" i="9"/>
  <c r="B40" i="9" s="1"/>
  <c r="B41" i="9" s="1"/>
  <c r="B42" i="9" s="1"/>
  <c r="B43" i="9" s="1"/>
  <c r="B44" i="9" s="1"/>
  <c r="B45" i="9" s="1"/>
  <c r="H21" i="9"/>
  <c r="H13" i="9"/>
  <c r="H15" i="9"/>
  <c r="E45" i="9"/>
  <c r="F39" i="9" s="1"/>
  <c r="G47" i="9"/>
  <c r="F6" i="8"/>
  <c r="L6" i="8"/>
  <c r="E21" i="8"/>
  <c r="F21" i="8"/>
  <c r="E26" i="8"/>
  <c r="F26" i="8"/>
  <c r="G6" i="7"/>
  <c r="B32" i="7"/>
  <c r="B33" i="7" s="1"/>
  <c r="B34" i="7" s="1"/>
  <c r="B35" i="7" s="1"/>
  <c r="B36" i="7" s="1"/>
  <c r="B38" i="7" s="1"/>
  <c r="B39" i="7" s="1"/>
  <c r="B40" i="7" s="1"/>
  <c r="B41" i="7" s="1"/>
  <c r="B42" i="7" s="1"/>
  <c r="B43" i="7" s="1"/>
  <c r="B44" i="7" s="1"/>
  <c r="B45" i="7" s="1"/>
  <c r="B47" i="7" s="1"/>
  <c r="B49" i="7" s="1"/>
  <c r="G29" i="9" l="1"/>
  <c r="G39" i="9"/>
  <c r="F27" i="8"/>
  <c r="F30" i="9"/>
  <c r="G30" i="9" s="1"/>
  <c r="F34" i="7" s="1"/>
  <c r="I39" i="9"/>
  <c r="F39" i="7"/>
  <c r="E27" i="8"/>
  <c r="F23" i="9"/>
  <c r="G23" i="9" s="1"/>
  <c r="F21" i="9"/>
  <c r="G21" i="9" s="1"/>
  <c r="F25" i="9"/>
  <c r="G25" i="9" s="1"/>
  <c r="F20" i="9"/>
  <c r="F24" i="9"/>
  <c r="G24" i="9" s="1"/>
  <c r="F17" i="7"/>
  <c r="F32" i="9"/>
  <c r="G32" i="9" s="1"/>
  <c r="I32" i="9" s="1"/>
  <c r="F34" i="9"/>
  <c r="G34" i="9" s="1"/>
  <c r="I34" i="9" s="1"/>
  <c r="F33" i="9"/>
  <c r="G33" i="9" s="1"/>
  <c r="I33" i="9" s="1"/>
  <c r="F31" i="9"/>
  <c r="G31" i="9" s="1"/>
  <c r="I22" i="9"/>
  <c r="F26" i="7"/>
  <c r="I29" i="9"/>
  <c r="F33" i="7"/>
  <c r="F12" i="9"/>
  <c r="G12" i="9" s="1"/>
  <c r="E47" i="9"/>
  <c r="H23" i="9"/>
  <c r="F15" i="9"/>
  <c r="G15" i="9" s="1"/>
  <c r="I15" i="9" s="1"/>
  <c r="H11" i="9"/>
  <c r="I11" i="9" s="1"/>
  <c r="F14" i="9"/>
  <c r="G14" i="9" s="1"/>
  <c r="I14" i="9" s="1"/>
  <c r="F10" i="9"/>
  <c r="F44" i="9"/>
  <c r="G44" i="9" s="1"/>
  <c r="F43" i="9"/>
  <c r="G43" i="9" s="1"/>
  <c r="F42" i="9"/>
  <c r="G42" i="9" s="1"/>
  <c r="F41" i="9"/>
  <c r="G41" i="9" s="1"/>
  <c r="F40" i="9"/>
  <c r="G40" i="9" s="1"/>
  <c r="H25" i="9"/>
  <c r="F13" i="9"/>
  <c r="G13" i="9" s="1"/>
  <c r="I13" i="9" s="1"/>
  <c r="F45" i="9" l="1"/>
  <c r="G10" i="9"/>
  <c r="F17" i="9"/>
  <c r="F36" i="9"/>
  <c r="G20" i="9"/>
  <c r="F26" i="9"/>
  <c r="I30" i="9"/>
  <c r="I41" i="9"/>
  <c r="F41" i="7"/>
  <c r="G16" i="9"/>
  <c r="I12" i="9"/>
  <c r="G59" i="9"/>
  <c r="I23" i="9"/>
  <c r="F27" i="7"/>
  <c r="F42" i="7"/>
  <c r="I42" i="9"/>
  <c r="I43" i="9"/>
  <c r="F43" i="7"/>
  <c r="I10" i="9"/>
  <c r="F16" i="7"/>
  <c r="G56" i="9"/>
  <c r="I25" i="9"/>
  <c r="F29" i="7"/>
  <c r="F40" i="7"/>
  <c r="I40" i="9"/>
  <c r="F44" i="7"/>
  <c r="I44" i="9"/>
  <c r="I21" i="9"/>
  <c r="F25" i="7"/>
  <c r="I24" i="9"/>
  <c r="F28" i="7"/>
  <c r="I31" i="9"/>
  <c r="G35" i="9"/>
  <c r="G58" i="9"/>
  <c r="G57" i="9"/>
  <c r="I20" i="9"/>
  <c r="F24" i="7"/>
  <c r="F45" i="7" l="1"/>
  <c r="I35" i="9"/>
  <c r="I45" i="9"/>
  <c r="I17" i="9"/>
  <c r="I47" i="9" s="1"/>
  <c r="I16" i="9"/>
  <c r="I26" i="9"/>
  <c r="F30" i="7"/>
  <c r="F18" i="7"/>
  <c r="F19" i="7" s="1"/>
  <c r="F35" i="7"/>
  <c r="F36" i="7" s="1"/>
  <c r="K26" i="8" s="1"/>
  <c r="I36" i="9"/>
  <c r="F47" i="7" l="1"/>
  <c r="K21" i="8" l="1"/>
  <c r="K27" i="8" s="1"/>
  <c r="L25" i="8"/>
  <c r="G45" i="7" s="1"/>
  <c r="L20" i="8"/>
  <c r="G30" i="7" s="1"/>
  <c r="L14" i="8"/>
  <c r="G13" i="7" s="1"/>
  <c r="L16" i="8"/>
  <c r="G21" i="7" s="1"/>
  <c r="L12" i="8"/>
  <c r="G11" i="7" s="1"/>
  <c r="L24" i="8"/>
  <c r="L19" i="8" l="1"/>
  <c r="G19" i="7" s="1"/>
  <c r="L9" i="8"/>
  <c r="L26" i="8"/>
  <c r="G36" i="7"/>
  <c r="L21" i="8" l="1"/>
  <c r="L27" i="8" s="1"/>
  <c r="G9" i="7"/>
  <c r="G47" i="7" l="1"/>
  <c r="H9" i="7" s="1"/>
  <c r="H21" i="7" l="1"/>
  <c r="I21" i="7" s="1"/>
  <c r="J21" i="7" s="1"/>
  <c r="H11" i="7"/>
  <c r="I11" i="7" s="1"/>
  <c r="J11" i="7" s="1"/>
  <c r="H30" i="7"/>
  <c r="I30" i="7" s="1"/>
  <c r="J26" i="9" s="1"/>
  <c r="H13" i="7"/>
  <c r="I13" i="7" s="1"/>
  <c r="J13" i="7" s="1"/>
  <c r="H19" i="7"/>
  <c r="I19" i="7" s="1"/>
  <c r="J17" i="9" s="1"/>
  <c r="H45" i="7"/>
  <c r="I45" i="7" s="1"/>
  <c r="J45" i="9" s="1"/>
  <c r="H36" i="7"/>
  <c r="I36" i="7" s="1"/>
  <c r="J36" i="9" s="1"/>
  <c r="I9" i="7"/>
  <c r="K13" i="7" l="1"/>
  <c r="F14" i="19"/>
  <c r="H14" i="19" s="1"/>
  <c r="I14" i="19" s="1"/>
  <c r="T18" i="17" s="1"/>
  <c r="U18" i="17" s="1"/>
  <c r="F13" i="19"/>
  <c r="H13" i="19" s="1"/>
  <c r="I13" i="19" s="1"/>
  <c r="T13" i="17" s="1"/>
  <c r="K11" i="7"/>
  <c r="F10" i="19"/>
  <c r="H10" i="19" s="1"/>
  <c r="I10" i="19" s="1"/>
  <c r="T12" i="17" s="1"/>
  <c r="F11" i="19"/>
  <c r="H11" i="19" s="1"/>
  <c r="I11" i="19" s="1"/>
  <c r="T17" i="17" s="1"/>
  <c r="U17" i="17" s="1"/>
  <c r="K21" i="7"/>
  <c r="F23" i="19"/>
  <c r="H23" i="19" s="1"/>
  <c r="I23" i="19" s="1"/>
  <c r="T20" i="17" s="1"/>
  <c r="U20" i="17" s="1"/>
  <c r="F22" i="19"/>
  <c r="H22" i="19" s="1"/>
  <c r="I22" i="19" s="1"/>
  <c r="T15" i="17" s="1"/>
  <c r="H47" i="7"/>
  <c r="J47" i="9"/>
  <c r="J48" i="9" s="1"/>
  <c r="K11" i="9" s="1"/>
  <c r="J9" i="7"/>
  <c r="I47" i="7"/>
  <c r="U13" i="17" l="1"/>
  <c r="T32" i="17"/>
  <c r="U32" i="17" s="1"/>
  <c r="K9" i="7"/>
  <c r="F8" i="19"/>
  <c r="T34" i="17"/>
  <c r="U34" i="17" s="1"/>
  <c r="U15" i="17"/>
  <c r="T31" i="17"/>
  <c r="U31" i="17" s="1"/>
  <c r="U12" i="17"/>
  <c r="K44" i="9"/>
  <c r="L44" i="9" s="1"/>
  <c r="L25" i="9" s="1"/>
  <c r="K14" i="9"/>
  <c r="K12" i="9"/>
  <c r="K24" i="9"/>
  <c r="K42" i="9"/>
  <c r="L42" i="9" s="1"/>
  <c r="L23" i="9" s="1"/>
  <c r="K32" i="9"/>
  <c r="K41" i="9"/>
  <c r="L41" i="9" s="1"/>
  <c r="M41" i="9" s="1"/>
  <c r="K34" i="9"/>
  <c r="K31" i="9"/>
  <c r="K23" i="9"/>
  <c r="K39" i="9"/>
  <c r="L39" i="9" s="1"/>
  <c r="K30" i="9"/>
  <c r="K43" i="9"/>
  <c r="L43" i="9" s="1"/>
  <c r="M43" i="9" s="1"/>
  <c r="K15" i="9"/>
  <c r="K10" i="9"/>
  <c r="K29" i="9"/>
  <c r="K20" i="9"/>
  <c r="K13" i="9"/>
  <c r="K21" i="9"/>
  <c r="K25" i="9"/>
  <c r="K22" i="9"/>
  <c r="K33" i="9"/>
  <c r="K40" i="9"/>
  <c r="L40" i="9" s="1"/>
  <c r="L30" i="9" s="1"/>
  <c r="J41" i="7"/>
  <c r="F43" i="19" s="1"/>
  <c r="H8" i="19" l="1"/>
  <c r="G20" i="18"/>
  <c r="G22" i="18" s="1"/>
  <c r="J44" i="7"/>
  <c r="F46" i="19" s="1"/>
  <c r="K45" i="9"/>
  <c r="M44" i="9"/>
  <c r="J42" i="7"/>
  <c r="F44" i="19" s="1"/>
  <c r="L24" i="9"/>
  <c r="J28" i="7" s="1"/>
  <c r="F30" i="19" s="1"/>
  <c r="M42" i="9"/>
  <c r="K35" i="9"/>
  <c r="M40" i="9"/>
  <c r="J40" i="7"/>
  <c r="F42" i="19" s="1"/>
  <c r="K16" i="9"/>
  <c r="L21" i="9"/>
  <c r="J25" i="7" s="1"/>
  <c r="F27" i="19" s="1"/>
  <c r="L22" i="9"/>
  <c r="M22" i="9" s="1"/>
  <c r="K26" i="9"/>
  <c r="K36" i="9"/>
  <c r="K17" i="9"/>
  <c r="J43" i="7"/>
  <c r="F45" i="19" s="1"/>
  <c r="M23" i="9"/>
  <c r="J27" i="7"/>
  <c r="F29" i="19" s="1"/>
  <c r="M30" i="9"/>
  <c r="L11" i="9"/>
  <c r="J34" i="7"/>
  <c r="F36" i="19" s="1"/>
  <c r="L29" i="9"/>
  <c r="J39" i="7"/>
  <c r="F41" i="19" s="1"/>
  <c r="H47" i="19" s="1"/>
  <c r="I47" i="19" s="1"/>
  <c r="T21" i="17" s="1"/>
  <c r="U21" i="17" s="1"/>
  <c r="M39" i="9"/>
  <c r="L20" i="9"/>
  <c r="M25" i="9"/>
  <c r="J29" i="7"/>
  <c r="F31" i="19" s="1"/>
  <c r="G31" i="18" l="1"/>
  <c r="G37" i="18"/>
  <c r="H22" i="18"/>
  <c r="H31" i="18" s="1"/>
  <c r="H33" i="18" s="1"/>
  <c r="H34" i="18" s="1"/>
  <c r="H35" i="18" s="1"/>
  <c r="I8" i="19"/>
  <c r="L35" i="9"/>
  <c r="L16" i="9" s="1"/>
  <c r="M24" i="9"/>
  <c r="M45" i="9"/>
  <c r="N45" i="9" s="1"/>
  <c r="J26" i="7"/>
  <c r="F28" i="19" s="1"/>
  <c r="M21" i="9"/>
  <c r="K47" i="9"/>
  <c r="J33" i="7"/>
  <c r="F35" i="19" s="1"/>
  <c r="M29" i="9"/>
  <c r="L10" i="9"/>
  <c r="J24" i="7"/>
  <c r="F26" i="19" s="1"/>
  <c r="M20" i="9"/>
  <c r="M11" i="9"/>
  <c r="J17" i="7"/>
  <c r="F18" i="19" s="1"/>
  <c r="H32" i="19" l="1"/>
  <c r="I32" i="19" s="1"/>
  <c r="T16" i="17" s="1"/>
  <c r="T35" i="17"/>
  <c r="U35" i="17" s="1"/>
  <c r="U16" i="17"/>
  <c r="K45" i="7"/>
  <c r="T10" i="17"/>
  <c r="M26" i="9"/>
  <c r="N26" i="9" s="1"/>
  <c r="M35" i="9"/>
  <c r="M36" i="9" s="1"/>
  <c r="K36" i="7" s="1"/>
  <c r="J35" i="7"/>
  <c r="F37" i="19" s="1"/>
  <c r="H38" i="19" s="1"/>
  <c r="I38" i="19" s="1"/>
  <c r="T19" i="17" s="1"/>
  <c r="U19" i="17" s="1"/>
  <c r="M10" i="9"/>
  <c r="J16" i="7"/>
  <c r="F17" i="19" s="1"/>
  <c r="J18" i="7"/>
  <c r="F19" i="19" s="1"/>
  <c r="M16" i="9"/>
  <c r="H20" i="19" l="1"/>
  <c r="T30" i="17"/>
  <c r="U10" i="17"/>
  <c r="K30" i="7"/>
  <c r="N36" i="9"/>
  <c r="M17" i="9"/>
  <c r="U30" i="17" l="1"/>
  <c r="I20" i="19"/>
  <c r="H49" i="19"/>
  <c r="N17" i="9"/>
  <c r="M47" i="9"/>
  <c r="N47" i="9" s="1"/>
  <c r="N48" i="9" s="1"/>
  <c r="K19" i="7"/>
  <c r="K47" i="7" s="1"/>
  <c r="T14" i="17" l="1"/>
  <c r="I49" i="19"/>
  <c r="J47" i="7"/>
  <c r="L47" i="7"/>
  <c r="L48" i="7" s="1"/>
  <c r="U14" i="17" l="1"/>
  <c r="T33" i="17"/>
  <c r="T23" i="17"/>
  <c r="T26" i="17" l="1"/>
  <c r="U26" i="17" s="1"/>
  <c r="U23" i="17"/>
  <c r="U33" i="17"/>
  <c r="T37" i="17"/>
  <c r="T40" i="17" l="1"/>
  <c r="U40" i="17" s="1"/>
  <c r="U37" i="17"/>
</calcChain>
</file>

<file path=xl/comments1.xml><?xml version="1.0" encoding="utf-8"?>
<comments xmlns="http://schemas.openxmlformats.org/spreadsheetml/2006/main">
  <authors>
    <author>jphelp</author>
  </authors>
  <commentList>
    <comment ref="H39" authorId="0" shapeId="0">
      <text>
        <r>
          <rPr>
            <b/>
            <sz val="8"/>
            <color indexed="81"/>
            <rFont val="Tahoma"/>
            <family val="2"/>
          </rPr>
          <t>PSE:</t>
        </r>
        <r>
          <rPr>
            <sz val="8"/>
            <color indexed="81"/>
            <rFont val="Tahoma"/>
            <family val="2"/>
          </rPr>
          <t xml:space="preserve">
Schedule 87T base delivery charge plus balancing, Property Tax Tracker (Schedule 140 and CRM (schedule 149).</t>
        </r>
      </text>
    </comment>
  </commentList>
</comments>
</file>

<file path=xl/sharedStrings.xml><?xml version="1.0" encoding="utf-8"?>
<sst xmlns="http://schemas.openxmlformats.org/spreadsheetml/2006/main" count="428" uniqueCount="234">
  <si>
    <t>Total</t>
  </si>
  <si>
    <t>Subtotal</t>
  </si>
  <si>
    <t>87T</t>
  </si>
  <si>
    <t>85T</t>
  </si>
  <si>
    <t>Interruptible</t>
  </si>
  <si>
    <t>Residential</t>
  </si>
  <si>
    <t>Revenue</t>
  </si>
  <si>
    <t>Schedule</t>
  </si>
  <si>
    <t>Rate Class</t>
  </si>
  <si>
    <t>Sched 149</t>
  </si>
  <si>
    <t>Margin</t>
  </si>
  <si>
    <t>Volume</t>
  </si>
  <si>
    <t>Rate</t>
  </si>
  <si>
    <t>Puget Sound Energy</t>
  </si>
  <si>
    <t>Check</t>
  </si>
  <si>
    <t>Next 300,000 therms</t>
  </si>
  <si>
    <t>Next 100,000 therms</t>
  </si>
  <si>
    <t>Next 50,000 therms</t>
  </si>
  <si>
    <t>Next 25,000 therms</t>
  </si>
  <si>
    <t>First 25,000 therms</t>
  </si>
  <si>
    <t>Total revenue requirement for low income program</t>
  </si>
  <si>
    <t>Over 500,000 therms</t>
  </si>
  <si>
    <t>Transportation</t>
  </si>
  <si>
    <t>Over 50,000 therms</t>
  </si>
  <si>
    <t>Large volume</t>
  </si>
  <si>
    <t>Commercial &amp; industrial</t>
  </si>
  <si>
    <t>23/53</t>
  </si>
  <si>
    <t>Customer Class</t>
  </si>
  <si>
    <t>Proposed</t>
  </si>
  <si>
    <t>Estimated</t>
  </si>
  <si>
    <t>See attached spreadsheet (Calculation of Low Income Rates by Block for Schedules 85, 85T, 87 and 87T) for development of Schedule 85, 85T, 87 and 87T rates.</t>
  </si>
  <si>
    <t>(3)</t>
  </si>
  <si>
    <t>(2)</t>
  </si>
  <si>
    <t>(1)</t>
  </si>
  <si>
    <t>86/86T</t>
  </si>
  <si>
    <t>41/41T</t>
  </si>
  <si>
    <t>31/31T</t>
  </si>
  <si>
    <t>Requirement</t>
  </si>
  <si>
    <t>Spread</t>
  </si>
  <si>
    <t>Line</t>
  </si>
  <si>
    <t>Margin at</t>
  </si>
  <si>
    <t>Low Income</t>
  </si>
  <si>
    <t xml:space="preserve">   Subtotal</t>
  </si>
  <si>
    <t>Non exclusive interruptible</t>
  </si>
  <si>
    <t>Limited interruptible</t>
  </si>
  <si>
    <t>General service</t>
  </si>
  <si>
    <t>Margin/Therm</t>
  </si>
  <si>
    <t>Revenue at</t>
  </si>
  <si>
    <t>Average</t>
  </si>
  <si>
    <t>CRM</t>
  </si>
  <si>
    <t>Percent of revenue at Schedule 87T base rates</t>
  </si>
  <si>
    <t>Transportation Schedule 87T</t>
  </si>
  <si>
    <t>Subtotal over 50,000 therms</t>
  </si>
  <si>
    <t>Transportation Schedule 85T</t>
  </si>
  <si>
    <t>Interruptible Schedule 87</t>
  </si>
  <si>
    <t>Interruptible Schedule 85</t>
  </si>
  <si>
    <t>Therm</t>
  </si>
  <si>
    <t>Base Rates</t>
  </si>
  <si>
    <t>(Therms)</t>
  </si>
  <si>
    <t>% to Total</t>
  </si>
  <si>
    <t>Rate Schedule</t>
  </si>
  <si>
    <t>Rate per</t>
  </si>
  <si>
    <t>Allocated</t>
  </si>
  <si>
    <t>Normalized</t>
  </si>
  <si>
    <t>Calculation of Low Income Gas Rates by Block for Schedules 85, 85T, 87 and 87T</t>
  </si>
  <si>
    <t xml:space="preserve">Total Whole Dollar Increase/(Decrease) </t>
  </si>
  <si>
    <t>TOTAL</t>
  </si>
  <si>
    <t>GAS</t>
  </si>
  <si>
    <t>ELECTRIC</t>
  </si>
  <si>
    <t>Components of Whole Dollar Increase/(Decrease) in Low Income Requirement</t>
  </si>
  <si>
    <t xml:space="preserve">Current State Utility Tax </t>
  </si>
  <si>
    <t>Current Annual Filing Fee</t>
  </si>
  <si>
    <t>Revenue Sensitive Items:</t>
  </si>
  <si>
    <t>(i)</t>
  </si>
  <si>
    <t>(h)</t>
  </si>
  <si>
    <t>(g)</t>
  </si>
  <si>
    <t>(f)</t>
  </si>
  <si>
    <t>(e)</t>
  </si>
  <si>
    <t>(d)</t>
  </si>
  <si>
    <t xml:space="preserve">(c) </t>
  </si>
  <si>
    <t>(b)</t>
  </si>
  <si>
    <t>(a)</t>
  </si>
  <si>
    <t>Notes</t>
  </si>
  <si>
    <t>Gas</t>
  </si>
  <si>
    <t>Electric</t>
  </si>
  <si>
    <t>LINE 
NO.</t>
  </si>
  <si>
    <t xml:space="preserve">REVENUE REQUIREMENTS </t>
  </si>
  <si>
    <t>LOW INCOME PROGRAM</t>
  </si>
  <si>
    <t>PUGET SOUND ENERGY</t>
  </si>
  <si>
    <r>
      <t>Volume</t>
    </r>
    <r>
      <rPr>
        <vertAlign val="superscript"/>
        <sz val="10"/>
        <rFont val="Arial"/>
        <family val="2"/>
      </rPr>
      <t xml:space="preserve"> (1)</t>
    </r>
  </si>
  <si>
    <r>
      <t>Volume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</si>
  <si>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</si>
  <si>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</si>
  <si>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Rate</t>
    </r>
    <r>
      <rPr>
        <vertAlign val="superscript"/>
        <sz val="10"/>
        <rFont val="Arial"/>
        <family val="2"/>
      </rPr>
      <t xml:space="preserve"> (3)</t>
    </r>
  </si>
  <si>
    <r>
      <t xml:space="preserve">(Therms) </t>
    </r>
    <r>
      <rPr>
        <vertAlign val="superscript"/>
        <sz val="10"/>
        <rFont val="Arial"/>
        <family val="2"/>
      </rPr>
      <t>(1)</t>
    </r>
  </si>
  <si>
    <t>Current Year Low Income Cap</t>
  </si>
  <si>
    <t>Public Utility Tax Credits Received from Department of Revenue under RCW 82.16.0497</t>
  </si>
  <si>
    <t xml:space="preserve">Increase due to LIHEAP Credits </t>
  </si>
  <si>
    <t>Calculation of Schedule 129 Rates</t>
  </si>
  <si>
    <t>Weather normalized therms for year ending December 31, 2017, based on 2017 Commission Basis Report.</t>
  </si>
  <si>
    <t>Weather normalized margin for 12 months ending December 31, 2017 assuming current rates effective May 1, 2018.</t>
  </si>
  <si>
    <t>Estimated 2017 Margin at Current Rates</t>
  </si>
  <si>
    <t>Calendar volume for year ending December 31, 2017 from CIS.</t>
  </si>
  <si>
    <t>Weather normalized volume for year ending December 31, 2017 from 2017 Commission Basis Report.</t>
  </si>
  <si>
    <r>
      <t xml:space="preserve">Base Rates </t>
    </r>
    <r>
      <rPr>
        <vertAlign val="superscript"/>
        <sz val="10"/>
        <rFont val="Arial"/>
        <family val="2"/>
      </rPr>
      <t>(3)</t>
    </r>
  </si>
  <si>
    <t>Schedule 87T rates from tariff effective May 1, 2017 including delivery, balancing, Property Tax Tracker (Schedule 140) and CRM (Schedule 149).</t>
  </si>
  <si>
    <t>UG-180283</t>
  </si>
  <si>
    <t>(1) Weather normalized volume for the 12 months ended September 2016 from 2018 Tax Reform Filing (UG-180283) compliance filing.</t>
  </si>
  <si>
    <t>Base</t>
  </si>
  <si>
    <t>Sched 140</t>
  </si>
  <si>
    <t>Property Tax</t>
  </si>
  <si>
    <r>
      <t>Revenue</t>
    </r>
    <r>
      <rPr>
        <vertAlign val="superscript"/>
        <sz val="10"/>
        <rFont val="Arial"/>
        <family val="2"/>
      </rPr>
      <t xml:space="preserve"> (2)</t>
    </r>
  </si>
  <si>
    <r>
      <t xml:space="preserve">Rates </t>
    </r>
    <r>
      <rPr>
        <vertAlign val="superscript"/>
        <sz val="10"/>
        <rFont val="Arial"/>
        <family val="2"/>
      </rPr>
      <t>(3)</t>
    </r>
  </si>
  <si>
    <r>
      <t>Rates</t>
    </r>
    <r>
      <rPr>
        <vertAlign val="superscript"/>
        <sz val="10"/>
        <rFont val="Arial"/>
        <family val="2"/>
      </rPr>
      <t xml:space="preserve"> (4)</t>
    </r>
  </si>
  <si>
    <r>
      <t>(Therms)</t>
    </r>
    <r>
      <rPr>
        <vertAlign val="superscript"/>
        <sz val="10"/>
        <rFont val="Arial"/>
        <family val="2"/>
      </rPr>
      <t xml:space="preserve"> (5)</t>
    </r>
  </si>
  <si>
    <r>
      <t>Current Rates</t>
    </r>
    <r>
      <rPr>
        <vertAlign val="superscript"/>
        <sz val="10"/>
        <rFont val="Arial"/>
        <family val="2"/>
      </rPr>
      <t xml:space="preserve"> (6)</t>
    </r>
  </si>
  <si>
    <t>(2) Approved margin from UG-180283 compliance filing rate design workpapers.</t>
  </si>
  <si>
    <t>(4) Schedule 149 Cost Recovery Mechanism (CRM) rates effective December 19, 2017.</t>
  </si>
  <si>
    <t>(3) Schedule 140 Property Tax rates effective May 1, 2018.</t>
  </si>
  <si>
    <t>(5) Weather normalized volume for year ending December 31, 2017 from the 2017 Commission Basis Report.</t>
  </si>
  <si>
    <t>(6) Weather normalized margin revenue given 2017 volume priced at current rates effective May 1, 2018.</t>
  </si>
  <si>
    <t>2018 Gas Low Income Program Filing (Schedule 129)</t>
  </si>
  <si>
    <t>Rate Change Impacts by Rate Schedule</t>
  </si>
  <si>
    <t>Forecasted</t>
  </si>
  <si>
    <t>Sched 142</t>
  </si>
  <si>
    <t>12ME Sept 2019</t>
  </si>
  <si>
    <t>Sched 129</t>
  </si>
  <si>
    <t>Margin Rate</t>
  </si>
  <si>
    <t>Volume (Therms)</t>
  </si>
  <si>
    <t>Sched 101</t>
  </si>
  <si>
    <t>Sched 106</t>
  </si>
  <si>
    <t>Sched 120</t>
  </si>
  <si>
    <t>Sched 132</t>
  </si>
  <si>
    <t>Sched 141 ERF</t>
  </si>
  <si>
    <t>Rate Plan</t>
  </si>
  <si>
    <t>Decoupling</t>
  </si>
  <si>
    <t>Total Forecasted</t>
  </si>
  <si>
    <t>Percent</t>
  </si>
  <si>
    <r>
      <t>(Therms)</t>
    </r>
    <r>
      <rPr>
        <vertAlign val="superscript"/>
        <sz val="11"/>
        <color theme="1"/>
        <rFont val="Calibri"/>
        <family val="2"/>
      </rPr>
      <t xml:space="preserve"> (1)</t>
    </r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</si>
  <si>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</si>
  <si>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$/Therm</t>
  </si>
  <si>
    <t>Oct 18 - Sept 19</t>
  </si>
  <si>
    <t>Margin Revenue</t>
  </si>
  <si>
    <t>Change</t>
  </si>
  <si>
    <t>A</t>
  </si>
  <si>
    <t>B</t>
  </si>
  <si>
    <t>C</t>
  </si>
  <si>
    <t>D</t>
  </si>
  <si>
    <t>E=D/C</t>
  </si>
  <si>
    <t xml:space="preserve">F </t>
  </si>
  <si>
    <t xml:space="preserve">G=E*F 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</si>
  <si>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</si>
  <si>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</si>
  <si>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</si>
  <si>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</si>
  <si>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</si>
  <si>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</si>
  <si>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</si>
  <si>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</si>
  <si>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</si>
  <si>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</si>
  <si>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</si>
  <si>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 xml:space="preserve">S </t>
  </si>
  <si>
    <t>T= S/R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</si>
  <si>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</si>
  <si>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</si>
  <si>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</si>
  <si>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</si>
  <si>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</si>
  <si>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</si>
  <si>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</si>
  <si>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</si>
  <si>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</si>
  <si>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</si>
  <si>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</si>
  <si>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</si>
  <si>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</si>
  <si>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</si>
  <si>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</si>
  <si>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r>
      <t>Rentals</t>
    </r>
    <r>
      <rPr>
        <vertAlign val="superscript"/>
        <sz val="11"/>
        <rFont val="Calibri"/>
        <family val="2"/>
      </rPr>
      <t>(2)</t>
    </r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</si>
  <si>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</si>
  <si>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</si>
  <si>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</si>
  <si>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</si>
  <si>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</si>
  <si>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</si>
  <si>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</si>
  <si>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Rentals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</si>
  <si>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Weather normalized volume and margin for 12 months ending September 2016, at approved rates from UG-180283 Tax Reform compliance filing. The rates do not include schedules 140, 141 and 142.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</si>
  <si>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Forecasted rental counts calculated using actual July 2018 count.</t>
    </r>
  </si>
  <si>
    <t>Typical Residential Bill Impacts</t>
  </si>
  <si>
    <t>Current Rates</t>
  </si>
  <si>
    <t>Schedule 129 Rate Change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</si>
  <si>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</si>
  <si>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</si>
  <si>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Rates</t>
  </si>
  <si>
    <t>Volume (therms)</t>
  </si>
  <si>
    <t>Customer charge ($/month)</t>
  </si>
  <si>
    <t>Basic charge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</si>
  <si>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</si>
  <si>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</si>
  <si>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</si>
  <si>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</si>
  <si>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</si>
  <si>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</si>
  <si>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</si>
  <si>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</si>
  <si>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</si>
  <si>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</si>
  <si>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</si>
  <si>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</si>
  <si>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</si>
  <si>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</si>
  <si>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</si>
  <si>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</si>
  <si>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2018</t>
    </r>
  </si>
  <si>
    <t>Existing</t>
  </si>
  <si>
    <t xml:space="preserve">Proposed </t>
  </si>
  <si>
    <t xml:space="preserve">Rate </t>
  </si>
  <si>
    <t>at Existing Rates</t>
  </si>
  <si>
    <t>at Proposed Rates</t>
  </si>
  <si>
    <t>Changes</t>
  </si>
  <si>
    <t>OCTOBER 2018 THROUGH SEPTEMBER 2019</t>
  </si>
  <si>
    <t>Under / (Over) collection through September 2018 (Excludes Revenue Sensitive Items)</t>
  </si>
  <si>
    <t>Amount to be recovered October 2018 through September 2019 = Line 1 + Line 1 + Line 4</t>
  </si>
  <si>
    <t>Bad Debts Conversion Factor used in 2017GRC UE-170033, et al</t>
  </si>
  <si>
    <t>Conversion Factor = 1 - Line 9 - Line 10 - Line 11</t>
  </si>
  <si>
    <t>Low income revenue requirement to be recovered in rates = Line 6 ÷ Line 13</t>
  </si>
  <si>
    <t>Low Income revenue requirement set in rates in October 2017</t>
  </si>
  <si>
    <t>Change in Revenue Requirement</t>
  </si>
  <si>
    <t>Effects of 2017 GRC for including full residential class increase and allocation change</t>
  </si>
  <si>
    <t>Decrease due to moving from a combined under-collection of $0.0M in the prior rate period to a combined over-collection of $0.2M in the current rate period</t>
  </si>
  <si>
    <t>Proposed Effective October 4, 2018</t>
  </si>
  <si>
    <t>Proposed Rates Effective October 4,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</si>
</sst>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_(&quot;$&quot;* #,##0.00000_);_(&quot;$&quot;* \(#,##0.00000\);_(&quot;$&quot;* &quot;-&quot;?????_);_(@_)"/>
    <numFmt numFmtId="168" formatCode="_(&quot;$&quot;* #,##0.00000_);_(&quot;$&quot;* \(#,##0.00000\);_(&quot;$&quot;* &quot;-&quot;??_);_(@_)"/>
    <numFmt numFmtId="169" formatCode="_(* #,##0.00000_);_(* \(#,##0.00000\);_(* &quot;-&quot;??_);_(@_)"/>
    <numFmt numFmtId="170" formatCode="0.0000000"/>
    <numFmt numFmtId="171" formatCode="_(&quot;$&quot;* #,##0.0000_);_(&quot;$&quot;* \(#,##0.0000\);_(&quot;$&quot;* &quot;-&quot;??_);_(@_)"/>
    <numFmt numFmtId="172" formatCode="0.0000%"/>
    <numFmt numFmtId="173" formatCode="#,##0.000000_);\(#,##0.000000\)"/>
    <numFmt numFmtId="174" formatCode="_(* #,##0.0000000_);_(* \(#,##0.0000000\);_(* &quot;-&quot;??_);_(@_)"/>
    <numFmt numFmtId="175" formatCode="_(&quot;$&quot;* #,##0.00_);_(&quot;$&quot;* \(#,##0.00\);_(&quot;$&quot;* &quot;-&quot;?????_);_(@_)"/>
    <numFmt numFmtId="176" formatCode="_(&quot;$&quot;* #,##0_);_(&quot;$&quot;* \(#,##0\);_(&quot;$&quot;* &quot;-&quot;?????_);_(@_)"/>
    <numFmt numFmtId="177" formatCode="_(&quot;$&quot;* #,##0.00_);_(&quot;$&quot;* \(#,##0.00\);_(&quot;$&quot;* &quot;-&quot;_);_(@_)"/>
    <numFmt numFmtId="178" formatCode="_(&quot;$&quot;* #,##0.000_);_(&quot;$&quot;* \(#,##0.000\);_(&quot;$&quot;* &quot;-&quot;_);_(@_)"/>
    <numFmt numFmtId="179" formatCode="&quot;$&quot;#,##0.00000_);[Red]\(&quot;$&quot;#,##0.00000\)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FF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0"/>
      <color rgb="FF0000FF"/>
      <name val="Arial"/>
      <family val="2"/>
    </font>
    <font>
      <sz val="10"/>
      <color indexed="21"/>
      <name val="Arial"/>
      <family val="2"/>
    </font>
    <font>
      <sz val="10"/>
      <color theme="1"/>
      <name val="Arial"/>
      <family val="2"/>
    </font>
    <font>
      <sz val="10"/>
      <color rgb="FF009999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0"/>
      <color rgb="FF006666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1"/>
      <color rgb="FF008080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vertAlign val="superscript"/>
      <sz val="11"/>
      <name val="Calibri"/>
      <family val="2"/>
    </font>
    <font>
      <b/>
      <sz val="11"/>
      <name val="Calibri"/>
      <family val="2"/>
    </font>
    <font>
      <sz val="11"/>
      <color indexed="12"/>
      <name val="Calibri"/>
      <family val="2"/>
      <scheme val="minor"/>
    </font>
    <font>
      <sz val="11"/>
      <color indexed="12"/>
      <name val="Calibri"/>
      <family val="2"/>
    </font>
    <font>
      <sz val="10"/>
      <color rgb="FF00808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166" fontId="0" fillId="0" borderId="0" xfId="0" applyNumberFormat="1" applyFont="1"/>
    <xf numFmtId="166" fontId="1" fillId="0" borderId="0" xfId="0" applyNumberFormat="1" applyFont="1"/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/>
    <xf numFmtId="0" fontId="1" fillId="0" borderId="0" xfId="0" applyFont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2" fillId="0" borderId="0" xfId="0" quotePrefix="1" applyFont="1" applyFill="1" applyAlignment="1">
      <alignment horizontal="left" vertical="top"/>
    </xf>
    <xf numFmtId="8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 applyBorder="1"/>
    <xf numFmtId="42" fontId="1" fillId="0" borderId="0" xfId="0" applyNumberFormat="1" applyFont="1" applyBorder="1"/>
    <xf numFmtId="10" fontId="8" fillId="0" borderId="10" xfId="0" applyNumberFormat="1" applyFont="1" applyBorder="1"/>
    <xf numFmtId="0" fontId="1" fillId="0" borderId="0" xfId="0" applyFont="1" applyFill="1" applyBorder="1"/>
    <xf numFmtId="164" fontId="8" fillId="0" borderId="11" xfId="0" applyNumberFormat="1" applyFont="1" applyBorder="1"/>
    <xf numFmtId="42" fontId="1" fillId="0" borderId="1" xfId="0" applyNumberFormat="1" applyFont="1" applyBorder="1"/>
    <xf numFmtId="3" fontId="1" fillId="0" borderId="1" xfId="0" applyNumberFormat="1" applyFont="1" applyBorder="1"/>
    <xf numFmtId="0" fontId="1" fillId="0" borderId="2" xfId="0" applyFont="1" applyBorder="1"/>
    <xf numFmtId="164" fontId="11" fillId="0" borderId="0" xfId="0" applyNumberFormat="1" applyFont="1"/>
    <xf numFmtId="0" fontId="1" fillId="0" borderId="0" xfId="0" applyFont="1" applyAlignment="1">
      <alignment horizontal="center"/>
    </xf>
    <xf numFmtId="168" fontId="11" fillId="0" borderId="0" xfId="0" applyNumberFormat="1" applyFont="1"/>
    <xf numFmtId="3" fontId="11" fillId="0" borderId="2" xfId="0" applyNumberFormat="1" applyFont="1" applyFill="1" applyBorder="1"/>
    <xf numFmtId="3" fontId="11" fillId="0" borderId="0" xfId="0" applyNumberFormat="1" applyFont="1" applyFill="1"/>
    <xf numFmtId="168" fontId="11" fillId="0" borderId="0" xfId="0" applyNumberFormat="1" applyFont="1" applyBorder="1"/>
    <xf numFmtId="3" fontId="11" fillId="0" borderId="2" xfId="0" applyNumberFormat="1" applyFont="1" applyBorder="1"/>
    <xf numFmtId="3" fontId="11" fillId="0" borderId="0" xfId="0" applyNumberFormat="1" applyFont="1"/>
    <xf numFmtId="3" fontId="1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3" fontId="6" fillId="0" borderId="0" xfId="0" applyNumberFormat="1" applyFont="1"/>
    <xf numFmtId="3" fontId="6" fillId="0" borderId="0" xfId="0" applyNumberFormat="1" applyFont="1"/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Continuous"/>
    </xf>
    <xf numFmtId="166" fontId="1" fillId="0" borderId="0" xfId="0" applyNumberFormat="1" applyFont="1"/>
    <xf numFmtId="166" fontId="1" fillId="0" borderId="0" xfId="0" applyNumberFormat="1" applyFont="1" applyFill="1"/>
    <xf numFmtId="44" fontId="1" fillId="0" borderId="0" xfId="0" applyNumberFormat="1" applyFont="1"/>
    <xf numFmtId="166" fontId="1" fillId="0" borderId="0" xfId="0" applyNumberFormat="1" applyFont="1" applyBorder="1"/>
    <xf numFmtId="166" fontId="1" fillId="0" borderId="0" xfId="0" applyNumberFormat="1" applyFont="1" applyFill="1" applyBorder="1"/>
    <xf numFmtId="166" fontId="1" fillId="0" borderId="0" xfId="0" applyNumberFormat="1" applyFont="1" applyFill="1" applyBorder="1"/>
    <xf numFmtId="166" fontId="1" fillId="0" borderId="0" xfId="0" applyNumberFormat="1" applyFont="1" applyBorder="1"/>
    <xf numFmtId="164" fontId="1" fillId="0" borderId="0" xfId="0" applyNumberFormat="1" applyFont="1" applyBorder="1"/>
    <xf numFmtId="164" fontId="1" fillId="0" borderId="0" xfId="0" applyNumberFormat="1" applyFont="1" applyFill="1" applyBorder="1"/>
    <xf numFmtId="164" fontId="1" fillId="0" borderId="0" xfId="0" applyNumberFormat="1" applyFont="1" applyFill="1" applyBorder="1"/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71" fontId="1" fillId="0" borderId="0" xfId="0" applyNumberFormat="1" applyFont="1" applyBorder="1"/>
    <xf numFmtId="164" fontId="1" fillId="0" borderId="0" xfId="0" applyNumberFormat="1" applyFont="1" applyFill="1" applyBorder="1"/>
    <xf numFmtId="42" fontId="1" fillId="0" borderId="0" xfId="0" applyNumberFormat="1" applyFont="1" applyFill="1" applyBorder="1"/>
    <xf numFmtId="42" fontId="6" fillId="0" borderId="0" xfId="0" applyNumberFormat="1" applyFont="1" applyFill="1" applyBorder="1"/>
    <xf numFmtId="0" fontId="1" fillId="0" borderId="0" xfId="0" applyFont="1"/>
    <xf numFmtId="166" fontId="1" fillId="0" borderId="0" xfId="0" applyNumberFormat="1" applyFont="1" applyBorder="1"/>
    <xf numFmtId="0" fontId="1" fillId="0" borderId="0" xfId="0" applyFont="1" applyBorder="1"/>
    <xf numFmtId="3" fontId="1" fillId="0" borderId="0" xfId="0" applyNumberFormat="1" applyFont="1" applyBorder="1"/>
    <xf numFmtId="166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quotePrefix="1" applyFont="1" applyFill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/>
    <xf numFmtId="41" fontId="1" fillId="0" borderId="0" xfId="0" applyNumberFormat="1" applyFont="1" applyBorder="1"/>
    <xf numFmtId="3" fontId="1" fillId="0" borderId="0" xfId="0" applyNumberFormat="1" applyFont="1" applyBorder="1"/>
    <xf numFmtId="9" fontId="0" fillId="0" borderId="0" xfId="0" applyNumberFormat="1" applyFont="1"/>
    <xf numFmtId="3" fontId="1" fillId="0" borderId="1" xfId="0" applyNumberFormat="1" applyFont="1" applyFill="1" applyBorder="1"/>
    <xf numFmtId="168" fontId="1" fillId="0" borderId="0" xfId="0" applyNumberFormat="1" applyFont="1"/>
    <xf numFmtId="42" fontId="1" fillId="0" borderId="1" xfId="0" applyNumberFormat="1" applyFont="1" applyFill="1" applyBorder="1"/>
    <xf numFmtId="0" fontId="1" fillId="0" borderId="0" xfId="0" applyFont="1" applyBorder="1" applyAlignment="1">
      <alignment horizontal="left"/>
    </xf>
    <xf numFmtId="164" fontId="7" fillId="0" borderId="0" xfId="0" applyNumberFormat="1" applyFont="1"/>
    <xf numFmtId="164" fontId="7" fillId="0" borderId="5" xfId="0" applyNumberFormat="1" applyFont="1" applyFill="1" applyBorder="1"/>
    <xf numFmtId="3" fontId="7" fillId="0" borderId="5" xfId="0" applyNumberFormat="1" applyFont="1" applyFill="1" applyBorder="1"/>
    <xf numFmtId="42" fontId="1" fillId="0" borderId="2" xfId="0" applyNumberFormat="1" applyFont="1" applyBorder="1"/>
    <xf numFmtId="3" fontId="6" fillId="0" borderId="0" xfId="0" applyNumberFormat="1" applyFon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indent="1"/>
    </xf>
    <xf numFmtId="42" fontId="1" fillId="0" borderId="0" xfId="0" applyNumberFormat="1" applyFont="1"/>
    <xf numFmtId="0" fontId="1" fillId="0" borderId="0" xfId="0" applyFont="1" applyAlignment="1">
      <alignment horizontal="left" indent="1"/>
    </xf>
    <xf numFmtId="3" fontId="1" fillId="0" borderId="0" xfId="0" applyNumberFormat="1" applyFont="1" applyFill="1"/>
    <xf numFmtId="3" fontId="6" fillId="0" borderId="0" xfId="0" applyNumberFormat="1" applyFont="1" applyFill="1" applyBorder="1"/>
    <xf numFmtId="3" fontId="1" fillId="0" borderId="1" xfId="0" applyNumberFormat="1" applyFont="1" applyFill="1" applyBorder="1"/>
    <xf numFmtId="42" fontId="6" fillId="0" borderId="0" xfId="0" applyNumberFormat="1" applyFont="1" applyFill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indent="1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0" xfId="0" applyFont="1" applyAlignment="1"/>
    <xf numFmtId="3" fontId="1" fillId="0" borderId="12" xfId="0" applyNumberFormat="1" applyFont="1" applyFill="1" applyBorder="1"/>
    <xf numFmtId="3" fontId="1" fillId="0" borderId="13" xfId="0" applyNumberFormat="1" applyFont="1" applyFill="1" applyBorder="1"/>
    <xf numFmtId="0" fontId="1" fillId="0" borderId="14" xfId="0" applyFont="1" applyFill="1" applyBorder="1" applyAlignment="1">
      <alignment horizontal="center"/>
    </xf>
    <xf numFmtId="165" fontId="0" fillId="0" borderId="0" xfId="0" applyNumberFormat="1" applyFont="1" applyFill="1"/>
    <xf numFmtId="10" fontId="1" fillId="0" borderId="0" xfId="0" applyNumberFormat="1" applyFont="1"/>
    <xf numFmtId="42" fontId="8" fillId="0" borderId="6" xfId="0" applyNumberFormat="1" applyFont="1" applyFill="1" applyBorder="1"/>
    <xf numFmtId="3" fontId="0" fillId="0" borderId="0" xfId="0" applyNumberFormat="1" applyFont="1"/>
    <xf numFmtId="3" fontId="11" fillId="0" borderId="0" xfId="0" applyNumberFormat="1" applyFont="1" applyBorder="1"/>
    <xf numFmtId="164" fontId="1" fillId="0" borderId="1" xfId="0" applyNumberFormat="1" applyFont="1" applyBorder="1"/>
    <xf numFmtId="3" fontId="10" fillId="0" borderId="1" xfId="0" applyNumberFormat="1" applyFont="1" applyFill="1" applyBorder="1"/>
    <xf numFmtId="3" fontId="0" fillId="0" borderId="0" xfId="0" applyNumberFormat="1" applyFont="1" applyFill="1"/>
    <xf numFmtId="164" fontId="1" fillId="0" borderId="2" xfId="0" applyNumberFormat="1" applyFont="1" applyFill="1" applyBorder="1"/>
    <xf numFmtId="167" fontId="1" fillId="0" borderId="0" xfId="0" applyNumberFormat="1" applyFont="1" applyFill="1"/>
    <xf numFmtId="164" fontId="1" fillId="0" borderId="0" xfId="0" applyNumberFormat="1" applyFont="1" applyFill="1"/>
    <xf numFmtId="167" fontId="6" fillId="0" borderId="0" xfId="0" applyNumberFormat="1" applyFont="1" applyFill="1"/>
    <xf numFmtId="3" fontId="12" fillId="0" borderId="0" xfId="0" applyNumberFormat="1" applyFont="1" applyFill="1" applyAlignment="1">
      <alignment horizontal="right"/>
    </xf>
    <xf numFmtId="3" fontId="6" fillId="0" borderId="2" xfId="0" applyNumberFormat="1" applyFont="1" applyFill="1" applyBorder="1"/>
    <xf numFmtId="3" fontId="6" fillId="0" borderId="0" xfId="0" applyNumberFormat="1" applyFont="1" applyFill="1"/>
    <xf numFmtId="164" fontId="1" fillId="0" borderId="5" xfId="0" applyNumberFormat="1" applyFont="1" applyFill="1" applyBorder="1"/>
    <xf numFmtId="164" fontId="1" fillId="0" borderId="5" xfId="0" applyNumberFormat="1" applyFont="1" applyBorder="1"/>
    <xf numFmtId="3" fontId="0" fillId="0" borderId="5" xfId="0" applyNumberFormat="1" applyFont="1" applyFill="1" applyBorder="1"/>
    <xf numFmtId="167" fontId="1" fillId="0" borderId="0" xfId="0" applyNumberFormat="1" applyFont="1" applyFill="1"/>
    <xf numFmtId="164" fontId="1" fillId="0" borderId="1" xfId="0" applyNumberFormat="1" applyFont="1" applyFill="1" applyBorder="1"/>
    <xf numFmtId="3" fontId="10" fillId="0" borderId="1" xfId="0" applyNumberFormat="1" applyFont="1" applyFill="1" applyBorder="1"/>
    <xf numFmtId="3" fontId="0" fillId="0" borderId="1" xfId="0" applyNumberFormat="1" applyFont="1" applyFill="1" applyBorder="1"/>
    <xf numFmtId="3" fontId="1" fillId="0" borderId="1" xfId="0" applyNumberFormat="1" applyFont="1" applyFill="1" applyBorder="1" applyAlignment="1">
      <alignment horizontal="right"/>
    </xf>
    <xf numFmtId="0" fontId="1" fillId="0" borderId="1" xfId="0" applyFont="1" applyBorder="1"/>
    <xf numFmtId="3" fontId="13" fillId="0" borderId="0" xfId="0" applyNumberFormat="1" applyFont="1"/>
    <xf numFmtId="169" fontId="1" fillId="0" borderId="0" xfId="0" applyNumberFormat="1" applyFont="1"/>
    <xf numFmtId="10" fontId="1" fillId="0" borderId="0" xfId="0" applyNumberFormat="1" applyFont="1"/>
    <xf numFmtId="3" fontId="16" fillId="0" borderId="0" xfId="0" applyNumberFormat="1" applyFont="1" applyFill="1"/>
    <xf numFmtId="0" fontId="1" fillId="0" borderId="0" xfId="0" applyFont="1" applyFill="1" applyBorder="1" applyAlignment="1">
      <alignment horizontal="left"/>
    </xf>
    <xf numFmtId="0" fontId="1" fillId="0" borderId="0" xfId="0" applyFont="1"/>
    <xf numFmtId="164" fontId="11" fillId="0" borderId="0" xfId="0" applyNumberFormat="1" applyFont="1" applyFill="1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5" fillId="0" borderId="0" xfId="0" quotePrefix="1" applyFont="1" applyFill="1" applyAlignment="1">
      <alignment horizontal="center"/>
    </xf>
    <xf numFmtId="0" fontId="15" fillId="0" borderId="0" xfId="0" quotePrefix="1" applyFont="1" applyFill="1" applyAlignment="1">
      <alignment horizontal="center" vertical="top"/>
    </xf>
    <xf numFmtId="0" fontId="15" fillId="0" borderId="0" xfId="0" quotePrefix="1" applyFont="1" applyAlignment="1">
      <alignment horizontal="center" vertical="top"/>
    </xf>
    <xf numFmtId="10" fontId="1" fillId="0" borderId="1" xfId="0" applyNumberFormat="1" applyFont="1" applyFill="1" applyBorder="1" applyAlignment="1">
      <alignment horizontal="right"/>
    </xf>
    <xf numFmtId="10" fontId="12" fillId="0" borderId="0" xfId="0" applyNumberFormat="1" applyFont="1" applyFill="1"/>
    <xf numFmtId="10" fontId="0" fillId="0" borderId="0" xfId="0" applyNumberFormat="1" applyFont="1" applyFill="1"/>
    <xf numFmtId="10" fontId="12" fillId="0" borderId="2" xfId="0" applyNumberFormat="1" applyFont="1" applyFill="1" applyBorder="1"/>
    <xf numFmtId="0" fontId="1" fillId="0" borderId="5" xfId="0" applyFont="1" applyBorder="1"/>
    <xf numFmtId="10" fontId="0" fillId="0" borderId="5" xfId="0" applyNumberFormat="1" applyFont="1" applyFill="1" applyBorder="1"/>
    <xf numFmtId="10" fontId="12" fillId="0" borderId="0" xfId="0" applyNumberFormat="1" applyFont="1" applyFill="1"/>
    <xf numFmtId="10" fontId="12" fillId="0" borderId="2" xfId="0" applyNumberFormat="1" applyFont="1" applyFill="1" applyBorder="1"/>
    <xf numFmtId="168" fontId="7" fillId="0" borderId="0" xfId="0" applyNumberFormat="1" applyFont="1" applyFill="1" applyBorder="1"/>
    <xf numFmtId="168" fontId="1" fillId="0" borderId="0" xfId="0" applyNumberFormat="1" applyFont="1" applyBorder="1"/>
    <xf numFmtId="164" fontId="7" fillId="0" borderId="0" xfId="0" applyNumberFormat="1" applyFont="1" applyBorder="1"/>
    <xf numFmtId="168" fontId="10" fillId="0" borderId="0" xfId="0" applyNumberFormat="1" applyFont="1" applyFill="1"/>
    <xf numFmtId="168" fontId="10" fillId="0" borderId="0" xfId="0" applyNumberFormat="1" applyFont="1" applyFill="1" applyBorder="1"/>
    <xf numFmtId="0" fontId="12" fillId="0" borderId="0" xfId="0" applyFont="1" applyAlignment="1"/>
    <xf numFmtId="0" fontId="1" fillId="0" borderId="0" xfId="0" applyFont="1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42" fontId="21" fillId="0" borderId="0" xfId="0" applyNumberFormat="1" applyFont="1"/>
    <xf numFmtId="168" fontId="0" fillId="0" borderId="0" xfId="0" applyNumberFormat="1"/>
    <xf numFmtId="42" fontId="0" fillId="0" borderId="0" xfId="0" applyNumberFormat="1"/>
    <xf numFmtId="42" fontId="18" fillId="0" borderId="0" xfId="0" applyNumberFormat="1" applyFont="1"/>
    <xf numFmtId="10" fontId="0" fillId="0" borderId="0" xfId="0" applyNumberFormat="1" applyFont="1"/>
    <xf numFmtId="42" fontId="19" fillId="0" borderId="0" xfId="0" applyNumberFormat="1" applyFont="1"/>
    <xf numFmtId="168" fontId="0" fillId="0" borderId="2" xfId="0" applyNumberFormat="1" applyBorder="1"/>
    <xf numFmtId="3" fontId="0" fillId="0" borderId="1" xfId="0" applyNumberFormat="1" applyBorder="1"/>
    <xf numFmtId="42" fontId="0" fillId="0" borderId="1" xfId="0" applyNumberFormat="1" applyBorder="1"/>
    <xf numFmtId="42" fontId="18" fillId="0" borderId="1" xfId="0" applyNumberFormat="1" applyFont="1" applyBorder="1"/>
    <xf numFmtId="10" fontId="0" fillId="0" borderId="1" xfId="0" applyNumberFormat="1" applyFont="1" applyBorder="1"/>
    <xf numFmtId="0" fontId="22" fillId="0" borderId="0" xfId="0" applyFont="1" applyBorder="1" applyAlignment="1">
      <alignment horizontal="left"/>
    </xf>
    <xf numFmtId="3" fontId="22" fillId="0" borderId="0" xfId="0" applyNumberFormat="1" applyFont="1" applyFill="1" applyBorder="1"/>
    <xf numFmtId="42" fontId="22" fillId="0" borderId="0" xfId="0" applyNumberFormat="1" applyFont="1" applyFill="1" applyBorder="1"/>
    <xf numFmtId="167" fontId="22" fillId="0" borderId="0" xfId="0" applyNumberFormat="1" applyFont="1" applyFill="1" applyBorder="1"/>
    <xf numFmtId="167" fontId="22" fillId="0" borderId="0" xfId="0" applyNumberFormat="1" applyFont="1" applyFill="1"/>
    <xf numFmtId="167" fontId="23" fillId="0" borderId="0" xfId="0" applyNumberFormat="1" applyFont="1"/>
    <xf numFmtId="165" fontId="22" fillId="0" borderId="0" xfId="0" applyNumberFormat="1" applyFont="1"/>
    <xf numFmtId="10" fontId="22" fillId="0" borderId="0" xfId="0" applyNumberFormat="1" applyFont="1"/>
    <xf numFmtId="0" fontId="22" fillId="0" borderId="0" xfId="0" applyFont="1"/>
    <xf numFmtId="175" fontId="22" fillId="0" borderId="0" xfId="0" applyNumberFormat="1" applyFont="1" applyFill="1" applyBorder="1"/>
    <xf numFmtId="37" fontId="22" fillId="0" borderId="0" xfId="0" applyNumberFormat="1" applyFont="1"/>
    <xf numFmtId="37" fontId="22" fillId="0" borderId="0" xfId="0" applyNumberFormat="1" applyFont="1" applyFill="1"/>
    <xf numFmtId="0" fontId="22" fillId="0" borderId="0" xfId="0" applyFont="1" applyAlignment="1">
      <alignment horizontal="left"/>
    </xf>
    <xf numFmtId="3" fontId="22" fillId="0" borderId="0" xfId="0" applyNumberFormat="1" applyFont="1" applyBorder="1"/>
    <xf numFmtId="42" fontId="22" fillId="0" borderId="1" xfId="0" applyNumberFormat="1" applyFont="1" applyFill="1" applyBorder="1"/>
    <xf numFmtId="0" fontId="22" fillId="0" borderId="0" xfId="0" applyFont="1" applyFill="1"/>
    <xf numFmtId="3" fontId="0" fillId="0" borderId="0" xfId="0" applyNumberFormat="1"/>
    <xf numFmtId="10" fontId="0" fillId="0" borderId="0" xfId="0" applyNumberFormat="1"/>
    <xf numFmtId="0" fontId="25" fillId="0" borderId="0" xfId="0" applyFont="1" applyAlignment="1">
      <alignment horizontal="left"/>
    </xf>
    <xf numFmtId="42" fontId="22" fillId="0" borderId="0" xfId="0" applyNumberFormat="1" applyFont="1" applyBorder="1"/>
    <xf numFmtId="42" fontId="22" fillId="0" borderId="0" xfId="0" applyNumberFormat="1" applyFont="1"/>
    <xf numFmtId="166" fontId="22" fillId="0" borderId="0" xfId="0" applyNumberFormat="1" applyFont="1" applyFill="1"/>
    <xf numFmtId="164" fontId="22" fillId="0" borderId="0" xfId="0" applyNumberFormat="1" applyFont="1" applyFill="1"/>
    <xf numFmtId="0" fontId="22" fillId="0" borderId="0" xfId="0" applyFont="1" applyFill="1" applyBorder="1" applyAlignment="1">
      <alignment horizontal="left" vertical="center" textRotation="180"/>
    </xf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/>
    <xf numFmtId="0" fontId="22" fillId="0" borderId="0" xfId="0" applyFont="1" applyBorder="1"/>
    <xf numFmtId="164" fontId="22" fillId="0" borderId="0" xfId="0" applyNumberFormat="1" applyFont="1" applyFill="1" applyBorder="1"/>
    <xf numFmtId="0" fontId="22" fillId="0" borderId="2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166" fontId="22" fillId="0" borderId="1" xfId="0" applyNumberFormat="1" applyFont="1" applyFill="1" applyBorder="1"/>
    <xf numFmtId="164" fontId="22" fillId="0" borderId="1" xfId="0" applyNumberFormat="1" applyFont="1" applyFill="1" applyBorder="1"/>
    <xf numFmtId="44" fontId="22" fillId="0" borderId="0" xfId="0" applyNumberFormat="1" applyFont="1"/>
    <xf numFmtId="164" fontId="0" fillId="0" borderId="0" xfId="0" applyNumberFormat="1"/>
    <xf numFmtId="0" fontId="0" fillId="0" borderId="0" xfId="0" quotePrefix="1"/>
    <xf numFmtId="0" fontId="18" fillId="0" borderId="0" xfId="0" applyFont="1" applyAlignment="1">
      <alignment horizontal="left"/>
    </xf>
    <xf numFmtId="0" fontId="18" fillId="0" borderId="0" xfId="0" applyFont="1"/>
    <xf numFmtId="0" fontId="18" fillId="0" borderId="0" xfId="0" applyFont="1" applyBorder="1"/>
    <xf numFmtId="0" fontId="18" fillId="0" borderId="2" xfId="0" applyFont="1" applyBorder="1" applyAlignment="1">
      <alignment horizontal="centerContinuous"/>
    </xf>
    <xf numFmtId="0" fontId="18" fillId="0" borderId="0" xfId="0" applyFont="1" applyBorder="1" applyAlignment="1">
      <alignment horizontal="left"/>
    </xf>
    <xf numFmtId="0" fontId="18" fillId="0" borderId="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6" fillId="0" borderId="0" xfId="0" applyFont="1"/>
    <xf numFmtId="177" fontId="18" fillId="0" borderId="0" xfId="0" applyNumberFormat="1" applyFont="1"/>
    <xf numFmtId="0" fontId="26" fillId="0" borderId="0" xfId="0" applyFont="1" applyBorder="1"/>
    <xf numFmtId="44" fontId="26" fillId="0" borderId="0" xfId="0" applyNumberFormat="1" applyFont="1"/>
    <xf numFmtId="44" fontId="26" fillId="0" borderId="0" xfId="0" applyNumberFormat="1" applyFont="1" applyBorder="1"/>
    <xf numFmtId="44" fontId="18" fillId="0" borderId="0" xfId="0" applyNumberFormat="1" applyFont="1"/>
    <xf numFmtId="44" fontId="26" fillId="0" borderId="2" xfId="0" applyNumberFormat="1" applyFont="1" applyBorder="1"/>
    <xf numFmtId="177" fontId="18" fillId="0" borderId="2" xfId="0" applyNumberFormat="1" applyFont="1" applyBorder="1"/>
    <xf numFmtId="44" fontId="18" fillId="0" borderId="2" xfId="0" applyNumberFormat="1" applyFont="1" applyBorder="1"/>
    <xf numFmtId="167" fontId="27" fillId="0" borderId="0" xfId="0" applyNumberFormat="1" applyFont="1"/>
    <xf numFmtId="167" fontId="26" fillId="0" borderId="0" xfId="0" applyNumberFormat="1" applyFont="1" applyBorder="1"/>
    <xf numFmtId="167" fontId="18" fillId="0" borderId="0" xfId="0" applyNumberFormat="1" applyFont="1"/>
    <xf numFmtId="167" fontId="27" fillId="0" borderId="0" xfId="0" applyNumberFormat="1" applyFont="1" applyFill="1"/>
    <xf numFmtId="167" fontId="21" fillId="0" borderId="0" xfId="0" applyNumberFormat="1" applyFont="1"/>
    <xf numFmtId="167" fontId="26" fillId="0" borderId="0" xfId="0" applyNumberFormat="1" applyFont="1" applyFill="1"/>
    <xf numFmtId="167" fontId="0" fillId="0" borderId="0" xfId="0" applyNumberFormat="1" applyFont="1"/>
    <xf numFmtId="167" fontId="18" fillId="0" borderId="1" xfId="0" applyNumberFormat="1" applyFont="1" applyBorder="1"/>
    <xf numFmtId="167" fontId="6" fillId="0" borderId="0" xfId="0" applyNumberFormat="1" applyFont="1"/>
    <xf numFmtId="167" fontId="0" fillId="0" borderId="0" xfId="0" applyNumberFormat="1" applyFont="1" applyFill="1"/>
    <xf numFmtId="167" fontId="1" fillId="0" borderId="0" xfId="0" applyNumberFormat="1" applyFont="1"/>
    <xf numFmtId="177" fontId="18" fillId="0" borderId="1" xfId="0" applyNumberFormat="1" applyFont="1" applyBorder="1"/>
    <xf numFmtId="167" fontId="18" fillId="0" borderId="0" xfId="0" applyNumberFormat="1" applyFont="1" applyBorder="1"/>
    <xf numFmtId="44" fontId="18" fillId="0" borderId="0" xfId="0" applyNumberFormat="1" applyFont="1" applyBorder="1"/>
    <xf numFmtId="165" fontId="18" fillId="0" borderId="0" xfId="0" applyNumberFormat="1" applyFont="1"/>
    <xf numFmtId="165" fontId="18" fillId="0" borderId="0" xfId="0" applyNumberFormat="1" applyFont="1" applyBorder="1"/>
    <xf numFmtId="10" fontId="18" fillId="0" borderId="0" xfId="0" applyNumberFormat="1" applyFont="1"/>
    <xf numFmtId="0" fontId="18" fillId="0" borderId="0" xfId="0" applyFont="1" applyFill="1" applyAlignment="1"/>
    <xf numFmtId="0" fontId="18" fillId="0" borderId="0" xfId="0" applyFont="1" applyAlignment="1"/>
    <xf numFmtId="0" fontId="1" fillId="0" borderId="0" xfId="0" applyFont="1" applyAlignment="1">
      <alignment horizontal="centerContinuous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168" fontId="19" fillId="0" borderId="0" xfId="0" applyNumberFormat="1" applyFont="1"/>
    <xf numFmtId="164" fontId="0" fillId="0" borderId="0" xfId="0" applyNumberFormat="1" applyFont="1"/>
    <xf numFmtId="164" fontId="1" fillId="0" borderId="0" xfId="0" applyNumberFormat="1" applyFont="1"/>
    <xf numFmtId="3" fontId="1" fillId="0" borderId="0" xfId="0" applyNumberFormat="1" applyFont="1"/>
    <xf numFmtId="168" fontId="10" fillId="0" borderId="0" xfId="0" applyNumberFormat="1" applyFont="1" applyBorder="1"/>
    <xf numFmtId="44" fontId="1" fillId="0" borderId="0" xfId="0" applyNumberFormat="1" applyFont="1"/>
    <xf numFmtId="3" fontId="1" fillId="0" borderId="0" xfId="0" applyNumberFormat="1" applyFont="1" applyFill="1"/>
    <xf numFmtId="178" fontId="1" fillId="0" borderId="0" xfId="0" applyNumberFormat="1" applyFont="1"/>
    <xf numFmtId="43" fontId="1" fillId="0" borderId="0" xfId="0" applyNumberFormat="1" applyFont="1"/>
    <xf numFmtId="164" fontId="12" fillId="0" borderId="0" xfId="0" applyNumberFormat="1" applyFont="1"/>
    <xf numFmtId="164" fontId="11" fillId="0" borderId="0" xfId="0" applyNumberFormat="1" applyFont="1"/>
    <xf numFmtId="8" fontId="1" fillId="0" borderId="0" xfId="0" applyNumberFormat="1" applyFont="1"/>
    <xf numFmtId="179" fontId="1" fillId="0" borderId="0" xfId="0" applyNumberFormat="1" applyFont="1"/>
    <xf numFmtId="3" fontId="1" fillId="0" borderId="2" xfId="0" applyNumberFormat="1" applyFont="1" applyBorder="1"/>
    <xf numFmtId="168" fontId="19" fillId="0" borderId="2" xfId="0" applyNumberFormat="1" applyFont="1" applyFill="1" applyBorder="1"/>
    <xf numFmtId="164" fontId="0" fillId="0" borderId="2" xfId="0" applyNumberFormat="1" applyFont="1" applyBorder="1"/>
    <xf numFmtId="164" fontId="0" fillId="0" borderId="0" xfId="0" applyNumberFormat="1" applyFont="1" applyBorder="1"/>
    <xf numFmtId="0" fontId="1" fillId="0" borderId="0" xfId="0" applyFont="1" applyBorder="1"/>
    <xf numFmtId="3" fontId="1" fillId="0" borderId="1" xfId="0" applyNumberFormat="1" applyFont="1" applyBorder="1"/>
    <xf numFmtId="42" fontId="1" fillId="0" borderId="1" xfId="0" applyNumberFormat="1" applyFont="1" applyBorder="1"/>
    <xf numFmtId="0" fontId="1" fillId="0" borderId="0" xfId="0" applyFont="1" applyFill="1" applyBorder="1"/>
    <xf numFmtId="164" fontId="1" fillId="0" borderId="0" xfId="0" applyNumberFormat="1" applyFont="1" applyBorder="1"/>
    <xf numFmtId="0" fontId="1" fillId="0" borderId="0" xfId="0" quotePrefix="1" applyFont="1" applyAlignment="1">
      <alignment vertical="top"/>
    </xf>
    <xf numFmtId="0" fontId="8" fillId="0" borderId="0" xfId="0" applyFont="1"/>
    <xf numFmtId="41" fontId="1" fillId="0" borderId="0" xfId="0" quotePrefix="1" applyNumberFormat="1" applyFont="1" applyAlignment="1">
      <alignment horizontal="right"/>
    </xf>
    <xf numFmtId="3" fontId="1" fillId="0" borderId="0" xfId="0" applyNumberFormat="1" applyFont="1" applyFill="1" applyBorder="1"/>
    <xf numFmtId="168" fontId="21" fillId="0" borderId="0" xfId="0" applyNumberFormat="1" applyFont="1"/>
    <xf numFmtId="168" fontId="28" fillId="0" borderId="0" xfId="0" applyNumberFormat="1" applyFont="1" applyBorder="1"/>
    <xf numFmtId="3" fontId="19" fillId="0" borderId="0" xfId="0" applyNumberFormat="1" applyFont="1"/>
    <xf numFmtId="3" fontId="4" fillId="0" borderId="0" xfId="0" applyNumberFormat="1" applyFont="1" applyFill="1"/>
    <xf numFmtId="42" fontId="4" fillId="0" borderId="0" xfId="0" applyNumberFormat="1" applyFont="1" applyFill="1" applyBorder="1"/>
    <xf numFmtId="167" fontId="4" fillId="0" borderId="0" xfId="0" applyNumberFormat="1" applyFont="1" applyFill="1"/>
    <xf numFmtId="176" fontId="4" fillId="0" borderId="0" xfId="0" applyNumberFormat="1" applyFont="1" applyFill="1" applyBorder="1"/>
    <xf numFmtId="3" fontId="10" fillId="0" borderId="0" xfId="0" applyNumberFormat="1" applyFont="1"/>
    <xf numFmtId="3" fontId="10" fillId="0" borderId="0" xfId="0" applyNumberFormat="1" applyFont="1" applyFill="1"/>
    <xf numFmtId="3" fontId="10" fillId="0" borderId="0" xfId="0" quotePrefix="1" applyNumberFormat="1" applyFont="1" applyFill="1"/>
    <xf numFmtId="0" fontId="9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29" fillId="0" borderId="0" xfId="0" applyFont="1"/>
    <xf numFmtId="0" fontId="1" fillId="0" borderId="0" xfId="0" applyFont="1" applyFill="1" applyBorder="1" applyAlignment="1">
      <alignment horizontal="centerContinuous"/>
    </xf>
    <xf numFmtId="0" fontId="17" fillId="0" borderId="0" xfId="0" applyFont="1" applyBorder="1"/>
    <xf numFmtId="0" fontId="17" fillId="0" borderId="0" xfId="0" applyFont="1"/>
    <xf numFmtId="0" fontId="9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centerContinuous"/>
    </xf>
    <xf numFmtId="0" fontId="17" fillId="0" borderId="3" xfId="0" applyFont="1" applyFill="1" applyBorder="1"/>
    <xf numFmtId="0" fontId="17" fillId="0" borderId="0" xfId="0" applyFont="1" applyFill="1"/>
    <xf numFmtId="0" fontId="5" fillId="0" borderId="27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/>
    </xf>
    <xf numFmtId="0" fontId="29" fillId="0" borderId="25" xfId="0" applyFont="1" applyFill="1" applyBorder="1"/>
    <xf numFmtId="0" fontId="29" fillId="0" borderId="25" xfId="0" applyFont="1" applyFill="1" applyBorder="1" applyAlignment="1">
      <alignment horizontal="center"/>
    </xf>
    <xf numFmtId="0" fontId="29" fillId="0" borderId="24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9" fontId="5" fillId="0" borderId="23" xfId="0" applyNumberFormat="1" applyFont="1" applyFill="1" applyBorder="1" applyAlignment="1">
      <alignment horizontal="center"/>
    </xf>
    <xf numFmtId="0" fontId="29" fillId="0" borderId="0" xfId="0" applyFont="1" applyBorder="1"/>
    <xf numFmtId="0" fontId="1" fillId="0" borderId="19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8" xfId="0" applyFont="1" applyFill="1" applyBorder="1" applyAlignment="1">
      <alignment horizontal="center"/>
    </xf>
    <xf numFmtId="0" fontId="29" fillId="0" borderId="22" xfId="0" applyFont="1" applyFill="1" applyBorder="1" applyAlignment="1">
      <alignment horizontal="center"/>
    </xf>
    <xf numFmtId="0" fontId="29" fillId="0" borderId="19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left"/>
    </xf>
    <xf numFmtId="0" fontId="29" fillId="0" borderId="0" xfId="0" applyFont="1" applyFill="1" applyBorder="1"/>
    <xf numFmtId="172" fontId="29" fillId="0" borderId="0" xfId="0" applyNumberFormat="1" applyFont="1" applyFill="1" applyBorder="1"/>
    <xf numFmtId="172" fontId="29" fillId="0" borderId="8" xfId="0" applyNumberFormat="1" applyFont="1" applyFill="1" applyBorder="1"/>
    <xf numFmtId="42" fontId="1" fillId="0" borderId="19" xfId="0" applyNumberFormat="1" applyFont="1" applyFill="1" applyBorder="1" applyAlignment="1"/>
    <xf numFmtId="42" fontId="29" fillId="0" borderId="19" xfId="0" applyNumberFormat="1" applyFont="1" applyFill="1" applyBorder="1" applyAlignment="1">
      <alignment horizontal="center"/>
    </xf>
    <xf numFmtId="0" fontId="29" fillId="0" borderId="19" xfId="0" applyFont="1" applyFill="1" applyBorder="1"/>
    <xf numFmtId="172" fontId="29" fillId="0" borderId="0" xfId="0" applyNumberFormat="1" applyFont="1" applyFill="1" applyBorder="1"/>
    <xf numFmtId="164" fontId="1" fillId="0" borderId="19" xfId="0" applyNumberFormat="1" applyFont="1" applyFill="1" applyBorder="1" applyAlignment="1"/>
    <xf numFmtId="164" fontId="29" fillId="0" borderId="19" xfId="0" applyNumberFormat="1" applyFont="1" applyFill="1" applyBorder="1" applyAlignment="1">
      <alignment horizontal="center"/>
    </xf>
    <xf numFmtId="0" fontId="1" fillId="0" borderId="21" xfId="0" applyFont="1" applyFill="1" applyBorder="1"/>
    <xf numFmtId="0" fontId="29" fillId="0" borderId="8" xfId="0" applyFont="1" applyFill="1" applyBorder="1" applyAlignment="1">
      <alignment horizontal="left"/>
    </xf>
    <xf numFmtId="41" fontId="1" fillId="0" borderId="19" xfId="0" applyNumberFormat="1" applyFont="1" applyFill="1" applyBorder="1" applyAlignment="1"/>
    <xf numFmtId="0" fontId="29" fillId="0" borderId="21" xfId="0" applyFont="1" applyFill="1" applyBorder="1"/>
    <xf numFmtId="9" fontId="29" fillId="0" borderId="0" xfId="0" applyNumberFormat="1" applyFont="1" applyFill="1" applyBorder="1"/>
    <xf numFmtId="9" fontId="29" fillId="0" borderId="8" xfId="0" applyNumberFormat="1" applyFont="1" applyFill="1" applyBorder="1"/>
    <xf numFmtId="166" fontId="1" fillId="0" borderId="20" xfId="0" applyNumberFormat="1" applyFont="1" applyFill="1" applyBorder="1" applyAlignment="1"/>
    <xf numFmtId="41" fontId="1" fillId="0" borderId="20" xfId="0" applyNumberFormat="1" applyFont="1" applyFill="1" applyBorder="1"/>
    <xf numFmtId="0" fontId="29" fillId="0" borderId="8" xfId="0" applyFont="1" applyFill="1" applyBorder="1"/>
    <xf numFmtId="37" fontId="1" fillId="0" borderId="19" xfId="0" applyNumberFormat="1" applyFont="1" applyFill="1" applyBorder="1" applyAlignment="1">
      <alignment horizontal="right"/>
    </xf>
    <xf numFmtId="42" fontId="1" fillId="0" borderId="19" xfId="0" applyNumberFormat="1" applyFont="1" applyFill="1" applyBorder="1"/>
    <xf numFmtId="164" fontId="1" fillId="0" borderId="19" xfId="0" applyNumberFormat="1" applyFont="1" applyFill="1" applyBorder="1"/>
    <xf numFmtId="0" fontId="14" fillId="0" borderId="21" xfId="0" applyFont="1" applyFill="1" applyBorder="1"/>
    <xf numFmtId="173" fontId="1" fillId="0" borderId="19" xfId="0" applyNumberFormat="1" applyFont="1" applyFill="1" applyBorder="1"/>
    <xf numFmtId="170" fontId="1" fillId="0" borderId="19" xfId="0" applyNumberFormat="1" applyFont="1" applyFill="1" applyBorder="1"/>
    <xf numFmtId="173" fontId="1" fillId="0" borderId="20" xfId="0" applyNumberFormat="1" applyFont="1" applyFill="1" applyBorder="1"/>
    <xf numFmtId="174" fontId="1" fillId="0" borderId="20" xfId="0" applyNumberFormat="1" applyFont="1" applyFill="1" applyBorder="1"/>
    <xf numFmtId="9" fontId="1" fillId="0" borderId="19" xfId="0" applyNumberFormat="1" applyFont="1" applyFill="1" applyBorder="1" applyAlignment="1">
      <alignment horizontal="center"/>
    </xf>
    <xf numFmtId="37" fontId="1" fillId="0" borderId="20" xfId="0" applyNumberFormat="1" applyFont="1" applyFill="1" applyBorder="1"/>
    <xf numFmtId="42" fontId="1" fillId="0" borderId="20" xfId="0" applyNumberFormat="1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29" fillId="0" borderId="18" xfId="0" applyFont="1" applyFill="1" applyBorder="1"/>
    <xf numFmtId="0" fontId="1" fillId="0" borderId="15" xfId="0" applyFont="1" applyFill="1" applyBorder="1" applyAlignment="1">
      <alignment horizontal="center"/>
    </xf>
    <xf numFmtId="0" fontId="1" fillId="0" borderId="28" xfId="0" applyFont="1" applyFill="1" applyBorder="1"/>
    <xf numFmtId="0" fontId="5" fillId="0" borderId="3" xfId="0" applyFont="1" applyFill="1" applyBorder="1"/>
    <xf numFmtId="0" fontId="5" fillId="0" borderId="17" xfId="0" applyFont="1" applyFill="1" applyBorder="1"/>
    <xf numFmtId="42" fontId="5" fillId="0" borderId="16" xfId="0" applyNumberFormat="1" applyFont="1" applyFill="1" applyBorder="1"/>
    <xf numFmtId="0" fontId="29" fillId="0" borderId="15" xfId="0" applyFont="1" applyFill="1" applyBorder="1"/>
    <xf numFmtId="0" fontId="29" fillId="0" borderId="0" xfId="0" applyFont="1" applyFill="1"/>
    <xf numFmtId="43" fontId="1" fillId="0" borderId="0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4" xfId="0" applyFont="1" applyFill="1" applyBorder="1" applyAlignment="1">
      <alignment horizontal="center"/>
    </xf>
    <xf numFmtId="43" fontId="5" fillId="0" borderId="4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173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41" fontId="1" fillId="0" borderId="0" xfId="0" applyNumberFormat="1" applyFont="1" applyFill="1" applyBorder="1"/>
    <xf numFmtId="41" fontId="29" fillId="0" borderId="0" xfId="0" applyNumberFormat="1" applyFont="1"/>
    <xf numFmtId="41" fontId="1" fillId="0" borderId="0" xfId="0" applyNumberFormat="1" applyFont="1" applyFill="1" applyBorder="1" applyAlignment="1">
      <alignment vertical="top"/>
    </xf>
    <xf numFmtId="41" fontId="1" fillId="0" borderId="0" xfId="0" applyNumberFormat="1" applyFont="1" applyFill="1"/>
    <xf numFmtId="0" fontId="5" fillId="0" borderId="0" xfId="0" applyFont="1" applyAlignment="1"/>
    <xf numFmtId="42" fontId="5" fillId="0" borderId="9" xfId="0" applyNumberFormat="1" applyFont="1" applyFill="1" applyBorder="1"/>
    <xf numFmtId="44" fontId="29" fillId="0" borderId="0" xfId="0" applyNumberFormat="1" applyFont="1" applyFill="1"/>
    <xf numFmtId="164" fontId="29" fillId="0" borderId="0" xfId="0" applyNumberFormat="1" applyFont="1" applyFill="1"/>
    <xf numFmtId="164" fontId="29" fillId="0" borderId="0" xfId="0" applyNumberFormat="1" applyFont="1"/>
    <xf numFmtId="44" fontId="29" fillId="0" borderId="0" xfId="0" applyNumberFormat="1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12" fillId="0" borderId="0" xfId="0" applyNumberFormat="1" applyFont="1"/>
    <xf numFmtId="168" fontId="12" fillId="0" borderId="0" xfId="0" applyNumberFormat="1" applyFont="1"/>
    <xf numFmtId="166" fontId="12" fillId="0" borderId="0" xfId="0" applyNumberFormat="1" applyFont="1"/>
    <xf numFmtId="164" fontId="12" fillId="0" borderId="0" xfId="0" applyNumberFormat="1" applyFont="1" applyBorder="1"/>
    <xf numFmtId="169" fontId="12" fillId="0" borderId="0" xfId="0" applyNumberFormat="1" applyFont="1"/>
    <xf numFmtId="165" fontId="12" fillId="0" borderId="2" xfId="0" applyNumberFormat="1" applyFont="1" applyBorder="1"/>
    <xf numFmtId="164" fontId="12" fillId="0" borderId="2" xfId="0" applyNumberFormat="1" applyFont="1" applyBorder="1"/>
    <xf numFmtId="168" fontId="12" fillId="0" borderId="2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0" borderId="0" xfId="0" quotePrefix="1" applyFont="1" applyFill="1" applyAlignment="1">
      <alignment horizontal="left" vertical="top" wrapText="1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80"/>
      <color rgb="FF009999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customXml" Target="../customXml/item1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53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/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/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/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/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/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/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/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/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/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/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/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/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/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/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/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/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/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/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/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/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/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/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/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/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/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/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/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/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/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/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/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/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/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/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/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/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/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/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/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/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/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/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/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/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/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/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/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/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/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/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/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/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/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/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/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/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/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/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/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/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/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/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/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/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/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/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/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/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/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/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/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/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/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/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/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/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/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/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/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/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/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/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/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/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/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/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/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/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/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/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/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/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/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/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/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/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/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/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/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/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/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/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/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/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/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/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/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/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/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/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/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/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/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/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/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/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/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/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/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/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/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/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/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/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/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/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/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/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/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/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/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/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/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/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/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/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/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/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/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/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/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/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/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/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/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/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/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/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/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/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/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/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/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/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/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/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/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/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/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/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/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/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/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/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/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/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/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/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/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/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/>
          <cell r="C14"/>
          <cell r="M14"/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/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3"/>
  <sheetViews>
    <sheetView tabSelected="1" zoomScaleNormal="100" workbookViewId="0">
      <selection activeCell="H39" sqref="H39"/>
    </sheetView>
  </sheetViews>
  <sheetFormatPr defaultColWidth="8.85546875" defaultRowHeight="12.75" x14ac:dyDescent="0.2"/>
  <cols>
    <col min="1" max="1" width="2.5703125" style="129" customWidth="1"/>
    <col min="2" max="2" width="4.5703125" style="129" customWidth="1"/>
    <col min="3" max="3" width="2.85546875" style="129" customWidth="1"/>
    <col min="4" max="4" width="28.5703125" style="129" customWidth="1"/>
    <col min="5" max="5" width="8.85546875" style="129" customWidth="1"/>
    <col min="6" max="6" width="12.85546875" style="129" bestFit="1" customWidth="1"/>
    <col min="7" max="7" width="15.42578125" style="129" bestFit="1" customWidth="1"/>
    <col min="8" max="8" width="8" style="129" bestFit="1" customWidth="1"/>
    <col min="9" max="9" width="13.28515625" style="129" customWidth="1"/>
    <col min="10" max="10" width="12.5703125" style="129" customWidth="1"/>
    <col min="11" max="11" width="13.42578125" style="129" customWidth="1"/>
    <col min="12" max="12" width="15.28515625" style="129" bestFit="1" customWidth="1"/>
    <col min="13" max="13" width="10" style="129" customWidth="1"/>
    <col min="14" max="14" width="14.5703125" style="129" customWidth="1"/>
    <col min="15" max="15" width="10.5703125" style="129" customWidth="1"/>
    <col min="16" max="16384" width="8.85546875" style="129"/>
  </cols>
  <sheetData>
    <row r="1" spans="2:15" ht="15" customHeight="1" x14ac:dyDescent="0.2">
      <c r="B1" s="377" t="s">
        <v>13</v>
      </c>
      <c r="C1" s="377"/>
      <c r="D1" s="377"/>
      <c r="E1" s="377"/>
      <c r="F1" s="377"/>
      <c r="G1" s="377"/>
      <c r="H1" s="377"/>
      <c r="I1" s="377"/>
      <c r="J1" s="377"/>
      <c r="K1" s="377"/>
      <c r="L1" s="242"/>
    </row>
    <row r="2" spans="2:15" ht="15" customHeight="1" x14ac:dyDescent="0.2">
      <c r="B2" s="377" t="s">
        <v>121</v>
      </c>
      <c r="C2" s="377"/>
      <c r="D2" s="377"/>
      <c r="E2" s="377"/>
      <c r="F2" s="377"/>
      <c r="G2" s="377"/>
      <c r="H2" s="377"/>
      <c r="I2" s="377"/>
      <c r="J2" s="377"/>
      <c r="K2" s="377"/>
      <c r="L2" s="242"/>
    </row>
    <row r="3" spans="2:15" ht="15" customHeight="1" x14ac:dyDescent="0.2">
      <c r="B3" s="378" t="s">
        <v>98</v>
      </c>
      <c r="C3" s="378"/>
      <c r="D3" s="378"/>
      <c r="E3" s="378"/>
      <c r="F3" s="378"/>
      <c r="G3" s="378"/>
      <c r="H3" s="378"/>
      <c r="I3" s="378"/>
      <c r="J3" s="378"/>
      <c r="K3" s="378"/>
      <c r="L3" s="242"/>
    </row>
    <row r="4" spans="2:15" ht="15" customHeight="1" x14ac:dyDescent="0.2">
      <c r="B4" s="378" t="s">
        <v>232</v>
      </c>
      <c r="C4" s="378"/>
      <c r="D4" s="378"/>
      <c r="E4" s="378"/>
      <c r="F4" s="378"/>
      <c r="G4" s="378"/>
      <c r="H4" s="378"/>
      <c r="I4" s="378"/>
      <c r="J4" s="378"/>
      <c r="K4" s="378"/>
      <c r="L4" s="242"/>
    </row>
    <row r="6" spans="2:15" x14ac:dyDescent="0.2">
      <c r="F6" s="40">
        <v>2017</v>
      </c>
      <c r="G6" s="83">
        <f>+F6</f>
        <v>2017</v>
      </c>
      <c r="H6" s="366"/>
      <c r="I6" s="366" t="s">
        <v>41</v>
      </c>
      <c r="J6" s="366" t="s">
        <v>28</v>
      </c>
      <c r="K6" s="366"/>
    </row>
    <row r="7" spans="2:15" x14ac:dyDescent="0.2">
      <c r="E7" s="366" t="s">
        <v>12</v>
      </c>
      <c r="F7" s="366" t="s">
        <v>11</v>
      </c>
      <c r="G7" s="94" t="s">
        <v>40</v>
      </c>
      <c r="H7" s="366" t="s">
        <v>10</v>
      </c>
      <c r="I7" s="366" t="s">
        <v>6</v>
      </c>
      <c r="J7" s="366" t="s">
        <v>0</v>
      </c>
      <c r="K7" s="366" t="s">
        <v>29</v>
      </c>
    </row>
    <row r="8" spans="2:15" ht="14.25" x14ac:dyDescent="0.2">
      <c r="B8" s="20" t="s">
        <v>39</v>
      </c>
      <c r="C8" s="375" t="s">
        <v>27</v>
      </c>
      <c r="D8" s="375"/>
      <c r="E8" s="365" t="s">
        <v>7</v>
      </c>
      <c r="F8" s="365" t="s">
        <v>91</v>
      </c>
      <c r="G8" s="93" t="s">
        <v>92</v>
      </c>
      <c r="H8" s="365" t="s">
        <v>38</v>
      </c>
      <c r="I8" s="365" t="s">
        <v>37</v>
      </c>
      <c r="J8" s="365" t="s">
        <v>93</v>
      </c>
      <c r="K8" s="365" t="s">
        <v>6</v>
      </c>
    </row>
    <row r="9" spans="2:15" x14ac:dyDescent="0.2">
      <c r="B9" s="366">
        <v>1</v>
      </c>
      <c r="C9" s="129" t="s">
        <v>5</v>
      </c>
      <c r="E9" s="366" t="s">
        <v>26</v>
      </c>
      <c r="F9" s="28">
        <f>'Margin Revenue'!K9</f>
        <v>603673441.19423795</v>
      </c>
      <c r="G9" s="256">
        <f>+'Margin Revenue'!L9</f>
        <v>331444473.54175389</v>
      </c>
      <c r="H9" s="367">
        <f>G9/$G$47</f>
        <v>0.70641478063958574</v>
      </c>
      <c r="I9" s="255">
        <f>$I$49*H9</f>
        <v>3244290.0353691806</v>
      </c>
      <c r="J9" s="368">
        <f>ROUND(I9/F9,5)</f>
        <v>5.3699999999999998E-3</v>
      </c>
      <c r="K9" s="255">
        <f>F9*(J9)</f>
        <v>3241726.3792130575</v>
      </c>
      <c r="L9" s="369"/>
      <c r="M9" s="125"/>
      <c r="N9" s="75"/>
      <c r="O9" s="126"/>
    </row>
    <row r="10" spans="2:15" x14ac:dyDescent="0.2">
      <c r="B10" s="366"/>
      <c r="E10" s="366"/>
      <c r="F10" s="124"/>
      <c r="G10" s="31"/>
      <c r="H10" s="367"/>
      <c r="I10" s="255"/>
      <c r="J10" s="368"/>
      <c r="K10" s="255"/>
      <c r="M10" s="125"/>
      <c r="N10" s="75"/>
      <c r="O10" s="126"/>
    </row>
    <row r="11" spans="2:15" x14ac:dyDescent="0.2">
      <c r="B11" s="366">
        <v>2</v>
      </c>
      <c r="C11" s="129" t="s">
        <v>25</v>
      </c>
      <c r="E11" s="366" t="s">
        <v>36</v>
      </c>
      <c r="F11" s="28">
        <f>'Margin Revenue'!K12</f>
        <v>230485261.86521026</v>
      </c>
      <c r="G11" s="256">
        <f>+'Margin Revenue'!L12</f>
        <v>100858090.49868248</v>
      </c>
      <c r="H11" s="367">
        <f>G11/$G$47</f>
        <v>0.2149610313728125</v>
      </c>
      <c r="I11" s="255">
        <f>$I$49*H11</f>
        <v>987232.92771999654</v>
      </c>
      <c r="J11" s="368">
        <f>ROUND(I11/F11,5)</f>
        <v>4.28E-3</v>
      </c>
      <c r="K11" s="255">
        <f>F11*(J11)</f>
        <v>986476.92078309995</v>
      </c>
      <c r="L11" s="369"/>
      <c r="M11" s="125"/>
      <c r="N11" s="75"/>
      <c r="O11" s="126"/>
    </row>
    <row r="12" spans="2:15" x14ac:dyDescent="0.2">
      <c r="B12" s="366"/>
      <c r="E12" s="366"/>
      <c r="F12" s="124"/>
      <c r="G12" s="248"/>
      <c r="H12" s="367"/>
      <c r="I12" s="255"/>
      <c r="J12" s="368"/>
      <c r="K12" s="255"/>
      <c r="M12" s="125"/>
      <c r="N12" s="75"/>
      <c r="O12" s="126"/>
    </row>
    <row r="13" spans="2:15" x14ac:dyDescent="0.2">
      <c r="B13" s="366">
        <v>3</v>
      </c>
      <c r="C13" s="129" t="s">
        <v>24</v>
      </c>
      <c r="E13" s="366" t="s">
        <v>35</v>
      </c>
      <c r="F13" s="28">
        <f>'Margin Revenue'!K14</f>
        <v>86999883.164108917</v>
      </c>
      <c r="G13" s="256">
        <f>+'Margin Revenue'!L14</f>
        <v>19971870.295002576</v>
      </c>
      <c r="H13" s="367">
        <f>G13/G$47</f>
        <v>4.2566479454753038E-2</v>
      </c>
      <c r="I13" s="370">
        <f>$I$49*H13</f>
        <v>195491.38681776833</v>
      </c>
      <c r="J13" s="368">
        <f>ROUND(I13/F13,5)</f>
        <v>2.2499999999999998E-3</v>
      </c>
      <c r="K13" s="255">
        <f>F13*(J13)</f>
        <v>195749.73711924505</v>
      </c>
      <c r="L13" s="233"/>
      <c r="M13" s="125"/>
      <c r="N13" s="75"/>
      <c r="O13" s="126"/>
    </row>
    <row r="14" spans="2:15" x14ac:dyDescent="0.2">
      <c r="B14" s="366"/>
      <c r="E14" s="366"/>
      <c r="F14" s="249"/>
      <c r="G14" s="256"/>
      <c r="H14" s="367"/>
      <c r="I14" s="370"/>
      <c r="J14" s="368"/>
      <c r="K14" s="255"/>
      <c r="M14" s="125"/>
      <c r="N14" s="75"/>
      <c r="O14" s="126"/>
    </row>
    <row r="15" spans="2:15" x14ac:dyDescent="0.2">
      <c r="B15" s="366">
        <v>4</v>
      </c>
      <c r="C15" s="129" t="s">
        <v>4</v>
      </c>
      <c r="E15" s="366">
        <v>85</v>
      </c>
      <c r="F15" s="28"/>
      <c r="G15" s="256"/>
      <c r="H15" s="367"/>
      <c r="I15" s="370"/>
      <c r="J15" s="368"/>
      <c r="K15" s="255"/>
      <c r="M15" s="125"/>
      <c r="N15" s="75"/>
      <c r="O15" s="126"/>
    </row>
    <row r="16" spans="2:15" x14ac:dyDescent="0.2">
      <c r="B16" s="366">
        <v>5</v>
      </c>
      <c r="D16" s="129" t="s">
        <v>19</v>
      </c>
      <c r="E16" s="366"/>
      <c r="F16" s="28">
        <f>'Sch 85 87 Rate Calc'!G10</f>
        <v>7772361.2584989509</v>
      </c>
      <c r="G16" s="256"/>
      <c r="H16" s="367"/>
      <c r="I16" s="248"/>
      <c r="J16" s="26">
        <f>'Sch 85 87 Rate Calc'!L10</f>
        <v>1.5299999999999999E-3</v>
      </c>
      <c r="K16" s="255"/>
      <c r="L16" s="249"/>
      <c r="M16" s="125"/>
      <c r="N16" s="75"/>
      <c r="O16" s="126"/>
    </row>
    <row r="17" spans="2:15" x14ac:dyDescent="0.2">
      <c r="B17" s="366">
        <v>6</v>
      </c>
      <c r="D17" s="129" t="s">
        <v>18</v>
      </c>
      <c r="E17" s="366"/>
      <c r="F17" s="28">
        <f>'Sch 85 87 Rate Calc'!G11</f>
        <v>4503211.9367663106</v>
      </c>
      <c r="G17" s="256"/>
      <c r="H17" s="367"/>
      <c r="I17" s="248"/>
      <c r="J17" s="26">
        <f>'Sch 85 87 Rate Calc'!L11</f>
        <v>9.5E-4</v>
      </c>
      <c r="K17" s="255"/>
      <c r="M17" s="125"/>
      <c r="N17" s="75"/>
      <c r="O17" s="126"/>
    </row>
    <row r="18" spans="2:15" x14ac:dyDescent="0.2">
      <c r="B18" s="366">
        <v>7</v>
      </c>
      <c r="D18" s="129" t="s">
        <v>23</v>
      </c>
      <c r="E18" s="366"/>
      <c r="F18" s="27">
        <f>'Sch 85 87 Rate Calc'!G16</f>
        <v>4615692.440984739</v>
      </c>
      <c r="G18" s="256"/>
      <c r="H18" s="367"/>
      <c r="I18" s="248"/>
      <c r="J18" s="26">
        <f>'Sch 85 87 Rate Calc'!L16</f>
        <v>5.2999999999999998E-4</v>
      </c>
      <c r="K18" s="255"/>
      <c r="M18" s="125"/>
      <c r="N18" s="75"/>
      <c r="O18" s="126"/>
    </row>
    <row r="19" spans="2:15" x14ac:dyDescent="0.2">
      <c r="B19" s="366">
        <v>8</v>
      </c>
      <c r="D19" s="129" t="s">
        <v>0</v>
      </c>
      <c r="E19" s="366"/>
      <c r="F19" s="252">
        <f>SUM(F16:F18)</f>
        <v>16891265.63625</v>
      </c>
      <c r="G19" s="256">
        <f>+'Margin Revenue'!L19</f>
        <v>1763318.6869642006</v>
      </c>
      <c r="H19" s="367">
        <f>G19/G$47</f>
        <v>3.7581992849024795E-3</v>
      </c>
      <c r="I19" s="370">
        <f>$I$49*H19</f>
        <v>17259.9566502579</v>
      </c>
      <c r="J19" s="368"/>
      <c r="K19" s="256">
        <f>'Sch 85 87 Rate Calc'!M17</f>
        <v>18616.081059153301</v>
      </c>
      <c r="M19" s="125"/>
      <c r="N19" s="75"/>
      <c r="O19" s="126"/>
    </row>
    <row r="20" spans="2:15" x14ac:dyDescent="0.2">
      <c r="B20" s="366"/>
      <c r="E20" s="366"/>
      <c r="F20" s="249"/>
      <c r="G20" s="31"/>
      <c r="H20" s="367"/>
      <c r="I20" s="370"/>
      <c r="J20" s="368"/>
      <c r="K20" s="255"/>
      <c r="M20" s="125"/>
      <c r="N20" s="75"/>
      <c r="O20" s="126"/>
    </row>
    <row r="21" spans="2:15" x14ac:dyDescent="0.2">
      <c r="B21" s="366">
        <v>9</v>
      </c>
      <c r="C21" s="129" t="s">
        <v>4</v>
      </c>
      <c r="E21" s="366" t="s">
        <v>34</v>
      </c>
      <c r="F21" s="127">
        <f>'Margin Revenue'!K16</f>
        <v>10257597.918875773</v>
      </c>
      <c r="G21" s="256">
        <f>'Margin Revenue'!L16</f>
        <v>2297725.3921662904</v>
      </c>
      <c r="H21" s="367">
        <f>G21/G$47</f>
        <v>4.8971918630366894E-3</v>
      </c>
      <c r="I21" s="370">
        <f>$I$49*H21</f>
        <v>22490.909304242046</v>
      </c>
      <c r="J21" s="368">
        <f>ROUND(I21/F21,5)</f>
        <v>2.1900000000000001E-3</v>
      </c>
      <c r="K21" s="255">
        <f>F21*(J21)</f>
        <v>22464.139442337942</v>
      </c>
      <c r="M21" s="125"/>
      <c r="N21" s="75"/>
      <c r="O21" s="126"/>
    </row>
    <row r="22" spans="2:15" x14ac:dyDescent="0.2">
      <c r="B22" s="366"/>
      <c r="E22" s="366"/>
      <c r="F22" s="249"/>
      <c r="G22" s="256"/>
      <c r="H22" s="367"/>
      <c r="I22" s="370"/>
      <c r="J22" s="368"/>
      <c r="K22" s="255"/>
      <c r="M22" s="125"/>
      <c r="N22" s="75"/>
      <c r="O22" s="126"/>
    </row>
    <row r="23" spans="2:15" x14ac:dyDescent="0.2">
      <c r="B23" s="366">
        <v>10</v>
      </c>
      <c r="C23" s="129" t="s">
        <v>4</v>
      </c>
      <c r="E23" s="366">
        <v>87</v>
      </c>
      <c r="F23" s="249"/>
      <c r="G23" s="256"/>
      <c r="H23" s="367"/>
      <c r="I23" s="370"/>
      <c r="J23" s="368"/>
      <c r="K23" s="255"/>
      <c r="M23" s="125"/>
      <c r="N23" s="75"/>
      <c r="O23" s="126"/>
    </row>
    <row r="24" spans="2:15" x14ac:dyDescent="0.2">
      <c r="B24" s="366">
        <v>11</v>
      </c>
      <c r="D24" s="129" t="s">
        <v>19</v>
      </c>
      <c r="E24" s="366"/>
      <c r="F24" s="28">
        <f>'Sch 85 87 Rate Calc'!G20</f>
        <v>1396651.2626410851</v>
      </c>
      <c r="G24" s="256"/>
      <c r="H24" s="367"/>
      <c r="I24" s="370"/>
      <c r="J24" s="26">
        <f>'Sch 85 87 Rate Calc'!L20</f>
        <v>1.5299999999999999E-3</v>
      </c>
      <c r="K24" s="255"/>
      <c r="M24" s="125"/>
      <c r="N24" s="75"/>
      <c r="O24" s="126"/>
    </row>
    <row r="25" spans="2:15" x14ac:dyDescent="0.2">
      <c r="B25" s="366">
        <v>12</v>
      </c>
      <c r="D25" s="129" t="s">
        <v>18</v>
      </c>
      <c r="E25" s="366"/>
      <c r="F25" s="28">
        <f>'Sch 85 87 Rate Calc'!G21</f>
        <v>1344434.196334302</v>
      </c>
      <c r="G25" s="256"/>
      <c r="H25" s="367"/>
      <c r="I25" s="370"/>
      <c r="J25" s="26">
        <f>'Sch 85 87 Rate Calc'!L21</f>
        <v>9.5E-4</v>
      </c>
      <c r="K25" s="255"/>
      <c r="M25" s="125"/>
      <c r="N25" s="75"/>
      <c r="O25" s="126"/>
    </row>
    <row r="26" spans="2:15" x14ac:dyDescent="0.2">
      <c r="B26" s="366">
        <v>13</v>
      </c>
      <c r="D26" s="129" t="s">
        <v>17</v>
      </c>
      <c r="E26" s="366"/>
      <c r="F26" s="28">
        <f>'Sch 85 87 Rate Calc'!G22</f>
        <v>2505459.2177577345</v>
      </c>
      <c r="G26" s="256"/>
      <c r="H26" s="367"/>
      <c r="I26" s="370"/>
      <c r="J26" s="26">
        <f>'Sch 85 87 Rate Calc'!L22</f>
        <v>6.2E-4</v>
      </c>
      <c r="K26" s="255"/>
      <c r="M26" s="125"/>
      <c r="N26" s="75"/>
      <c r="O26" s="126"/>
    </row>
    <row r="27" spans="2:15" x14ac:dyDescent="0.2">
      <c r="B27" s="366">
        <v>14</v>
      </c>
      <c r="D27" s="129" t="s">
        <v>16</v>
      </c>
      <c r="E27" s="366"/>
      <c r="F27" s="28">
        <f>'Sch 85 87 Rate Calc'!G23</f>
        <v>2993282.501873855</v>
      </c>
      <c r="G27" s="256"/>
      <c r="H27" s="367"/>
      <c r="I27" s="370"/>
      <c r="J27" s="26">
        <f>'Sch 85 87 Rate Calc'!L23</f>
        <v>4.2000000000000002E-4</v>
      </c>
      <c r="K27" s="255"/>
      <c r="M27" s="125"/>
      <c r="N27" s="75"/>
      <c r="O27" s="126"/>
    </row>
    <row r="28" spans="2:15" x14ac:dyDescent="0.2">
      <c r="B28" s="366">
        <v>15</v>
      </c>
      <c r="D28" s="129" t="s">
        <v>15</v>
      </c>
      <c r="E28" s="366"/>
      <c r="F28" s="28">
        <f>'Sch 85 87 Rate Calc'!G24</f>
        <v>3623436.6539640436</v>
      </c>
      <c r="G28" s="256"/>
      <c r="H28" s="367"/>
      <c r="I28" s="370"/>
      <c r="J28" s="26">
        <f>'Sch 85 87 Rate Calc'!L24</f>
        <v>3.1E-4</v>
      </c>
      <c r="K28" s="255"/>
      <c r="M28" s="125"/>
      <c r="N28" s="75"/>
      <c r="O28" s="126"/>
    </row>
    <row r="29" spans="2:15" x14ac:dyDescent="0.2">
      <c r="B29" s="366">
        <v>16</v>
      </c>
      <c r="D29" s="129" t="s">
        <v>21</v>
      </c>
      <c r="E29" s="366"/>
      <c r="F29" s="27">
        <f>'Sch 85 87 Rate Calc'!G25</f>
        <v>10122714.198428979</v>
      </c>
      <c r="G29" s="256"/>
      <c r="H29" s="367"/>
      <c r="I29" s="370"/>
      <c r="J29" s="26">
        <f>'Sch 85 87 Rate Calc'!L25</f>
        <v>2.5000000000000001E-4</v>
      </c>
      <c r="K29" s="255"/>
      <c r="M29" s="125"/>
      <c r="N29" s="75"/>
      <c r="O29" s="126"/>
    </row>
    <row r="30" spans="2:15" x14ac:dyDescent="0.2">
      <c r="B30" s="366">
        <v>17</v>
      </c>
      <c r="D30" s="129" t="s">
        <v>0</v>
      </c>
      <c r="E30" s="366"/>
      <c r="F30" s="252">
        <f>SUM(F24:F29)</f>
        <v>21985978.030999996</v>
      </c>
      <c r="G30" s="256">
        <f>+'Margin Revenue'!L20</f>
        <v>1155553.8872590433</v>
      </c>
      <c r="H30" s="367">
        <f>G30/G$47</f>
        <v>2.4628570121036693E-3</v>
      </c>
      <c r="I30" s="370">
        <f>$I$49*H30</f>
        <v>11310.950282881575</v>
      </c>
      <c r="J30" s="368"/>
      <c r="K30" s="256">
        <f>'Sch 85 87 Rate Calc'!M26</f>
        <v>9878.5961964913604</v>
      </c>
      <c r="M30" s="125"/>
      <c r="N30" s="75"/>
      <c r="O30" s="126"/>
    </row>
    <row r="31" spans="2:15" x14ac:dyDescent="0.2">
      <c r="B31" s="366"/>
      <c r="E31" s="366"/>
      <c r="F31" s="252"/>
      <c r="G31" s="31"/>
      <c r="H31" s="367"/>
      <c r="I31" s="370"/>
      <c r="J31" s="368"/>
      <c r="K31" s="256"/>
      <c r="M31" s="371"/>
      <c r="N31" s="75"/>
      <c r="O31" s="126"/>
    </row>
    <row r="32" spans="2:15" x14ac:dyDescent="0.2">
      <c r="B32" s="366">
        <f>B30+1</f>
        <v>18</v>
      </c>
      <c r="C32" s="129" t="s">
        <v>22</v>
      </c>
      <c r="E32" s="366" t="s">
        <v>3</v>
      </c>
      <c r="F32" s="252"/>
      <c r="G32" s="31"/>
      <c r="H32" s="367"/>
      <c r="I32" s="370"/>
      <c r="J32" s="368"/>
      <c r="K32" s="256"/>
      <c r="M32" s="371"/>
      <c r="N32" s="75"/>
      <c r="O32" s="126"/>
    </row>
    <row r="33" spans="2:15" x14ac:dyDescent="0.2">
      <c r="B33" s="366">
        <f>B32+1</f>
        <v>19</v>
      </c>
      <c r="D33" s="129" t="s">
        <v>19</v>
      </c>
      <c r="E33" s="366"/>
      <c r="F33" s="25">
        <f>'Sch 85 87 Rate Calc'!G29</f>
        <v>28339709.210610524</v>
      </c>
      <c r="G33" s="31"/>
      <c r="H33" s="367"/>
      <c r="I33" s="370"/>
      <c r="J33" s="23">
        <f>'Sch 85 87 Rate Calc'!L29</f>
        <v>1.5299999999999999E-3</v>
      </c>
      <c r="K33" s="256"/>
      <c r="M33" s="371"/>
      <c r="N33" s="75"/>
      <c r="O33" s="126"/>
    </row>
    <row r="34" spans="2:15" x14ac:dyDescent="0.2">
      <c r="B34" s="366">
        <f>B33+1</f>
        <v>20</v>
      </c>
      <c r="D34" s="129" t="s">
        <v>18</v>
      </c>
      <c r="E34" s="366"/>
      <c r="F34" s="25">
        <f>'Sch 85 87 Rate Calc'!G30</f>
        <v>19150740.231191594</v>
      </c>
      <c r="G34" s="31"/>
      <c r="H34" s="367"/>
      <c r="I34" s="370"/>
      <c r="J34" s="23">
        <f>'Sch 85 87 Rate Calc'!L30</f>
        <v>9.5E-4</v>
      </c>
      <c r="K34" s="256"/>
      <c r="M34" s="371"/>
      <c r="N34" s="75"/>
      <c r="O34" s="126"/>
    </row>
    <row r="35" spans="2:15" x14ac:dyDescent="0.2">
      <c r="B35" s="366">
        <f>B34+1</f>
        <v>21</v>
      </c>
      <c r="D35" s="129" t="s">
        <v>23</v>
      </c>
      <c r="E35" s="366"/>
      <c r="F35" s="24">
        <f>'Sch 85 87 Rate Calc'!G35</f>
        <v>30673883.728197876</v>
      </c>
      <c r="G35" s="31"/>
      <c r="H35" s="367"/>
      <c r="I35" s="370"/>
      <c r="J35" s="23">
        <f>'Sch 85 87 Rate Calc'!L35</f>
        <v>5.2999999999999998E-4</v>
      </c>
      <c r="K35" s="256"/>
      <c r="M35" s="371"/>
      <c r="N35" s="75"/>
      <c r="O35" s="126"/>
    </row>
    <row r="36" spans="2:15" x14ac:dyDescent="0.2">
      <c r="B36" s="366">
        <f>B35+1</f>
        <v>22</v>
      </c>
      <c r="D36" s="129" t="s">
        <v>0</v>
      </c>
      <c r="E36" s="366"/>
      <c r="F36" s="252">
        <f>SUM(F33:F35)</f>
        <v>78164333.169999987</v>
      </c>
      <c r="G36" s="256">
        <f>+'Margin Revenue'!L24</f>
        <v>7658520.3881510254</v>
      </c>
      <c r="H36" s="367">
        <f>G36/G$47</f>
        <v>1.6322770273428509E-2</v>
      </c>
      <c r="I36" s="370">
        <f>$I$49*H36</f>
        <v>74964.174588417256</v>
      </c>
      <c r="J36" s="368"/>
      <c r="K36" s="256">
        <f>'Sch 85 87 Rate Calc'!M36</f>
        <v>77810.11668781098</v>
      </c>
      <c r="M36" s="125"/>
      <c r="N36" s="75"/>
      <c r="O36" s="126"/>
    </row>
    <row r="37" spans="2:15" x14ac:dyDescent="0.2">
      <c r="B37" s="366"/>
      <c r="E37" s="366"/>
      <c r="F37" s="252"/>
      <c r="G37" s="31"/>
      <c r="H37" s="367"/>
      <c r="I37" s="370"/>
      <c r="J37" s="368"/>
      <c r="K37" s="256"/>
      <c r="M37" s="371"/>
      <c r="N37" s="75"/>
      <c r="O37" s="126"/>
    </row>
    <row r="38" spans="2:15" x14ac:dyDescent="0.2">
      <c r="B38" s="366">
        <f>B36+1</f>
        <v>23</v>
      </c>
      <c r="C38" s="129" t="s">
        <v>22</v>
      </c>
      <c r="E38" s="366" t="s">
        <v>2</v>
      </c>
      <c r="F38" s="252"/>
      <c r="G38" s="31"/>
      <c r="H38" s="367"/>
      <c r="I38" s="370"/>
      <c r="J38" s="368"/>
      <c r="K38" s="256"/>
      <c r="M38" s="371"/>
      <c r="N38" s="75"/>
      <c r="O38" s="126"/>
    </row>
    <row r="39" spans="2:15" x14ac:dyDescent="0.2">
      <c r="B39" s="366">
        <f t="shared" ref="B39:B45" si="0">B38+1</f>
        <v>24</v>
      </c>
      <c r="D39" s="129" t="s">
        <v>19</v>
      </c>
      <c r="E39" s="366"/>
      <c r="F39" s="25">
        <f>'Sch 85 87 Rate Calc'!G39</f>
        <v>2968439.3566968865</v>
      </c>
      <c r="G39" s="31"/>
      <c r="H39" s="367"/>
      <c r="I39" s="370"/>
      <c r="J39" s="23">
        <f>'Sch 85 87 Rate Calc'!L39</f>
        <v>1.5299999999999999E-3</v>
      </c>
      <c r="K39" s="256"/>
      <c r="M39" s="371"/>
      <c r="N39" s="75"/>
      <c r="O39" s="126"/>
    </row>
    <row r="40" spans="2:15" x14ac:dyDescent="0.2">
      <c r="B40" s="366">
        <f t="shared" si="0"/>
        <v>25</v>
      </c>
      <c r="D40" s="129" t="s">
        <v>18</v>
      </c>
      <c r="E40" s="366"/>
      <c r="F40" s="25">
        <f>'Sch 85 87 Rate Calc'!G40</f>
        <v>2968439.3566968865</v>
      </c>
      <c r="G40" s="31"/>
      <c r="H40" s="367"/>
      <c r="I40" s="370"/>
      <c r="J40" s="23">
        <f>'Sch 85 87 Rate Calc'!L40</f>
        <v>9.5E-4</v>
      </c>
      <c r="K40" s="256"/>
      <c r="M40" s="371"/>
      <c r="N40" s="75"/>
      <c r="O40" s="126"/>
    </row>
    <row r="41" spans="2:15" x14ac:dyDescent="0.2">
      <c r="B41" s="366">
        <f t="shared" si="0"/>
        <v>26</v>
      </c>
      <c r="D41" s="129" t="s">
        <v>17</v>
      </c>
      <c r="E41" s="366"/>
      <c r="F41" s="25">
        <f>'Sch 85 87 Rate Calc'!G41</f>
        <v>5936878.713393773</v>
      </c>
      <c r="G41" s="31"/>
      <c r="H41" s="367"/>
      <c r="I41" s="370"/>
      <c r="J41" s="23">
        <f>'Sch 85 87 Rate Calc'!L41</f>
        <v>6.2E-4</v>
      </c>
      <c r="K41" s="256"/>
      <c r="M41" s="371"/>
      <c r="N41" s="75"/>
      <c r="O41" s="126"/>
    </row>
    <row r="42" spans="2:15" x14ac:dyDescent="0.2">
      <c r="B42" s="366">
        <f t="shared" si="0"/>
        <v>27</v>
      </c>
      <c r="D42" s="129" t="s">
        <v>16</v>
      </c>
      <c r="E42" s="366"/>
      <c r="F42" s="25">
        <f>'Sch 85 87 Rate Calc'!G42</f>
        <v>11518647.973944826</v>
      </c>
      <c r="G42" s="31"/>
      <c r="H42" s="367"/>
      <c r="I42" s="370"/>
      <c r="J42" s="23">
        <f>'Sch 85 87 Rate Calc'!L42</f>
        <v>4.2000000000000002E-4</v>
      </c>
      <c r="K42" s="256"/>
      <c r="M42" s="371"/>
      <c r="N42" s="75"/>
      <c r="O42" s="126"/>
    </row>
    <row r="43" spans="2:15" x14ac:dyDescent="0.2">
      <c r="B43" s="366">
        <f t="shared" si="0"/>
        <v>28</v>
      </c>
      <c r="D43" s="129" t="s">
        <v>15</v>
      </c>
      <c r="E43" s="366"/>
      <c r="F43" s="25">
        <f>'Sch 85 87 Rate Calc'!G43</f>
        <v>25788807.693277843</v>
      </c>
      <c r="G43" s="31"/>
      <c r="H43" s="367"/>
      <c r="I43" s="370"/>
      <c r="J43" s="23">
        <f>'Sch 85 87 Rate Calc'!L43</f>
        <v>3.1E-4</v>
      </c>
      <c r="K43" s="256"/>
      <c r="M43" s="371"/>
      <c r="N43" s="75"/>
      <c r="O43" s="126"/>
    </row>
    <row r="44" spans="2:15" x14ac:dyDescent="0.2">
      <c r="B44" s="366">
        <f t="shared" si="0"/>
        <v>29</v>
      </c>
      <c r="D44" s="129" t="s">
        <v>21</v>
      </c>
      <c r="E44" s="366"/>
      <c r="F44" s="24">
        <f>'Sch 85 87 Rate Calc'!G44</f>
        <v>51208492.920989782</v>
      </c>
      <c r="G44" s="31"/>
      <c r="H44" s="367"/>
      <c r="I44" s="370"/>
      <c r="J44" s="23">
        <f>'Sch 85 87 Rate Calc'!L44</f>
        <v>2.5000000000000001E-4</v>
      </c>
      <c r="K44" s="256"/>
      <c r="M44" s="371"/>
      <c r="N44" s="75"/>
      <c r="O44" s="126"/>
    </row>
    <row r="45" spans="2:15" x14ac:dyDescent="0.2">
      <c r="B45" s="366">
        <f t="shared" si="0"/>
        <v>30</v>
      </c>
      <c r="D45" s="129" t="s">
        <v>0</v>
      </c>
      <c r="E45" s="366"/>
      <c r="F45" s="252">
        <f>SUM(F39:F44)</f>
        <v>100389706.015</v>
      </c>
      <c r="G45" s="256">
        <f>+'Margin Revenue'!L25</f>
        <v>4042885.8397820285</v>
      </c>
      <c r="H45" s="367">
        <f>G45/G$47</f>
        <v>8.6166900993771695E-3</v>
      </c>
      <c r="I45" s="370">
        <f>$I$49*H45</f>
        <v>39573.126997658823</v>
      </c>
      <c r="J45" s="368"/>
      <c r="K45" s="256">
        <f>'Sch 85 87 Rate Calc'!M45</f>
        <v>36677.080171132824</v>
      </c>
      <c r="M45" s="125"/>
      <c r="N45" s="75"/>
      <c r="O45" s="126"/>
    </row>
    <row r="46" spans="2:15" x14ac:dyDescent="0.2">
      <c r="B46" s="366"/>
      <c r="F46" s="259"/>
      <c r="G46" s="20"/>
      <c r="H46" s="372"/>
      <c r="I46" s="373"/>
      <c r="J46" s="374"/>
      <c r="K46" s="373"/>
      <c r="L46" s="20"/>
      <c r="M46" s="125"/>
      <c r="N46" s="147"/>
      <c r="O46" s="126"/>
    </row>
    <row r="47" spans="2:15" x14ac:dyDescent="0.2">
      <c r="B47" s="366">
        <f>B45+1</f>
        <v>31</v>
      </c>
      <c r="D47" s="129" t="s">
        <v>0</v>
      </c>
      <c r="F47" s="264">
        <f>F9+F11+F13+F19+F21+F30+F36+F45</f>
        <v>1148847466.994683</v>
      </c>
      <c r="G47" s="265">
        <f>G9+G11+G13+G19+G21+G30+G36+G45</f>
        <v>469192438.52976161</v>
      </c>
      <c r="H47" s="367">
        <f>SUM(H9:H46)</f>
        <v>0.99999999999999989</v>
      </c>
      <c r="I47" s="265">
        <f>I9+I11+I13+I19+I21+I30+I36+I45</f>
        <v>4592613.4677304039</v>
      </c>
      <c r="J47" s="368">
        <f>ROUND(K47/F47,5)</f>
        <v>3.9899999999999996E-3</v>
      </c>
      <c r="K47" s="265">
        <f>K9+K11+K13+K19+K21+K30+K36+K45</f>
        <v>4589399.0506723281</v>
      </c>
      <c r="L47" s="17">
        <f>K47-I47</f>
        <v>-3214.4170580757782</v>
      </c>
      <c r="M47" s="125"/>
      <c r="N47" s="75"/>
      <c r="O47" s="126"/>
    </row>
    <row r="48" spans="2:15" x14ac:dyDescent="0.2">
      <c r="B48" s="366"/>
      <c r="F48" s="263"/>
      <c r="G48" s="14"/>
      <c r="H48" s="263"/>
      <c r="I48" s="263"/>
      <c r="J48" s="263"/>
      <c r="K48" s="263"/>
      <c r="L48" s="15">
        <f>L47/I47</f>
        <v>-6.9991021031088241E-4</v>
      </c>
      <c r="N48" s="257"/>
    </row>
    <row r="49" spans="2:14" ht="15" customHeight="1" x14ac:dyDescent="0.2">
      <c r="B49" s="366">
        <f>B47+1</f>
        <v>32</v>
      </c>
      <c r="D49" s="129" t="s">
        <v>20</v>
      </c>
      <c r="F49" s="263"/>
      <c r="G49" s="14"/>
      <c r="H49" s="263"/>
      <c r="I49" s="130">
        <f>'Revenue Req 2018-2019 '!G23</f>
        <v>4592613.4677304039</v>
      </c>
      <c r="J49" s="263"/>
      <c r="K49" s="267"/>
      <c r="L49" s="263"/>
    </row>
    <row r="50" spans="2:14" x14ac:dyDescent="0.2">
      <c r="I50" s="248"/>
      <c r="N50" s="257"/>
    </row>
    <row r="51" spans="2:14" ht="15" customHeight="1" x14ac:dyDescent="0.2">
      <c r="B51" s="136" t="s">
        <v>33</v>
      </c>
      <c r="C51" s="10" t="s">
        <v>99</v>
      </c>
      <c r="D51" s="9"/>
      <c r="E51" s="9"/>
      <c r="F51" s="9"/>
      <c r="G51" s="9"/>
      <c r="H51" s="8"/>
      <c r="I51" s="8"/>
      <c r="J51" s="8"/>
      <c r="K51" s="8"/>
    </row>
    <row r="52" spans="2:14" s="6" customFormat="1" ht="15" customHeight="1" x14ac:dyDescent="0.2">
      <c r="B52" s="136" t="s">
        <v>32</v>
      </c>
      <c r="C52" s="376" t="s">
        <v>100</v>
      </c>
      <c r="D52" s="376"/>
      <c r="E52" s="376"/>
      <c r="F52" s="376"/>
      <c r="G52" s="376"/>
      <c r="H52" s="376"/>
      <c r="I52" s="376"/>
      <c r="J52" s="376"/>
      <c r="K52" s="376"/>
      <c r="L52" s="70"/>
    </row>
    <row r="53" spans="2:14" ht="24.75" customHeight="1" x14ac:dyDescent="0.2">
      <c r="B53" s="137" t="s">
        <v>31</v>
      </c>
      <c r="C53" s="376" t="s">
        <v>30</v>
      </c>
      <c r="D53" s="376"/>
      <c r="E53" s="376"/>
      <c r="F53" s="376"/>
      <c r="G53" s="376"/>
      <c r="H53" s="376"/>
      <c r="I53" s="376"/>
      <c r="J53" s="376"/>
      <c r="K53" s="376"/>
    </row>
    <row r="54" spans="2:14" x14ac:dyDescent="0.2">
      <c r="B54" s="268"/>
      <c r="D54" s="269"/>
      <c r="E54" s="269"/>
      <c r="F54" s="269"/>
      <c r="G54" s="269"/>
      <c r="H54" s="269"/>
    </row>
    <row r="55" spans="2:14" x14ac:dyDescent="0.2">
      <c r="C55" s="266"/>
      <c r="D55" s="266"/>
      <c r="H55" s="269"/>
    </row>
    <row r="56" spans="2:14" x14ac:dyDescent="0.2">
      <c r="C56" s="266"/>
      <c r="D56" s="270"/>
      <c r="E56" s="263"/>
      <c r="F56" s="263"/>
      <c r="H56" s="269"/>
    </row>
    <row r="57" spans="2:14" x14ac:dyDescent="0.2">
      <c r="C57" s="266"/>
      <c r="D57" s="263"/>
      <c r="E57" s="266"/>
      <c r="F57" s="266"/>
      <c r="G57" s="269"/>
      <c r="H57" s="269"/>
    </row>
    <row r="58" spans="2:14" x14ac:dyDescent="0.2">
      <c r="C58" s="266"/>
      <c r="D58" s="263"/>
      <c r="E58" s="354"/>
      <c r="F58" s="271"/>
      <c r="H58" s="269"/>
    </row>
    <row r="59" spans="2:14" x14ac:dyDescent="0.2">
      <c r="C59" s="269"/>
      <c r="D59" s="269"/>
      <c r="E59" s="354"/>
      <c r="F59" s="271"/>
      <c r="H59" s="269"/>
    </row>
    <row r="60" spans="2:14" x14ac:dyDescent="0.2">
      <c r="E60" s="354"/>
      <c r="F60" s="271"/>
    </row>
    <row r="61" spans="2:14" x14ac:dyDescent="0.2">
      <c r="E61" s="263"/>
      <c r="F61" s="263"/>
    </row>
    <row r="62" spans="2:14" x14ac:dyDescent="0.2">
      <c r="E62" s="263"/>
      <c r="F62" s="263"/>
    </row>
    <row r="63" spans="2:14" x14ac:dyDescent="0.2">
      <c r="E63" s="263"/>
      <c r="F63" s="263"/>
    </row>
  </sheetData>
  <mergeCells count="7">
    <mergeCell ref="C8:D8"/>
    <mergeCell ref="C52:K52"/>
    <mergeCell ref="C53:K53"/>
    <mergeCell ref="B1:K1"/>
    <mergeCell ref="B2:K2"/>
    <mergeCell ref="B3:K3"/>
    <mergeCell ref="B4:K4"/>
  </mergeCells>
  <printOptions horizontalCentered="1"/>
  <pageMargins left="0.75" right="0.75" top="1" bottom="1" header="0.5" footer="0.5"/>
  <pageSetup scale="75" orientation="portrait" blackAndWhite="1" horizontalDpi="300" verticalDpi="300" r:id="rId1"/>
  <headerFooter alignWithMargins="0"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72"/>
  <sheetViews>
    <sheetView zoomScaleNormal="100" workbookViewId="0">
      <selection activeCell="Q18" sqref="Q18"/>
    </sheetView>
  </sheetViews>
  <sheetFormatPr defaultColWidth="8.85546875" defaultRowHeight="12.75" x14ac:dyDescent="0.2"/>
  <cols>
    <col min="1" max="1" width="1.5703125" style="3" customWidth="1"/>
    <col min="2" max="2" width="4.5703125" style="3" customWidth="1"/>
    <col min="3" max="3" width="3.140625" style="3" customWidth="1"/>
    <col min="4" max="4" width="25.7109375" style="3" customWidth="1"/>
    <col min="5" max="5" width="12.140625" style="3" customWidth="1"/>
    <col min="6" max="6" width="9" style="3" bestFit="1" customWidth="1"/>
    <col min="7" max="7" width="13.7109375" style="3" customWidth="1"/>
    <col min="8" max="8" width="13.28515625" style="3" customWidth="1"/>
    <col min="9" max="9" width="13.85546875" style="3" customWidth="1"/>
    <col min="10" max="10" width="12.42578125" style="3" customWidth="1"/>
    <col min="11" max="11" width="11.140625" style="3" customWidth="1"/>
    <col min="12" max="12" width="11.42578125" style="3" customWidth="1"/>
    <col min="13" max="13" width="10.85546875" style="3" customWidth="1"/>
    <col min="14" max="14" width="9.28515625" style="3" bestFit="1" customWidth="1"/>
    <col min="15" max="15" width="10" style="3" bestFit="1" customWidth="1"/>
    <col min="16" max="16" width="9.7109375" style="3" bestFit="1" customWidth="1"/>
    <col min="17" max="17" width="8.85546875" style="3"/>
    <col min="18" max="18" width="8.85546875" style="4"/>
    <col min="19" max="16384" width="8.85546875" style="3"/>
  </cols>
  <sheetData>
    <row r="1" spans="2:18" x14ac:dyDescent="0.2">
      <c r="B1" s="377" t="s">
        <v>13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R1" s="123"/>
    </row>
    <row r="2" spans="2:18" x14ac:dyDescent="0.2">
      <c r="B2" s="377" t="s">
        <v>121</v>
      </c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</row>
    <row r="3" spans="2:18" x14ac:dyDescent="0.2">
      <c r="B3" s="378" t="s">
        <v>64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</row>
    <row r="4" spans="2:18" x14ac:dyDescent="0.2">
      <c r="B4" s="378" t="s">
        <v>232</v>
      </c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</row>
    <row r="6" spans="2:18" x14ac:dyDescent="0.2">
      <c r="E6" s="22"/>
      <c r="F6" s="22"/>
      <c r="G6" s="33" t="s">
        <v>63</v>
      </c>
      <c r="H6" s="68"/>
      <c r="J6" s="22" t="s">
        <v>41</v>
      </c>
      <c r="K6" s="22" t="s">
        <v>62</v>
      </c>
      <c r="L6" s="22" t="s">
        <v>41</v>
      </c>
      <c r="M6" s="22"/>
    </row>
    <row r="7" spans="2:18" ht="14.25" x14ac:dyDescent="0.2">
      <c r="E7" s="68" t="s">
        <v>89</v>
      </c>
      <c r="F7" s="68"/>
      <c r="G7" s="22" t="s">
        <v>90</v>
      </c>
      <c r="H7" s="68"/>
      <c r="I7" s="22" t="s">
        <v>47</v>
      </c>
      <c r="J7" s="22" t="s">
        <v>6</v>
      </c>
      <c r="K7" s="22" t="s">
        <v>6</v>
      </c>
      <c r="L7" s="22" t="s">
        <v>61</v>
      </c>
      <c r="M7" s="22" t="s">
        <v>29</v>
      </c>
    </row>
    <row r="8" spans="2:18" ht="14.25" x14ac:dyDescent="0.2">
      <c r="B8" s="20" t="s">
        <v>39</v>
      </c>
      <c r="C8" s="375" t="s">
        <v>60</v>
      </c>
      <c r="D8" s="375"/>
      <c r="E8" s="37" t="s">
        <v>58</v>
      </c>
      <c r="F8" s="37" t="s">
        <v>59</v>
      </c>
      <c r="G8" s="36" t="s">
        <v>58</v>
      </c>
      <c r="H8" s="37" t="s">
        <v>104</v>
      </c>
      <c r="I8" s="36" t="s">
        <v>57</v>
      </c>
      <c r="J8" s="36" t="s">
        <v>37</v>
      </c>
      <c r="K8" s="36" t="s">
        <v>37</v>
      </c>
      <c r="L8" s="36" t="s">
        <v>56</v>
      </c>
      <c r="M8" s="36" t="s">
        <v>6</v>
      </c>
    </row>
    <row r="9" spans="2:18" x14ac:dyDescent="0.2">
      <c r="B9" s="131">
        <v>1</v>
      </c>
      <c r="C9" s="3" t="s">
        <v>55</v>
      </c>
      <c r="E9" s="87"/>
      <c r="F9" s="87"/>
      <c r="G9" s="29"/>
    </row>
    <row r="10" spans="2:18" x14ac:dyDescent="0.2">
      <c r="B10" s="131">
        <v>2</v>
      </c>
      <c r="D10" s="3" t="s">
        <v>19</v>
      </c>
      <c r="E10" s="114">
        <v>7794231</v>
      </c>
      <c r="F10" s="139">
        <f t="shared" ref="F10:F15" si="0">+E10/$E$17</f>
        <v>0.46014084591854648</v>
      </c>
      <c r="G10" s="112">
        <f t="shared" ref="G10:G15" si="1">+F10*$G$17</f>
        <v>7772361.2584989509</v>
      </c>
      <c r="H10" s="118">
        <f>H$39</f>
        <v>0.14391000000000001</v>
      </c>
      <c r="I10" s="110">
        <f t="shared" ref="I10:I15" si="2">ROUND(G10*H10,0)</f>
        <v>1118521</v>
      </c>
      <c r="K10" s="110">
        <f>ROUND(I10*$J$48,0)</f>
        <v>11896</v>
      </c>
      <c r="L10" s="109">
        <f>L29</f>
        <v>1.5299999999999999E-3</v>
      </c>
      <c r="M10" s="110">
        <f>G10*L10</f>
        <v>11891.712725503394</v>
      </c>
    </row>
    <row r="11" spans="2:18" x14ac:dyDescent="0.2">
      <c r="B11" s="131">
        <v>3</v>
      </c>
      <c r="D11" s="3" t="s">
        <v>18</v>
      </c>
      <c r="E11" s="114">
        <v>4515883</v>
      </c>
      <c r="F11" s="139">
        <f t="shared" si="0"/>
        <v>0.26660003067514726</v>
      </c>
      <c r="G11" s="112">
        <f t="shared" si="1"/>
        <v>4503211.9367663106</v>
      </c>
      <c r="H11" s="118">
        <f>H$40</f>
        <v>8.8870000000000005E-2</v>
      </c>
      <c r="I11" s="110">
        <f t="shared" si="2"/>
        <v>400200</v>
      </c>
      <c r="K11" s="110">
        <f t="shared" ref="K11:K15" si="3">ROUND(I11*$J$48,0)</f>
        <v>4256</v>
      </c>
      <c r="L11" s="109">
        <f>L30</f>
        <v>9.5E-4</v>
      </c>
      <c r="M11" s="110">
        <f>G11*L11</f>
        <v>4278.0513399279953</v>
      </c>
    </row>
    <row r="12" spans="2:18" x14ac:dyDescent="0.2">
      <c r="B12" s="131">
        <v>4</v>
      </c>
      <c r="D12" s="3" t="s">
        <v>17</v>
      </c>
      <c r="E12" s="114">
        <v>3049028</v>
      </c>
      <c r="F12" s="139">
        <f t="shared" si="0"/>
        <v>0.18000266134649257</v>
      </c>
      <c r="G12" s="112">
        <f t="shared" si="1"/>
        <v>3040472.7680355562</v>
      </c>
      <c r="H12" s="118">
        <f>H$41</f>
        <v>5.8299999999999998E-2</v>
      </c>
      <c r="I12" s="110">
        <f t="shared" si="2"/>
        <v>177260</v>
      </c>
      <c r="K12" s="110">
        <f t="shared" si="3"/>
        <v>1885</v>
      </c>
      <c r="L12" s="109"/>
    </row>
    <row r="13" spans="2:18" x14ac:dyDescent="0.2">
      <c r="B13" s="131">
        <v>5</v>
      </c>
      <c r="D13" s="3" t="s">
        <v>16</v>
      </c>
      <c r="E13" s="114">
        <v>1058874</v>
      </c>
      <c r="F13" s="139">
        <f t="shared" si="0"/>
        <v>6.2511770318477225E-2</v>
      </c>
      <c r="G13" s="112">
        <f t="shared" si="1"/>
        <v>1055902.9178416471</v>
      </c>
      <c r="H13" s="118">
        <f>H$42</f>
        <v>3.9109999999999992E-2</v>
      </c>
      <c r="I13" s="110">
        <f t="shared" si="2"/>
        <v>41296</v>
      </c>
      <c r="K13" s="110">
        <f t="shared" si="3"/>
        <v>439</v>
      </c>
      <c r="L13" s="109"/>
    </row>
    <row r="14" spans="2:18" x14ac:dyDescent="0.2">
      <c r="B14" s="131">
        <v>6</v>
      </c>
      <c r="D14" s="3" t="s">
        <v>15</v>
      </c>
      <c r="E14" s="114">
        <v>520778</v>
      </c>
      <c r="F14" s="139">
        <f t="shared" si="0"/>
        <v>3.0744691741336486E-2</v>
      </c>
      <c r="G14" s="112">
        <f t="shared" si="1"/>
        <v>519316.75510753616</v>
      </c>
      <c r="H14" s="118">
        <f>H$43</f>
        <v>2.9489999999999999E-2</v>
      </c>
      <c r="I14" s="110">
        <f t="shared" si="2"/>
        <v>15315</v>
      </c>
      <c r="K14" s="110">
        <f t="shared" si="3"/>
        <v>163</v>
      </c>
      <c r="L14" s="109"/>
    </row>
    <row r="15" spans="2:18" x14ac:dyDescent="0.2">
      <c r="B15" s="131">
        <v>7</v>
      </c>
      <c r="D15" s="3" t="s">
        <v>21</v>
      </c>
      <c r="E15" s="114">
        <v>0</v>
      </c>
      <c r="F15" s="139">
        <f t="shared" si="0"/>
        <v>0</v>
      </c>
      <c r="G15" s="112">
        <f t="shared" si="1"/>
        <v>0</v>
      </c>
      <c r="H15" s="118">
        <f>H$44</f>
        <v>2.3839999999999997E-2</v>
      </c>
      <c r="I15" s="110">
        <f t="shared" si="2"/>
        <v>0</v>
      </c>
      <c r="K15" s="110">
        <f t="shared" si="3"/>
        <v>0</v>
      </c>
      <c r="L15" s="109"/>
    </row>
    <row r="16" spans="2:18" x14ac:dyDescent="0.2">
      <c r="B16" s="131">
        <v>8</v>
      </c>
      <c r="D16" s="3" t="s">
        <v>52</v>
      </c>
      <c r="E16" s="122">
        <f>SUM(E12:E15)</f>
        <v>4628680</v>
      </c>
      <c r="F16" s="142"/>
      <c r="G16" s="122">
        <f>SUM(G12:G15)</f>
        <v>4615692.440984739</v>
      </c>
      <c r="H16" s="109"/>
      <c r="I16" s="119">
        <f>SUM(I12:I15)</f>
        <v>233871</v>
      </c>
      <c r="K16" s="119">
        <f>SUM(K12:K15)</f>
        <v>2487</v>
      </c>
      <c r="L16" s="109">
        <f>L35</f>
        <v>5.2999999999999998E-4</v>
      </c>
      <c r="M16" s="115">
        <f>G16*L16</f>
        <v>2446.3169937219118</v>
      </c>
      <c r="O16" s="32"/>
    </row>
    <row r="17" spans="2:18" ht="15" x14ac:dyDescent="0.25">
      <c r="B17" s="131">
        <v>9</v>
      </c>
      <c r="D17" s="3" t="s">
        <v>0</v>
      </c>
      <c r="E17" s="121">
        <f>SUM(E10:E11,E16)</f>
        <v>16938794</v>
      </c>
      <c r="F17" s="138">
        <f>SUM(F10:F15)</f>
        <v>1</v>
      </c>
      <c r="G17" s="120">
        <v>16891265.63625</v>
      </c>
      <c r="H17" s="109"/>
      <c r="I17" s="119">
        <f>SUM(I10:I15)</f>
        <v>1752592</v>
      </c>
      <c r="J17" s="21">
        <f>Rates!I19</f>
        <v>17259.9566502579</v>
      </c>
      <c r="K17" s="119">
        <f>SUM(K10:K15)</f>
        <v>18639</v>
      </c>
      <c r="M17" s="105">
        <f>SUM(M10:M16)</f>
        <v>18616.081059153301</v>
      </c>
      <c r="N17" s="12">
        <f>M17-J17</f>
        <v>1356.1244088954008</v>
      </c>
    </row>
    <row r="18" spans="2:18" ht="15" x14ac:dyDescent="0.25">
      <c r="B18" s="131"/>
      <c r="E18" s="107"/>
      <c r="F18" s="107"/>
      <c r="G18" s="87"/>
      <c r="H18" s="109"/>
    </row>
    <row r="19" spans="2:18" ht="15" x14ac:dyDescent="0.25">
      <c r="B19" s="131">
        <v>10</v>
      </c>
      <c r="C19" s="3" t="s">
        <v>54</v>
      </c>
      <c r="E19" s="107"/>
      <c r="F19" s="107"/>
      <c r="G19" s="87"/>
      <c r="H19" s="109"/>
      <c r="L19" s="6"/>
    </row>
    <row r="20" spans="2:18" x14ac:dyDescent="0.2">
      <c r="B20" s="131">
        <v>11</v>
      </c>
      <c r="D20" s="3" t="s">
        <v>19</v>
      </c>
      <c r="E20" s="114">
        <v>1500000</v>
      </c>
      <c r="F20" s="139">
        <f t="shared" ref="F20:F25" si="4">+E20/$E$26</f>
        <v>6.3524636505677454E-2</v>
      </c>
      <c r="G20" s="112">
        <f t="shared" ref="G20:G25" si="5">+F20*$G$26</f>
        <v>1396651.2626410851</v>
      </c>
      <c r="H20" s="118">
        <f>H$39</f>
        <v>0.14391000000000001</v>
      </c>
      <c r="I20" s="110">
        <f t="shared" ref="I20:I25" si="6">ROUND(G20*H20,0)</f>
        <v>200992</v>
      </c>
      <c r="K20" s="110">
        <f t="shared" ref="K20:K25" si="7">ROUND(I20*$J$48,0)</f>
        <v>2138</v>
      </c>
      <c r="L20" s="109">
        <f t="shared" ref="L20:L25" si="8">L39</f>
        <v>1.5299999999999999E-3</v>
      </c>
      <c r="M20" s="110">
        <f t="shared" ref="M20:M25" si="9">G20*L20</f>
        <v>2136.8764318408598</v>
      </c>
    </row>
    <row r="21" spans="2:18" x14ac:dyDescent="0.2">
      <c r="B21" s="131">
        <v>12</v>
      </c>
      <c r="D21" s="3" t="s">
        <v>18</v>
      </c>
      <c r="E21" s="114">
        <v>1443919</v>
      </c>
      <c r="F21" s="139">
        <f t="shared" si="4"/>
        <v>6.1149619745760851E-2</v>
      </c>
      <c r="G21" s="112">
        <f t="shared" si="5"/>
        <v>1344434.196334302</v>
      </c>
      <c r="H21" s="118">
        <f>H$40</f>
        <v>8.8870000000000005E-2</v>
      </c>
      <c r="I21" s="110">
        <f t="shared" si="6"/>
        <v>119480</v>
      </c>
      <c r="K21" s="110">
        <f t="shared" si="7"/>
        <v>1271</v>
      </c>
      <c r="L21" s="109">
        <f t="shared" si="8"/>
        <v>9.5E-4</v>
      </c>
      <c r="M21" s="110">
        <f t="shared" si="9"/>
        <v>1277.212486517587</v>
      </c>
    </row>
    <row r="22" spans="2:18" x14ac:dyDescent="0.2">
      <c r="B22" s="131">
        <v>13</v>
      </c>
      <c r="D22" s="3" t="s">
        <v>17</v>
      </c>
      <c r="E22" s="114">
        <v>2690857</v>
      </c>
      <c r="F22" s="139">
        <f t="shared" si="4"/>
        <v>0.11395714187583847</v>
      </c>
      <c r="G22" s="112">
        <f t="shared" si="5"/>
        <v>2505459.2177577345</v>
      </c>
      <c r="H22" s="118">
        <f>H$41</f>
        <v>5.8299999999999998E-2</v>
      </c>
      <c r="I22" s="110">
        <f t="shared" si="6"/>
        <v>146068</v>
      </c>
      <c r="K22" s="110">
        <f t="shared" si="7"/>
        <v>1554</v>
      </c>
      <c r="L22" s="109">
        <f t="shared" si="8"/>
        <v>6.2E-4</v>
      </c>
      <c r="M22" s="110">
        <f t="shared" si="9"/>
        <v>1553.3847150097954</v>
      </c>
    </row>
    <row r="23" spans="2:18" x14ac:dyDescent="0.2">
      <c r="B23" s="131">
        <v>14</v>
      </c>
      <c r="D23" s="3" t="s">
        <v>16</v>
      </c>
      <c r="E23" s="114">
        <v>3214778</v>
      </c>
      <c r="F23" s="139">
        <f t="shared" si="4"/>
        <v>0.13614506926429917</v>
      </c>
      <c r="G23" s="112">
        <f t="shared" si="5"/>
        <v>2993282.501873855</v>
      </c>
      <c r="H23" s="118">
        <f>H$42</f>
        <v>3.9109999999999992E-2</v>
      </c>
      <c r="I23" s="110">
        <f t="shared" si="6"/>
        <v>117067</v>
      </c>
      <c r="K23" s="110">
        <f t="shared" si="7"/>
        <v>1245</v>
      </c>
      <c r="L23" s="109">
        <f t="shared" si="8"/>
        <v>4.2000000000000002E-4</v>
      </c>
      <c r="M23" s="110">
        <f t="shared" si="9"/>
        <v>1257.1786507870193</v>
      </c>
    </row>
    <row r="24" spans="2:18" x14ac:dyDescent="0.2">
      <c r="B24" s="131">
        <v>15</v>
      </c>
      <c r="D24" s="3" t="s">
        <v>15</v>
      </c>
      <c r="E24" s="114">
        <v>3891562</v>
      </c>
      <c r="F24" s="139">
        <f t="shared" si="4"/>
        <v>0.16480670765953809</v>
      </c>
      <c r="G24" s="112">
        <f t="shared" si="5"/>
        <v>3623436.6539640436</v>
      </c>
      <c r="H24" s="118">
        <f>H$43</f>
        <v>2.9489999999999999E-2</v>
      </c>
      <c r="I24" s="110">
        <f t="shared" si="6"/>
        <v>106855</v>
      </c>
      <c r="K24" s="110">
        <f t="shared" si="7"/>
        <v>1136</v>
      </c>
      <c r="L24" s="109">
        <f t="shared" si="8"/>
        <v>3.1E-4</v>
      </c>
      <c r="M24" s="110">
        <f t="shared" si="9"/>
        <v>1123.2653627288535</v>
      </c>
    </row>
    <row r="25" spans="2:18" x14ac:dyDescent="0.2">
      <c r="B25" s="131">
        <v>16</v>
      </c>
      <c r="D25" s="3" t="s">
        <v>21</v>
      </c>
      <c r="E25" s="113">
        <v>10871770</v>
      </c>
      <c r="F25" s="141">
        <f t="shared" si="4"/>
        <v>0.46041682494888597</v>
      </c>
      <c r="G25" s="112">
        <f t="shared" si="5"/>
        <v>10122714.198428979</v>
      </c>
      <c r="H25" s="118">
        <f>H$44</f>
        <v>2.3839999999999997E-2</v>
      </c>
      <c r="I25" s="110">
        <f t="shared" si="6"/>
        <v>241326</v>
      </c>
      <c r="K25" s="110">
        <f t="shared" si="7"/>
        <v>2567</v>
      </c>
      <c r="L25" s="109">
        <f t="shared" si="8"/>
        <v>2.5000000000000001E-4</v>
      </c>
      <c r="M25" s="110">
        <f t="shared" si="9"/>
        <v>2530.6785496072448</v>
      </c>
    </row>
    <row r="26" spans="2:18" ht="15" x14ac:dyDescent="0.25">
      <c r="B26" s="131">
        <v>17</v>
      </c>
      <c r="D26" s="3" t="s">
        <v>0</v>
      </c>
      <c r="E26" s="107">
        <f>SUM(E20:E25)</f>
        <v>23612886</v>
      </c>
      <c r="F26" s="140">
        <f>SUM(F20:F25)</f>
        <v>1</v>
      </c>
      <c r="G26" s="106">
        <v>21985978.030999999</v>
      </c>
      <c r="H26" s="109"/>
      <c r="I26" s="105">
        <f>SUM(I20:I25)</f>
        <v>931788</v>
      </c>
      <c r="J26" s="21">
        <f>Rates!I30</f>
        <v>11310.950282881575</v>
      </c>
      <c r="K26" s="105">
        <f>SUM(K20:K25)</f>
        <v>9911</v>
      </c>
      <c r="M26" s="105">
        <f>SUM(M20:M25)</f>
        <v>9878.5961964913604</v>
      </c>
      <c r="N26" s="12">
        <f>M26-J26</f>
        <v>-1432.3540863902144</v>
      </c>
    </row>
    <row r="27" spans="2:18" ht="15" x14ac:dyDescent="0.25">
      <c r="B27" s="131"/>
      <c r="E27" s="107"/>
      <c r="F27" s="107"/>
      <c r="G27" s="30"/>
      <c r="H27" s="109"/>
      <c r="I27" s="13"/>
      <c r="J27" s="28"/>
      <c r="K27" s="13"/>
      <c r="M27" s="13"/>
    </row>
    <row r="28" spans="2:18" ht="15" x14ac:dyDescent="0.25">
      <c r="B28" s="131">
        <f>B26+1</f>
        <v>18</v>
      </c>
      <c r="C28" s="3" t="s">
        <v>53</v>
      </c>
      <c r="E28" s="107"/>
      <c r="F28" s="107"/>
      <c r="G28" s="30"/>
      <c r="H28" s="109"/>
      <c r="I28" s="13"/>
      <c r="J28" s="28"/>
      <c r="K28" s="13"/>
      <c r="M28" s="13"/>
    </row>
    <row r="29" spans="2:18" x14ac:dyDescent="0.2">
      <c r="B29" s="131">
        <f t="shared" ref="B29:B36" si="10">B28+1</f>
        <v>19</v>
      </c>
      <c r="D29" s="3" t="s">
        <v>19</v>
      </c>
      <c r="E29" s="114">
        <v>28194664</v>
      </c>
      <c r="F29" s="139">
        <f t="shared" ref="F29:F34" si="11">+E29/$E$36</f>
        <v>0.36256573888981242</v>
      </c>
      <c r="G29" s="112">
        <f t="shared" ref="G29:G34" si="12">+F29*$G$36</f>
        <v>28339709.210610524</v>
      </c>
      <c r="H29" s="118">
        <f>H$39</f>
        <v>0.14391000000000001</v>
      </c>
      <c r="I29" s="110">
        <f t="shared" ref="I29:I34" si="13">ROUND(G29*H29,0)</f>
        <v>4078368</v>
      </c>
      <c r="J29" s="28"/>
      <c r="K29" s="110">
        <f t="shared" ref="K29:K34" si="14">ROUND(I29*$J$48,0)</f>
        <v>43375</v>
      </c>
      <c r="L29" s="109">
        <f>L39</f>
        <v>1.5299999999999999E-3</v>
      </c>
      <c r="M29" s="110">
        <f>G29*L29</f>
        <v>43359.755092234096</v>
      </c>
    </row>
    <row r="30" spans="2:18" x14ac:dyDescent="0.2">
      <c r="B30" s="131">
        <f t="shared" si="10"/>
        <v>20</v>
      </c>
      <c r="D30" s="3" t="s">
        <v>18</v>
      </c>
      <c r="E30" s="114">
        <v>19052725</v>
      </c>
      <c r="F30" s="139">
        <f t="shared" si="11"/>
        <v>0.24500612305539093</v>
      </c>
      <c r="G30" s="112">
        <f t="shared" si="12"/>
        <v>19150740.231191594</v>
      </c>
      <c r="H30" s="118">
        <f>H$40</f>
        <v>8.8870000000000005E-2</v>
      </c>
      <c r="I30" s="110">
        <f t="shared" si="13"/>
        <v>1701926</v>
      </c>
      <c r="J30" s="28"/>
      <c r="K30" s="110">
        <f t="shared" si="14"/>
        <v>18101</v>
      </c>
      <c r="L30" s="109">
        <f>L40</f>
        <v>9.5E-4</v>
      </c>
      <c r="M30" s="110">
        <f>G30*L30</f>
        <v>18193.203219632014</v>
      </c>
      <c r="R30" s="16"/>
    </row>
    <row r="31" spans="2:18" x14ac:dyDescent="0.2">
      <c r="B31" s="131">
        <f t="shared" si="10"/>
        <v>21</v>
      </c>
      <c r="D31" s="3" t="s">
        <v>17</v>
      </c>
      <c r="E31" s="114">
        <v>18101788</v>
      </c>
      <c r="F31" s="139">
        <f t="shared" si="11"/>
        <v>0.23277766819447607</v>
      </c>
      <c r="G31" s="112">
        <f t="shared" si="12"/>
        <v>18194911.211288739</v>
      </c>
      <c r="H31" s="118">
        <f>H$41</f>
        <v>5.8299999999999998E-2</v>
      </c>
      <c r="I31" s="110">
        <f t="shared" si="13"/>
        <v>1060763</v>
      </c>
      <c r="J31" s="28"/>
      <c r="K31" s="110">
        <f t="shared" si="14"/>
        <v>11282</v>
      </c>
      <c r="M31" s="13"/>
      <c r="R31" s="16"/>
    </row>
    <row r="32" spans="2:18" x14ac:dyDescent="0.2">
      <c r="B32" s="131">
        <f t="shared" si="10"/>
        <v>22</v>
      </c>
      <c r="D32" s="3" t="s">
        <v>16</v>
      </c>
      <c r="E32" s="114">
        <v>9685417</v>
      </c>
      <c r="F32" s="139">
        <f t="shared" si="11"/>
        <v>0.12454840288435252</v>
      </c>
      <c r="G32" s="112">
        <f t="shared" si="12"/>
        <v>9735242.8588439208</v>
      </c>
      <c r="H32" s="118">
        <f>H$42</f>
        <v>3.9109999999999992E-2</v>
      </c>
      <c r="I32" s="110">
        <f t="shared" si="13"/>
        <v>380745</v>
      </c>
      <c r="J32" s="28"/>
      <c r="K32" s="110">
        <f t="shared" si="14"/>
        <v>4049</v>
      </c>
      <c r="M32" s="13"/>
      <c r="R32" s="16"/>
    </row>
    <row r="33" spans="2:18" x14ac:dyDescent="0.2">
      <c r="B33" s="131">
        <f t="shared" si="10"/>
        <v>23</v>
      </c>
      <c r="D33" s="3" t="s">
        <v>15</v>
      </c>
      <c r="E33" s="114">
        <v>2676731</v>
      </c>
      <c r="F33" s="139">
        <f t="shared" si="11"/>
        <v>3.4421085948187449E-2</v>
      </c>
      <c r="G33" s="112">
        <f t="shared" si="12"/>
        <v>2690501.230127329</v>
      </c>
      <c r="H33" s="118">
        <f>H$43</f>
        <v>2.9489999999999999E-2</v>
      </c>
      <c r="I33" s="110">
        <f t="shared" si="13"/>
        <v>79343</v>
      </c>
      <c r="J33" s="28"/>
      <c r="K33" s="110">
        <f t="shared" si="14"/>
        <v>844</v>
      </c>
      <c r="M33" s="13"/>
      <c r="R33" s="16"/>
    </row>
    <row r="34" spans="2:18" x14ac:dyDescent="0.2">
      <c r="B34" s="131">
        <f t="shared" si="10"/>
        <v>24</v>
      </c>
      <c r="D34" s="3" t="s">
        <v>21</v>
      </c>
      <c r="E34" s="114">
        <v>52956</v>
      </c>
      <c r="F34" s="139">
        <f t="shared" si="11"/>
        <v>6.8098102778060788E-4</v>
      </c>
      <c r="G34" s="112">
        <f t="shared" si="12"/>
        <v>53228.427937892462</v>
      </c>
      <c r="H34" s="118">
        <f>H$44</f>
        <v>2.3839999999999997E-2</v>
      </c>
      <c r="I34" s="110">
        <f t="shared" si="13"/>
        <v>1269</v>
      </c>
      <c r="J34" s="28"/>
      <c r="K34" s="110">
        <f t="shared" si="14"/>
        <v>13</v>
      </c>
      <c r="M34" s="13"/>
      <c r="R34" s="16"/>
    </row>
    <row r="35" spans="2:18" ht="15" x14ac:dyDescent="0.25">
      <c r="B35" s="131">
        <f t="shared" si="10"/>
        <v>25</v>
      </c>
      <c r="D35" s="3" t="s">
        <v>52</v>
      </c>
      <c r="E35" s="117">
        <f>SUM(E31:E34)</f>
        <v>30516892</v>
      </c>
      <c r="F35" s="143"/>
      <c r="G35" s="117">
        <f>SUM(G31:G34)</f>
        <v>30673883.728197876</v>
      </c>
      <c r="H35" s="109"/>
      <c r="I35" s="116">
        <f>SUM(I31:I34)</f>
        <v>1522120</v>
      </c>
      <c r="K35" s="116">
        <f>SUM(K31:K34)</f>
        <v>16188</v>
      </c>
      <c r="L35" s="109">
        <f>ROUND((K35+K16)/(G35+G16),5)</f>
        <v>5.2999999999999998E-4</v>
      </c>
      <c r="M35" s="115">
        <f>G35*L35</f>
        <v>16257.158375944873</v>
      </c>
      <c r="R35" s="16"/>
    </row>
    <row r="36" spans="2:18" ht="15" x14ac:dyDescent="0.25">
      <c r="B36" s="131">
        <f t="shared" si="10"/>
        <v>26</v>
      </c>
      <c r="D36" s="3" t="s">
        <v>0</v>
      </c>
      <c r="E36" s="107">
        <f>SUM(E29:E30,E35)</f>
        <v>77764281</v>
      </c>
      <c r="F36" s="140">
        <f>SUM(F29:F34)</f>
        <v>1</v>
      </c>
      <c r="G36" s="106">
        <v>78164333.170000002</v>
      </c>
      <c r="H36" s="109"/>
      <c r="I36" s="13">
        <f>SUM(I29:I34)</f>
        <v>7302414</v>
      </c>
      <c r="J36" s="21">
        <f>Rates!I36</f>
        <v>74964.174588417256</v>
      </c>
      <c r="K36" s="13">
        <f>SUM(K29:K34)</f>
        <v>77664</v>
      </c>
      <c r="M36" s="105">
        <f>SUM(M29:M35)</f>
        <v>77810.11668781098</v>
      </c>
      <c r="N36" s="12">
        <f>M36-J36</f>
        <v>2845.9420993937238</v>
      </c>
      <c r="R36" s="16"/>
    </row>
    <row r="37" spans="2:18" ht="15" x14ac:dyDescent="0.25">
      <c r="B37" s="131"/>
      <c r="E37" s="107"/>
      <c r="F37" s="107"/>
      <c r="G37" s="30"/>
      <c r="H37" s="109"/>
      <c r="I37" s="13"/>
      <c r="J37" s="28"/>
      <c r="K37" s="13"/>
      <c r="M37" s="13"/>
    </row>
    <row r="38" spans="2:18" ht="15" x14ac:dyDescent="0.25">
      <c r="B38" s="131">
        <f>B36+1</f>
        <v>27</v>
      </c>
      <c r="C38" s="3" t="s">
        <v>51</v>
      </c>
      <c r="E38" s="107"/>
      <c r="F38" s="107"/>
      <c r="G38" s="30"/>
      <c r="H38" s="109"/>
      <c r="I38" s="110"/>
      <c r="J38" s="28"/>
      <c r="K38" s="13"/>
      <c r="M38" s="13"/>
    </row>
    <row r="39" spans="2:18" x14ac:dyDescent="0.2">
      <c r="B39" s="131">
        <f t="shared" ref="B39:B45" si="15">B38+1</f>
        <v>28</v>
      </c>
      <c r="D39" s="3" t="s">
        <v>19</v>
      </c>
      <c r="E39" s="114">
        <v>3000000</v>
      </c>
      <c r="F39" s="144">
        <f t="shared" ref="F39:F44" si="16">+E39/$E$45</f>
        <v>2.9569160768867567E-2</v>
      </c>
      <c r="G39" s="112">
        <f t="shared" ref="G39:G44" si="17">+F39*$G$45</f>
        <v>2968439.3566968865</v>
      </c>
      <c r="H39" s="111">
        <f>0.1391+0.00294+0.00117+0.0007</f>
        <v>0.14391000000000001</v>
      </c>
      <c r="I39" s="110">
        <f t="shared" ref="I39:I44" si="18">ROUND(G39*H39,0)</f>
        <v>427188</v>
      </c>
      <c r="J39" s="28"/>
      <c r="K39" s="110">
        <f t="shared" ref="K39:K44" si="19">ROUND(I39*$J$48,0)</f>
        <v>4543</v>
      </c>
      <c r="L39" s="109">
        <f t="shared" ref="L39:L44" si="20">ROUND(K39/G39,5)</f>
        <v>1.5299999999999999E-3</v>
      </c>
      <c r="M39" s="110">
        <f t="shared" ref="M39:M44" si="21">G39*L39</f>
        <v>4541.7122157462363</v>
      </c>
      <c r="P39" s="32"/>
    </row>
    <row r="40" spans="2:18" x14ac:dyDescent="0.2">
      <c r="B40" s="131">
        <f t="shared" si="15"/>
        <v>29</v>
      </c>
      <c r="D40" s="3" t="s">
        <v>18</v>
      </c>
      <c r="E40" s="114">
        <v>3000000</v>
      </c>
      <c r="F40" s="144">
        <f t="shared" si="16"/>
        <v>2.9569160768867567E-2</v>
      </c>
      <c r="G40" s="112">
        <f t="shared" si="17"/>
        <v>2968439.3566968865</v>
      </c>
      <c r="H40" s="111">
        <f>0.08406+0.00294+0.00117+0.0007</f>
        <v>8.8870000000000005E-2</v>
      </c>
      <c r="I40" s="110">
        <f t="shared" si="18"/>
        <v>263805</v>
      </c>
      <c r="J40" s="28"/>
      <c r="K40" s="110">
        <f t="shared" si="19"/>
        <v>2806</v>
      </c>
      <c r="L40" s="109">
        <f t="shared" si="20"/>
        <v>9.5E-4</v>
      </c>
      <c r="M40" s="110">
        <f t="shared" si="21"/>
        <v>2820.017388862042</v>
      </c>
      <c r="P40" s="32"/>
    </row>
    <row r="41" spans="2:18" x14ac:dyDescent="0.2">
      <c r="B41" s="131">
        <f t="shared" si="15"/>
        <v>30</v>
      </c>
      <c r="D41" s="3" t="s">
        <v>17</v>
      </c>
      <c r="E41" s="114">
        <v>6000000</v>
      </c>
      <c r="F41" s="144">
        <f t="shared" si="16"/>
        <v>5.9138321537735135E-2</v>
      </c>
      <c r="G41" s="112">
        <f t="shared" si="17"/>
        <v>5936878.713393773</v>
      </c>
      <c r="H41" s="111">
        <f>0.05349+0.00294+0.00117+0.0007</f>
        <v>5.8299999999999998E-2</v>
      </c>
      <c r="I41" s="110">
        <f t="shared" si="18"/>
        <v>346120</v>
      </c>
      <c r="J41" s="28"/>
      <c r="K41" s="110">
        <f t="shared" si="19"/>
        <v>3681</v>
      </c>
      <c r="L41" s="109">
        <f t="shared" si="20"/>
        <v>6.2E-4</v>
      </c>
      <c r="M41" s="110">
        <f t="shared" si="21"/>
        <v>3680.8648023041392</v>
      </c>
      <c r="P41" s="32"/>
    </row>
    <row r="42" spans="2:18" x14ac:dyDescent="0.2">
      <c r="B42" s="131">
        <f t="shared" si="15"/>
        <v>31</v>
      </c>
      <c r="D42" s="3" t="s">
        <v>16</v>
      </c>
      <c r="E42" s="114">
        <v>11641115</v>
      </c>
      <c r="F42" s="144">
        <f t="shared" si="16"/>
        <v>0.11473933365462527</v>
      </c>
      <c r="G42" s="112">
        <f t="shared" si="17"/>
        <v>11518647.973944826</v>
      </c>
      <c r="H42" s="111">
        <f>0.0343+0.00294+0.00117+0.0007</f>
        <v>3.9109999999999992E-2</v>
      </c>
      <c r="I42" s="110">
        <f t="shared" si="18"/>
        <v>450494</v>
      </c>
      <c r="J42" s="28"/>
      <c r="K42" s="110">
        <f t="shared" si="19"/>
        <v>4791</v>
      </c>
      <c r="L42" s="109">
        <f t="shared" si="20"/>
        <v>4.2000000000000002E-4</v>
      </c>
      <c r="M42" s="110">
        <f t="shared" si="21"/>
        <v>4837.8321490568269</v>
      </c>
      <c r="P42" s="32"/>
    </row>
    <row r="43" spans="2:18" x14ac:dyDescent="0.2">
      <c r="B43" s="131">
        <f t="shared" si="15"/>
        <v>32</v>
      </c>
      <c r="D43" s="3" t="s">
        <v>15</v>
      </c>
      <c r="E43" s="114">
        <v>26062996</v>
      </c>
      <c r="F43" s="144">
        <f t="shared" si="16"/>
        <v>0.25688697294745078</v>
      </c>
      <c r="G43" s="112">
        <f t="shared" si="17"/>
        <v>25788807.693277843</v>
      </c>
      <c r="H43" s="111">
        <f>0.02468+0.00294+0.00117+0.0007</f>
        <v>2.9489999999999999E-2</v>
      </c>
      <c r="I43" s="110">
        <f t="shared" si="18"/>
        <v>760512</v>
      </c>
      <c r="J43" s="28"/>
      <c r="K43" s="110">
        <f t="shared" si="19"/>
        <v>8088</v>
      </c>
      <c r="L43" s="109">
        <f t="shared" si="20"/>
        <v>3.1E-4</v>
      </c>
      <c r="M43" s="110">
        <f t="shared" si="21"/>
        <v>7994.530384916131</v>
      </c>
      <c r="P43" s="32"/>
    </row>
    <row r="44" spans="2:18" x14ac:dyDescent="0.2">
      <c r="B44" s="131">
        <f t="shared" si="15"/>
        <v>33</v>
      </c>
      <c r="D44" s="3" t="s">
        <v>21</v>
      </c>
      <c r="E44" s="113">
        <v>51752945</v>
      </c>
      <c r="F44" s="145">
        <f t="shared" si="16"/>
        <v>0.51009705032245367</v>
      </c>
      <c r="G44" s="112">
        <f t="shared" si="17"/>
        <v>51208492.920989782</v>
      </c>
      <c r="H44" s="111">
        <f>0.01903+0.00294+0.00117+0.0007</f>
        <v>2.3839999999999997E-2</v>
      </c>
      <c r="I44" s="110">
        <f t="shared" si="18"/>
        <v>1220810</v>
      </c>
      <c r="J44" s="28"/>
      <c r="K44" s="108">
        <f t="shared" si="19"/>
        <v>12984</v>
      </c>
      <c r="L44" s="109">
        <f t="shared" si="20"/>
        <v>2.5000000000000001E-4</v>
      </c>
      <c r="M44" s="108">
        <f t="shared" si="21"/>
        <v>12802.123230247445</v>
      </c>
      <c r="P44" s="32"/>
    </row>
    <row r="45" spans="2:18" ht="15" x14ac:dyDescent="0.25">
      <c r="B45" s="131">
        <f t="shared" si="15"/>
        <v>34</v>
      </c>
      <c r="D45" s="3" t="s">
        <v>0</v>
      </c>
      <c r="E45" s="107">
        <f>SUM(E39:E44)</f>
        <v>101457056</v>
      </c>
      <c r="F45" s="140">
        <f>SUM(F39:F44)</f>
        <v>1</v>
      </c>
      <c r="G45" s="106">
        <v>100389706.015</v>
      </c>
      <c r="H45" s="32"/>
      <c r="I45" s="105">
        <f>SUM(I39:I44)</f>
        <v>3468929</v>
      </c>
      <c r="J45" s="21">
        <f>Rates!I45</f>
        <v>39573.126997658823</v>
      </c>
      <c r="K45" s="105">
        <f>SUM(K39:K44)</f>
        <v>36893</v>
      </c>
      <c r="M45" s="13">
        <f>SUM(M39:M44)</f>
        <v>36677.080171132824</v>
      </c>
      <c r="N45" s="12">
        <f>M45-J45</f>
        <v>-2896.0468265259988</v>
      </c>
    </row>
    <row r="46" spans="2:18" ht="15" x14ac:dyDescent="0.25">
      <c r="B46" s="131"/>
      <c r="E46" s="103"/>
      <c r="F46" s="103"/>
      <c r="G46" s="30"/>
      <c r="I46" s="13"/>
      <c r="J46" s="104"/>
      <c r="K46" s="13"/>
      <c r="M46" s="13"/>
    </row>
    <row r="47" spans="2:18" ht="15" x14ac:dyDescent="0.25">
      <c r="B47" s="131"/>
      <c r="C47" s="3" t="s">
        <v>0</v>
      </c>
      <c r="E47" s="103">
        <f>E17+E26+E36+E45</f>
        <v>219773017</v>
      </c>
      <c r="F47" s="103"/>
      <c r="G47" s="103">
        <f>G17+G26+G36+G45</f>
        <v>217431282.85224998</v>
      </c>
      <c r="I47" s="13">
        <f>I17+I26+I36+I45</f>
        <v>13455723</v>
      </c>
      <c r="J47" s="13">
        <f>J17+J26+J36+J45</f>
        <v>143108.20851921555</v>
      </c>
      <c r="K47" s="13">
        <f>K17+K26+K36+K45</f>
        <v>143107</v>
      </c>
      <c r="M47" s="13">
        <f>M17+M26+M36+M45</f>
        <v>142981.87411458849</v>
      </c>
      <c r="N47" s="102">
        <f>M47-J47</f>
        <v>-126.33440462706494</v>
      </c>
    </row>
    <row r="48" spans="2:18" ht="15" x14ac:dyDescent="0.25">
      <c r="B48" s="131"/>
      <c r="C48" s="3" t="s">
        <v>50</v>
      </c>
      <c r="E48" s="1"/>
      <c r="F48" s="1"/>
      <c r="G48" s="30"/>
      <c r="I48" s="13"/>
      <c r="J48" s="101">
        <f>J47/I47</f>
        <v>1.0635490082488734E-2</v>
      </c>
      <c r="K48" s="13"/>
      <c r="M48" s="13"/>
      <c r="N48" s="100">
        <f>N47/K47</f>
        <v>-8.8279682074996293E-4</v>
      </c>
    </row>
    <row r="49" spans="2:18" ht="15" x14ac:dyDescent="0.25">
      <c r="B49" s="131"/>
      <c r="E49" s="1"/>
      <c r="F49" s="1"/>
      <c r="G49" s="30"/>
      <c r="I49" s="13"/>
      <c r="J49" s="101"/>
      <c r="K49" s="13"/>
      <c r="M49" s="13"/>
      <c r="N49" s="100"/>
    </row>
    <row r="50" spans="2:18" x14ac:dyDescent="0.2">
      <c r="B50" s="131"/>
    </row>
    <row r="51" spans="2:18" s="6" customFormat="1" ht="12.75" customHeight="1" x14ac:dyDescent="0.2">
      <c r="B51" s="135" t="s">
        <v>33</v>
      </c>
      <c r="C51" s="65" t="s">
        <v>102</v>
      </c>
      <c r="R51" s="16"/>
    </row>
    <row r="52" spans="2:18" s="6" customFormat="1" ht="12.75" customHeight="1" x14ac:dyDescent="0.2">
      <c r="B52" s="136" t="s">
        <v>32</v>
      </c>
      <c r="C52" s="65" t="s">
        <v>103</v>
      </c>
      <c r="D52" s="69"/>
      <c r="E52" s="69"/>
      <c r="F52" s="69"/>
      <c r="G52" s="69"/>
      <c r="H52" s="69"/>
      <c r="I52" s="69"/>
      <c r="J52" s="69"/>
      <c r="K52" s="69"/>
      <c r="L52" s="69"/>
      <c r="M52" s="69"/>
      <c r="R52" s="16"/>
    </row>
    <row r="53" spans="2:18" s="6" customFormat="1" ht="12.75" customHeight="1" x14ac:dyDescent="0.2">
      <c r="B53" s="135" t="s">
        <v>31</v>
      </c>
      <c r="C53" s="70" t="s">
        <v>105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R53" s="16"/>
    </row>
    <row r="54" spans="2:18" ht="13.5" thickBot="1" x14ac:dyDescent="0.25"/>
    <row r="55" spans="2:18" x14ac:dyDescent="0.2">
      <c r="G55" s="99" t="s">
        <v>14</v>
      </c>
    </row>
    <row r="56" spans="2:18" x14ac:dyDescent="0.2">
      <c r="G56" s="98">
        <f>G17-SUM(G10:G15)</f>
        <v>0</v>
      </c>
    </row>
    <row r="57" spans="2:18" x14ac:dyDescent="0.2">
      <c r="G57" s="98">
        <f>G26-SUM(G20:G25)</f>
        <v>0</v>
      </c>
    </row>
    <row r="58" spans="2:18" x14ac:dyDescent="0.2">
      <c r="G58" s="98">
        <f>G36-SUM(G29:G34)</f>
        <v>0</v>
      </c>
    </row>
    <row r="59" spans="2:18" ht="13.5" thickBot="1" x14ac:dyDescent="0.25">
      <c r="G59" s="97">
        <f>G45-SUM(G39:G44)</f>
        <v>0</v>
      </c>
    </row>
    <row r="63" spans="2:18" x14ac:dyDescent="0.2">
      <c r="I63" s="11"/>
      <c r="J63" s="11"/>
    </row>
    <row r="64" spans="2:18" x14ac:dyDescent="0.2">
      <c r="G64" s="11"/>
    </row>
    <row r="68" spans="7:10" x14ac:dyDescent="0.2">
      <c r="G68" s="11"/>
    </row>
    <row r="70" spans="7:10" x14ac:dyDescent="0.2">
      <c r="J70" s="11"/>
    </row>
    <row r="72" spans="7:10" x14ac:dyDescent="0.2">
      <c r="J72" s="11"/>
    </row>
  </sheetData>
  <mergeCells count="5">
    <mergeCell ref="C8:D8"/>
    <mergeCell ref="B1:N1"/>
    <mergeCell ref="B2:N2"/>
    <mergeCell ref="B3:N3"/>
    <mergeCell ref="B4:N4"/>
  </mergeCells>
  <printOptions horizontalCentered="1"/>
  <pageMargins left="0.75" right="0.75" top="1" bottom="1" header="0.5" footer="0.5"/>
  <pageSetup scale="67" orientation="landscape" blackAndWhite="1" horizontalDpi="300" verticalDpi="300" r:id="rId1"/>
  <headerFooter alignWithMargins="0">
    <oddFooter>&amp;L&amp;F 
&amp;A&amp;C&amp;P&amp;R&amp;D</oddFooter>
  </headerFooter>
  <rowBreaks count="1" manualBreakCount="1">
    <brk id="53" min="1" max="13" man="1"/>
  </rowBreaks>
  <colBreaks count="1" manualBreakCount="1">
    <brk id="13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81"/>
  <sheetViews>
    <sheetView zoomScaleNormal="100" workbookViewId="0">
      <selection activeCell="H45" sqref="H45"/>
    </sheetView>
  </sheetViews>
  <sheetFormatPr defaultColWidth="8.85546875" defaultRowHeight="12.75" x14ac:dyDescent="0.2"/>
  <cols>
    <col min="1" max="1" width="3.140625" style="3" customWidth="1"/>
    <col min="2" max="2" width="4.5703125" style="3" customWidth="1"/>
    <col min="3" max="3" width="24.140625" style="3" customWidth="1"/>
    <col min="4" max="4" width="9" style="3" bestFit="1" customWidth="1"/>
    <col min="5" max="6" width="13.85546875" style="3" customWidth="1"/>
    <col min="7" max="10" width="13.5703125" style="3" customWidth="1"/>
    <col min="11" max="11" width="13.85546875" style="3" customWidth="1"/>
    <col min="12" max="12" width="13.85546875" style="6" customWidth="1"/>
    <col min="13" max="20" width="9.140625" style="3" customWidth="1"/>
    <col min="21" max="16384" width="8.85546875" style="3"/>
  </cols>
  <sheetData>
    <row r="1" spans="2:17" ht="15" customHeight="1" x14ac:dyDescent="0.2">
      <c r="C1" s="377" t="s">
        <v>13</v>
      </c>
      <c r="D1" s="377"/>
      <c r="E1" s="377"/>
      <c r="F1" s="377"/>
      <c r="G1" s="377"/>
      <c r="H1" s="377"/>
      <c r="I1" s="377"/>
      <c r="J1" s="377"/>
      <c r="K1" s="377"/>
      <c r="L1" s="377"/>
      <c r="M1" s="151"/>
      <c r="N1" s="41"/>
      <c r="O1" s="96"/>
      <c r="P1" s="96"/>
      <c r="Q1" s="96"/>
    </row>
    <row r="2" spans="2:17" ht="15" customHeight="1" x14ac:dyDescent="0.2">
      <c r="C2" s="377" t="s">
        <v>121</v>
      </c>
      <c r="D2" s="377"/>
      <c r="E2" s="377"/>
      <c r="F2" s="377"/>
      <c r="G2" s="377"/>
      <c r="H2" s="377"/>
      <c r="I2" s="377"/>
      <c r="J2" s="377"/>
      <c r="K2" s="377"/>
      <c r="L2" s="377"/>
      <c r="M2" s="151"/>
      <c r="N2" s="41"/>
      <c r="O2" s="96"/>
      <c r="P2" s="96"/>
      <c r="Q2" s="96"/>
    </row>
    <row r="3" spans="2:17" ht="15" customHeight="1" x14ac:dyDescent="0.2">
      <c r="C3" s="378" t="s">
        <v>101</v>
      </c>
      <c r="D3" s="378"/>
      <c r="E3" s="378"/>
      <c r="F3" s="378"/>
      <c r="G3" s="378"/>
      <c r="H3" s="378"/>
      <c r="I3" s="378"/>
      <c r="J3" s="378"/>
      <c r="K3" s="378"/>
      <c r="L3" s="378"/>
      <c r="M3" s="152"/>
      <c r="N3" s="41"/>
      <c r="O3" s="96"/>
      <c r="P3" s="96"/>
      <c r="Q3" s="96"/>
    </row>
    <row r="5" spans="2:17" x14ac:dyDescent="0.2">
      <c r="G5" s="33"/>
      <c r="J5" s="6"/>
      <c r="L5" s="3"/>
    </row>
    <row r="6" spans="2:17" x14ac:dyDescent="0.2">
      <c r="E6" s="40" t="s">
        <v>106</v>
      </c>
      <c r="F6" s="33" t="str">
        <f>$E$6</f>
        <v>UG-180283</v>
      </c>
      <c r="G6" s="134" t="str">
        <f>$E$6</f>
        <v>UG-180283</v>
      </c>
      <c r="H6" s="134" t="s">
        <v>109</v>
      </c>
      <c r="I6" s="134" t="s">
        <v>9</v>
      </c>
      <c r="J6" s="33" t="s">
        <v>0</v>
      </c>
      <c r="K6" s="95">
        <v>2017</v>
      </c>
      <c r="L6" s="39">
        <f>+K6</f>
        <v>2017</v>
      </c>
      <c r="M6" s="39"/>
    </row>
    <row r="7" spans="2:17" x14ac:dyDescent="0.2">
      <c r="D7" s="22" t="s">
        <v>12</v>
      </c>
      <c r="E7" s="38" t="s">
        <v>11</v>
      </c>
      <c r="F7" s="38" t="s">
        <v>108</v>
      </c>
      <c r="G7" s="39" t="s">
        <v>48</v>
      </c>
      <c r="H7" s="94" t="s">
        <v>110</v>
      </c>
      <c r="I7" s="94" t="s">
        <v>49</v>
      </c>
      <c r="J7" s="39" t="s">
        <v>48</v>
      </c>
      <c r="K7" s="38" t="s">
        <v>11</v>
      </c>
      <c r="L7" s="38" t="s">
        <v>40</v>
      </c>
      <c r="M7" s="38"/>
    </row>
    <row r="8" spans="2:17" ht="14.25" x14ac:dyDescent="0.2">
      <c r="B8" s="132" t="s">
        <v>39</v>
      </c>
      <c r="C8" s="36" t="s">
        <v>8</v>
      </c>
      <c r="D8" s="36" t="s">
        <v>7</v>
      </c>
      <c r="E8" s="93" t="s">
        <v>94</v>
      </c>
      <c r="F8" s="93" t="s">
        <v>111</v>
      </c>
      <c r="G8" s="132" t="s">
        <v>46</v>
      </c>
      <c r="H8" s="93" t="s">
        <v>112</v>
      </c>
      <c r="I8" s="93" t="s">
        <v>113</v>
      </c>
      <c r="J8" s="36" t="s">
        <v>46</v>
      </c>
      <c r="K8" s="93" t="s">
        <v>114</v>
      </c>
      <c r="L8" s="93" t="s">
        <v>115</v>
      </c>
      <c r="M8" s="94"/>
    </row>
    <row r="9" spans="2:17" ht="15" x14ac:dyDescent="0.25">
      <c r="B9" s="133">
        <v>1</v>
      </c>
      <c r="C9" s="66" t="s">
        <v>5</v>
      </c>
      <c r="D9" s="22" t="s">
        <v>26</v>
      </c>
      <c r="E9" s="34">
        <v>577531400.48799992</v>
      </c>
      <c r="F9" s="90">
        <v>299349526.67167699</v>
      </c>
      <c r="G9" s="75">
        <f>F9/E9</f>
        <v>0.51832597572830497</v>
      </c>
      <c r="H9" s="149">
        <v>2.4479999999999998E-2</v>
      </c>
      <c r="I9" s="149">
        <v>6.2399999999999999E-3</v>
      </c>
      <c r="J9" s="75">
        <f>SUM(G9:I9)</f>
        <v>0.54904597572830494</v>
      </c>
      <c r="K9" s="35">
        <v>603673441.19423795</v>
      </c>
      <c r="L9" s="85">
        <f>J9*K9</f>
        <v>331444473.54175389</v>
      </c>
      <c r="M9" s="14"/>
      <c r="P9" s="73"/>
    </row>
    <row r="10" spans="2:17" x14ac:dyDescent="0.2">
      <c r="B10" s="133"/>
      <c r="C10" s="66"/>
      <c r="D10" s="22"/>
      <c r="E10" s="34"/>
      <c r="F10" s="90"/>
      <c r="H10" s="149"/>
      <c r="I10" s="149"/>
      <c r="K10" s="87"/>
      <c r="L10" s="3"/>
      <c r="M10" s="4"/>
    </row>
    <row r="11" spans="2:17" x14ac:dyDescent="0.2">
      <c r="B11" s="133">
        <f>B9+1</f>
        <v>2</v>
      </c>
      <c r="C11" s="91" t="s">
        <v>25</v>
      </c>
      <c r="D11" s="22"/>
      <c r="E11" s="34"/>
      <c r="F11" s="90"/>
      <c r="H11" s="149"/>
      <c r="I11" s="149"/>
      <c r="K11" s="87"/>
      <c r="L11" s="3"/>
      <c r="M11" s="4"/>
    </row>
    <row r="12" spans="2:17" ht="15" x14ac:dyDescent="0.25">
      <c r="B12" s="133">
        <f t="shared" ref="B12:B27" si="0">B11+1</f>
        <v>3</v>
      </c>
      <c r="C12" s="92" t="s">
        <v>45</v>
      </c>
      <c r="D12" s="33" t="s">
        <v>36</v>
      </c>
      <c r="E12" s="30">
        <v>214587104.22299999</v>
      </c>
      <c r="F12" s="90">
        <v>87006528.950000003</v>
      </c>
      <c r="G12" s="75">
        <f>F12/E12</f>
        <v>0.40546019419499868</v>
      </c>
      <c r="H12" s="149">
        <v>2.6370000000000001E-2</v>
      </c>
      <c r="I12" s="149">
        <v>5.7600000000000004E-3</v>
      </c>
      <c r="J12" s="75">
        <f>SUM(G12:I12)</f>
        <v>0.43759019419499867</v>
      </c>
      <c r="K12" s="30">
        <v>230485261.86521026</v>
      </c>
      <c r="L12" s="85">
        <f>J12*K12</f>
        <v>100858090.49868248</v>
      </c>
      <c r="M12" s="14"/>
      <c r="P12" s="73"/>
    </row>
    <row r="13" spans="2:17" x14ac:dyDescent="0.2">
      <c r="B13" s="133"/>
      <c r="C13" s="91"/>
      <c r="D13" s="38"/>
      <c r="E13" s="30"/>
      <c r="F13" s="90"/>
      <c r="H13" s="149"/>
      <c r="I13" s="149"/>
      <c r="K13" s="87"/>
      <c r="L13" s="85"/>
      <c r="M13" s="14"/>
    </row>
    <row r="14" spans="2:17" ht="15" x14ac:dyDescent="0.25">
      <c r="B14" s="133">
        <f>B12+1</f>
        <v>4</v>
      </c>
      <c r="C14" s="66" t="s">
        <v>24</v>
      </c>
      <c r="D14" s="22" t="s">
        <v>35</v>
      </c>
      <c r="E14" s="34">
        <v>83692776.103</v>
      </c>
      <c r="F14" s="90">
        <v>18193306.05245477</v>
      </c>
      <c r="G14" s="75">
        <f>F14/E14</f>
        <v>0.21738203581709872</v>
      </c>
      <c r="H14" s="149">
        <v>9.1199999999999996E-3</v>
      </c>
      <c r="I14" s="149">
        <v>3.0599999999999998E-3</v>
      </c>
      <c r="J14" s="75">
        <f>SUM(G14:I14)</f>
        <v>0.22956203581709872</v>
      </c>
      <c r="K14" s="30">
        <v>86999883.164108917</v>
      </c>
      <c r="L14" s="85">
        <f>J14*K14</f>
        <v>19971870.295002576</v>
      </c>
      <c r="M14" s="14"/>
      <c r="P14" s="73"/>
    </row>
    <row r="15" spans="2:17" x14ac:dyDescent="0.2">
      <c r="B15" s="133"/>
      <c r="C15" s="66"/>
      <c r="D15" s="22"/>
      <c r="E15" s="34"/>
      <c r="F15" s="90"/>
      <c r="G15" s="75"/>
      <c r="H15" s="149"/>
      <c r="I15" s="149"/>
      <c r="J15" s="75"/>
      <c r="K15" s="25"/>
      <c r="L15" s="85"/>
      <c r="M15" s="14"/>
    </row>
    <row r="16" spans="2:17" ht="15" x14ac:dyDescent="0.25">
      <c r="B16" s="133">
        <f>B14+1</f>
        <v>5</v>
      </c>
      <c r="C16" s="66" t="s">
        <v>44</v>
      </c>
      <c r="D16" s="33" t="s">
        <v>34</v>
      </c>
      <c r="E16" s="82">
        <v>10298663.83</v>
      </c>
      <c r="F16" s="90">
        <v>2186532.87</v>
      </c>
      <c r="G16" s="75">
        <f>F16/E16</f>
        <v>0.21231228692314741</v>
      </c>
      <c r="H16" s="149">
        <v>8.5299999999999994E-3</v>
      </c>
      <c r="I16" s="149">
        <v>3.16E-3</v>
      </c>
      <c r="J16" s="75">
        <f>SUM(G16:I16)</f>
        <v>0.22400228692314741</v>
      </c>
      <c r="K16" s="30">
        <v>10257597.918875773</v>
      </c>
      <c r="L16" s="85">
        <f>J16*K16</f>
        <v>2297725.3921662904</v>
      </c>
      <c r="M16" s="14"/>
      <c r="P16" s="73"/>
    </row>
    <row r="17" spans="2:23" x14ac:dyDescent="0.2">
      <c r="B17" s="133"/>
      <c r="C17" s="66"/>
      <c r="D17" s="22"/>
      <c r="E17" s="30"/>
      <c r="F17" s="90"/>
      <c r="H17" s="149"/>
      <c r="I17" s="149"/>
      <c r="K17" s="87"/>
      <c r="L17" s="85"/>
      <c r="M17" s="14"/>
    </row>
    <row r="18" spans="2:23" x14ac:dyDescent="0.2">
      <c r="B18" s="133">
        <f>B16+1</f>
        <v>6</v>
      </c>
      <c r="C18" s="66" t="s">
        <v>4</v>
      </c>
      <c r="D18" s="22"/>
      <c r="E18" s="6"/>
      <c r="F18" s="6"/>
      <c r="H18" s="149"/>
      <c r="I18" s="149"/>
      <c r="K18" s="87"/>
      <c r="L18" s="85"/>
      <c r="M18" s="14"/>
    </row>
    <row r="19" spans="2:23" ht="15" x14ac:dyDescent="0.25">
      <c r="B19" s="133">
        <f t="shared" si="0"/>
        <v>7</v>
      </c>
      <c r="C19" s="86" t="s">
        <v>4</v>
      </c>
      <c r="D19" s="22">
        <v>85</v>
      </c>
      <c r="E19" s="82">
        <v>17139795.438999999</v>
      </c>
      <c r="F19" s="90">
        <v>1690709.47</v>
      </c>
      <c r="G19" s="75">
        <f>F19/E19</f>
        <v>9.864233654463278E-2</v>
      </c>
      <c r="H19" s="149">
        <v>4.4099999999999999E-3</v>
      </c>
      <c r="I19" s="149">
        <v>1.34E-3</v>
      </c>
      <c r="J19" s="75">
        <f>SUM(G19:I19)</f>
        <v>0.10439233654463277</v>
      </c>
      <c r="K19" s="30">
        <v>16891265.63625</v>
      </c>
      <c r="L19" s="85">
        <f>J19*K19</f>
        <v>1763318.6869642006</v>
      </c>
      <c r="M19" s="14"/>
      <c r="P19" s="73"/>
    </row>
    <row r="20" spans="2:23" ht="15" x14ac:dyDescent="0.25">
      <c r="B20" s="133">
        <f t="shared" si="0"/>
        <v>8</v>
      </c>
      <c r="C20" s="84" t="s">
        <v>43</v>
      </c>
      <c r="D20" s="39">
        <v>87</v>
      </c>
      <c r="E20" s="82">
        <v>23311381.287999999</v>
      </c>
      <c r="F20" s="57">
        <v>1129405.5499999998</v>
      </c>
      <c r="G20" s="75">
        <f>F20/E20</f>
        <v>4.8448675608140992E-2</v>
      </c>
      <c r="H20" s="150">
        <v>2.9399999999999999E-3</v>
      </c>
      <c r="I20" s="150">
        <v>1.17E-3</v>
      </c>
      <c r="J20" s="75">
        <f>SUM(G20:I20)</f>
        <v>5.2558675608140988E-2</v>
      </c>
      <c r="K20" s="30">
        <v>21985978.030999999</v>
      </c>
      <c r="L20" s="85">
        <f>J20*K20</f>
        <v>1155553.8872590433</v>
      </c>
      <c r="M20" s="14"/>
      <c r="P20" s="73"/>
    </row>
    <row r="21" spans="2:23" ht="15" x14ac:dyDescent="0.25">
      <c r="B21" s="133">
        <f t="shared" si="0"/>
        <v>9</v>
      </c>
      <c r="C21" s="84" t="s">
        <v>1</v>
      </c>
      <c r="D21" s="39"/>
      <c r="E21" s="89">
        <f t="shared" ref="E21" si="1">SUM(E19:E20)</f>
        <v>40451176.726999998</v>
      </c>
      <c r="F21" s="76">
        <f t="shared" ref="F21" si="2">SUM(F19:F20)</f>
        <v>2820115.0199999996</v>
      </c>
      <c r="G21" s="75"/>
      <c r="H21" s="150"/>
      <c r="I21" s="150"/>
      <c r="J21" s="75"/>
      <c r="K21" s="89">
        <f>SUM(K19:K20)</f>
        <v>38877243.66725</v>
      </c>
      <c r="L21" s="18">
        <f>SUM(L19:L20)</f>
        <v>2918872.5742232436</v>
      </c>
      <c r="M21" s="14"/>
      <c r="P21" s="73"/>
    </row>
    <row r="22" spans="2:23" x14ac:dyDescent="0.2">
      <c r="B22" s="133"/>
      <c r="C22" s="84"/>
      <c r="D22" s="39"/>
      <c r="E22" s="5"/>
      <c r="F22" s="56"/>
      <c r="G22" s="75"/>
      <c r="H22" s="150"/>
      <c r="I22" s="150"/>
      <c r="J22" s="75"/>
      <c r="K22" s="5"/>
      <c r="L22" s="14"/>
      <c r="M22" s="14"/>
    </row>
    <row r="23" spans="2:23" x14ac:dyDescent="0.2">
      <c r="B23" s="133">
        <f>B21+1</f>
        <v>10</v>
      </c>
      <c r="C23" s="77" t="s">
        <v>22</v>
      </c>
      <c r="D23" s="39"/>
      <c r="E23" s="88"/>
      <c r="F23" s="57"/>
      <c r="H23" s="150"/>
      <c r="I23" s="150"/>
      <c r="K23" s="87"/>
      <c r="L23" s="85"/>
      <c r="M23" s="14"/>
    </row>
    <row r="24" spans="2:23" ht="15" x14ac:dyDescent="0.25">
      <c r="B24" s="133">
        <f t="shared" si="0"/>
        <v>11</v>
      </c>
      <c r="C24" s="86" t="s">
        <v>4</v>
      </c>
      <c r="D24" s="83" t="s">
        <v>3</v>
      </c>
      <c r="E24" s="82">
        <v>79480065.260000005</v>
      </c>
      <c r="F24" s="57">
        <v>7330425.0899999999</v>
      </c>
      <c r="G24" s="75">
        <f t="shared" ref="G24:G25" si="3">F24/E24</f>
        <v>9.2229731644284246E-2</v>
      </c>
      <c r="H24" s="150">
        <v>4.4099999999999999E-3</v>
      </c>
      <c r="I24" s="150">
        <v>1.34E-3</v>
      </c>
      <c r="J24" s="75">
        <f t="shared" ref="J24:J25" si="4">SUM(G24:I24)</f>
        <v>9.7979731644284238E-2</v>
      </c>
      <c r="K24" s="30">
        <v>78164333.170000002</v>
      </c>
      <c r="L24" s="85">
        <f>J24*K24</f>
        <v>7658520.3881510254</v>
      </c>
      <c r="M24" s="14"/>
      <c r="P24" s="73"/>
    </row>
    <row r="25" spans="2:23" ht="15" x14ac:dyDescent="0.25">
      <c r="B25" s="133">
        <f t="shared" si="0"/>
        <v>12</v>
      </c>
      <c r="C25" s="84" t="s">
        <v>43</v>
      </c>
      <c r="D25" s="83" t="s">
        <v>2</v>
      </c>
      <c r="E25" s="82">
        <v>99276638.950000003</v>
      </c>
      <c r="F25" s="57">
        <v>3590033.5100000002</v>
      </c>
      <c r="G25" s="75">
        <f t="shared" si="3"/>
        <v>3.6161916317574934E-2</v>
      </c>
      <c r="H25" s="150">
        <v>2.9399999999999999E-3</v>
      </c>
      <c r="I25" s="150">
        <v>1.17E-3</v>
      </c>
      <c r="J25" s="75">
        <f t="shared" si="4"/>
        <v>4.027191631757493E-2</v>
      </c>
      <c r="K25" s="30">
        <v>100389706.015</v>
      </c>
      <c r="L25" s="81">
        <f>J25*K25</f>
        <v>4042885.8397820285</v>
      </c>
      <c r="M25" s="14"/>
      <c r="P25" s="73"/>
    </row>
    <row r="26" spans="2:23" ht="15" x14ac:dyDescent="0.25">
      <c r="B26" s="133">
        <f t="shared" si="0"/>
        <v>13</v>
      </c>
      <c r="C26" s="77" t="s">
        <v>42</v>
      </c>
      <c r="D26" s="39"/>
      <c r="E26" s="80">
        <f t="shared" ref="E26" si="5">SUM(E24:E25)</f>
        <v>178756704.21000001</v>
      </c>
      <c r="F26" s="79">
        <f t="shared" ref="F26" si="6">SUM(F24:F25)</f>
        <v>10920458.6</v>
      </c>
      <c r="G26" s="75"/>
      <c r="H26" s="146"/>
      <c r="J26" s="75"/>
      <c r="K26" s="80">
        <f>SUM(K24:K25)</f>
        <v>178554039.185</v>
      </c>
      <c r="L26" s="78">
        <f>SUM(L24:L25)</f>
        <v>11701406.227933053</v>
      </c>
      <c r="M26" s="148"/>
      <c r="P26" s="73"/>
    </row>
    <row r="27" spans="2:23" ht="15" x14ac:dyDescent="0.25">
      <c r="B27" s="133">
        <f t="shared" si="0"/>
        <v>14</v>
      </c>
      <c r="C27" s="77" t="s">
        <v>0</v>
      </c>
      <c r="D27" s="77"/>
      <c r="E27" s="19">
        <f t="shared" ref="E27" si="7">E9+E12+E14+E16+E21+E26</f>
        <v>1105317825.5810001</v>
      </c>
      <c r="F27" s="18">
        <f t="shared" ref="F27" si="8">F9+F12+F14+F16+F21+F26</f>
        <v>420476468.16413176</v>
      </c>
      <c r="G27" s="75"/>
      <c r="H27" s="147"/>
      <c r="J27" s="75"/>
      <c r="K27" s="74">
        <f>K9+K12+K14+K16+K21+K26</f>
        <v>1148847466.994683</v>
      </c>
      <c r="L27" s="18">
        <f>L9+L12+L14+L16+L21+L26</f>
        <v>469192438.52976155</v>
      </c>
      <c r="M27" s="14"/>
      <c r="P27" s="73"/>
    </row>
    <row r="28" spans="2:23" x14ac:dyDescent="0.2">
      <c r="C28" s="66"/>
      <c r="D28" s="66"/>
      <c r="E28" s="72"/>
      <c r="F28" s="71"/>
      <c r="G28" s="71"/>
      <c r="H28" s="71"/>
      <c r="K28" s="6"/>
      <c r="L28" s="3"/>
      <c r="M28" s="4"/>
    </row>
    <row r="29" spans="2:23" x14ac:dyDescent="0.2">
      <c r="C29" s="66"/>
      <c r="D29" s="66"/>
      <c r="E29" s="72"/>
      <c r="F29" s="71"/>
      <c r="G29" s="71"/>
      <c r="H29" s="71"/>
      <c r="I29" s="71"/>
      <c r="M29" s="4"/>
    </row>
    <row r="30" spans="2:23" s="6" customFormat="1" x14ac:dyDescent="0.2">
      <c r="B30" s="70" t="s">
        <v>107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R30" s="16"/>
      <c r="S30" s="16"/>
      <c r="T30" s="16"/>
      <c r="U30" s="16"/>
      <c r="V30" s="16"/>
      <c r="W30" s="16"/>
    </row>
    <row r="31" spans="2:23" s="6" customFormat="1" x14ac:dyDescent="0.2">
      <c r="B31" s="64" t="s">
        <v>116</v>
      </c>
      <c r="D31" s="69"/>
      <c r="E31" s="69"/>
      <c r="F31" s="69"/>
      <c r="G31" s="69"/>
      <c r="H31" s="47"/>
      <c r="I31" s="69"/>
      <c r="J31" s="69"/>
      <c r="K31" s="69"/>
      <c r="L31" s="69"/>
      <c r="M31" s="69"/>
      <c r="N31" s="69"/>
      <c r="R31" s="16"/>
      <c r="S31" s="16"/>
      <c r="T31" s="16"/>
      <c r="U31" s="16"/>
      <c r="V31" s="16"/>
      <c r="W31" s="16"/>
    </row>
    <row r="32" spans="2:23" s="6" customFormat="1" x14ac:dyDescent="0.2">
      <c r="B32" s="64" t="s">
        <v>118</v>
      </c>
      <c r="D32" s="69"/>
      <c r="E32" s="69"/>
      <c r="F32" s="69"/>
      <c r="G32" s="69"/>
      <c r="H32" s="47"/>
      <c r="I32" s="69"/>
      <c r="J32" s="69"/>
      <c r="K32" s="69"/>
      <c r="L32" s="69"/>
      <c r="M32" s="69"/>
      <c r="N32" s="69"/>
      <c r="R32" s="16"/>
      <c r="S32" s="16"/>
      <c r="T32" s="16"/>
      <c r="U32" s="16"/>
      <c r="V32" s="16"/>
      <c r="W32" s="16"/>
    </row>
    <row r="33" spans="2:23" s="6" customFormat="1" x14ac:dyDescent="0.2">
      <c r="B33" s="64" t="s">
        <v>117</v>
      </c>
      <c r="D33" s="69"/>
      <c r="E33" s="69"/>
      <c r="F33" s="69"/>
      <c r="G33" s="69"/>
      <c r="H33" s="47"/>
      <c r="I33" s="69"/>
      <c r="J33" s="69"/>
      <c r="K33" s="69"/>
      <c r="L33" s="69"/>
      <c r="M33" s="69"/>
      <c r="N33" s="69"/>
      <c r="R33" s="16"/>
      <c r="S33" s="16"/>
      <c r="T33" s="16"/>
      <c r="U33" s="16"/>
      <c r="V33" s="16"/>
      <c r="W33" s="16"/>
    </row>
    <row r="34" spans="2:23" x14ac:dyDescent="0.2">
      <c r="B34" s="65" t="s">
        <v>119</v>
      </c>
      <c r="D34" s="68"/>
      <c r="E34" s="38"/>
      <c r="F34" s="38"/>
      <c r="G34" s="38"/>
      <c r="H34" s="38"/>
      <c r="I34" s="38"/>
      <c r="J34" s="39"/>
      <c r="K34" s="66"/>
      <c r="L34" s="67"/>
      <c r="M34" s="66"/>
      <c r="N34" s="66"/>
      <c r="R34" s="4"/>
      <c r="S34" s="4"/>
      <c r="T34" s="4"/>
      <c r="U34" s="4"/>
      <c r="V34" s="4"/>
      <c r="W34" s="4"/>
    </row>
    <row r="35" spans="2:23" s="58" customFormat="1" x14ac:dyDescent="0.2">
      <c r="B35" s="65" t="s">
        <v>120</v>
      </c>
      <c r="D35" s="64"/>
      <c r="E35" s="64"/>
      <c r="F35" s="64"/>
      <c r="G35" s="64"/>
      <c r="H35" s="47"/>
      <c r="I35" s="63"/>
      <c r="J35" s="63"/>
      <c r="K35" s="63"/>
      <c r="L35" s="64"/>
      <c r="M35" s="63"/>
      <c r="N35" s="63"/>
      <c r="R35" s="60"/>
      <c r="S35" s="60"/>
      <c r="T35" s="60"/>
      <c r="U35" s="60"/>
      <c r="V35" s="60"/>
      <c r="W35" s="60"/>
    </row>
    <row r="36" spans="2:23" s="58" customFormat="1" x14ac:dyDescent="0.2">
      <c r="C36" s="64"/>
      <c r="D36" s="63"/>
      <c r="E36" s="63"/>
      <c r="F36" s="63"/>
      <c r="G36" s="63"/>
      <c r="H36" s="47"/>
      <c r="I36" s="63"/>
      <c r="J36" s="63"/>
      <c r="K36" s="63"/>
      <c r="L36" s="64"/>
      <c r="M36" s="63"/>
      <c r="N36" s="63"/>
      <c r="R36" s="60"/>
      <c r="S36" s="60"/>
      <c r="T36" s="60"/>
      <c r="U36" s="60"/>
      <c r="V36" s="60"/>
      <c r="W36" s="60"/>
    </row>
    <row r="37" spans="2:23" s="58" customFormat="1" x14ac:dyDescent="0.2">
      <c r="C37" s="64"/>
      <c r="D37" s="63"/>
      <c r="E37" s="63"/>
      <c r="F37" s="63"/>
      <c r="G37" s="63"/>
      <c r="H37" s="47"/>
      <c r="I37" s="63"/>
      <c r="J37" s="63"/>
      <c r="K37" s="63"/>
      <c r="L37" s="64"/>
      <c r="M37" s="63"/>
      <c r="N37" s="63"/>
      <c r="R37" s="60"/>
      <c r="S37" s="60"/>
      <c r="T37" s="60"/>
      <c r="U37" s="60"/>
      <c r="V37" s="60"/>
      <c r="W37" s="60"/>
    </row>
    <row r="38" spans="2:23" s="58" customFormat="1" x14ac:dyDescent="0.2">
      <c r="C38" s="64"/>
      <c r="D38" s="63"/>
      <c r="E38" s="63"/>
      <c r="F38" s="63"/>
      <c r="G38" s="63"/>
      <c r="H38" s="47"/>
      <c r="I38" s="63"/>
      <c r="J38" s="63"/>
      <c r="K38" s="63"/>
      <c r="L38" s="64"/>
      <c r="M38" s="63"/>
      <c r="N38" s="63"/>
      <c r="R38" s="60"/>
      <c r="S38" s="60"/>
      <c r="T38" s="60"/>
      <c r="U38" s="60"/>
      <c r="V38" s="60"/>
      <c r="W38" s="60"/>
    </row>
    <row r="39" spans="2:23" s="58" customFormat="1" x14ac:dyDescent="0.2">
      <c r="C39" s="64"/>
      <c r="D39" s="63"/>
      <c r="E39" s="63"/>
      <c r="F39" s="63"/>
      <c r="G39" s="63"/>
      <c r="H39" s="47"/>
      <c r="I39" s="63"/>
      <c r="J39" s="63"/>
      <c r="K39" s="63"/>
      <c r="L39" s="64"/>
      <c r="M39" s="63"/>
      <c r="N39" s="63"/>
      <c r="R39" s="60"/>
      <c r="S39" s="60"/>
      <c r="T39" s="60"/>
      <c r="U39" s="60"/>
      <c r="V39" s="60"/>
      <c r="W39" s="60"/>
    </row>
    <row r="40" spans="2:23" s="58" customFormat="1" x14ac:dyDescent="0.2"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0"/>
      <c r="P40" s="60"/>
      <c r="Q40" s="60"/>
      <c r="R40" s="59"/>
      <c r="S40" s="60"/>
      <c r="T40" s="60"/>
      <c r="U40" s="60"/>
      <c r="V40" s="60"/>
      <c r="W40" s="60"/>
    </row>
    <row r="41" spans="2:23" s="58" customFormat="1" x14ac:dyDescent="0.2"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60"/>
      <c r="P41" s="60"/>
      <c r="Q41" s="59"/>
      <c r="R41" s="59"/>
      <c r="S41" s="60"/>
      <c r="T41" s="60"/>
      <c r="U41" s="60"/>
      <c r="V41" s="60"/>
      <c r="W41" s="60"/>
    </row>
    <row r="42" spans="2:23" s="58" customFormat="1" x14ac:dyDescent="0.2"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60"/>
      <c r="P42" s="60"/>
      <c r="Q42" s="61"/>
      <c r="R42" s="59"/>
      <c r="S42" s="60"/>
      <c r="T42" s="60"/>
      <c r="U42" s="60"/>
      <c r="V42" s="60"/>
      <c r="W42" s="60"/>
    </row>
    <row r="43" spans="2:23" s="58" customFormat="1" x14ac:dyDescent="0.2"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60"/>
      <c r="P43" s="60"/>
      <c r="Q43" s="62"/>
      <c r="R43" s="47"/>
      <c r="S43" s="60"/>
      <c r="T43" s="60"/>
      <c r="U43" s="60"/>
      <c r="V43" s="60"/>
      <c r="W43" s="60"/>
    </row>
    <row r="44" spans="2:23" s="58" customFormat="1" x14ac:dyDescent="0.2"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60"/>
      <c r="P44" s="60"/>
      <c r="Q44" s="62"/>
      <c r="R44" s="59"/>
      <c r="S44" s="60"/>
      <c r="T44" s="60"/>
      <c r="U44" s="60"/>
      <c r="V44" s="60"/>
      <c r="W44" s="60"/>
    </row>
    <row r="45" spans="2:23" s="58" customFormat="1" x14ac:dyDescent="0.2"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60"/>
      <c r="P45" s="60"/>
      <c r="Q45" s="61"/>
      <c r="R45" s="59"/>
      <c r="S45" s="60"/>
      <c r="T45" s="60"/>
      <c r="U45" s="60"/>
      <c r="V45" s="60"/>
      <c r="W45" s="60"/>
    </row>
    <row r="46" spans="2:23" s="58" customFormat="1" x14ac:dyDescent="0.2"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60"/>
      <c r="P46" s="60"/>
      <c r="Q46" s="60"/>
      <c r="R46" s="59"/>
    </row>
    <row r="47" spans="2:23" s="58" customFormat="1" x14ac:dyDescent="0.2"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60"/>
      <c r="P47" s="60"/>
      <c r="Q47" s="60"/>
      <c r="R47" s="59"/>
    </row>
    <row r="48" spans="2:23" x14ac:dyDescent="0.2"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"/>
      <c r="P48" s="4"/>
      <c r="Q48" s="4"/>
      <c r="R48" s="45"/>
    </row>
    <row r="49" spans="5:18" x14ac:dyDescent="0.2"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"/>
      <c r="P49" s="4"/>
      <c r="Q49" s="4"/>
      <c r="R49" s="45"/>
    </row>
    <row r="50" spans="5:18" x14ac:dyDescent="0.2"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"/>
      <c r="P50" s="4"/>
      <c r="Q50" s="4"/>
      <c r="R50" s="45"/>
    </row>
    <row r="51" spans="5:18" x14ac:dyDescent="0.2"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"/>
      <c r="P51" s="4"/>
      <c r="Q51" s="4"/>
      <c r="R51" s="45"/>
    </row>
    <row r="52" spans="5:18" x14ac:dyDescent="0.2"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"/>
      <c r="P52" s="4"/>
      <c r="Q52" s="4"/>
      <c r="R52" s="45"/>
    </row>
    <row r="53" spans="5:18" x14ac:dyDescent="0.2">
      <c r="E53" s="16"/>
      <c r="F53" s="57"/>
      <c r="G53" s="57"/>
      <c r="H53" s="57"/>
      <c r="I53" s="57"/>
      <c r="J53" s="16"/>
      <c r="K53" s="16"/>
      <c r="L53" s="16"/>
      <c r="M53" s="16"/>
      <c r="N53" s="16"/>
      <c r="O53" s="4"/>
      <c r="P53" s="4"/>
      <c r="Q53" s="4"/>
      <c r="R53" s="45"/>
    </row>
    <row r="54" spans="5:18" x14ac:dyDescent="0.2">
      <c r="E54" s="16"/>
      <c r="F54" s="56"/>
      <c r="G54" s="56"/>
      <c r="H54" s="56"/>
      <c r="I54" s="56"/>
      <c r="J54" s="16"/>
      <c r="K54" s="16"/>
      <c r="L54" s="16"/>
      <c r="M54" s="16"/>
      <c r="N54" s="16"/>
      <c r="O54" s="4"/>
      <c r="P54" s="4"/>
      <c r="Q54" s="4"/>
      <c r="R54" s="45"/>
    </row>
    <row r="55" spans="5:18" x14ac:dyDescent="0.2">
      <c r="E55" s="16"/>
      <c r="F55" s="16"/>
      <c r="G55" s="16"/>
      <c r="H55" s="16"/>
      <c r="I55" s="16"/>
      <c r="J55" s="16"/>
      <c r="K55" s="16"/>
      <c r="L55" s="16"/>
      <c r="M55" s="46"/>
      <c r="N55" s="47"/>
      <c r="O55" s="4"/>
      <c r="P55" s="4"/>
      <c r="Q55" s="4"/>
      <c r="R55" s="45"/>
    </row>
    <row r="56" spans="5:18" x14ac:dyDescent="0.2">
      <c r="E56" s="16"/>
      <c r="F56" s="50"/>
      <c r="G56" s="50"/>
      <c r="H56" s="16"/>
      <c r="I56" s="50"/>
      <c r="J56" s="16"/>
      <c r="K56" s="50"/>
      <c r="L56" s="16"/>
      <c r="M56" s="46"/>
      <c r="N56" s="50"/>
      <c r="O56" s="4"/>
      <c r="P56" s="4"/>
      <c r="Q56" s="4"/>
      <c r="R56" s="4"/>
    </row>
    <row r="57" spans="5:18" x14ac:dyDescent="0.2">
      <c r="E57" s="16"/>
      <c r="F57" s="50"/>
      <c r="G57" s="50"/>
      <c r="H57" s="16"/>
      <c r="I57" s="50"/>
      <c r="J57" s="47"/>
      <c r="K57" s="50"/>
      <c r="L57" s="46"/>
      <c r="M57" s="46"/>
      <c r="N57" s="50"/>
      <c r="O57" s="4"/>
      <c r="P57" s="4"/>
      <c r="Q57" s="4"/>
      <c r="R57" s="4"/>
    </row>
    <row r="58" spans="5:18" x14ac:dyDescent="0.2">
      <c r="E58" s="16"/>
      <c r="F58" s="55"/>
      <c r="G58" s="55"/>
      <c r="H58" s="16"/>
      <c r="I58" s="55"/>
      <c r="J58" s="46"/>
      <c r="K58" s="51"/>
      <c r="L58" s="46"/>
      <c r="M58" s="46"/>
      <c r="N58" s="46"/>
      <c r="O58" s="4"/>
      <c r="P58" s="4"/>
      <c r="Q58" s="4"/>
      <c r="R58" s="4"/>
    </row>
    <row r="59" spans="5:18" x14ac:dyDescent="0.2">
      <c r="E59" s="56"/>
      <c r="F59" s="16"/>
      <c r="G59" s="16"/>
      <c r="H59" s="16"/>
      <c r="I59" s="16"/>
      <c r="J59" s="46"/>
      <c r="K59" s="51"/>
      <c r="L59" s="46"/>
      <c r="M59" s="46"/>
      <c r="N59" s="46"/>
      <c r="O59" s="4"/>
      <c r="P59" s="4"/>
      <c r="Q59" s="4"/>
      <c r="R59" s="4"/>
    </row>
    <row r="60" spans="5:18" x14ac:dyDescent="0.2">
      <c r="E60" s="16"/>
      <c r="F60" s="16"/>
      <c r="G60" s="16"/>
      <c r="H60" s="16"/>
      <c r="I60" s="16"/>
      <c r="J60" s="46"/>
      <c r="K60" s="55"/>
      <c r="L60" s="46"/>
      <c r="M60" s="46"/>
      <c r="N60" s="46"/>
      <c r="O60" s="4"/>
      <c r="P60" s="4"/>
      <c r="Q60" s="4"/>
      <c r="R60" s="4"/>
    </row>
    <row r="61" spans="5:18" x14ac:dyDescent="0.2">
      <c r="E61" s="16"/>
      <c r="F61" s="16"/>
      <c r="G61" s="16"/>
      <c r="H61" s="16"/>
      <c r="I61" s="16"/>
      <c r="J61" s="16"/>
      <c r="K61" s="55"/>
      <c r="L61" s="46"/>
      <c r="M61" s="46"/>
      <c r="N61" s="46"/>
      <c r="O61" s="4"/>
      <c r="P61" s="4"/>
      <c r="Q61" s="4"/>
      <c r="R61" s="4"/>
    </row>
    <row r="62" spans="5:18" x14ac:dyDescent="0.2">
      <c r="E62" s="16"/>
      <c r="F62" s="16"/>
      <c r="G62" s="16"/>
      <c r="H62" s="16"/>
      <c r="I62" s="16"/>
      <c r="J62" s="16"/>
      <c r="K62" s="16"/>
      <c r="L62" s="46"/>
      <c r="M62" s="46"/>
      <c r="N62" s="46"/>
      <c r="O62" s="4"/>
      <c r="P62" s="4"/>
      <c r="Q62" s="4"/>
      <c r="R62" s="4"/>
    </row>
    <row r="63" spans="5:18" x14ac:dyDescent="0.2">
      <c r="E63" s="16"/>
      <c r="F63" s="16"/>
      <c r="G63" s="16"/>
      <c r="H63" s="16"/>
      <c r="I63" s="16"/>
      <c r="J63" s="46"/>
      <c r="K63" s="46"/>
      <c r="L63" s="46"/>
      <c r="M63" s="46"/>
      <c r="N63" s="46"/>
      <c r="O63" s="4"/>
      <c r="P63" s="4"/>
      <c r="Q63" s="49"/>
      <c r="R63" s="4"/>
    </row>
    <row r="64" spans="5:18" x14ac:dyDescent="0.2">
      <c r="E64" s="16"/>
      <c r="F64" s="50"/>
      <c r="G64" s="50"/>
      <c r="H64" s="52"/>
      <c r="I64" s="50"/>
      <c r="J64" s="51"/>
      <c r="K64" s="50"/>
      <c r="L64" s="50"/>
      <c r="M64" s="50"/>
      <c r="N64" s="50"/>
      <c r="O64" s="49"/>
      <c r="P64" s="49"/>
      <c r="Q64" s="54"/>
      <c r="R64" s="4"/>
    </row>
    <row r="65" spans="5:18" x14ac:dyDescent="0.2">
      <c r="E65" s="16"/>
      <c r="F65" s="50"/>
      <c r="G65" s="50"/>
      <c r="H65" s="53"/>
      <c r="I65" s="50"/>
      <c r="J65" s="51"/>
      <c r="K65" s="51"/>
      <c r="L65" s="50"/>
      <c r="M65" s="50"/>
      <c r="N65" s="50"/>
      <c r="O65" s="49"/>
      <c r="P65" s="49"/>
      <c r="Q65" s="49"/>
      <c r="R65" s="4"/>
    </row>
    <row r="66" spans="5:18" x14ac:dyDescent="0.2">
      <c r="E66" s="16"/>
      <c r="F66" s="50"/>
      <c r="G66" s="50"/>
      <c r="H66" s="52"/>
      <c r="I66" s="50"/>
      <c r="J66" s="51"/>
      <c r="K66" s="46"/>
      <c r="L66" s="50"/>
      <c r="M66" s="50"/>
      <c r="N66" s="50"/>
      <c r="O66" s="49"/>
      <c r="P66" s="49"/>
      <c r="Q66" s="49"/>
      <c r="R66" s="4"/>
    </row>
    <row r="67" spans="5:18" x14ac:dyDescent="0.2">
      <c r="E67" s="16"/>
      <c r="F67" s="50"/>
      <c r="G67" s="50"/>
      <c r="H67" s="50"/>
      <c r="I67" s="50"/>
      <c r="J67" s="50"/>
      <c r="K67" s="50"/>
      <c r="L67" s="50"/>
      <c r="M67" s="50"/>
      <c r="N67" s="50"/>
      <c r="O67" s="49"/>
      <c r="P67" s="49"/>
      <c r="Q67" s="49"/>
      <c r="R67" s="4"/>
    </row>
    <row r="68" spans="5:18" x14ac:dyDescent="0.2">
      <c r="E68" s="4"/>
      <c r="F68" s="49"/>
      <c r="G68" s="49"/>
      <c r="H68" s="49"/>
      <c r="I68" s="49"/>
      <c r="J68" s="49"/>
      <c r="K68" s="49"/>
      <c r="L68" s="50"/>
      <c r="M68" s="49"/>
      <c r="N68" s="49"/>
      <c r="O68" s="49"/>
      <c r="P68" s="49"/>
      <c r="Q68" s="4"/>
      <c r="R68" s="4"/>
    </row>
    <row r="69" spans="5:18" x14ac:dyDescent="0.2">
      <c r="E69" s="4"/>
      <c r="F69" s="4"/>
      <c r="G69" s="4"/>
      <c r="H69" s="38"/>
      <c r="I69" s="4"/>
      <c r="J69" s="47"/>
      <c r="K69" s="45"/>
      <c r="L69" s="46"/>
      <c r="M69" s="45"/>
      <c r="N69" s="48"/>
      <c r="O69" s="4"/>
      <c r="P69" s="4"/>
      <c r="Q69" s="4"/>
      <c r="R69" s="4"/>
    </row>
    <row r="70" spans="5:18" x14ac:dyDescent="0.2">
      <c r="E70" s="4"/>
      <c r="F70" s="4"/>
      <c r="G70" s="4"/>
      <c r="H70" s="38"/>
      <c r="I70" s="4"/>
      <c r="J70" s="47"/>
      <c r="K70" s="45"/>
      <c r="L70" s="46"/>
      <c r="M70" s="45"/>
      <c r="N70" s="45"/>
      <c r="O70" s="45"/>
      <c r="P70" s="4"/>
      <c r="Q70" s="4"/>
      <c r="R70" s="4"/>
    </row>
    <row r="71" spans="5:18" x14ac:dyDescent="0.2">
      <c r="J71" s="42"/>
      <c r="K71" s="42"/>
      <c r="L71" s="43"/>
      <c r="M71" s="42"/>
      <c r="N71" s="42"/>
      <c r="O71" s="42"/>
    </row>
    <row r="72" spans="5:18" x14ac:dyDescent="0.2">
      <c r="J72" s="42"/>
      <c r="K72" s="42"/>
      <c r="L72" s="43"/>
      <c r="M72" s="42"/>
      <c r="N72" s="42"/>
      <c r="O72" s="42"/>
    </row>
    <row r="73" spans="5:18" x14ac:dyDescent="0.2">
      <c r="J73" s="42"/>
      <c r="K73" s="42"/>
      <c r="L73" s="43"/>
      <c r="M73" s="42"/>
      <c r="N73" s="42"/>
      <c r="O73" s="42"/>
    </row>
    <row r="74" spans="5:18" x14ac:dyDescent="0.2">
      <c r="F74" s="2"/>
      <c r="G74" s="2"/>
      <c r="I74" s="2"/>
      <c r="J74" s="42"/>
      <c r="K74" s="42"/>
      <c r="L74" s="43"/>
      <c r="M74" s="42"/>
      <c r="N74" s="42"/>
      <c r="O74" s="42"/>
    </row>
    <row r="75" spans="5:18" x14ac:dyDescent="0.2">
      <c r="F75" s="44"/>
      <c r="G75" s="44"/>
      <c r="I75" s="44"/>
      <c r="J75" s="42"/>
      <c r="K75" s="42"/>
      <c r="L75" s="43"/>
      <c r="M75" s="42"/>
      <c r="N75" s="42"/>
      <c r="O75" s="42"/>
    </row>
    <row r="76" spans="5:18" x14ac:dyDescent="0.2">
      <c r="F76" s="44"/>
      <c r="G76" s="44"/>
      <c r="I76" s="44"/>
      <c r="J76" s="42"/>
      <c r="K76" s="42"/>
      <c r="L76" s="43"/>
      <c r="M76" s="42"/>
      <c r="N76" s="42"/>
      <c r="O76" s="42"/>
    </row>
    <row r="77" spans="5:18" x14ac:dyDescent="0.2">
      <c r="F77" s="44"/>
      <c r="G77" s="44"/>
      <c r="I77" s="44"/>
      <c r="J77" s="42"/>
      <c r="K77" s="42"/>
      <c r="L77" s="43"/>
      <c r="M77" s="42"/>
      <c r="N77" s="42"/>
      <c r="O77" s="42"/>
    </row>
    <row r="78" spans="5:18" x14ac:dyDescent="0.2">
      <c r="J78" s="42"/>
      <c r="K78" s="42"/>
      <c r="L78" s="43"/>
      <c r="M78" s="42"/>
      <c r="N78" s="42"/>
      <c r="O78" s="42"/>
    </row>
    <row r="79" spans="5:18" x14ac:dyDescent="0.2">
      <c r="J79" s="42"/>
      <c r="K79" s="42"/>
      <c r="L79" s="43"/>
      <c r="M79" s="42"/>
      <c r="N79" s="42"/>
      <c r="O79" s="42"/>
    </row>
    <row r="80" spans="5:18" x14ac:dyDescent="0.2">
      <c r="J80" s="42"/>
      <c r="K80" s="42"/>
      <c r="L80" s="43"/>
      <c r="M80" s="42"/>
      <c r="N80" s="42"/>
      <c r="O80" s="42"/>
    </row>
    <row r="81" spans="10:13" x14ac:dyDescent="0.2">
      <c r="J81" s="42"/>
      <c r="K81" s="42"/>
      <c r="L81" s="43"/>
      <c r="M81" s="42"/>
    </row>
  </sheetData>
  <mergeCells count="3">
    <mergeCell ref="C1:L1"/>
    <mergeCell ref="C2:L2"/>
    <mergeCell ref="C3:L3"/>
  </mergeCells>
  <printOptions horizontalCentered="1"/>
  <pageMargins left="0.5" right="0.5" top="1" bottom="1" header="0.5" footer="0.5"/>
  <pageSetup scale="88" orientation="landscape" blackAndWhite="1" horizontalDpi="300" verticalDpi="300" r:id="rId1"/>
  <headerFooter alignWithMargins="0">
    <oddFooter>&amp;L&amp;F 
&amp;A&amp;C&amp;P&amp;R&amp;D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6"/>
  <sheetViews>
    <sheetView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 activeCell="J21" sqref="J21"/>
    </sheetView>
  </sheetViews>
  <sheetFormatPr defaultRowHeight="12.75" x14ac:dyDescent="0.2"/>
  <cols>
    <col min="1" max="1" width="8.5703125" style="284" customWidth="1"/>
    <col min="2" max="2" width="30.7109375" style="284" customWidth="1"/>
    <col min="3" max="3" width="46.85546875" style="284" customWidth="1"/>
    <col min="4" max="4" width="7.28515625" style="284" bestFit="1" customWidth="1"/>
    <col min="5" max="5" width="7.28515625" style="284" customWidth="1"/>
    <col min="6" max="6" width="12.28515625" style="346" bestFit="1" customWidth="1"/>
    <col min="7" max="7" width="11.85546875" style="346" bestFit="1" customWidth="1"/>
    <col min="8" max="8" width="12.28515625" style="346" bestFit="1" customWidth="1"/>
    <col min="9" max="9" width="11.85546875" style="284" bestFit="1" customWidth="1"/>
    <col min="10" max="10" width="12.28515625" style="284" bestFit="1" customWidth="1"/>
    <col min="11" max="16384" width="9.140625" style="284"/>
  </cols>
  <sheetData>
    <row r="1" spans="1:10" ht="18" x14ac:dyDescent="0.25">
      <c r="A1" s="282" t="s">
        <v>88</v>
      </c>
      <c r="B1" s="283"/>
      <c r="C1" s="283"/>
      <c r="D1" s="283"/>
      <c r="E1" s="283"/>
      <c r="F1" s="283"/>
      <c r="G1" s="283"/>
      <c r="H1" s="283"/>
      <c r="I1" s="283"/>
    </row>
    <row r="2" spans="1:10" ht="18" x14ac:dyDescent="0.25">
      <c r="A2" s="282" t="s">
        <v>87</v>
      </c>
      <c r="B2" s="283"/>
      <c r="C2" s="283"/>
      <c r="D2" s="283"/>
      <c r="E2" s="283"/>
      <c r="F2" s="283"/>
      <c r="G2" s="283"/>
      <c r="H2" s="283"/>
      <c r="I2" s="283"/>
    </row>
    <row r="3" spans="1:10" ht="18" x14ac:dyDescent="0.25">
      <c r="A3" s="282" t="s">
        <v>86</v>
      </c>
      <c r="B3" s="285"/>
      <c r="C3" s="285"/>
      <c r="D3" s="285"/>
      <c r="E3" s="285"/>
      <c r="F3" s="285"/>
      <c r="G3" s="285"/>
      <c r="H3" s="285"/>
      <c r="I3" s="285"/>
    </row>
    <row r="4" spans="1:10" ht="18" x14ac:dyDescent="0.25">
      <c r="A4" s="282" t="s">
        <v>222</v>
      </c>
      <c r="B4" s="285"/>
      <c r="C4" s="285"/>
      <c r="D4" s="285"/>
      <c r="E4" s="285"/>
      <c r="F4" s="285"/>
      <c r="G4" s="285"/>
      <c r="H4" s="285"/>
      <c r="I4" s="285"/>
    </row>
    <row r="5" spans="1:10" s="287" customFormat="1" ht="17.25" customHeight="1" x14ac:dyDescent="0.25">
      <c r="A5" s="286"/>
      <c r="C5" s="288"/>
      <c r="D5" s="289"/>
      <c r="E5" s="290"/>
      <c r="F5" s="291"/>
      <c r="G5" s="292"/>
      <c r="H5" s="292"/>
      <c r="I5" s="292"/>
    </row>
    <row r="6" spans="1:10" ht="39.75" customHeight="1" thickBot="1" x14ac:dyDescent="0.25">
      <c r="A6" s="293" t="s">
        <v>85</v>
      </c>
      <c r="B6" s="294"/>
      <c r="C6" s="295"/>
      <c r="D6" s="296" t="s">
        <v>84</v>
      </c>
      <c r="E6" s="297" t="s">
        <v>83</v>
      </c>
      <c r="F6" s="298" t="s">
        <v>68</v>
      </c>
      <c r="G6" s="298" t="s">
        <v>67</v>
      </c>
      <c r="H6" s="298" t="s">
        <v>66</v>
      </c>
      <c r="I6" s="299" t="s">
        <v>82</v>
      </c>
      <c r="J6" s="300"/>
    </row>
    <row r="7" spans="1:10" x14ac:dyDescent="0.2">
      <c r="A7" s="301" t="s">
        <v>81</v>
      </c>
      <c r="B7" s="302" t="s">
        <v>80</v>
      </c>
      <c r="C7" s="303" t="s">
        <v>79</v>
      </c>
      <c r="D7" s="303" t="s">
        <v>78</v>
      </c>
      <c r="E7" s="304" t="s">
        <v>77</v>
      </c>
      <c r="F7" s="305" t="s">
        <v>76</v>
      </c>
      <c r="G7" s="305" t="s">
        <v>75</v>
      </c>
      <c r="H7" s="305" t="s">
        <v>74</v>
      </c>
      <c r="I7" s="305" t="s">
        <v>73</v>
      </c>
      <c r="J7" s="300"/>
    </row>
    <row r="8" spans="1:10" x14ac:dyDescent="0.2">
      <c r="A8" s="301"/>
      <c r="B8" s="302"/>
      <c r="C8" s="303"/>
      <c r="D8" s="303"/>
      <c r="E8" s="304"/>
      <c r="F8" s="306"/>
      <c r="G8" s="306"/>
      <c r="H8" s="306"/>
      <c r="I8" s="306"/>
      <c r="J8" s="300"/>
    </row>
    <row r="9" spans="1:10" x14ac:dyDescent="0.2">
      <c r="A9" s="301">
        <f>A8+1</f>
        <v>1</v>
      </c>
      <c r="B9" s="307" t="s">
        <v>95</v>
      </c>
      <c r="C9" s="308"/>
      <c r="D9" s="309"/>
      <c r="E9" s="310"/>
      <c r="F9" s="311">
        <v>18811369.600611217</v>
      </c>
      <c r="G9" s="311">
        <v>4700619.9755832357</v>
      </c>
      <c r="H9" s="312">
        <f>SUM(F9:G9)</f>
        <v>23511989.576194454</v>
      </c>
      <c r="I9" s="313"/>
      <c r="J9" s="314"/>
    </row>
    <row r="10" spans="1:10" x14ac:dyDescent="0.2">
      <c r="A10" s="301">
        <f t="shared" ref="A10:A27" si="0">A9+1</f>
        <v>2</v>
      </c>
      <c r="B10" s="307"/>
      <c r="C10" s="308"/>
      <c r="D10" s="309"/>
      <c r="E10" s="310"/>
      <c r="F10" s="315"/>
      <c r="G10" s="315"/>
      <c r="H10" s="316"/>
      <c r="I10" s="313"/>
    </row>
    <row r="11" spans="1:10" x14ac:dyDescent="0.2">
      <c r="A11" s="301">
        <f t="shared" si="0"/>
        <v>3</v>
      </c>
      <c r="B11" s="317" t="s">
        <v>223</v>
      </c>
      <c r="C11" s="308"/>
      <c r="D11" s="308"/>
      <c r="E11" s="318"/>
      <c r="F11" s="319">
        <v>-88155.791487060487</v>
      </c>
      <c r="G11" s="319">
        <v>-104425.91732279118</v>
      </c>
      <c r="H11" s="319">
        <f>SUM(F11:G11)</f>
        <v>-192581.70880985167</v>
      </c>
      <c r="I11" s="313"/>
      <c r="J11" s="300"/>
    </row>
    <row r="12" spans="1:10" x14ac:dyDescent="0.2">
      <c r="A12" s="301">
        <f t="shared" si="0"/>
        <v>4</v>
      </c>
      <c r="B12" s="320" t="s">
        <v>96</v>
      </c>
      <c r="C12" s="308"/>
      <c r="D12" s="321">
        <v>0.8</v>
      </c>
      <c r="E12" s="322">
        <v>0.2</v>
      </c>
      <c r="F12" s="323">
        <f>H12*D12</f>
        <v>-849479.93599999999</v>
      </c>
      <c r="G12" s="323">
        <f>H12*E12</f>
        <v>-212369.984</v>
      </c>
      <c r="H12" s="324">
        <v>-1061849.92</v>
      </c>
      <c r="I12" s="313"/>
      <c r="J12" s="300"/>
    </row>
    <row r="13" spans="1:10" x14ac:dyDescent="0.2">
      <c r="A13" s="301">
        <f t="shared" si="0"/>
        <v>5</v>
      </c>
      <c r="B13" s="308"/>
      <c r="C13" s="308"/>
      <c r="D13" s="308"/>
      <c r="E13" s="325"/>
      <c r="F13" s="326"/>
      <c r="G13" s="326"/>
      <c r="H13" s="326"/>
      <c r="I13" s="313"/>
      <c r="J13" s="300"/>
    </row>
    <row r="14" spans="1:10" ht="14.1" customHeight="1" x14ac:dyDescent="0.2">
      <c r="A14" s="301">
        <f t="shared" si="0"/>
        <v>6</v>
      </c>
      <c r="B14" s="317" t="s">
        <v>224</v>
      </c>
      <c r="C14" s="308"/>
      <c r="F14" s="327">
        <f>SUM(F9:F12)</f>
        <v>17873733.873124156</v>
      </c>
      <c r="G14" s="327">
        <f>SUM(G9:G12)</f>
        <v>4383824.0742604444</v>
      </c>
      <c r="H14" s="327">
        <f>SUM(H9:H12)</f>
        <v>22257557.947384603</v>
      </c>
      <c r="I14" s="313"/>
    </row>
    <row r="15" spans="1:10" ht="14.1" customHeight="1" x14ac:dyDescent="0.2">
      <c r="A15" s="301">
        <f t="shared" si="0"/>
        <v>7</v>
      </c>
      <c r="B15" s="320"/>
      <c r="C15" s="308"/>
      <c r="D15" s="308"/>
      <c r="E15" s="325"/>
      <c r="F15" s="328"/>
      <c r="G15" s="328"/>
      <c r="H15" s="328"/>
      <c r="I15" s="313"/>
    </row>
    <row r="16" spans="1:10" ht="14.1" customHeight="1" x14ac:dyDescent="0.2">
      <c r="A16" s="301">
        <f t="shared" si="0"/>
        <v>8</v>
      </c>
      <c r="B16" s="329" t="s">
        <v>72</v>
      </c>
      <c r="C16" s="308"/>
      <c r="D16" s="308"/>
      <c r="E16" s="325"/>
      <c r="F16" s="328"/>
      <c r="G16" s="328"/>
      <c r="H16" s="328"/>
      <c r="I16" s="313"/>
    </row>
    <row r="17" spans="1:9" ht="14.1" customHeight="1" x14ac:dyDescent="0.2">
      <c r="A17" s="301">
        <f t="shared" si="0"/>
        <v>9</v>
      </c>
      <c r="B17" s="320" t="s">
        <v>225</v>
      </c>
      <c r="C17" s="308"/>
      <c r="D17" s="308"/>
      <c r="E17" s="325"/>
      <c r="F17" s="330">
        <v>7.1570000000000002E-3</v>
      </c>
      <c r="G17" s="330">
        <v>5.1399999999999996E-3</v>
      </c>
      <c r="H17" s="328"/>
      <c r="I17" s="325"/>
    </row>
    <row r="18" spans="1:9" ht="14.1" customHeight="1" x14ac:dyDescent="0.2">
      <c r="A18" s="301">
        <f t="shared" si="0"/>
        <v>10</v>
      </c>
      <c r="B18" s="320" t="s">
        <v>71</v>
      </c>
      <c r="C18" s="308"/>
      <c r="D18" s="308"/>
      <c r="E18" s="325"/>
      <c r="F18" s="330">
        <v>2E-3</v>
      </c>
      <c r="G18" s="330">
        <v>2E-3</v>
      </c>
      <c r="H18" s="328"/>
      <c r="I18" s="325"/>
    </row>
    <row r="19" spans="1:9" ht="14.1" customHeight="1" x14ac:dyDescent="0.2">
      <c r="A19" s="301">
        <f t="shared" si="0"/>
        <v>11</v>
      </c>
      <c r="B19" s="320" t="s">
        <v>70</v>
      </c>
      <c r="C19" s="308"/>
      <c r="D19" s="308"/>
      <c r="E19" s="325"/>
      <c r="F19" s="330">
        <v>3.8456999999999998E-2</v>
      </c>
      <c r="G19" s="330">
        <v>3.8322000000000002E-2</v>
      </c>
      <c r="H19" s="328"/>
      <c r="I19" s="325"/>
    </row>
    <row r="20" spans="1:9" ht="14.1" customHeight="1" x14ac:dyDescent="0.2">
      <c r="A20" s="301">
        <f t="shared" si="0"/>
        <v>12</v>
      </c>
      <c r="B20" s="320"/>
      <c r="C20" s="308"/>
      <c r="D20" s="308"/>
      <c r="E20" s="325"/>
      <c r="F20" s="331"/>
      <c r="G20" s="331"/>
      <c r="H20" s="328"/>
      <c r="I20" s="325"/>
    </row>
    <row r="21" spans="1:9" ht="14.1" customHeight="1" x14ac:dyDescent="0.2">
      <c r="A21" s="301">
        <f t="shared" si="0"/>
        <v>13</v>
      </c>
      <c r="B21" s="317" t="s">
        <v>226</v>
      </c>
      <c r="C21" s="308"/>
      <c r="D21" s="308"/>
      <c r="E21" s="325"/>
      <c r="F21" s="332">
        <f>1-SUM(F17:F19)</f>
        <v>0.95238599999999995</v>
      </c>
      <c r="G21" s="332">
        <f>1-SUM(G17:G19)</f>
        <v>0.954538</v>
      </c>
      <c r="H21" s="333"/>
      <c r="I21" s="325"/>
    </row>
    <row r="22" spans="1:9" ht="14.1" customHeight="1" x14ac:dyDescent="0.2">
      <c r="A22" s="301">
        <f t="shared" si="0"/>
        <v>14</v>
      </c>
      <c r="B22" s="320"/>
      <c r="C22" s="308"/>
      <c r="D22" s="308"/>
      <c r="E22" s="325"/>
      <c r="F22" s="328"/>
      <c r="G22" s="328"/>
      <c r="H22" s="328"/>
      <c r="I22" s="325"/>
    </row>
    <row r="23" spans="1:9" ht="14.1" customHeight="1" x14ac:dyDescent="0.2">
      <c r="A23" s="301">
        <f t="shared" si="0"/>
        <v>15</v>
      </c>
      <c r="B23" s="317" t="s">
        <v>227</v>
      </c>
      <c r="C23" s="308"/>
      <c r="D23" s="308"/>
      <c r="E23" s="325"/>
      <c r="F23" s="327">
        <f>F14/F21</f>
        <v>18767321.099978536</v>
      </c>
      <c r="G23" s="327">
        <f>G14/G21</f>
        <v>4592613.4677304039</v>
      </c>
      <c r="H23" s="327">
        <f>SUM(F23:G23)</f>
        <v>23359934.567708939</v>
      </c>
      <c r="I23" s="325"/>
    </row>
    <row r="24" spans="1:9" ht="14.1" customHeight="1" x14ac:dyDescent="0.2">
      <c r="A24" s="301">
        <f t="shared" si="0"/>
        <v>16</v>
      </c>
      <c r="B24" s="320"/>
      <c r="C24" s="308"/>
      <c r="D24" s="308"/>
      <c r="E24" s="325"/>
      <c r="F24" s="334"/>
      <c r="G24" s="334"/>
      <c r="H24" s="334"/>
      <c r="I24" s="325"/>
    </row>
    <row r="25" spans="1:9" ht="14.1" customHeight="1" x14ac:dyDescent="0.2">
      <c r="A25" s="301">
        <f t="shared" si="0"/>
        <v>17</v>
      </c>
      <c r="B25" s="317" t="s">
        <v>228</v>
      </c>
      <c r="C25" s="308"/>
      <c r="D25" s="308"/>
      <c r="E25" s="308"/>
      <c r="F25" s="335">
        <v>18301795.75009327</v>
      </c>
      <c r="G25" s="335">
        <v>5355222.9592054822</v>
      </c>
      <c r="H25" s="336">
        <f>SUM(F25:G25)</f>
        <v>23657018.709298752</v>
      </c>
      <c r="I25" s="325"/>
    </row>
    <row r="26" spans="1:9" x14ac:dyDescent="0.2">
      <c r="A26" s="301">
        <f t="shared" si="0"/>
        <v>18</v>
      </c>
      <c r="B26" s="337"/>
      <c r="C26" s="338"/>
      <c r="D26" s="338"/>
      <c r="E26" s="338"/>
      <c r="F26" s="339"/>
      <c r="G26" s="339"/>
      <c r="H26" s="339"/>
      <c r="I26" s="325"/>
    </row>
    <row r="27" spans="1:9" ht="13.5" thickBot="1" x14ac:dyDescent="0.25">
      <c r="A27" s="340">
        <f t="shared" si="0"/>
        <v>19</v>
      </c>
      <c r="B27" s="341" t="s">
        <v>229</v>
      </c>
      <c r="C27" s="342"/>
      <c r="D27" s="342"/>
      <c r="E27" s="343"/>
      <c r="F27" s="344">
        <f>F23-F25</f>
        <v>465525.34988526627</v>
      </c>
      <c r="G27" s="344">
        <f>G23-G25</f>
        <v>-762609.49147507828</v>
      </c>
      <c r="H27" s="344">
        <f>H23-H25</f>
        <v>-297084.14158981293</v>
      </c>
      <c r="I27" s="345"/>
    </row>
    <row r="28" spans="1:9" ht="13.5" thickTop="1" x14ac:dyDescent="0.2">
      <c r="A28" s="303"/>
      <c r="B28" s="303"/>
      <c r="C28" s="308"/>
      <c r="D28" s="308"/>
      <c r="E28" s="308"/>
      <c r="F28" s="308"/>
      <c r="G28" s="308"/>
      <c r="H28" s="308"/>
      <c r="I28" s="346"/>
    </row>
    <row r="29" spans="1:9" ht="14.1" customHeight="1" x14ac:dyDescent="0.2">
      <c r="B29" s="303"/>
      <c r="C29" s="308"/>
      <c r="D29" s="308"/>
      <c r="E29" s="308"/>
      <c r="F29" s="347"/>
      <c r="G29" s="347"/>
      <c r="H29" s="348"/>
      <c r="I29" s="346"/>
    </row>
    <row r="30" spans="1:9" ht="14.1" customHeight="1" x14ac:dyDescent="0.2">
      <c r="B30" s="303"/>
      <c r="C30" s="308"/>
      <c r="D30" s="308"/>
      <c r="E30" s="308"/>
      <c r="F30" s="347"/>
      <c r="G30" s="347"/>
      <c r="H30" s="348"/>
      <c r="I30" s="346"/>
    </row>
    <row r="31" spans="1:9" ht="14.1" customHeight="1" thickBot="1" x14ac:dyDescent="0.25">
      <c r="A31" s="349" t="s">
        <v>69</v>
      </c>
      <c r="B31" s="346"/>
      <c r="C31" s="308"/>
      <c r="D31" s="308"/>
      <c r="E31" s="308"/>
      <c r="F31" s="350" t="s">
        <v>68</v>
      </c>
      <c r="G31" s="350" t="s">
        <v>67</v>
      </c>
      <c r="H31" s="351" t="s">
        <v>66</v>
      </c>
    </row>
    <row r="32" spans="1:9" ht="14.1" customHeight="1" x14ac:dyDescent="0.2">
      <c r="A32" s="352"/>
      <c r="B32" s="346"/>
      <c r="C32" s="308"/>
      <c r="D32" s="308"/>
      <c r="E32" s="308"/>
      <c r="F32" s="353"/>
      <c r="G32" s="353"/>
      <c r="H32" s="347"/>
    </row>
    <row r="33" spans="1:10" ht="14.1" customHeight="1" x14ac:dyDescent="0.2">
      <c r="A33" s="354"/>
      <c r="C33" s="308"/>
      <c r="D33" s="308"/>
      <c r="E33" s="308"/>
      <c r="F33" s="355"/>
      <c r="G33" s="355"/>
      <c r="H33" s="355"/>
      <c r="J33" s="356"/>
    </row>
    <row r="34" spans="1:10" ht="14.1" customHeight="1" x14ac:dyDescent="0.2">
      <c r="A34" s="354" t="s">
        <v>230</v>
      </c>
      <c r="C34" s="308"/>
      <c r="D34" s="308"/>
      <c r="E34" s="308"/>
      <c r="F34" s="355">
        <v>1396138.9039919912</v>
      </c>
      <c r="G34" s="355">
        <v>-1256486.2345055011</v>
      </c>
      <c r="H34" s="355">
        <f>SUM(F34:G34)</f>
        <v>139652.66948649008</v>
      </c>
      <c r="J34" s="356"/>
    </row>
    <row r="35" spans="1:10" ht="25.5" customHeight="1" x14ac:dyDescent="0.2">
      <c r="A35" s="379" t="s">
        <v>231</v>
      </c>
      <c r="B35" s="379"/>
      <c r="C35" s="379"/>
      <c r="D35" s="379"/>
      <c r="E35" s="379"/>
      <c r="F35" s="357">
        <v>-746770.91288911388</v>
      </c>
      <c r="G35" s="357">
        <v>476006.74494459713</v>
      </c>
      <c r="H35" s="357">
        <f>SUM(F35:G35)</f>
        <v>-270764.16794451675</v>
      </c>
      <c r="J35" s="356"/>
    </row>
    <row r="36" spans="1:10" x14ac:dyDescent="0.2">
      <c r="A36" s="352" t="s">
        <v>97</v>
      </c>
      <c r="C36" s="346"/>
      <c r="D36" s="346"/>
      <c r="E36" s="346"/>
      <c r="F36" s="355">
        <v>-183842.64121761103</v>
      </c>
      <c r="G36" s="355">
        <v>17869.998085825653</v>
      </c>
      <c r="H36" s="358">
        <f>SUM(F36:G36)</f>
        <v>-165972.64313178539</v>
      </c>
      <c r="J36" s="356"/>
    </row>
    <row r="37" spans="1:10" x14ac:dyDescent="0.2">
      <c r="A37" s="346"/>
      <c r="B37" s="346"/>
      <c r="C37" s="346"/>
      <c r="D37" s="346"/>
      <c r="E37" s="346"/>
      <c r="F37" s="355">
        <v>0</v>
      </c>
      <c r="G37" s="355">
        <v>0</v>
      </c>
      <c r="H37" s="358">
        <f>SUM(F37:G37)</f>
        <v>0</v>
      </c>
      <c r="J37" s="356"/>
    </row>
    <row r="38" spans="1:10" ht="13.5" thickBot="1" x14ac:dyDescent="0.25">
      <c r="A38" s="359" t="s">
        <v>65</v>
      </c>
      <c r="B38" s="346"/>
      <c r="C38" s="346"/>
      <c r="D38" s="346"/>
      <c r="E38" s="346"/>
      <c r="F38" s="360">
        <f>SUM(F33:F37)</f>
        <v>465525.34988526627</v>
      </c>
      <c r="G38" s="360">
        <f>SUM(G33:G37)</f>
        <v>-762609.49147507828</v>
      </c>
      <c r="H38" s="360">
        <f>SUM(H33:H37)</f>
        <v>-297084.14158981206</v>
      </c>
    </row>
    <row r="39" spans="1:10" ht="13.5" thickTop="1" x14ac:dyDescent="0.2">
      <c r="B39" s="346"/>
      <c r="C39" s="346"/>
      <c r="D39" s="346"/>
      <c r="E39" s="346"/>
      <c r="I39" s="346"/>
    </row>
    <row r="40" spans="1:10" x14ac:dyDescent="0.2">
      <c r="B40" s="346"/>
      <c r="C40" s="346"/>
      <c r="D40" s="346"/>
      <c r="E40" s="346"/>
      <c r="I40" s="346"/>
    </row>
    <row r="41" spans="1:10" x14ac:dyDescent="0.2">
      <c r="A41" s="346"/>
      <c r="B41" s="346"/>
      <c r="C41" s="346"/>
      <c r="D41" s="346"/>
      <c r="E41" s="346"/>
      <c r="F41" s="361"/>
      <c r="G41" s="361"/>
    </row>
    <row r="42" spans="1:10" x14ac:dyDescent="0.2">
      <c r="A42" s="346"/>
      <c r="B42" s="346"/>
      <c r="C42" s="346"/>
      <c r="D42" s="346"/>
      <c r="E42" s="346"/>
      <c r="F42" s="361"/>
      <c r="G42" s="361"/>
    </row>
    <row r="43" spans="1:10" x14ac:dyDescent="0.2">
      <c r="A43" s="346"/>
      <c r="B43" s="346"/>
      <c r="C43" s="362"/>
      <c r="D43" s="362"/>
      <c r="E43" s="346"/>
    </row>
    <row r="44" spans="1:10" x14ac:dyDescent="0.2">
      <c r="A44" s="346"/>
      <c r="B44" s="346"/>
      <c r="C44" s="346"/>
      <c r="D44" s="346"/>
      <c r="E44" s="346"/>
    </row>
    <row r="45" spans="1:10" x14ac:dyDescent="0.2">
      <c r="C45" s="363"/>
      <c r="D45" s="363"/>
    </row>
    <row r="46" spans="1:10" x14ac:dyDescent="0.2">
      <c r="C46" s="364"/>
      <c r="D46" s="364"/>
    </row>
  </sheetData>
  <mergeCells count="1">
    <mergeCell ref="A35:E35"/>
  </mergeCells>
  <printOptions horizontalCentered="1"/>
  <pageMargins left="0.75" right="0.75" top="0.75" bottom="0.75" header="0.36" footer="0.42"/>
  <pageSetup scale="81" orientation="landscape" r:id="rId1"/>
  <headerFooter alignWithMargins="0">
    <oddFooter>&amp;L&amp;F
&amp;A&amp;C&amp;P&amp;R&amp;D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4"/>
  <sheetViews>
    <sheetView zoomScaleNormal="100" workbookViewId="0">
      <pane xSplit="3" ySplit="8" topLeftCell="I9" activePane="bottomRight" state="frozenSplit"/>
      <selection activeCell="N36" sqref="N36"/>
      <selection pane="topRight" activeCell="N36" sqref="N36"/>
      <selection pane="bottomLeft" activeCell="N36" sqref="N36"/>
      <selection pane="bottomRight" activeCell="N31" sqref="N31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4.28515625" bestFit="1" customWidth="1"/>
    <col min="5" max="5" width="13.7109375" bestFit="1" customWidth="1"/>
    <col min="6" max="6" width="12.42578125" customWidth="1"/>
    <col min="7" max="7" width="16" customWidth="1"/>
    <col min="8" max="8" width="15.5703125" bestFit="1" customWidth="1"/>
    <col min="9" max="9" width="13.7109375" bestFit="1" customWidth="1"/>
    <col min="10" max="10" width="13.42578125" bestFit="1" customWidth="1"/>
    <col min="11" max="11" width="12.5703125" bestFit="1" customWidth="1"/>
    <col min="12" max="12" width="11.5703125" bestFit="1" customWidth="1"/>
    <col min="13" max="13" width="12.28515625" bestFit="1" customWidth="1"/>
    <col min="14" max="14" width="12.5703125" bestFit="1" customWidth="1"/>
    <col min="15" max="15" width="13.42578125" bestFit="1" customWidth="1"/>
    <col min="16" max="17" width="13.42578125" customWidth="1"/>
    <col min="18" max="18" width="12.5703125" bestFit="1" customWidth="1"/>
    <col min="19" max="19" width="15.7109375" bestFit="1" customWidth="1"/>
    <col min="20" max="20" width="13" customWidth="1"/>
    <col min="21" max="21" width="8.85546875" bestFit="1" customWidth="1"/>
    <col min="22" max="22" width="13.7109375" bestFit="1" customWidth="1"/>
  </cols>
  <sheetData>
    <row r="1" spans="2:21" x14ac:dyDescent="0.25">
      <c r="B1" s="380" t="s">
        <v>13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</row>
    <row r="2" spans="2:21" x14ac:dyDescent="0.25">
      <c r="B2" s="380" t="s">
        <v>121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</row>
    <row r="3" spans="2:21" x14ac:dyDescent="0.25">
      <c r="B3" s="381" t="s">
        <v>122</v>
      </c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</row>
    <row r="4" spans="2:21" x14ac:dyDescent="0.25">
      <c r="B4" s="381" t="s">
        <v>233</v>
      </c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</row>
    <row r="5" spans="2:21" x14ac:dyDescent="0.25">
      <c r="F5" s="153"/>
      <c r="N5" s="153"/>
      <c r="R5" s="153"/>
    </row>
    <row r="6" spans="2:21" x14ac:dyDescent="0.25">
      <c r="B6" s="154"/>
      <c r="C6" s="154"/>
      <c r="D6" s="154" t="s">
        <v>106</v>
      </c>
      <c r="E6" s="154" t="s">
        <v>106</v>
      </c>
      <c r="F6" s="154"/>
      <c r="G6" s="154" t="s">
        <v>123</v>
      </c>
      <c r="H6" s="153"/>
      <c r="I6" s="154"/>
      <c r="J6" s="154"/>
      <c r="K6" s="154"/>
      <c r="L6" s="154"/>
      <c r="M6" s="154"/>
      <c r="N6" s="154"/>
      <c r="O6" s="154"/>
      <c r="P6" s="154" t="s">
        <v>124</v>
      </c>
      <c r="Q6" s="154" t="s">
        <v>124</v>
      </c>
      <c r="R6" s="154"/>
      <c r="S6" s="155" t="s">
        <v>125</v>
      </c>
      <c r="T6" s="155" t="s">
        <v>126</v>
      </c>
      <c r="U6" s="154"/>
    </row>
    <row r="7" spans="2:21" x14ac:dyDescent="0.25">
      <c r="B7" s="154"/>
      <c r="C7" s="154" t="s">
        <v>12</v>
      </c>
      <c r="D7" s="154" t="s">
        <v>11</v>
      </c>
      <c r="E7" s="154" t="s">
        <v>10</v>
      </c>
      <c r="F7" s="154" t="s">
        <v>127</v>
      </c>
      <c r="G7" s="154" t="s">
        <v>128</v>
      </c>
      <c r="H7" s="153" t="s">
        <v>123</v>
      </c>
      <c r="I7" s="154" t="s">
        <v>129</v>
      </c>
      <c r="J7" s="154" t="s">
        <v>130</v>
      </c>
      <c r="K7" s="154" t="s">
        <v>131</v>
      </c>
      <c r="L7" s="154" t="s">
        <v>126</v>
      </c>
      <c r="M7" s="154" t="s">
        <v>132</v>
      </c>
      <c r="N7" s="154" t="s">
        <v>109</v>
      </c>
      <c r="O7" s="154" t="s">
        <v>133</v>
      </c>
      <c r="P7" s="154" t="s">
        <v>134</v>
      </c>
      <c r="Q7" s="154" t="s">
        <v>135</v>
      </c>
      <c r="R7" s="154" t="s">
        <v>9</v>
      </c>
      <c r="S7" s="154" t="s">
        <v>136</v>
      </c>
      <c r="T7" s="154" t="s">
        <v>6</v>
      </c>
      <c r="U7" s="154" t="s">
        <v>137</v>
      </c>
    </row>
    <row r="8" spans="2:21" ht="17.25" x14ac:dyDescent="0.25">
      <c r="B8" s="156" t="s">
        <v>8</v>
      </c>
      <c r="C8" s="156" t="s">
        <v>7</v>
      </c>
      <c r="D8" s="156" t="s">
        <v>138</v>
      </c>
      <c r="E8" s="156" t="s">
        <v>139</v>
      </c>
      <c r="F8" s="156" t="s">
        <v>140</v>
      </c>
      <c r="G8" s="157" t="s">
        <v>141</v>
      </c>
      <c r="H8" s="156" t="s">
        <v>142</v>
      </c>
      <c r="I8" s="156" t="s">
        <v>6</v>
      </c>
      <c r="J8" s="156" t="s">
        <v>6</v>
      </c>
      <c r="K8" s="156" t="s">
        <v>6</v>
      </c>
      <c r="L8" s="156" t="s">
        <v>6</v>
      </c>
      <c r="M8" s="156" t="s">
        <v>6</v>
      </c>
      <c r="N8" s="156" t="s">
        <v>6</v>
      </c>
      <c r="O8" s="156" t="s">
        <v>6</v>
      </c>
      <c r="P8" s="156" t="s">
        <v>6</v>
      </c>
      <c r="Q8" s="156" t="s">
        <v>6</v>
      </c>
      <c r="R8" s="156" t="s">
        <v>6</v>
      </c>
      <c r="S8" s="156" t="s">
        <v>6</v>
      </c>
      <c r="T8" s="156" t="s">
        <v>143</v>
      </c>
      <c r="U8" s="156" t="s">
        <v>143</v>
      </c>
    </row>
    <row r="9" spans="2:21" x14ac:dyDescent="0.25">
      <c r="B9" s="154" t="s">
        <v>144</v>
      </c>
      <c r="C9" s="154" t="s">
        <v>145</v>
      </c>
      <c r="D9" s="158" t="s">
        <v>146</v>
      </c>
      <c r="E9" s="159" t="s">
        <v>147</v>
      </c>
      <c r="F9" s="154" t="s">
        <v>148</v>
      </c>
      <c r="G9" s="154" t="s">
        <v>149</v>
      </c>
      <c r="H9" s="154" t="s">
        <v>150</v>
      </c>
      <c r="I9" s="154" t="s">
        <v>151</v>
      </c>
      <c r="J9" s="154" t="s">
        <v>152</v>
      </c>
      <c r="K9" s="154" t="s">
        <v>153</v>
      </c>
      <c r="L9" s="159" t="s">
        <v>154</v>
      </c>
      <c r="M9" s="154" t="s">
        <v>155</v>
      </c>
      <c r="N9" s="154" t="s">
        <v>156</v>
      </c>
      <c r="O9" s="159" t="s">
        <v>157</v>
      </c>
      <c r="P9" s="159" t="s">
        <v>158</v>
      </c>
      <c r="Q9" s="159" t="s">
        <v>159</v>
      </c>
      <c r="R9" s="154" t="s">
        <v>160</v>
      </c>
      <c r="S9" s="159" t="s">
        <v>161</v>
      </c>
      <c r="T9" s="154" t="s">
        <v>162</v>
      </c>
      <c r="U9" s="154" t="s">
        <v>163</v>
      </c>
    </row>
    <row r="10" spans="2:21" x14ac:dyDescent="0.25">
      <c r="B10" t="s">
        <v>5</v>
      </c>
      <c r="C10" s="160" t="s">
        <v>164</v>
      </c>
      <c r="D10" s="274">
        <v>577531400.48799992</v>
      </c>
      <c r="E10" s="166">
        <v>299349526.67167699</v>
      </c>
      <c r="F10" s="162">
        <f t="shared" ref="F10:F15" si="0">(E10)/D10</f>
        <v>0.51832597572830497</v>
      </c>
      <c r="G10" s="274">
        <v>629870510</v>
      </c>
      <c r="H10" s="163">
        <f>F10*G10</f>
        <v>326478246.67823505</v>
      </c>
      <c r="I10" s="166">
        <v>242166314.97999999</v>
      </c>
      <c r="J10" s="166">
        <v>-10676305.140000001</v>
      </c>
      <c r="K10" s="166">
        <v>10726694.7853</v>
      </c>
      <c r="L10" s="166">
        <f>'Schedule 129 Revenue'!G8</f>
        <v>4654743.0689000003</v>
      </c>
      <c r="M10" s="166">
        <v>-2254936.4257999999</v>
      </c>
      <c r="N10" s="166">
        <v>15419230.084800001</v>
      </c>
      <c r="O10" s="166">
        <v>0</v>
      </c>
      <c r="P10" s="166"/>
      <c r="Q10" s="166">
        <v>51365940.090000004</v>
      </c>
      <c r="R10" s="166">
        <v>3930391.9824000001</v>
      </c>
      <c r="S10" s="164">
        <f>SUM(H10:R10)</f>
        <v>641810320.10383511</v>
      </c>
      <c r="T10" s="161">
        <f>'Schedule 129 Revenue'!I8</f>
        <v>-1272338.4302000003</v>
      </c>
      <c r="U10" s="165">
        <f>T10/S10</f>
        <v>-1.9824212704996009E-3</v>
      </c>
    </row>
    <row r="11" spans="2:21" x14ac:dyDescent="0.25">
      <c r="B11" t="s">
        <v>165</v>
      </c>
      <c r="C11" s="160">
        <v>16</v>
      </c>
      <c r="D11" s="274">
        <v>9689.9889999999996</v>
      </c>
      <c r="E11" s="166">
        <v>4941.8900000000003</v>
      </c>
      <c r="F11" s="162">
        <f t="shared" si="0"/>
        <v>0.50999954695511007</v>
      </c>
      <c r="G11" s="274">
        <v>9732</v>
      </c>
      <c r="H11" s="163">
        <f t="shared" ref="H11:H22" si="1">F11*G11</f>
        <v>4963.3155909671314</v>
      </c>
      <c r="I11" s="166">
        <v>3739.14</v>
      </c>
      <c r="J11" s="166">
        <v>-163.91</v>
      </c>
      <c r="K11" s="166">
        <v>165.73596000000001</v>
      </c>
      <c r="L11" s="166">
        <v>0</v>
      </c>
      <c r="M11" s="166">
        <v>-34.840559999999996</v>
      </c>
      <c r="N11" s="166">
        <v>238.23936</v>
      </c>
      <c r="O11" s="166">
        <v>0</v>
      </c>
      <c r="P11" s="166">
        <v>0</v>
      </c>
      <c r="Q11" s="166"/>
      <c r="R11" s="166">
        <v>60.727679999999999</v>
      </c>
      <c r="S11" s="164">
        <f t="shared" ref="S11:S22" si="2">SUM(H11:R11)</f>
        <v>8968.4080309671299</v>
      </c>
      <c r="T11" s="161"/>
      <c r="U11" s="165">
        <f t="shared" ref="U11:U23" si="3">T11/S11</f>
        <v>0</v>
      </c>
    </row>
    <row r="12" spans="2:21" x14ac:dyDescent="0.25">
      <c r="B12" t="s">
        <v>166</v>
      </c>
      <c r="C12" s="160">
        <v>31</v>
      </c>
      <c r="D12" s="274">
        <v>214564223.29299998</v>
      </c>
      <c r="E12" s="166">
        <v>86991648.090000004</v>
      </c>
      <c r="F12" s="162">
        <f t="shared" si="0"/>
        <v>0.40543407822098948</v>
      </c>
      <c r="G12" s="274">
        <v>236909489</v>
      </c>
      <c r="H12" s="163">
        <f t="shared" si="1"/>
        <v>96051180.294520646</v>
      </c>
      <c r="I12" s="166">
        <v>89570739.599999994</v>
      </c>
      <c r="J12" s="166">
        <v>-4015615.84</v>
      </c>
      <c r="K12" s="166">
        <v>4034568.59767</v>
      </c>
      <c r="L12" s="166">
        <f>'Schedule 129 Revenue'!G10</f>
        <v>859981.44507000002</v>
      </c>
      <c r="M12" s="166">
        <v>-587535.53272000002</v>
      </c>
      <c r="N12" s="166">
        <v>6247303.2249300005</v>
      </c>
      <c r="O12" s="166">
        <v>0</v>
      </c>
      <c r="P12" s="166"/>
      <c r="Q12" s="166">
        <v>1719962.89</v>
      </c>
      <c r="R12" s="166">
        <v>1364598.6566400002</v>
      </c>
      <c r="S12" s="164">
        <f t="shared" si="2"/>
        <v>195245183.33611059</v>
      </c>
      <c r="T12" s="161">
        <f>'Schedule 129 Revenue'!I10</f>
        <v>153991.16784999997</v>
      </c>
      <c r="U12" s="165">
        <f t="shared" si="3"/>
        <v>7.8870661605468298E-4</v>
      </c>
    </row>
    <row r="13" spans="2:21" x14ac:dyDescent="0.25">
      <c r="B13" t="s">
        <v>167</v>
      </c>
      <c r="C13" s="160">
        <v>41</v>
      </c>
      <c r="D13" s="274">
        <v>65990650.213</v>
      </c>
      <c r="E13" s="166">
        <v>14627826.099797169</v>
      </c>
      <c r="F13" s="162">
        <f t="shared" si="0"/>
        <v>0.22166513062960427</v>
      </c>
      <c r="G13" s="274">
        <v>67726926</v>
      </c>
      <c r="H13" s="163">
        <f t="shared" si="1"/>
        <v>15012697.898931542</v>
      </c>
      <c r="I13" s="166">
        <v>23819303.686740004</v>
      </c>
      <c r="J13" s="166">
        <v>-1149325.93</v>
      </c>
      <c r="K13" s="166">
        <v>1153389.54978</v>
      </c>
      <c r="L13" s="166">
        <f>'Schedule 129 Revenue'!G13</f>
        <v>133422.04422000001</v>
      </c>
      <c r="M13" s="166">
        <v>-168640.04574</v>
      </c>
      <c r="N13" s="166">
        <v>617669.56511999993</v>
      </c>
      <c r="O13" s="166">
        <v>0</v>
      </c>
      <c r="P13" s="166"/>
      <c r="Q13" s="166">
        <v>1295036.6800000002</v>
      </c>
      <c r="R13" s="166">
        <v>207244.39356</v>
      </c>
      <c r="S13" s="164">
        <f t="shared" si="2"/>
        <v>40920797.842611544</v>
      </c>
      <c r="T13" s="161">
        <f>'Schedule 129 Revenue'!I13</f>
        <v>18963.539279999968</v>
      </c>
      <c r="U13" s="165">
        <f t="shared" si="3"/>
        <v>4.6342056557491902E-4</v>
      </c>
    </row>
    <row r="14" spans="2:21" x14ac:dyDescent="0.25">
      <c r="B14" t="s">
        <v>4</v>
      </c>
      <c r="C14" s="160">
        <v>85</v>
      </c>
      <c r="D14" s="274">
        <v>17139795.438999999</v>
      </c>
      <c r="E14" s="166">
        <v>1690709.47</v>
      </c>
      <c r="F14" s="162">
        <f t="shared" si="0"/>
        <v>9.864233654463278E-2</v>
      </c>
      <c r="G14" s="274">
        <v>15984065</v>
      </c>
      <c r="H14" s="163">
        <f t="shared" si="1"/>
        <v>1576705.5190812857</v>
      </c>
      <c r="I14" s="166">
        <v>5343170.1574999997</v>
      </c>
      <c r="J14" s="166">
        <v>-271409.42</v>
      </c>
      <c r="K14" s="166">
        <v>238642.09045000002</v>
      </c>
      <c r="L14" s="166">
        <f>'Schedule 129 Revenue'!G20</f>
        <v>15330.028826683116</v>
      </c>
      <c r="M14" s="166">
        <v>-7672.3512000000001</v>
      </c>
      <c r="N14" s="166">
        <v>70489.726649999997</v>
      </c>
      <c r="O14" s="166">
        <v>0</v>
      </c>
      <c r="P14" s="166">
        <v>0</v>
      </c>
      <c r="Q14" s="166"/>
      <c r="R14" s="166">
        <v>21418.647100000002</v>
      </c>
      <c r="S14" s="164">
        <f t="shared" si="2"/>
        <v>6986674.3984079678</v>
      </c>
      <c r="T14" s="161">
        <f>'Schedule 129 Revenue'!I20</f>
        <v>1886.3791540884631</v>
      </c>
      <c r="U14" s="165">
        <f t="shared" si="3"/>
        <v>2.6999671753965041E-4</v>
      </c>
    </row>
    <row r="15" spans="2:21" x14ac:dyDescent="0.25">
      <c r="B15" t="s">
        <v>168</v>
      </c>
      <c r="C15" s="160">
        <v>86</v>
      </c>
      <c r="D15" s="274">
        <v>9926029.5299999993</v>
      </c>
      <c r="E15" s="166">
        <v>2102083.46</v>
      </c>
      <c r="F15" s="162">
        <f t="shared" si="0"/>
        <v>0.21177485455254333</v>
      </c>
      <c r="G15" s="274">
        <v>9360023</v>
      </c>
      <c r="H15" s="163">
        <f t="shared" si="1"/>
        <v>1982217.5094334602</v>
      </c>
      <c r="I15" s="166">
        <v>3197763.86246</v>
      </c>
      <c r="J15" s="166">
        <v>-158839.59</v>
      </c>
      <c r="K15" s="166">
        <v>139745.14339000001</v>
      </c>
      <c r="L15" s="166">
        <f>'Schedule 129 Revenue'!G22</f>
        <v>18064.844390000002</v>
      </c>
      <c r="M15" s="166">
        <v>-23680.858190000003</v>
      </c>
      <c r="N15" s="166">
        <v>79840.996189999991</v>
      </c>
      <c r="O15" s="166">
        <v>0</v>
      </c>
      <c r="P15" s="166"/>
      <c r="Q15" s="166">
        <v>183573.13</v>
      </c>
      <c r="R15" s="166">
        <v>29577.67268</v>
      </c>
      <c r="S15" s="164">
        <f t="shared" si="2"/>
        <v>5448262.7103534602</v>
      </c>
      <c r="T15" s="161">
        <f>'Schedule 129 Revenue'!I22</f>
        <v>2433.6059800000003</v>
      </c>
      <c r="U15" s="165">
        <f t="shared" si="3"/>
        <v>4.4667559355670612E-4</v>
      </c>
    </row>
    <row r="16" spans="2:21" x14ac:dyDescent="0.25">
      <c r="B16" t="s">
        <v>169</v>
      </c>
      <c r="C16" s="160">
        <v>87</v>
      </c>
      <c r="D16" s="274">
        <v>23311381.287999999</v>
      </c>
      <c r="E16" s="166">
        <v>1129405.5499999998</v>
      </c>
      <c r="F16" s="162">
        <f>(E16)/D16</f>
        <v>4.8448675608140992E-2</v>
      </c>
      <c r="G16" s="274">
        <v>22157285</v>
      </c>
      <c r="H16" s="163">
        <f t="shared" si="1"/>
        <v>1073491.1133221283</v>
      </c>
      <c r="I16" s="166">
        <v>7327635.7223500004</v>
      </c>
      <c r="J16" s="166">
        <v>-376230.7</v>
      </c>
      <c r="K16" s="166">
        <v>330808.26504999999</v>
      </c>
      <c r="L16" s="166">
        <f>'Schedule 129 Revenue'!G32</f>
        <v>9003.9737058767132</v>
      </c>
      <c r="M16" s="166">
        <v>-8419.7682999999997</v>
      </c>
      <c r="N16" s="166">
        <v>65142.4179</v>
      </c>
      <c r="O16" s="166">
        <v>0</v>
      </c>
      <c r="P16" s="166">
        <v>0</v>
      </c>
      <c r="Q16" s="166"/>
      <c r="R16" s="166">
        <v>25924.023450000001</v>
      </c>
      <c r="S16" s="164">
        <f t="shared" si="2"/>
        <v>8447355.0474780053</v>
      </c>
      <c r="T16" s="161">
        <f>'Schedule 129 Revenue'!I32</f>
        <v>935.14245851814121</v>
      </c>
      <c r="U16" s="165">
        <f t="shared" si="3"/>
        <v>1.1070239776382219E-4</v>
      </c>
    </row>
    <row r="17" spans="2:24" x14ac:dyDescent="0.25">
      <c r="B17" t="s">
        <v>170</v>
      </c>
      <c r="C17" s="160" t="s">
        <v>171</v>
      </c>
      <c r="D17" s="274">
        <v>22880.93</v>
      </c>
      <c r="E17" s="166">
        <v>14880.86</v>
      </c>
      <c r="F17" s="162">
        <f>(E17)/D17</f>
        <v>0.65036080264220031</v>
      </c>
      <c r="G17" s="274">
        <v>23380</v>
      </c>
      <c r="H17" s="163">
        <f t="shared" si="1"/>
        <v>15205.435565774644</v>
      </c>
      <c r="I17" s="166"/>
      <c r="J17" s="166"/>
      <c r="K17" s="166"/>
      <c r="L17" s="166">
        <f>'Schedule 129 Revenue'!G11</f>
        <v>84.869399999999999</v>
      </c>
      <c r="M17" s="166">
        <v>-57.982399999999998</v>
      </c>
      <c r="N17" s="166">
        <v>616.53060000000005</v>
      </c>
      <c r="O17" s="166">
        <v>0</v>
      </c>
      <c r="P17" s="166"/>
      <c r="Q17" s="166">
        <v>165.06</v>
      </c>
      <c r="R17" s="166">
        <v>134.6688</v>
      </c>
      <c r="S17" s="164">
        <f t="shared" si="2"/>
        <v>16148.581965774642</v>
      </c>
      <c r="T17" s="161">
        <f>'Schedule 129 Revenue'!I11</f>
        <v>15.197000000000003</v>
      </c>
      <c r="U17" s="165">
        <f t="shared" si="3"/>
        <v>9.4107334205619886E-4</v>
      </c>
    </row>
    <row r="18" spans="2:24" x14ac:dyDescent="0.25">
      <c r="B18" t="s">
        <v>172</v>
      </c>
      <c r="C18" t="s">
        <v>173</v>
      </c>
      <c r="D18" s="274">
        <v>17702125.890000001</v>
      </c>
      <c r="E18" s="166">
        <v>3565479.9526575999</v>
      </c>
      <c r="F18" s="162">
        <f t="shared" ref="F18:F23" si="4">(E18)/D18</f>
        <v>0.20141535399834398</v>
      </c>
      <c r="G18" s="274">
        <v>22772715</v>
      </c>
      <c r="H18" s="163">
        <f>F18*G18</f>
        <v>4586774.4532283982</v>
      </c>
      <c r="I18" s="166"/>
      <c r="J18" s="166"/>
      <c r="K18" s="166"/>
      <c r="L18" s="166">
        <f>'Schedule 129 Revenue'!G14</f>
        <v>44862.248549999997</v>
      </c>
      <c r="M18" s="166">
        <v>-56704.06035</v>
      </c>
      <c r="N18" s="166">
        <v>207687.16079999998</v>
      </c>
      <c r="O18" s="166">
        <v>0</v>
      </c>
      <c r="P18" s="166"/>
      <c r="Q18" s="166">
        <v>404686.68</v>
      </c>
      <c r="R18" s="166">
        <v>69684.507899999997</v>
      </c>
      <c r="S18" s="164">
        <f>SUM(H18:R18)</f>
        <v>5256990.990128397</v>
      </c>
      <c r="T18" s="161">
        <f>'Schedule 129 Revenue'!I14</f>
        <v>6376.3602000000028</v>
      </c>
      <c r="U18" s="165">
        <f t="shared" si="3"/>
        <v>1.212929642065882E-3</v>
      </c>
    </row>
    <row r="19" spans="2:24" x14ac:dyDescent="0.25">
      <c r="B19" t="s">
        <v>174</v>
      </c>
      <c r="C19" t="s">
        <v>3</v>
      </c>
      <c r="D19" s="274">
        <v>79480065.260000005</v>
      </c>
      <c r="E19" s="166">
        <v>7330425.0899999999</v>
      </c>
      <c r="F19" s="162">
        <f t="shared" si="4"/>
        <v>9.2229731644284246E-2</v>
      </c>
      <c r="G19" s="274">
        <v>79459759</v>
      </c>
      <c r="H19" s="163">
        <f t="shared" si="1"/>
        <v>7328552.2490894999</v>
      </c>
      <c r="I19" s="166"/>
      <c r="J19" s="166"/>
      <c r="K19" s="166"/>
      <c r="L19" s="166">
        <f>'Schedule 129 Revenue'!G38</f>
        <v>70368.246871576135</v>
      </c>
      <c r="M19" s="166">
        <v>-38140.68432</v>
      </c>
      <c r="N19" s="166">
        <v>350417.53719</v>
      </c>
      <c r="O19" s="166">
        <v>0</v>
      </c>
      <c r="P19" s="166">
        <v>0</v>
      </c>
      <c r="Q19" s="166"/>
      <c r="R19" s="166">
        <v>106476.07706000001</v>
      </c>
      <c r="S19" s="164">
        <f t="shared" si="2"/>
        <v>7817673.4258910753</v>
      </c>
      <c r="T19" s="161">
        <f>'Schedule 129 Revenue'!I38</f>
        <v>8575.330742446662</v>
      </c>
      <c r="U19" s="165">
        <f t="shared" si="3"/>
        <v>1.096915958915133E-3</v>
      </c>
    </row>
    <row r="20" spans="2:24" x14ac:dyDescent="0.25">
      <c r="B20" t="s">
        <v>175</v>
      </c>
      <c r="C20" t="s">
        <v>176</v>
      </c>
      <c r="D20" s="274">
        <v>372634.3</v>
      </c>
      <c r="E20" s="166">
        <v>84449.41</v>
      </c>
      <c r="F20" s="162">
        <f t="shared" si="4"/>
        <v>0.22662811770145691</v>
      </c>
      <c r="G20" s="274">
        <v>225178</v>
      </c>
      <c r="H20" s="163">
        <f t="shared" si="1"/>
        <v>51031.666287778666</v>
      </c>
      <c r="I20" s="166"/>
      <c r="J20" s="166"/>
      <c r="K20" s="166"/>
      <c r="L20" s="166">
        <f>'Schedule 129 Revenue'!G23</f>
        <v>434.59354000000002</v>
      </c>
      <c r="M20" s="166">
        <v>-569.70033999999998</v>
      </c>
      <c r="N20" s="166">
        <v>1920.7683399999999</v>
      </c>
      <c r="O20" s="166">
        <v>0</v>
      </c>
      <c r="P20" s="166"/>
      <c r="Q20" s="166">
        <v>4798.42</v>
      </c>
      <c r="R20" s="166">
        <v>711.56248000000005</v>
      </c>
      <c r="S20" s="164">
        <f t="shared" si="2"/>
        <v>58327.310307778665</v>
      </c>
      <c r="T20" s="161">
        <f>'Schedule 129 Revenue'!I23</f>
        <v>58.546280000000024</v>
      </c>
      <c r="U20" s="165">
        <f t="shared" si="3"/>
        <v>1.0037541537757512E-3</v>
      </c>
    </row>
    <row r="21" spans="2:24" x14ac:dyDescent="0.25">
      <c r="B21" t="s">
        <v>177</v>
      </c>
      <c r="C21" t="s">
        <v>2</v>
      </c>
      <c r="D21" s="274">
        <v>99276638.950000003</v>
      </c>
      <c r="E21" s="166">
        <v>3590033.5100000002</v>
      </c>
      <c r="F21" s="162">
        <f t="shared" si="4"/>
        <v>3.6161916317574934E-2</v>
      </c>
      <c r="G21" s="274">
        <v>101588314</v>
      </c>
      <c r="H21" s="163">
        <f t="shared" si="1"/>
        <v>3673628.109711526</v>
      </c>
      <c r="I21" s="166"/>
      <c r="J21" s="166"/>
      <c r="K21" s="166"/>
      <c r="L21" s="166">
        <f>'Schedule 129 Revenue'!G47</f>
        <v>34769.743230528795</v>
      </c>
      <c r="M21" s="166">
        <v>-38603.55932</v>
      </c>
      <c r="N21" s="166">
        <v>298669.64315999998</v>
      </c>
      <c r="O21" s="166">
        <v>0</v>
      </c>
      <c r="P21" s="166">
        <v>0</v>
      </c>
      <c r="Q21" s="166"/>
      <c r="R21" s="166">
        <v>118858.32738</v>
      </c>
      <c r="S21" s="164">
        <f t="shared" si="2"/>
        <v>4087322.2641620548</v>
      </c>
      <c r="T21" s="161">
        <f>'Schedule 129 Revenue'!I47</f>
        <v>3330.0479195952794</v>
      </c>
      <c r="U21" s="165">
        <f t="shared" si="3"/>
        <v>8.1472604907946379E-4</v>
      </c>
    </row>
    <row r="22" spans="2:24" x14ac:dyDescent="0.25">
      <c r="B22" t="s">
        <v>178</v>
      </c>
      <c r="D22" s="274">
        <v>37223237.460000001</v>
      </c>
      <c r="E22" s="166">
        <v>1465941.3557558353</v>
      </c>
      <c r="F22" s="167">
        <f t="shared" si="4"/>
        <v>3.9382424952454288E-2</v>
      </c>
      <c r="G22" s="274">
        <v>36125106</v>
      </c>
      <c r="H22" s="163">
        <f t="shared" si="1"/>
        <v>1422694.2759444562</v>
      </c>
      <c r="I22" s="166"/>
      <c r="J22" s="166"/>
      <c r="K22" s="166"/>
      <c r="L22" s="166">
        <v>0</v>
      </c>
      <c r="M22" s="166">
        <v>-8308.7743800000007</v>
      </c>
      <c r="N22" s="166">
        <v>115961.59026000001</v>
      </c>
      <c r="O22" s="166">
        <v>0</v>
      </c>
      <c r="P22" s="166"/>
      <c r="Q22" s="166"/>
      <c r="R22" s="166">
        <v>51658.901580000005</v>
      </c>
      <c r="S22" s="164">
        <f t="shared" si="2"/>
        <v>1582005.9934044562</v>
      </c>
      <c r="T22" s="161"/>
      <c r="U22" s="165">
        <f t="shared" si="3"/>
        <v>0</v>
      </c>
    </row>
    <row r="23" spans="2:24" x14ac:dyDescent="0.25">
      <c r="B23" t="s">
        <v>0</v>
      </c>
      <c r="D23" s="168">
        <f>SUM(D10:D22)</f>
        <v>1142550753.0299997</v>
      </c>
      <c r="E23" s="169">
        <f>SUM(E10:E22)</f>
        <v>421947351.40988761</v>
      </c>
      <c r="F23" s="162">
        <f t="shared" si="4"/>
        <v>0.36930293931442415</v>
      </c>
      <c r="G23" s="168">
        <f>SUM(G10:G22)</f>
        <v>1222212482</v>
      </c>
      <c r="H23" s="169">
        <f>SUM(H10:H22)</f>
        <v>459257388.51894253</v>
      </c>
      <c r="I23" s="169">
        <f t="shared" ref="I23:K23" si="5">SUM(I10:I22)</f>
        <v>371428667.14905</v>
      </c>
      <c r="J23" s="169">
        <f t="shared" si="5"/>
        <v>-16647890.529999999</v>
      </c>
      <c r="K23" s="169">
        <f t="shared" si="5"/>
        <v>16624014.167599998</v>
      </c>
      <c r="L23" s="169">
        <f>SUM(L10:L22)</f>
        <v>5841065.1067046644</v>
      </c>
      <c r="M23" s="169">
        <f t="shared" ref="M23:S23" si="6">SUM(M10:M22)</f>
        <v>-3193304.5836199997</v>
      </c>
      <c r="N23" s="169">
        <f t="shared" si="6"/>
        <v>23475187.485300001</v>
      </c>
      <c r="O23" s="169">
        <f t="shared" si="6"/>
        <v>0</v>
      </c>
      <c r="P23" s="169">
        <f t="shared" si="6"/>
        <v>0</v>
      </c>
      <c r="Q23" s="169">
        <f t="shared" si="6"/>
        <v>54974162.95000001</v>
      </c>
      <c r="R23" s="169">
        <f t="shared" si="6"/>
        <v>5926740.1487099994</v>
      </c>
      <c r="S23" s="170">
        <f t="shared" si="6"/>
        <v>917686030.41268718</v>
      </c>
      <c r="T23" s="169">
        <f>SUM(T10:T22)</f>
        <v>-1075773.1133353522</v>
      </c>
      <c r="U23" s="171">
        <f t="shared" si="3"/>
        <v>-1.172267069219276E-3</v>
      </c>
      <c r="V23" s="163"/>
    </row>
    <row r="24" spans="2:24" s="180" customFormat="1" x14ac:dyDescent="0.25">
      <c r="B24" s="172"/>
      <c r="C24" s="173"/>
      <c r="D24" s="174"/>
      <c r="E24" s="175"/>
      <c r="F24" s="175"/>
      <c r="G24" s="176"/>
      <c r="H24" s="177"/>
      <c r="I24" s="176"/>
      <c r="J24" s="176"/>
      <c r="K24" s="176"/>
      <c r="L24" s="175"/>
      <c r="M24" s="176"/>
      <c r="N24" s="175"/>
      <c r="O24" s="175"/>
      <c r="P24" s="175"/>
      <c r="Q24" s="175"/>
      <c r="R24" s="175"/>
      <c r="S24" s="175"/>
      <c r="T24" s="178"/>
      <c r="U24" s="179"/>
    </row>
    <row r="25" spans="2:24" s="180" customFormat="1" ht="17.25" x14ac:dyDescent="0.25">
      <c r="B25" s="172" t="s">
        <v>179</v>
      </c>
      <c r="C25" s="172"/>
      <c r="D25" s="274">
        <v>397262</v>
      </c>
      <c r="E25" s="166">
        <v>5943249.8599999994</v>
      </c>
      <c r="F25" s="181">
        <f>E25/D25</f>
        <v>14.960529474251249</v>
      </c>
      <c r="G25" s="275">
        <v>345700</v>
      </c>
      <c r="H25" s="163">
        <f t="shared" ref="H25" si="7">F25*G25</f>
        <v>5171855.0392486565</v>
      </c>
      <c r="I25" s="276"/>
      <c r="J25" s="277"/>
      <c r="K25" s="277"/>
      <c r="L25" s="166">
        <v>0</v>
      </c>
      <c r="M25" s="166">
        <v>-48398.000000000007</v>
      </c>
      <c r="N25" s="166">
        <v>203963</v>
      </c>
      <c r="O25" s="166">
        <v>0</v>
      </c>
      <c r="P25" s="166">
        <v>0</v>
      </c>
      <c r="Q25" s="166"/>
      <c r="R25" s="278">
        <v>0</v>
      </c>
      <c r="S25" s="164">
        <f>SUM(H25:R25)</f>
        <v>5327420.0392486565</v>
      </c>
      <c r="T25" s="161"/>
      <c r="U25" s="165">
        <f>T25/S25</f>
        <v>0</v>
      </c>
      <c r="V25" s="179"/>
      <c r="W25" s="182"/>
      <c r="X25" s="183"/>
    </row>
    <row r="26" spans="2:24" s="180" customFormat="1" x14ac:dyDescent="0.25">
      <c r="B26" s="184" t="s">
        <v>0</v>
      </c>
      <c r="C26" s="184"/>
      <c r="D26" s="185"/>
      <c r="E26" s="186">
        <f>E23+E25</f>
        <v>427890601.26988763</v>
      </c>
      <c r="F26" s="187"/>
      <c r="G26" s="187"/>
      <c r="H26" s="186">
        <f>H23+H25</f>
        <v>464429243.55819118</v>
      </c>
      <c r="I26" s="186">
        <f t="shared" ref="I26:K26" si="8">I23+I25</f>
        <v>371428667.14905</v>
      </c>
      <c r="J26" s="186">
        <f t="shared" si="8"/>
        <v>-16647890.529999999</v>
      </c>
      <c r="K26" s="186">
        <f t="shared" si="8"/>
        <v>16624014.167599998</v>
      </c>
      <c r="L26" s="186">
        <f>L23+L25</f>
        <v>5841065.1067046644</v>
      </c>
      <c r="M26" s="186">
        <f t="shared" ref="M26:T26" si="9">M23+M25</f>
        <v>-3241702.5836199997</v>
      </c>
      <c r="N26" s="186">
        <f t="shared" si="9"/>
        <v>23679150.485300001</v>
      </c>
      <c r="O26" s="186">
        <f t="shared" si="9"/>
        <v>0</v>
      </c>
      <c r="P26" s="186">
        <f t="shared" si="9"/>
        <v>0</v>
      </c>
      <c r="Q26" s="186">
        <f t="shared" si="9"/>
        <v>54974162.95000001</v>
      </c>
      <c r="R26" s="186">
        <f t="shared" si="9"/>
        <v>5926740.1487099994</v>
      </c>
      <c r="S26" s="186">
        <f t="shared" si="9"/>
        <v>923013450.45193589</v>
      </c>
      <c r="T26" s="186">
        <f t="shared" si="9"/>
        <v>-1075773.1133353522</v>
      </c>
      <c r="U26" s="171">
        <f>T26/S26</f>
        <v>-1.1655010149728808E-3</v>
      </c>
      <c r="V26" s="179"/>
    </row>
    <row r="27" spans="2:24" x14ac:dyDescent="0.25">
      <c r="D27" s="188"/>
      <c r="E27" s="163"/>
      <c r="L27" s="163"/>
      <c r="O27" s="163"/>
      <c r="P27" s="163"/>
      <c r="Q27" s="163"/>
      <c r="S27" s="163"/>
      <c r="U27" s="189"/>
    </row>
    <row r="28" spans="2:24" x14ac:dyDescent="0.25">
      <c r="D28" s="188"/>
      <c r="E28" s="163"/>
      <c r="G28" s="188"/>
      <c r="L28" s="163"/>
      <c r="O28" s="163"/>
      <c r="P28" s="163"/>
      <c r="Q28" s="163"/>
      <c r="S28" s="163"/>
      <c r="U28" s="189"/>
    </row>
    <row r="29" spans="2:24" s="180" customFormat="1" x14ac:dyDescent="0.25">
      <c r="B29" s="190" t="s">
        <v>180</v>
      </c>
      <c r="C29" s="190"/>
      <c r="D29" s="185"/>
      <c r="E29" s="191"/>
      <c r="T29" s="192"/>
      <c r="U29" s="179"/>
    </row>
    <row r="30" spans="2:24" s="180" customFormat="1" x14ac:dyDescent="0.25">
      <c r="B30" s="184" t="s">
        <v>181</v>
      </c>
      <c r="C30" s="184"/>
      <c r="D30" s="193">
        <f>D10+D11</f>
        <v>577541090.47699988</v>
      </c>
      <c r="E30" s="194">
        <f>E10+E11</f>
        <v>299354468.56167698</v>
      </c>
      <c r="F30" s="187"/>
      <c r="H30" s="194">
        <f>H10+H11</f>
        <v>326483209.99382603</v>
      </c>
      <c r="L30" s="194"/>
      <c r="O30" s="194"/>
      <c r="P30" s="194"/>
      <c r="Q30" s="194"/>
      <c r="S30" s="194">
        <f>S10+S11</f>
        <v>641819288.51186609</v>
      </c>
      <c r="T30" s="163">
        <f>SUM(T10:T11)</f>
        <v>-1272338.4302000003</v>
      </c>
      <c r="U30" s="165">
        <f t="shared" ref="U30:U37" si="10">T30/S30</f>
        <v>-1.9823935693021435E-3</v>
      </c>
      <c r="V30" s="195"/>
    </row>
    <row r="31" spans="2:24" s="180" customFormat="1" x14ac:dyDescent="0.25">
      <c r="B31" s="196" t="s">
        <v>182</v>
      </c>
      <c r="C31" s="196"/>
      <c r="D31" s="193">
        <f>D12+D17</f>
        <v>214587104.22299999</v>
      </c>
      <c r="E31" s="194">
        <f>E12+E17</f>
        <v>87006528.950000003</v>
      </c>
      <c r="F31" s="197"/>
      <c r="H31" s="194">
        <f>H12+H17</f>
        <v>96066385.730086416</v>
      </c>
      <c r="I31" s="198"/>
      <c r="J31" s="198"/>
      <c r="K31" s="198"/>
      <c r="L31" s="194"/>
      <c r="M31" s="198"/>
      <c r="N31" s="198"/>
      <c r="O31" s="194"/>
      <c r="P31" s="194"/>
      <c r="Q31" s="194"/>
      <c r="R31" s="198"/>
      <c r="S31" s="194">
        <f>S12+S17</f>
        <v>195261331.91807637</v>
      </c>
      <c r="T31" s="163">
        <f>SUM(T12,T17)</f>
        <v>154006.36484999995</v>
      </c>
      <c r="U31" s="165">
        <f t="shared" si="10"/>
        <v>7.8871921714953111E-4</v>
      </c>
    </row>
    <row r="32" spans="2:24" s="180" customFormat="1" x14ac:dyDescent="0.25">
      <c r="B32" s="184" t="s">
        <v>183</v>
      </c>
      <c r="C32" s="184"/>
      <c r="D32" s="193">
        <f t="shared" ref="D32:E35" si="11">D13+D18</f>
        <v>83692776.103</v>
      </c>
      <c r="E32" s="194">
        <f t="shared" si="11"/>
        <v>18193306.05245477</v>
      </c>
      <c r="F32" s="197"/>
      <c r="H32" s="194">
        <f>H13+H18</f>
        <v>19599472.35215994</v>
      </c>
      <c r="I32" s="198"/>
      <c r="J32" s="198"/>
      <c r="K32" s="198"/>
      <c r="L32" s="194"/>
      <c r="M32" s="198"/>
      <c r="N32" s="198"/>
      <c r="O32" s="194"/>
      <c r="P32" s="194"/>
      <c r="Q32" s="194"/>
      <c r="R32" s="198"/>
      <c r="S32" s="194">
        <f>S13+S18</f>
        <v>46177788.832739942</v>
      </c>
      <c r="T32" s="163">
        <f>SUM(T13,T18)</f>
        <v>25339.899479999971</v>
      </c>
      <c r="U32" s="165">
        <f t="shared" si="10"/>
        <v>5.4874648874555989E-4</v>
      </c>
    </row>
    <row r="33" spans="2:21" s="180" customFormat="1" x14ac:dyDescent="0.25">
      <c r="B33" s="184" t="s">
        <v>184</v>
      </c>
      <c r="C33" s="184"/>
      <c r="D33" s="193">
        <f t="shared" si="11"/>
        <v>96619860.699000001</v>
      </c>
      <c r="E33" s="194">
        <f t="shared" si="11"/>
        <v>9021134.5600000005</v>
      </c>
      <c r="F33" s="197"/>
      <c r="H33" s="194">
        <f>H14+H19</f>
        <v>8905257.7681707852</v>
      </c>
      <c r="I33" s="198"/>
      <c r="J33" s="198"/>
      <c r="K33" s="198"/>
      <c r="L33" s="194"/>
      <c r="M33" s="198"/>
      <c r="N33" s="198"/>
      <c r="O33" s="194"/>
      <c r="P33" s="194"/>
      <c r="Q33" s="194"/>
      <c r="R33" s="198"/>
      <c r="S33" s="194">
        <f>S14+S19</f>
        <v>14804347.824299043</v>
      </c>
      <c r="T33" s="163">
        <f>SUM(T14,T19)</f>
        <v>10461.709896535125</v>
      </c>
      <c r="U33" s="165">
        <f t="shared" si="10"/>
        <v>7.0666469206862655E-4</v>
      </c>
    </row>
    <row r="34" spans="2:21" s="180" customFormat="1" x14ac:dyDescent="0.25">
      <c r="B34" s="184" t="s">
        <v>185</v>
      </c>
      <c r="C34" s="184"/>
      <c r="D34" s="193">
        <f t="shared" si="11"/>
        <v>10298663.83</v>
      </c>
      <c r="E34" s="194">
        <f t="shared" si="11"/>
        <v>2186532.87</v>
      </c>
      <c r="F34" s="197"/>
      <c r="H34" s="194">
        <f>H15+H20</f>
        <v>2033249.1757212388</v>
      </c>
      <c r="I34" s="198"/>
      <c r="J34" s="198"/>
      <c r="K34" s="198"/>
      <c r="L34" s="199"/>
      <c r="M34" s="198"/>
      <c r="N34" s="198"/>
      <c r="O34" s="199"/>
      <c r="P34" s="199"/>
      <c r="Q34" s="199"/>
      <c r="R34" s="198"/>
      <c r="S34" s="194">
        <f>S15+S20</f>
        <v>5506590.0206612386</v>
      </c>
      <c r="T34" s="163">
        <f>SUM(T15,T20)</f>
        <v>2492.1522600000003</v>
      </c>
      <c r="U34" s="165">
        <f t="shared" si="10"/>
        <v>4.5257632230640249E-4</v>
      </c>
    </row>
    <row r="35" spans="2:21" s="180" customFormat="1" x14ac:dyDescent="0.25">
      <c r="B35" s="172" t="s">
        <v>186</v>
      </c>
      <c r="C35" s="172"/>
      <c r="D35" s="193">
        <f t="shared" si="11"/>
        <v>122588020.23800001</v>
      </c>
      <c r="E35" s="194">
        <f t="shared" si="11"/>
        <v>4719439.0600000005</v>
      </c>
      <c r="F35" s="197"/>
      <c r="G35" s="187"/>
      <c r="H35" s="194">
        <f>H16+H21</f>
        <v>4747119.2230336545</v>
      </c>
      <c r="I35" s="197"/>
      <c r="J35" s="197"/>
      <c r="K35" s="197"/>
      <c r="L35" s="199"/>
      <c r="M35" s="197"/>
      <c r="N35" s="197"/>
      <c r="O35" s="199"/>
      <c r="P35" s="199"/>
      <c r="Q35" s="199"/>
      <c r="R35" s="197"/>
      <c r="S35" s="194">
        <f>S16+S21</f>
        <v>12534677.31164006</v>
      </c>
      <c r="T35" s="163">
        <f>SUM(T16,T21)</f>
        <v>4265.1903781134206</v>
      </c>
      <c r="U35" s="165">
        <f t="shared" si="10"/>
        <v>3.4027125486131527E-4</v>
      </c>
    </row>
    <row r="36" spans="2:21" s="180" customFormat="1" x14ac:dyDescent="0.25">
      <c r="B36" s="200" t="s">
        <v>178</v>
      </c>
      <c r="C36" s="172"/>
      <c r="D36" s="193">
        <f>D22</f>
        <v>37223237.460000001</v>
      </c>
      <c r="E36" s="194">
        <f>E22</f>
        <v>1465941.3557558353</v>
      </c>
      <c r="F36" s="197"/>
      <c r="G36" s="187"/>
      <c r="H36" s="194">
        <f>H22</f>
        <v>1422694.2759444562</v>
      </c>
      <c r="I36" s="197"/>
      <c r="J36" s="197"/>
      <c r="K36" s="197"/>
      <c r="L36" s="199"/>
      <c r="M36" s="197"/>
      <c r="N36" s="197"/>
      <c r="O36" s="199"/>
      <c r="P36" s="199"/>
      <c r="Q36" s="199"/>
      <c r="R36" s="197"/>
      <c r="S36" s="194">
        <f>S22</f>
        <v>1582005.9934044562</v>
      </c>
      <c r="T36" s="163">
        <f>T22</f>
        <v>0</v>
      </c>
      <c r="U36" s="165">
        <f t="shared" si="10"/>
        <v>0</v>
      </c>
    </row>
    <row r="37" spans="2:21" s="180" customFormat="1" x14ac:dyDescent="0.25">
      <c r="B37" s="201" t="s">
        <v>1</v>
      </c>
      <c r="C37" s="201"/>
      <c r="D37" s="202">
        <f>SUM(D30:D36)</f>
        <v>1142550753.03</v>
      </c>
      <c r="E37" s="203">
        <f>SUM(E30:E36)</f>
        <v>421947351.40988755</v>
      </c>
      <c r="F37" s="187"/>
      <c r="G37" s="187"/>
      <c r="H37" s="203">
        <f>SUM(H30:H36)</f>
        <v>459257388.51894253</v>
      </c>
      <c r="I37" s="187"/>
      <c r="J37" s="187"/>
      <c r="K37" s="197"/>
      <c r="L37" s="199"/>
      <c r="M37" s="197"/>
      <c r="N37" s="197"/>
      <c r="O37" s="199"/>
      <c r="P37" s="199"/>
      <c r="Q37" s="199"/>
      <c r="R37" s="197"/>
      <c r="S37" s="203">
        <f>SUM(S30:S36)</f>
        <v>917686030.4126873</v>
      </c>
      <c r="T37" s="203">
        <f>SUM(T30:T36)</f>
        <v>-1075773.1133353519</v>
      </c>
      <c r="U37" s="171">
        <f t="shared" si="10"/>
        <v>-1.1722670692192756E-3</v>
      </c>
    </row>
    <row r="38" spans="2:21" s="180" customFormat="1" x14ac:dyDescent="0.25">
      <c r="B38" s="172"/>
      <c r="C38" s="172"/>
      <c r="D38" s="193"/>
      <c r="E38" s="194"/>
      <c r="F38" s="187"/>
      <c r="G38" s="187"/>
      <c r="H38" s="194"/>
      <c r="I38" s="187"/>
      <c r="J38" s="187"/>
      <c r="K38" s="197"/>
      <c r="L38" s="199"/>
      <c r="M38" s="197"/>
      <c r="N38" s="197"/>
      <c r="O38" s="199"/>
      <c r="P38" s="199"/>
      <c r="Q38" s="199"/>
      <c r="R38" s="197"/>
      <c r="S38" s="194"/>
      <c r="T38" s="194"/>
      <c r="U38" s="165"/>
    </row>
    <row r="39" spans="2:21" s="180" customFormat="1" x14ac:dyDescent="0.25">
      <c r="B39" s="172" t="s">
        <v>187</v>
      </c>
      <c r="C39" s="172"/>
      <c r="D39" s="193"/>
      <c r="E39" s="194">
        <f>E25</f>
        <v>5943249.8599999994</v>
      </c>
      <c r="F39" s="187"/>
      <c r="G39" s="187"/>
      <c r="H39" s="194">
        <f>H25</f>
        <v>5171855.0392486565</v>
      </c>
      <c r="I39" s="187"/>
      <c r="J39" s="187"/>
      <c r="K39" s="197"/>
      <c r="L39" s="199"/>
      <c r="M39" s="197"/>
      <c r="N39" s="197"/>
      <c r="O39" s="199"/>
      <c r="P39" s="199"/>
      <c r="Q39" s="199"/>
      <c r="R39" s="197"/>
      <c r="S39" s="194">
        <f>S25</f>
        <v>5327420.0392486565</v>
      </c>
      <c r="T39" s="163">
        <f>T25</f>
        <v>0</v>
      </c>
      <c r="U39" s="165">
        <f>T39/S39</f>
        <v>0</v>
      </c>
    </row>
    <row r="40" spans="2:21" s="187" customFormat="1" x14ac:dyDescent="0.25">
      <c r="B40" s="184" t="s">
        <v>0</v>
      </c>
      <c r="C40" s="184"/>
      <c r="D40" s="202">
        <f>D39+D37</f>
        <v>1142550753.03</v>
      </c>
      <c r="E40" s="203">
        <f>E39+E37</f>
        <v>427890601.26988757</v>
      </c>
      <c r="G40" s="180"/>
      <c r="H40" s="203">
        <f>H39+H37</f>
        <v>464429243.55819118</v>
      </c>
      <c r="L40" s="199"/>
      <c r="O40" s="199"/>
      <c r="P40" s="199"/>
      <c r="Q40" s="199"/>
      <c r="S40" s="203">
        <f>S39+S37</f>
        <v>923013450.45193601</v>
      </c>
      <c r="T40" s="203">
        <f>T39+T37</f>
        <v>-1075773.1133353519</v>
      </c>
      <c r="U40" s="171">
        <f>T40/S40</f>
        <v>-1.1655010149728806E-3</v>
      </c>
    </row>
    <row r="41" spans="2:21" s="180" customFormat="1" x14ac:dyDescent="0.25">
      <c r="B41" s="187"/>
      <c r="C41" s="187"/>
      <c r="D41" s="187"/>
      <c r="E41" s="187"/>
      <c r="F41" s="187"/>
      <c r="I41" s="198"/>
      <c r="L41" s="187"/>
      <c r="N41" s="187"/>
      <c r="O41" s="187"/>
      <c r="P41" s="187"/>
      <c r="Q41" s="187"/>
      <c r="R41" s="187"/>
      <c r="S41" s="187"/>
      <c r="T41" s="204"/>
    </row>
    <row r="42" spans="2:21" ht="17.25" x14ac:dyDescent="0.25">
      <c r="B42" t="s">
        <v>188</v>
      </c>
      <c r="D42" s="188"/>
      <c r="E42" s="188"/>
      <c r="H42" s="205"/>
      <c r="L42" s="188"/>
      <c r="O42" s="188"/>
      <c r="P42" s="188"/>
      <c r="Q42" s="188"/>
      <c r="S42" s="188"/>
    </row>
    <row r="43" spans="2:21" ht="17.25" x14ac:dyDescent="0.25">
      <c r="B43" t="s">
        <v>189</v>
      </c>
      <c r="D43" s="188"/>
      <c r="E43" s="188"/>
      <c r="L43" s="188"/>
      <c r="O43" s="188"/>
      <c r="P43" s="188"/>
      <c r="Q43" s="188"/>
      <c r="S43" s="188"/>
    </row>
    <row r="44" spans="2:21" x14ac:dyDescent="0.25">
      <c r="B44" s="206"/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5"/>
  <sheetViews>
    <sheetView zoomScaleNormal="100" workbookViewId="0">
      <selection activeCell="L17" sqref="L17"/>
    </sheetView>
  </sheetViews>
  <sheetFormatPr defaultColWidth="9.140625" defaultRowHeight="15" x14ac:dyDescent="0.25"/>
  <cols>
    <col min="1" max="1" width="2.140625" style="208" customWidth="1"/>
    <col min="2" max="2" width="2.42578125" style="208" customWidth="1"/>
    <col min="3" max="3" width="37.140625" style="208" customWidth="1"/>
    <col min="4" max="5" width="13.140625" style="208" customWidth="1"/>
    <col min="6" max="6" width="2.7109375" style="209" customWidth="1"/>
    <col min="7" max="8" width="13.140625" style="208" customWidth="1"/>
    <col min="9" max="16384" width="9.140625" style="208"/>
  </cols>
  <sheetData>
    <row r="1" spans="2:9" x14ac:dyDescent="0.25">
      <c r="B1" s="382" t="s">
        <v>13</v>
      </c>
      <c r="C1" s="382"/>
      <c r="D1" s="382"/>
      <c r="E1" s="382"/>
      <c r="F1" s="382"/>
      <c r="G1" s="382"/>
      <c r="H1" s="382"/>
      <c r="I1" s="207"/>
    </row>
    <row r="2" spans="2:9" x14ac:dyDescent="0.25">
      <c r="B2" s="382" t="s">
        <v>121</v>
      </c>
      <c r="C2" s="382"/>
      <c r="D2" s="382"/>
      <c r="E2" s="382"/>
      <c r="F2" s="382"/>
      <c r="G2" s="382"/>
      <c r="H2" s="382"/>
      <c r="I2" s="207"/>
    </row>
    <row r="3" spans="2:9" x14ac:dyDescent="0.25">
      <c r="B3" s="380" t="s">
        <v>190</v>
      </c>
      <c r="C3" s="380"/>
      <c r="D3" s="380"/>
      <c r="E3" s="380"/>
      <c r="F3" s="380"/>
      <c r="G3" s="380"/>
      <c r="H3" s="380"/>
      <c r="I3" s="207"/>
    </row>
    <row r="4" spans="2:9" x14ac:dyDescent="0.25">
      <c r="B4" s="380" t="s">
        <v>233</v>
      </c>
      <c r="C4" s="380"/>
      <c r="D4" s="380"/>
      <c r="E4" s="380"/>
      <c r="F4" s="380"/>
      <c r="G4" s="380"/>
      <c r="H4" s="380"/>
      <c r="I4" s="207"/>
    </row>
    <row r="5" spans="2:9" x14ac:dyDescent="0.25">
      <c r="I5" s="207"/>
    </row>
    <row r="6" spans="2:9" x14ac:dyDescent="0.25">
      <c r="D6" s="210" t="s">
        <v>191</v>
      </c>
      <c r="E6" s="210"/>
      <c r="F6" s="211"/>
      <c r="G6" s="210" t="s">
        <v>192</v>
      </c>
      <c r="H6" s="210"/>
      <c r="I6" s="207"/>
    </row>
    <row r="7" spans="2:9" ht="17.25" x14ac:dyDescent="0.25">
      <c r="D7" s="212" t="s">
        <v>193</v>
      </c>
      <c r="E7" s="212" t="s">
        <v>194</v>
      </c>
      <c r="F7" s="213"/>
      <c r="G7" s="212" t="s">
        <v>195</v>
      </c>
      <c r="H7" s="212" t="s">
        <v>194</v>
      </c>
      <c r="I7" s="207"/>
    </row>
    <row r="8" spans="2:9" x14ac:dyDescent="0.25">
      <c r="B8" s="208" t="s">
        <v>196</v>
      </c>
      <c r="D8" s="214">
        <v>64</v>
      </c>
      <c r="E8" s="215"/>
      <c r="F8" s="216"/>
      <c r="G8" s="214">
        <v>64</v>
      </c>
      <c r="H8" s="215"/>
      <c r="I8" s="207"/>
    </row>
    <row r="9" spans="2:9" x14ac:dyDescent="0.25">
      <c r="D9" s="214"/>
      <c r="E9" s="215"/>
      <c r="F9" s="216"/>
      <c r="G9" s="214"/>
      <c r="H9" s="215"/>
      <c r="I9" s="207"/>
    </row>
    <row r="10" spans="2:9" x14ac:dyDescent="0.25">
      <c r="B10" s="208" t="s">
        <v>197</v>
      </c>
      <c r="D10" s="214"/>
      <c r="E10" s="215"/>
      <c r="F10" s="216"/>
      <c r="G10" s="214"/>
      <c r="H10" s="215"/>
      <c r="I10" s="207"/>
    </row>
    <row r="11" spans="2:9" x14ac:dyDescent="0.25">
      <c r="C11" s="208" t="s">
        <v>198</v>
      </c>
      <c r="D11" s="217">
        <v>11</v>
      </c>
      <c r="E11" s="215">
        <f>D11</f>
        <v>11</v>
      </c>
      <c r="F11" s="218"/>
      <c r="G11" s="219">
        <f>D11</f>
        <v>11</v>
      </c>
      <c r="H11" s="215">
        <f>G11</f>
        <v>11</v>
      </c>
    </row>
    <row r="12" spans="2:9" x14ac:dyDescent="0.25">
      <c r="C12" s="208" t="s">
        <v>199</v>
      </c>
      <c r="D12" s="220">
        <v>0</v>
      </c>
      <c r="E12" s="221">
        <f>D12</f>
        <v>0</v>
      </c>
      <c r="F12" s="218"/>
      <c r="G12" s="222">
        <f>D12</f>
        <v>0</v>
      </c>
      <c r="H12" s="221">
        <f>G12</f>
        <v>0</v>
      </c>
    </row>
    <row r="13" spans="2:9" x14ac:dyDescent="0.25">
      <c r="C13" s="208" t="s">
        <v>1</v>
      </c>
      <c r="D13" s="219">
        <f>SUM(D11:D12)</f>
        <v>11</v>
      </c>
      <c r="E13" s="219">
        <f>SUM(E11:E12)</f>
        <v>11</v>
      </c>
      <c r="F13" s="218"/>
      <c r="G13" s="219">
        <f>SUM(G11:G12)</f>
        <v>11</v>
      </c>
      <c r="H13" s="219">
        <f>SUM(H11:H12)</f>
        <v>11</v>
      </c>
    </row>
    <row r="14" spans="2:9" x14ac:dyDescent="0.25">
      <c r="D14" s="217"/>
      <c r="E14" s="215"/>
      <c r="F14" s="218"/>
      <c r="G14" s="219"/>
      <c r="H14" s="215"/>
    </row>
    <row r="15" spans="2:9" x14ac:dyDescent="0.25">
      <c r="B15" s="208" t="s">
        <v>200</v>
      </c>
      <c r="E15" s="215"/>
      <c r="H15" s="215"/>
    </row>
    <row r="16" spans="2:9" x14ac:dyDescent="0.25">
      <c r="C16" s="208" t="s">
        <v>201</v>
      </c>
      <c r="D16" s="223">
        <v>0.34603</v>
      </c>
      <c r="E16" s="215"/>
      <c r="F16" s="224"/>
      <c r="G16" s="225">
        <f>D16</f>
        <v>0.34603</v>
      </c>
      <c r="H16" s="215"/>
    </row>
    <row r="17" spans="3:8" x14ac:dyDescent="0.25">
      <c r="C17" s="208" t="s">
        <v>202</v>
      </c>
      <c r="D17" s="223">
        <v>2.4479999999999998E-2</v>
      </c>
      <c r="E17" s="215"/>
      <c r="F17" s="224"/>
      <c r="G17" s="225">
        <f>D17</f>
        <v>2.4479999999999998E-2</v>
      </c>
      <c r="H17" s="215"/>
    </row>
    <row r="18" spans="3:8" x14ac:dyDescent="0.25">
      <c r="C18" s="208" t="s">
        <v>199</v>
      </c>
      <c r="D18" s="223">
        <v>0</v>
      </c>
      <c r="E18" s="215"/>
      <c r="F18" s="224"/>
      <c r="G18" s="225">
        <f t="shared" ref="G18:G19" si="0">D18</f>
        <v>0</v>
      </c>
      <c r="H18" s="215"/>
    </row>
    <row r="19" spans="3:8" x14ac:dyDescent="0.25">
      <c r="C19" s="208" t="s">
        <v>203</v>
      </c>
      <c r="D19" s="223">
        <v>8.1549999999999997E-2</v>
      </c>
      <c r="E19" s="215"/>
      <c r="F19" s="224"/>
      <c r="G19" s="225">
        <f t="shared" si="0"/>
        <v>8.1549999999999997E-2</v>
      </c>
      <c r="H19" s="215"/>
    </row>
    <row r="20" spans="3:8" x14ac:dyDescent="0.25">
      <c r="C20" s="208" t="s">
        <v>204</v>
      </c>
      <c r="D20" s="226">
        <v>7.3899999999999999E-3</v>
      </c>
      <c r="E20" s="215"/>
      <c r="F20" s="224"/>
      <c r="G20" s="227">
        <f>'Schedule 129 Revenue'!F8</f>
        <v>5.3699999999999998E-3</v>
      </c>
      <c r="H20" s="215"/>
    </row>
    <row r="21" spans="3:8" x14ac:dyDescent="0.25">
      <c r="C21" s="208" t="s">
        <v>205</v>
      </c>
      <c r="D21" s="228">
        <v>6.2399999999999999E-3</v>
      </c>
      <c r="E21" s="215"/>
      <c r="F21" s="224"/>
      <c r="G21" s="229">
        <f>D21</f>
        <v>6.2399999999999999E-3</v>
      </c>
      <c r="H21" s="215"/>
    </row>
    <row r="22" spans="3:8" x14ac:dyDescent="0.25">
      <c r="C22" s="208" t="s">
        <v>1</v>
      </c>
      <c r="D22" s="230">
        <f>SUM(D16:D21)</f>
        <v>0.46569000000000005</v>
      </c>
      <c r="E22" s="215">
        <f>ROUND(D22*D$8,2)</f>
        <v>29.8</v>
      </c>
      <c r="F22" s="224"/>
      <c r="G22" s="230">
        <f>SUM(G16:G21)</f>
        <v>0.46367000000000003</v>
      </c>
      <c r="H22" s="215">
        <f>ROUND(G22*G$8,2)</f>
        <v>29.67</v>
      </c>
    </row>
    <row r="23" spans="3:8" x14ac:dyDescent="0.25">
      <c r="D23" s="225"/>
      <c r="E23" s="215"/>
      <c r="F23" s="224"/>
      <c r="G23" s="225"/>
      <c r="H23" s="215"/>
    </row>
    <row r="24" spans="3:8" x14ac:dyDescent="0.25">
      <c r="C24" s="208" t="s">
        <v>206</v>
      </c>
      <c r="D24" s="231">
        <v>1.703E-2</v>
      </c>
      <c r="E24" s="215">
        <f>ROUND(D24*D$8,2)</f>
        <v>1.0900000000000001</v>
      </c>
      <c r="F24" s="224"/>
      <c r="G24" s="232">
        <f>D24</f>
        <v>1.703E-2</v>
      </c>
      <c r="H24" s="215">
        <f>ROUND(G24*G$8,2)</f>
        <v>1.0900000000000001</v>
      </c>
    </row>
    <row r="25" spans="3:8" x14ac:dyDescent="0.25">
      <c r="D25" s="233"/>
      <c r="E25" s="215"/>
      <c r="F25" s="224"/>
      <c r="G25" s="225"/>
      <c r="H25" s="215"/>
    </row>
    <row r="26" spans="3:8" x14ac:dyDescent="0.25">
      <c r="C26" s="208" t="s">
        <v>207</v>
      </c>
      <c r="D26" s="231">
        <v>-3.5799999999999998E-3</v>
      </c>
      <c r="E26" s="215">
        <f>ROUND(D26*D$8,2)</f>
        <v>-0.23</v>
      </c>
      <c r="F26" s="224"/>
      <c r="G26" s="229">
        <f>D26</f>
        <v>-3.5799999999999998E-3</v>
      </c>
      <c r="H26" s="215">
        <f>ROUND(G26*G$8,2)</f>
        <v>-0.23</v>
      </c>
    </row>
    <row r="27" spans="3:8" x14ac:dyDescent="0.25">
      <c r="D27" s="233"/>
      <c r="E27" s="215"/>
      <c r="F27" s="224"/>
      <c r="G27" s="225"/>
      <c r="H27" s="215"/>
    </row>
    <row r="28" spans="3:8" x14ac:dyDescent="0.25">
      <c r="C28" s="208" t="s">
        <v>208</v>
      </c>
      <c r="D28" s="231">
        <v>0.38446999999999998</v>
      </c>
      <c r="E28" s="215"/>
      <c r="F28" s="224"/>
      <c r="G28" s="225">
        <f>D28</f>
        <v>0.38446999999999998</v>
      </c>
      <c r="H28" s="215"/>
    </row>
    <row r="29" spans="3:8" x14ac:dyDescent="0.25">
      <c r="C29" s="208" t="s">
        <v>209</v>
      </c>
      <c r="D29" s="231">
        <v>-1.695E-2</v>
      </c>
      <c r="E29" s="215"/>
      <c r="F29" s="224"/>
      <c r="G29" s="225">
        <f t="shared" ref="G29" si="1">D29</f>
        <v>-1.695E-2</v>
      </c>
      <c r="H29" s="215"/>
    </row>
    <row r="30" spans="3:8" x14ac:dyDescent="0.25">
      <c r="C30" s="208" t="s">
        <v>1</v>
      </c>
      <c r="D30" s="230">
        <f>SUM(D28:D29)</f>
        <v>0.36751999999999996</v>
      </c>
      <c r="E30" s="215">
        <f>ROUND(D30*D$8,2)</f>
        <v>23.52</v>
      </c>
      <c r="F30" s="224"/>
      <c r="G30" s="230">
        <f>SUM(G28:G29)</f>
        <v>0.36751999999999996</v>
      </c>
      <c r="H30" s="215">
        <f>ROUND(G30*G$8,2)</f>
        <v>23.52</v>
      </c>
    </row>
    <row r="31" spans="3:8" x14ac:dyDescent="0.25">
      <c r="C31" s="208" t="s">
        <v>210</v>
      </c>
      <c r="D31" s="230">
        <f>D22+D24+D26+D30</f>
        <v>0.84665999999999997</v>
      </c>
      <c r="E31" s="234">
        <f>SUM(E22,E24,E26,E30)</f>
        <v>54.18</v>
      </c>
      <c r="F31" s="235"/>
      <c r="G31" s="230">
        <f>G22+G24+G26+G30</f>
        <v>0.84463999999999995</v>
      </c>
      <c r="H31" s="234">
        <f>SUM(H22,H24,H26,H30)</f>
        <v>54.05</v>
      </c>
    </row>
    <row r="32" spans="3:8" x14ac:dyDescent="0.25">
      <c r="E32" s="215"/>
      <c r="H32" s="215"/>
    </row>
    <row r="33" spans="2:8" x14ac:dyDescent="0.25">
      <c r="B33" s="208" t="s">
        <v>211</v>
      </c>
      <c r="D33" s="219"/>
      <c r="E33" s="215">
        <f>E13+E31</f>
        <v>65.180000000000007</v>
      </c>
      <c r="F33" s="236"/>
      <c r="G33" s="219"/>
      <c r="H33" s="215">
        <f>H13+H31</f>
        <v>65.05</v>
      </c>
    </row>
    <row r="34" spans="2:8" x14ac:dyDescent="0.25">
      <c r="B34" s="208" t="s">
        <v>212</v>
      </c>
      <c r="D34" s="219"/>
      <c r="E34" s="215"/>
      <c r="F34" s="236"/>
      <c r="G34" s="219"/>
      <c r="H34" s="215">
        <f>H33-$E33</f>
        <v>-0.13000000000000966</v>
      </c>
    </row>
    <row r="35" spans="2:8" x14ac:dyDescent="0.25">
      <c r="B35" s="208" t="s">
        <v>213</v>
      </c>
      <c r="D35" s="237"/>
      <c r="E35" s="237"/>
      <c r="F35" s="238"/>
      <c r="G35" s="237"/>
      <c r="H35" s="239">
        <f>H34/$E33</f>
        <v>-1.994476833384622E-3</v>
      </c>
    </row>
    <row r="36" spans="2:8" x14ac:dyDescent="0.25">
      <c r="E36" s="215"/>
    </row>
    <row r="37" spans="2:8" x14ac:dyDescent="0.25">
      <c r="B37" s="208" t="s">
        <v>214</v>
      </c>
      <c r="D37" s="225">
        <f>D22+D24+D26</f>
        <v>0.47914000000000001</v>
      </c>
      <c r="E37" s="215"/>
      <c r="F37" s="235"/>
      <c r="G37" s="225">
        <f>G22+G24+G26</f>
        <v>0.47711999999999999</v>
      </c>
    </row>
    <row r="39" spans="2:8" ht="17.25" x14ac:dyDescent="0.25">
      <c r="B39" s="240" t="s">
        <v>215</v>
      </c>
    </row>
    <row r="40" spans="2:8" x14ac:dyDescent="0.25">
      <c r="C40" s="240"/>
      <c r="D40" s="240"/>
      <c r="E40" s="240"/>
      <c r="F40" s="241"/>
      <c r="G40" s="241"/>
      <c r="H40" s="241"/>
    </row>
    <row r="45" spans="2:8" ht="14.25" customHeight="1" x14ac:dyDescent="0.25"/>
  </sheetData>
  <mergeCells count="4">
    <mergeCell ref="B1:H1"/>
    <mergeCell ref="B2:H2"/>
    <mergeCell ref="B3:H3"/>
    <mergeCell ref="B4:H4"/>
  </mergeCells>
  <printOptions horizontalCentered="1"/>
  <pageMargins left="0.75" right="0.75" top="1" bottom="1" header="0.5" footer="0.5"/>
  <pageSetup scale="82" orientation="landscape" blackAndWhite="1" r:id="rId1"/>
  <headerFooter alignWithMargins="0">
    <oddFooter>&amp;L&amp;F 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L14" sqref="L14"/>
    </sheetView>
  </sheetViews>
  <sheetFormatPr defaultColWidth="9.140625" defaultRowHeight="12.75" x14ac:dyDescent="0.2"/>
  <cols>
    <col min="1" max="1" width="3.5703125" style="129" customWidth="1"/>
    <col min="2" max="2" width="17.85546875" style="129" customWidth="1"/>
    <col min="3" max="3" width="8.7109375" style="129" bestFit="1" customWidth="1"/>
    <col min="4" max="4" width="18.7109375" style="129" customWidth="1"/>
    <col min="5" max="6" width="12.85546875" style="129" customWidth="1"/>
    <col min="7" max="7" width="15.42578125" style="129" bestFit="1" customWidth="1"/>
    <col min="8" max="8" width="16.5703125" style="129" bestFit="1" customWidth="1"/>
    <col min="9" max="9" width="15.42578125" style="129" bestFit="1" customWidth="1"/>
    <col min="10" max="10" width="15.42578125" style="129" customWidth="1"/>
    <col min="11" max="11" width="11.85546875" style="129" bestFit="1" customWidth="1"/>
    <col min="12" max="12" width="11.28515625" style="129" bestFit="1" customWidth="1"/>
    <col min="13" max="13" width="10.5703125" style="129" customWidth="1"/>
    <col min="14" max="16384" width="9.140625" style="129"/>
  </cols>
  <sheetData>
    <row r="1" spans="1:10" ht="15" customHeight="1" x14ac:dyDescent="0.2">
      <c r="A1" s="377" t="s">
        <v>13</v>
      </c>
      <c r="B1" s="377"/>
      <c r="C1" s="377"/>
      <c r="D1" s="377"/>
      <c r="E1" s="377"/>
      <c r="F1" s="377"/>
      <c r="G1" s="377"/>
      <c r="H1" s="377"/>
      <c r="I1" s="377"/>
      <c r="J1" s="242"/>
    </row>
    <row r="2" spans="1:10" ht="15" customHeight="1" x14ac:dyDescent="0.2">
      <c r="A2" s="377" t="s">
        <v>121</v>
      </c>
      <c r="B2" s="377"/>
      <c r="C2" s="377"/>
      <c r="D2" s="377"/>
      <c r="E2" s="377"/>
      <c r="F2" s="377"/>
      <c r="G2" s="377"/>
      <c r="H2" s="377"/>
      <c r="I2" s="377"/>
      <c r="J2" s="242"/>
    </row>
    <row r="3" spans="1:10" ht="15" customHeight="1" x14ac:dyDescent="0.2">
      <c r="A3" s="377" t="s">
        <v>232</v>
      </c>
      <c r="B3" s="377"/>
      <c r="C3" s="377"/>
      <c r="D3" s="377"/>
      <c r="E3" s="377"/>
      <c r="F3" s="377"/>
      <c r="G3" s="377"/>
      <c r="H3" s="377"/>
      <c r="I3" s="377"/>
      <c r="J3" s="242"/>
    </row>
    <row r="5" spans="1:10" ht="15" x14ac:dyDescent="0.25">
      <c r="D5" s="154" t="s">
        <v>123</v>
      </c>
      <c r="E5" s="243"/>
      <c r="F5" s="243"/>
      <c r="G5" s="243" t="s">
        <v>29</v>
      </c>
      <c r="H5" s="243" t="s">
        <v>29</v>
      </c>
      <c r="I5" s="243" t="s">
        <v>28</v>
      </c>
    </row>
    <row r="6" spans="1:10" ht="15" x14ac:dyDescent="0.25">
      <c r="C6" s="243" t="s">
        <v>12</v>
      </c>
      <c r="D6" s="154" t="s">
        <v>128</v>
      </c>
      <c r="E6" s="243" t="s">
        <v>216</v>
      </c>
      <c r="F6" s="243" t="s">
        <v>217</v>
      </c>
      <c r="G6" s="243" t="s">
        <v>6</v>
      </c>
      <c r="H6" s="243" t="s">
        <v>6</v>
      </c>
      <c r="I6" s="243" t="s">
        <v>6</v>
      </c>
    </row>
    <row r="7" spans="1:10" ht="15" x14ac:dyDescent="0.25">
      <c r="A7" s="375" t="s">
        <v>27</v>
      </c>
      <c r="B7" s="375"/>
      <c r="C7" s="244" t="s">
        <v>7</v>
      </c>
      <c r="D7" s="245" t="str">
        <f>'Rate Impacts'!G8</f>
        <v>Oct 18 - Sept 19</v>
      </c>
      <c r="E7" s="244" t="s">
        <v>218</v>
      </c>
      <c r="F7" s="244" t="s">
        <v>12</v>
      </c>
      <c r="G7" s="244" t="s">
        <v>219</v>
      </c>
      <c r="H7" s="244" t="s">
        <v>220</v>
      </c>
      <c r="I7" s="244" t="s">
        <v>221</v>
      </c>
    </row>
    <row r="8" spans="1:10" ht="15" x14ac:dyDescent="0.25">
      <c r="A8" s="129" t="s">
        <v>5</v>
      </c>
      <c r="C8" s="243" t="s">
        <v>26</v>
      </c>
      <c r="D8" s="279">
        <v>629870510</v>
      </c>
      <c r="E8" s="246">
        <v>7.3899999999999999E-3</v>
      </c>
      <c r="F8" s="272">
        <f>Rates!J9</f>
        <v>5.3699999999999998E-3</v>
      </c>
      <c r="G8" s="247">
        <f>D8*(E8)</f>
        <v>4654743.0689000003</v>
      </c>
      <c r="H8" s="247">
        <f>D8*(F8)</f>
        <v>3382404.6387</v>
      </c>
      <c r="I8" s="248">
        <f>H8-G8</f>
        <v>-1272338.4302000003</v>
      </c>
    </row>
    <row r="9" spans="1:10" ht="15" x14ac:dyDescent="0.25">
      <c r="C9" s="243"/>
      <c r="D9" s="279"/>
      <c r="E9" s="246"/>
      <c r="F9" s="272"/>
      <c r="G9" s="247"/>
      <c r="H9" s="247"/>
      <c r="I9" s="248"/>
    </row>
    <row r="10" spans="1:10" ht="15" x14ac:dyDescent="0.25">
      <c r="A10" s="129" t="s">
        <v>25</v>
      </c>
      <c r="C10" s="243">
        <v>31</v>
      </c>
      <c r="D10" s="280">
        <v>236909489</v>
      </c>
      <c r="E10" s="246">
        <v>3.63E-3</v>
      </c>
      <c r="F10" s="272">
        <f>Rates!$J$11</f>
        <v>4.28E-3</v>
      </c>
      <c r="G10" s="247">
        <f>D10*(E10)</f>
        <v>859981.44507000002</v>
      </c>
      <c r="H10" s="247">
        <f>D10*(F10)</f>
        <v>1013972.61292</v>
      </c>
      <c r="I10" s="248">
        <f t="shared" ref="I10:I47" si="0">H10-G10</f>
        <v>153991.16784999997</v>
      </c>
    </row>
    <row r="11" spans="1:10" ht="15" x14ac:dyDescent="0.25">
      <c r="A11" s="129" t="s">
        <v>25</v>
      </c>
      <c r="C11" s="243" t="s">
        <v>171</v>
      </c>
      <c r="D11" s="280">
        <v>23380</v>
      </c>
      <c r="E11" s="246">
        <v>3.63E-3</v>
      </c>
      <c r="F11" s="272">
        <f>Rates!$J$11</f>
        <v>4.28E-3</v>
      </c>
      <c r="G11" s="247">
        <f>D11*(E11)</f>
        <v>84.869399999999999</v>
      </c>
      <c r="H11" s="247">
        <f>D11*(F11)</f>
        <v>100.0664</v>
      </c>
      <c r="I11" s="248">
        <f t="shared" si="0"/>
        <v>15.197000000000003</v>
      </c>
    </row>
    <row r="12" spans="1:10" ht="15" x14ac:dyDescent="0.25">
      <c r="C12" s="243"/>
      <c r="D12" s="279"/>
      <c r="E12" s="246"/>
      <c r="F12" s="246"/>
      <c r="G12" s="247"/>
      <c r="H12" s="247"/>
      <c r="I12" s="248"/>
    </row>
    <row r="13" spans="1:10" ht="15" x14ac:dyDescent="0.25">
      <c r="A13" s="129" t="s">
        <v>24</v>
      </c>
      <c r="C13" s="243">
        <v>41</v>
      </c>
      <c r="D13" s="280">
        <v>67726926</v>
      </c>
      <c r="E13" s="246">
        <v>1.97E-3</v>
      </c>
      <c r="F13" s="272">
        <f>Rates!$J$13</f>
        <v>2.2499999999999998E-3</v>
      </c>
      <c r="G13" s="247">
        <f>D13*(E13)</f>
        <v>133422.04422000001</v>
      </c>
      <c r="H13" s="247">
        <f>D13*(F13)</f>
        <v>152385.58349999998</v>
      </c>
      <c r="I13" s="248">
        <f t="shared" si="0"/>
        <v>18963.539279999968</v>
      </c>
    </row>
    <row r="14" spans="1:10" ht="15" x14ac:dyDescent="0.25">
      <c r="A14" s="129" t="s">
        <v>24</v>
      </c>
      <c r="C14" s="243" t="s">
        <v>173</v>
      </c>
      <c r="D14" s="281">
        <v>22772715</v>
      </c>
      <c r="E14" s="246">
        <v>1.97E-3</v>
      </c>
      <c r="F14" s="272">
        <f>Rates!$J$13</f>
        <v>2.2499999999999998E-3</v>
      </c>
      <c r="G14" s="247">
        <f>D14*(E14)</f>
        <v>44862.248549999997</v>
      </c>
      <c r="H14" s="247">
        <f>D14*(F14)</f>
        <v>51238.608749999999</v>
      </c>
      <c r="I14" s="248">
        <f t="shared" si="0"/>
        <v>6376.3602000000028</v>
      </c>
    </row>
    <row r="15" spans="1:10" ht="15" x14ac:dyDescent="0.25">
      <c r="C15" s="243"/>
      <c r="D15" s="279"/>
      <c r="E15" s="246"/>
      <c r="F15" s="246"/>
      <c r="G15" s="247"/>
      <c r="H15" s="247"/>
      <c r="I15" s="248"/>
    </row>
    <row r="16" spans="1:10" ht="15" x14ac:dyDescent="0.25">
      <c r="A16" s="129" t="s">
        <v>4</v>
      </c>
      <c r="C16" s="243">
        <v>85</v>
      </c>
      <c r="D16" s="279"/>
      <c r="E16" s="246"/>
      <c r="F16" s="246"/>
      <c r="G16" s="247"/>
      <c r="H16" s="247"/>
      <c r="I16" s="248"/>
    </row>
    <row r="17" spans="1:10" ht="15" x14ac:dyDescent="0.25">
      <c r="B17" s="129" t="s">
        <v>19</v>
      </c>
      <c r="C17" s="243"/>
      <c r="D17" s="279">
        <v>7091388.763452054</v>
      </c>
      <c r="E17" s="250">
        <v>1.3600000000000001E-3</v>
      </c>
      <c r="F17" s="273">
        <f>Rates!J16</f>
        <v>1.5299999999999999E-3</v>
      </c>
      <c r="G17" s="247"/>
      <c r="H17" s="247"/>
      <c r="I17" s="248"/>
      <c r="J17" s="251"/>
    </row>
    <row r="18" spans="1:10" ht="15" x14ac:dyDescent="0.25">
      <c r="B18" s="129" t="s">
        <v>18</v>
      </c>
      <c r="C18" s="243"/>
      <c r="D18" s="279">
        <v>3936820.8745702952</v>
      </c>
      <c r="E18" s="250">
        <v>8.4000000000000003E-4</v>
      </c>
      <c r="F18" s="273">
        <f>Rates!J17</f>
        <v>9.5E-4</v>
      </c>
      <c r="G18" s="247"/>
      <c r="H18" s="247"/>
      <c r="I18" s="248"/>
      <c r="J18" s="251"/>
    </row>
    <row r="19" spans="1:10" ht="15" x14ac:dyDescent="0.25">
      <c r="B19" s="129" t="s">
        <v>23</v>
      </c>
      <c r="C19" s="243"/>
      <c r="D19" s="279">
        <v>4955855.3619776517</v>
      </c>
      <c r="E19" s="250">
        <v>4.8000000000000001E-4</v>
      </c>
      <c r="F19" s="273">
        <f>Rates!J18</f>
        <v>5.2999999999999998E-4</v>
      </c>
      <c r="G19" s="247"/>
      <c r="H19" s="247"/>
      <c r="I19" s="248"/>
      <c r="J19" s="251"/>
    </row>
    <row r="20" spans="1:10" ht="15" x14ac:dyDescent="0.25">
      <c r="B20" s="129" t="s">
        <v>0</v>
      </c>
      <c r="C20" s="243"/>
      <c r="D20" s="252">
        <f>SUM(D17:D19)</f>
        <v>15984065</v>
      </c>
      <c r="E20" s="246"/>
      <c r="F20" s="246"/>
      <c r="G20" s="248">
        <f>SUMPRODUCT(D17:D19,E17:E19)</f>
        <v>15330.028826683116</v>
      </c>
      <c r="H20" s="248">
        <f>SUMPRODUCT(D17:D19,F17:F19)</f>
        <v>17216.407980771579</v>
      </c>
      <c r="I20" s="248">
        <f t="shared" si="0"/>
        <v>1886.3791540884631</v>
      </c>
    </row>
    <row r="21" spans="1:10" ht="15" x14ac:dyDescent="0.25">
      <c r="C21" s="243"/>
      <c r="D21" s="249"/>
      <c r="E21" s="246"/>
      <c r="F21" s="246"/>
      <c r="G21" s="247"/>
      <c r="H21" s="247"/>
      <c r="I21" s="248"/>
    </row>
    <row r="22" spans="1:10" ht="15" x14ac:dyDescent="0.25">
      <c r="A22" s="129" t="s">
        <v>4</v>
      </c>
      <c r="C22" s="243">
        <v>86</v>
      </c>
      <c r="D22" s="280">
        <v>9360023</v>
      </c>
      <c r="E22" s="246">
        <v>1.9300000000000001E-3</v>
      </c>
      <c r="F22" s="272">
        <f>Rates!$J$21</f>
        <v>2.1900000000000001E-3</v>
      </c>
      <c r="G22" s="247">
        <f>D22*(E22)</f>
        <v>18064.844390000002</v>
      </c>
      <c r="H22" s="247">
        <f>D22*(F22)</f>
        <v>20498.450370000002</v>
      </c>
      <c r="I22" s="248">
        <f t="shared" si="0"/>
        <v>2433.6059800000003</v>
      </c>
    </row>
    <row r="23" spans="1:10" ht="15" x14ac:dyDescent="0.25">
      <c r="A23" s="129" t="s">
        <v>4</v>
      </c>
      <c r="C23" s="243" t="s">
        <v>176</v>
      </c>
      <c r="D23" s="281">
        <v>225178</v>
      </c>
      <c r="E23" s="246">
        <v>1.9300000000000001E-3</v>
      </c>
      <c r="F23" s="272">
        <f>Rates!$J$21</f>
        <v>2.1900000000000001E-3</v>
      </c>
      <c r="G23" s="247">
        <f>D23*(E23)</f>
        <v>434.59354000000002</v>
      </c>
      <c r="H23" s="247">
        <f>D23*(F23)</f>
        <v>493.13982000000004</v>
      </c>
      <c r="I23" s="248">
        <f t="shared" si="0"/>
        <v>58.546280000000024</v>
      </c>
    </row>
    <row r="24" spans="1:10" ht="15" x14ac:dyDescent="0.25">
      <c r="C24" s="243"/>
      <c r="D24" s="279"/>
      <c r="E24" s="246"/>
      <c r="F24" s="246"/>
      <c r="G24" s="247"/>
      <c r="H24" s="247"/>
      <c r="I24" s="248"/>
    </row>
    <row r="25" spans="1:10" ht="15" x14ac:dyDescent="0.25">
      <c r="A25" s="129" t="s">
        <v>4</v>
      </c>
      <c r="C25" s="243">
        <v>87</v>
      </c>
      <c r="D25" s="279"/>
      <c r="E25" s="246"/>
      <c r="F25" s="246"/>
      <c r="G25" s="247"/>
      <c r="H25" s="247"/>
      <c r="I25" s="248"/>
    </row>
    <row r="26" spans="1:10" ht="15" x14ac:dyDescent="0.25">
      <c r="B26" s="129" t="s">
        <v>19</v>
      </c>
      <c r="C26" s="243"/>
      <c r="D26" s="279">
        <v>1395269.1681392374</v>
      </c>
      <c r="E26" s="250">
        <v>1.3600000000000001E-3</v>
      </c>
      <c r="F26" s="273">
        <f>Rates!J24</f>
        <v>1.5299999999999999E-3</v>
      </c>
      <c r="G26" s="247"/>
      <c r="H26" s="247"/>
      <c r="I26" s="248"/>
    </row>
    <row r="27" spans="1:10" ht="15" x14ac:dyDescent="0.25">
      <c r="B27" s="129" t="s">
        <v>18</v>
      </c>
      <c r="C27" s="243"/>
      <c r="D27" s="279">
        <v>1373161.7566867622</v>
      </c>
      <c r="E27" s="250">
        <v>8.4000000000000003E-4</v>
      </c>
      <c r="F27" s="273">
        <f>Rates!J25</f>
        <v>9.5E-4</v>
      </c>
      <c r="G27" s="247"/>
      <c r="H27" s="247"/>
      <c r="I27" s="248"/>
    </row>
    <row r="28" spans="1:10" ht="15" x14ac:dyDescent="0.25">
      <c r="B28" s="129" t="s">
        <v>17</v>
      </c>
      <c r="C28" s="243"/>
      <c r="D28" s="279">
        <v>2481667.0818978166</v>
      </c>
      <c r="E28" s="250">
        <v>5.5999999999999995E-4</v>
      </c>
      <c r="F28" s="273">
        <f>Rates!J26</f>
        <v>6.2E-4</v>
      </c>
      <c r="G28" s="247"/>
      <c r="H28" s="247"/>
      <c r="I28" s="248"/>
      <c r="J28" s="253"/>
    </row>
    <row r="29" spans="1:10" ht="15" x14ac:dyDescent="0.25">
      <c r="B29" s="129" t="s">
        <v>16</v>
      </c>
      <c r="C29" s="243"/>
      <c r="D29" s="279">
        <v>2992757.0959766656</v>
      </c>
      <c r="E29" s="250">
        <v>3.8000000000000002E-4</v>
      </c>
      <c r="F29" s="273">
        <f>Rates!J27</f>
        <v>4.2000000000000002E-4</v>
      </c>
      <c r="G29" s="247"/>
      <c r="H29" s="247"/>
      <c r="I29" s="248"/>
    </row>
    <row r="30" spans="1:10" ht="15" x14ac:dyDescent="0.25">
      <c r="B30" s="129" t="s">
        <v>15</v>
      </c>
      <c r="C30" s="243"/>
      <c r="D30" s="279">
        <v>3760860.3812945299</v>
      </c>
      <c r="E30" s="250">
        <v>2.9E-4</v>
      </c>
      <c r="F30" s="273">
        <f>Rates!J28</f>
        <v>3.1E-4</v>
      </c>
      <c r="G30" s="247"/>
      <c r="H30" s="247"/>
      <c r="I30" s="248"/>
      <c r="J30" s="254"/>
    </row>
    <row r="31" spans="1:10" ht="15" x14ac:dyDescent="0.25">
      <c r="B31" s="129" t="s">
        <v>21</v>
      </c>
      <c r="C31" s="243"/>
      <c r="D31" s="279">
        <v>10153569.516004983</v>
      </c>
      <c r="E31" s="250">
        <v>2.3000000000000001E-4</v>
      </c>
      <c r="F31" s="273">
        <f>Rates!J29</f>
        <v>2.5000000000000001E-4</v>
      </c>
      <c r="G31" s="247"/>
      <c r="H31" s="247"/>
      <c r="I31" s="248"/>
    </row>
    <row r="32" spans="1:10" ht="15" x14ac:dyDescent="0.25">
      <c r="B32" s="129" t="s">
        <v>0</v>
      </c>
      <c r="C32" s="243"/>
      <c r="D32" s="252">
        <f>SUM(D26:D31)</f>
        <v>22157284.999999996</v>
      </c>
      <c r="E32" s="246"/>
      <c r="F32" s="246"/>
      <c r="G32" s="255">
        <f>SUMPRODUCT(D26:D31,E26:E31)</f>
        <v>9003.9737058767132</v>
      </c>
      <c r="H32" s="248">
        <f>SUMPRODUCT(D26:D31,F26:F31)</f>
        <v>9939.1161643948544</v>
      </c>
      <c r="I32" s="248">
        <f t="shared" si="0"/>
        <v>935.14245851814121</v>
      </c>
    </row>
    <row r="33" spans="1:10" ht="15" x14ac:dyDescent="0.25">
      <c r="C33" s="243"/>
      <c r="D33" s="252"/>
      <c r="E33" s="246"/>
      <c r="F33" s="246"/>
      <c r="G33" s="256"/>
      <c r="H33" s="247"/>
      <c r="I33" s="248"/>
      <c r="J33" s="257"/>
    </row>
    <row r="34" spans="1:10" ht="15" x14ac:dyDescent="0.25">
      <c r="A34" s="129" t="s">
        <v>22</v>
      </c>
      <c r="C34" s="243" t="s">
        <v>3</v>
      </c>
      <c r="D34" s="252"/>
      <c r="E34" s="246"/>
      <c r="F34" s="246"/>
      <c r="G34" s="256"/>
      <c r="H34" s="247"/>
      <c r="I34" s="248"/>
      <c r="J34" s="257"/>
    </row>
    <row r="35" spans="1:10" ht="15" x14ac:dyDescent="0.25">
      <c r="B35" s="129" t="s">
        <v>19</v>
      </c>
      <c r="C35" s="243"/>
      <c r="D35" s="280">
        <v>28834411.230600763</v>
      </c>
      <c r="E35" s="250">
        <v>1.3600000000000001E-3</v>
      </c>
      <c r="F35" s="273">
        <f>Rates!J33</f>
        <v>1.5299999999999999E-3</v>
      </c>
      <c r="G35" s="256"/>
      <c r="H35" s="247"/>
      <c r="I35" s="248"/>
      <c r="J35" s="257"/>
    </row>
    <row r="36" spans="1:10" ht="15" x14ac:dyDescent="0.25">
      <c r="B36" s="129" t="s">
        <v>18</v>
      </c>
      <c r="C36" s="243"/>
      <c r="D36" s="280">
        <v>19036890.746242911</v>
      </c>
      <c r="E36" s="250">
        <v>8.4000000000000003E-4</v>
      </c>
      <c r="F36" s="273">
        <f>Rates!J34</f>
        <v>9.5E-4</v>
      </c>
      <c r="G36" s="256"/>
      <c r="H36" s="247"/>
      <c r="I36" s="248"/>
      <c r="J36" s="258"/>
    </row>
    <row r="37" spans="1:10" ht="15" x14ac:dyDescent="0.25">
      <c r="B37" s="129" t="s">
        <v>23</v>
      </c>
      <c r="C37" s="243"/>
      <c r="D37" s="280">
        <v>31588457.023156345</v>
      </c>
      <c r="E37" s="250">
        <v>4.8000000000000001E-4</v>
      </c>
      <c r="F37" s="273">
        <f>Rates!J35</f>
        <v>5.2999999999999998E-4</v>
      </c>
      <c r="G37" s="256"/>
      <c r="H37" s="247"/>
      <c r="I37" s="248"/>
      <c r="J37" s="257"/>
    </row>
    <row r="38" spans="1:10" ht="15" x14ac:dyDescent="0.25">
      <c r="B38" s="129" t="s">
        <v>0</v>
      </c>
      <c r="C38" s="243"/>
      <c r="D38" s="252">
        <f>SUM(D35:D37)</f>
        <v>79459759.000000015</v>
      </c>
      <c r="E38" s="246"/>
      <c r="F38" s="246"/>
      <c r="G38" s="255">
        <f>SUMPRODUCT(D35:D37,E35:E37)</f>
        <v>70368.246871576135</v>
      </c>
      <c r="H38" s="248">
        <f>SUMPRODUCT(D35:D37,F35:F37)</f>
        <v>78943.577614022797</v>
      </c>
      <c r="I38" s="248">
        <f t="shared" si="0"/>
        <v>8575.330742446662</v>
      </c>
      <c r="J38" s="257"/>
    </row>
    <row r="39" spans="1:10" ht="15" x14ac:dyDescent="0.25">
      <c r="C39" s="243"/>
      <c r="D39" s="252"/>
      <c r="E39" s="246"/>
      <c r="F39" s="246"/>
      <c r="G39" s="256"/>
      <c r="H39" s="247"/>
      <c r="I39" s="248"/>
      <c r="J39" s="257"/>
    </row>
    <row r="40" spans="1:10" ht="15" x14ac:dyDescent="0.25">
      <c r="A40" s="129" t="s">
        <v>22</v>
      </c>
      <c r="C40" s="243" t="s">
        <v>2</v>
      </c>
      <c r="D40" s="252"/>
      <c r="E40" s="246"/>
      <c r="F40" s="246"/>
      <c r="G40" s="256"/>
      <c r="H40" s="247"/>
      <c r="I40" s="248"/>
    </row>
    <row r="41" spans="1:10" ht="15" x14ac:dyDescent="0.25">
      <c r="B41" s="129" t="s">
        <v>19</v>
      </c>
      <c r="C41" s="243"/>
      <c r="D41" s="280">
        <v>3317380.8169644969</v>
      </c>
      <c r="E41" s="250">
        <v>1.3600000000000001E-3</v>
      </c>
      <c r="F41" s="273">
        <f>Rates!J39</f>
        <v>1.5299999999999999E-3</v>
      </c>
      <c r="G41" s="256"/>
      <c r="H41" s="247"/>
      <c r="I41" s="248"/>
    </row>
    <row r="42" spans="1:10" ht="15" x14ac:dyDescent="0.25">
      <c r="B42" s="129" t="s">
        <v>18</v>
      </c>
      <c r="C42" s="243"/>
      <c r="D42" s="280">
        <v>3275366.0165474005</v>
      </c>
      <c r="E42" s="250">
        <v>8.4000000000000003E-4</v>
      </c>
      <c r="F42" s="273">
        <f>Rates!J40</f>
        <v>9.5E-4</v>
      </c>
      <c r="G42" s="256"/>
      <c r="H42" s="247"/>
      <c r="I42" s="248"/>
    </row>
    <row r="43" spans="1:10" ht="15" x14ac:dyDescent="0.25">
      <c r="B43" s="129" t="s">
        <v>17</v>
      </c>
      <c r="C43" s="243"/>
      <c r="D43" s="280">
        <v>6502993.5381514477</v>
      </c>
      <c r="E43" s="250">
        <v>5.5999999999999995E-4</v>
      </c>
      <c r="F43" s="273">
        <f>Rates!J41</f>
        <v>6.2E-4</v>
      </c>
      <c r="G43" s="256"/>
      <c r="H43" s="247"/>
      <c r="I43" s="248"/>
    </row>
    <row r="44" spans="1:10" ht="15" x14ac:dyDescent="0.25">
      <c r="B44" s="129" t="s">
        <v>16</v>
      </c>
      <c r="C44" s="243"/>
      <c r="D44" s="280">
        <v>12288591.701763837</v>
      </c>
      <c r="E44" s="250">
        <v>3.8000000000000002E-4</v>
      </c>
      <c r="F44" s="273">
        <f>Rates!J42</f>
        <v>4.2000000000000002E-4</v>
      </c>
      <c r="G44" s="256"/>
      <c r="H44" s="247"/>
      <c r="I44" s="248"/>
    </row>
    <row r="45" spans="1:10" ht="15" x14ac:dyDescent="0.25">
      <c r="B45" s="129" t="s">
        <v>15</v>
      </c>
      <c r="C45" s="243"/>
      <c r="D45" s="280">
        <v>27809013.240174145</v>
      </c>
      <c r="E45" s="250">
        <v>2.9E-4</v>
      </c>
      <c r="F45" s="273">
        <f>Rates!J43</f>
        <v>3.1E-4</v>
      </c>
      <c r="G45" s="256"/>
      <c r="H45" s="247"/>
      <c r="I45" s="248"/>
    </row>
    <row r="46" spans="1:10" ht="15" x14ac:dyDescent="0.25">
      <c r="B46" s="129" t="s">
        <v>21</v>
      </c>
      <c r="C46" s="243"/>
      <c r="D46" s="280">
        <v>48394968.686398678</v>
      </c>
      <c r="E46" s="250">
        <v>2.3000000000000001E-4</v>
      </c>
      <c r="F46" s="273">
        <f>Rates!J44</f>
        <v>2.5000000000000001E-4</v>
      </c>
      <c r="G46" s="256"/>
      <c r="H46" s="247"/>
      <c r="I46" s="248"/>
      <c r="J46" s="257"/>
    </row>
    <row r="47" spans="1:10" ht="15" x14ac:dyDescent="0.25">
      <c r="B47" s="129" t="s">
        <v>0</v>
      </c>
      <c r="C47" s="243"/>
      <c r="D47" s="252">
        <f>SUM(D41:D46)</f>
        <v>101588314</v>
      </c>
      <c r="E47" s="246"/>
      <c r="F47" s="246"/>
      <c r="G47" s="255">
        <f>SUMPRODUCT(D41:D46,E41:E46)</f>
        <v>34769.743230528795</v>
      </c>
      <c r="H47" s="248">
        <f>SUMPRODUCT(D41:D46,F41:F46)</f>
        <v>38099.791150124074</v>
      </c>
      <c r="I47" s="248">
        <f t="shared" si="0"/>
        <v>3330.0479195952794</v>
      </c>
      <c r="J47" s="257"/>
    </row>
    <row r="48" spans="1:10" ht="15" x14ac:dyDescent="0.25">
      <c r="D48" s="259"/>
      <c r="E48" s="260"/>
      <c r="F48" s="260"/>
      <c r="G48" s="261"/>
      <c r="H48" s="262"/>
      <c r="I48" s="248"/>
      <c r="J48" s="263"/>
    </row>
    <row r="49" spans="2:12" ht="15" x14ac:dyDescent="0.25">
      <c r="B49" s="129" t="s">
        <v>0</v>
      </c>
      <c r="D49" s="264">
        <f>D8+D10+D13+D20+D22+D32+D38+D47+D11+D14+D23</f>
        <v>1186077644</v>
      </c>
      <c r="E49" s="246"/>
      <c r="F49" s="246"/>
      <c r="G49" s="265">
        <f>G8+G10+G13+G20+G22+G32+G38+G47+G11+G14+G23</f>
        <v>5841065.1067046644</v>
      </c>
      <c r="H49" s="265">
        <f>H8+H10+H13+H20+H22+H32+H38+H47+H11+H14+H23</f>
        <v>4765291.993369312</v>
      </c>
      <c r="I49" s="265">
        <f>I8+I10+I13+I20+I22+I32+I38+I47+I11+I14+I23</f>
        <v>-1075773.1133353522</v>
      </c>
      <c r="J49" s="266"/>
    </row>
    <row r="50" spans="2:12" x14ac:dyDescent="0.2">
      <c r="D50" s="263"/>
      <c r="E50" s="263"/>
      <c r="F50" s="263"/>
      <c r="G50" s="263"/>
      <c r="H50" s="263"/>
      <c r="J50" s="257"/>
    </row>
    <row r="51" spans="2:12" x14ac:dyDescent="0.2">
      <c r="D51" s="263"/>
      <c r="E51" s="263"/>
      <c r="F51" s="263"/>
      <c r="G51" s="267"/>
      <c r="H51" s="267"/>
    </row>
    <row r="52" spans="2:12" x14ac:dyDescent="0.2">
      <c r="L52" s="257"/>
    </row>
    <row r="53" spans="2:12" x14ac:dyDescent="0.2">
      <c r="B53" s="268"/>
      <c r="D53" s="269"/>
      <c r="E53" s="269"/>
      <c r="F53" s="269"/>
    </row>
    <row r="54" spans="2:12" x14ac:dyDescent="0.2">
      <c r="C54" s="266"/>
      <c r="D54" s="266"/>
    </row>
    <row r="55" spans="2:12" x14ac:dyDescent="0.2">
      <c r="C55" s="266"/>
      <c r="D55" s="270"/>
      <c r="E55" s="263"/>
      <c r="F55" s="263"/>
    </row>
    <row r="56" spans="2:12" x14ac:dyDescent="0.2">
      <c r="C56" s="266"/>
      <c r="D56" s="263"/>
      <c r="E56" s="266"/>
      <c r="F56" s="266"/>
    </row>
    <row r="57" spans="2:12" x14ac:dyDescent="0.2">
      <c r="C57" s="266"/>
      <c r="D57" s="263"/>
      <c r="E57" s="128"/>
      <c r="F57" s="271"/>
    </row>
    <row r="58" spans="2:12" x14ac:dyDescent="0.2">
      <c r="C58" s="269"/>
      <c r="D58" s="269"/>
      <c r="E58" s="128"/>
      <c r="F58" s="271"/>
    </row>
    <row r="59" spans="2:12" x14ac:dyDescent="0.2">
      <c r="E59" s="128"/>
      <c r="F59" s="271"/>
    </row>
    <row r="60" spans="2:12" x14ac:dyDescent="0.2">
      <c r="E60" s="263"/>
      <c r="F60" s="263"/>
    </row>
    <row r="61" spans="2:12" x14ac:dyDescent="0.2">
      <c r="E61" s="263"/>
      <c r="F61" s="263"/>
    </row>
    <row r="62" spans="2:12" x14ac:dyDescent="0.2">
      <c r="E62" s="263"/>
      <c r="F62" s="263"/>
    </row>
  </sheetData>
  <mergeCells count="4">
    <mergeCell ref="A1:I1"/>
    <mergeCell ref="A2:I2"/>
    <mergeCell ref="A3:I3"/>
    <mergeCell ref="A7:B7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F97F932DA1F464D8A557B2343B0DFDE" ma:contentTypeVersion="76" ma:contentTypeDescription="" ma:contentTypeScope="" ma:versionID="05c329916b8d5b4ada27547a1f2a53e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2018-08-31T07:00:00+00:00</OpenedDate>
    <SignificantOrder xmlns="dc463f71-b30c-4ab2-9473-d307f9d35888">false</SignificantOrder>
    <Date1 xmlns="dc463f71-b30c-4ab2-9473-d307f9d35888">2018-08-31T07:00:00+00:00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180740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E6C31169-1A7E-4B2D-9B76-923B23EF5546}"/>
</file>

<file path=customXml/itemProps2.xml><?xml version="1.0" encoding="utf-8"?>
<ds:datastoreItem xmlns:ds="http://schemas.openxmlformats.org/officeDocument/2006/customXml" ds:itemID="{FD2B2BF2-A14E-4F9C-B376-E9ED4B3DE8B1}"/>
</file>

<file path=customXml/itemProps3.xml><?xml version="1.0" encoding="utf-8"?>
<ds:datastoreItem xmlns:ds="http://schemas.openxmlformats.org/officeDocument/2006/customXml" ds:itemID="{57E9ECAB-9942-49C2-AE1C-98405FBFD62A}"/>
</file>

<file path=customXml/itemProps4.xml><?xml version="1.0" encoding="utf-8"?>
<ds:datastoreItem xmlns:ds="http://schemas.openxmlformats.org/officeDocument/2006/customXml" ds:itemID="{935B70CF-339F-4960-9FF8-57EB4F2691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Rates</vt:lpstr>
      <vt:lpstr>Sch 85 87 Rate Calc</vt:lpstr>
      <vt:lpstr>Margin Revenue</vt:lpstr>
      <vt:lpstr>Revenue Req 2018-2019 </vt:lpstr>
      <vt:lpstr>Rate Impacts--&gt;</vt:lpstr>
      <vt:lpstr>Rate Impacts</vt:lpstr>
      <vt:lpstr>Typical Res Bill</vt:lpstr>
      <vt:lpstr>Schedule 129 Revenue</vt:lpstr>
      <vt:lpstr>'Margin Revenue'!Print_Area</vt:lpstr>
      <vt:lpstr>'Rate Impacts'!Print_Area</vt:lpstr>
      <vt:lpstr>Rates!Print_Area</vt:lpstr>
      <vt:lpstr>'Sch 85 87 Rate Calc'!Print_Area</vt:lpstr>
      <vt:lpstr>'Schedule 129 Revenue'!Print_Area</vt:lpstr>
      <vt:lpstr>'Typical Res Bill'!Print_Area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cp:lastPrinted>2018-08-27T21:30:52Z</cp:lastPrinted>
  <dcterms:created xsi:type="dcterms:W3CDTF">2016-08-18T16:48:49Z</dcterms:created>
  <dcterms:modified xsi:type="dcterms:W3CDTF">2018-08-31T21:56:45Z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0x0101006E56B4D1795A2E4DB2F0B01679ED314A002F97F932DA1F464D8A557B2343B0DFDE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