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WA Electric" sheetId="1" r:id="rId1"/>
    <sheet name="ID Electric" sheetId="3" state="hidden" r:id="rId2"/>
    <sheet name="WA Nat Gas" sheetId="4" r:id="rId3"/>
    <sheet name="ID Nat Gas" sheetId="5" state="hidden" r:id="rId4"/>
    <sheet name="OR Nat Gas" sheetId="6" state="hidden" r:id="rId5"/>
  </sheets>
  <definedNames>
    <definedName name="_xlnm.Print_Titles" localSheetId="1">'ID Electric'!$A:$B,'ID Electric'!$2:$2</definedName>
    <definedName name="_xlnm.Print_Titles" localSheetId="3">'ID Nat Gas'!$A:$B,'ID Nat Gas'!$2:$2</definedName>
    <definedName name="_xlnm.Print_Titles" localSheetId="4">'OR Nat Gas'!$A:$B,'OR Nat Gas'!$2:$2</definedName>
    <definedName name="_xlnm.Print_Titles" localSheetId="0">'WA Electric'!$A:$B,'WA Electric'!$2:$2</definedName>
    <definedName name="_xlnm.Print_Titles" localSheetId="2">'WA Nat Gas'!$A:$B,'WA Nat Gas'!$2:$2</definedName>
  </definedNames>
  <calcPr calcId="152511"/>
</workbook>
</file>

<file path=xl/calcChain.xml><?xml version="1.0" encoding="utf-8"?>
<calcChain xmlns="http://schemas.openxmlformats.org/spreadsheetml/2006/main">
  <c r="N62" i="1" l="1"/>
  <c r="O74" i="1" l="1"/>
  <c r="O65" i="1"/>
  <c r="O56" i="1"/>
  <c r="N50" i="4" l="1"/>
  <c r="N51" i="4"/>
  <c r="M50" i="4"/>
  <c r="Q5" i="1" l="1"/>
  <c r="Q11" i="4"/>
  <c r="Q8" i="5"/>
  <c r="AF54" i="6" l="1"/>
  <c r="AF47" i="5"/>
  <c r="AF85" i="3"/>
  <c r="P23" i="6" l="1"/>
  <c r="S23" i="6"/>
  <c r="T23" i="6"/>
  <c r="AE23" i="6" s="1"/>
  <c r="U23" i="6"/>
  <c r="V23" i="6"/>
  <c r="W23" i="6"/>
  <c r="X23" i="6"/>
  <c r="Y23" i="6"/>
  <c r="Z23" i="6"/>
  <c r="AA23" i="6"/>
  <c r="AB23" i="6"/>
  <c r="AC23" i="6"/>
  <c r="AD23" i="6"/>
  <c r="P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 l="1"/>
  <c r="U35" i="5"/>
  <c r="V35" i="5"/>
  <c r="W35" i="5"/>
  <c r="X35" i="5"/>
  <c r="Y35" i="5"/>
  <c r="Z35" i="5"/>
  <c r="AA35" i="5"/>
  <c r="AB35" i="5"/>
  <c r="AC35" i="5"/>
  <c r="AD35" i="5"/>
  <c r="T35" i="5"/>
  <c r="S36" i="5"/>
  <c r="S35" i="5"/>
  <c r="AI37" i="3" l="1"/>
  <c r="AI38" i="3"/>
  <c r="AD37" i="3"/>
  <c r="AD38" i="3" l="1"/>
  <c r="AD36" i="3"/>
  <c r="Q17" i="3"/>
  <c r="E75" i="4" l="1"/>
  <c r="F75" i="4"/>
  <c r="G75" i="4"/>
  <c r="H75" i="4"/>
  <c r="I75" i="4"/>
  <c r="J75" i="4"/>
  <c r="K75" i="4"/>
  <c r="L75" i="4"/>
  <c r="M75" i="4"/>
  <c r="N75" i="4"/>
  <c r="O75" i="4"/>
  <c r="L58" i="4"/>
  <c r="K58" i="4"/>
  <c r="J58" i="4"/>
  <c r="I58" i="4"/>
  <c r="H58" i="4"/>
  <c r="G58" i="4"/>
  <c r="F58" i="4"/>
  <c r="E58" i="4"/>
  <c r="D58" i="4"/>
  <c r="D75" i="4" s="1"/>
  <c r="D86" i="4" s="1"/>
  <c r="M58" i="4"/>
  <c r="P56" i="4"/>
  <c r="P57" i="4"/>
  <c r="O58" i="4"/>
  <c r="N58" i="4"/>
  <c r="P58" i="4" l="1"/>
  <c r="N69" i="1" l="1"/>
  <c r="M68" i="1"/>
  <c r="R47" i="6" l="1"/>
  <c r="R46" i="6"/>
  <c r="R45" i="6"/>
  <c r="U66" i="4" l="1"/>
  <c r="V66" i="4"/>
  <c r="W66" i="4"/>
  <c r="X66" i="4"/>
  <c r="Y66" i="4"/>
  <c r="Z66" i="4"/>
  <c r="AA66" i="4"/>
  <c r="AB66" i="4"/>
  <c r="AC66" i="4"/>
  <c r="T66" i="4"/>
  <c r="N56" i="6"/>
  <c r="H52" i="6"/>
  <c r="H62" i="6" s="1"/>
  <c r="E54" i="6"/>
  <c r="E64" i="6" s="1"/>
  <c r="F54" i="6"/>
  <c r="F64" i="6" s="1"/>
  <c r="G54" i="6"/>
  <c r="G64" i="6" s="1"/>
  <c r="H54" i="6"/>
  <c r="H64" i="6" s="1"/>
  <c r="I54" i="6"/>
  <c r="I64" i="6" s="1"/>
  <c r="J54" i="6"/>
  <c r="J64" i="6" s="1"/>
  <c r="K54" i="6"/>
  <c r="K64" i="6" s="1"/>
  <c r="L54" i="6"/>
  <c r="L64" i="6" s="1"/>
  <c r="M54" i="6"/>
  <c r="M64" i="6" s="1"/>
  <c r="N54" i="6"/>
  <c r="N64" i="6" s="1"/>
  <c r="O54" i="6"/>
  <c r="O64" i="6" s="1"/>
  <c r="D54" i="6"/>
  <c r="O43" i="6"/>
  <c r="O56" i="6" s="1"/>
  <c r="N43" i="6"/>
  <c r="M43" i="6"/>
  <c r="M56" i="6" s="1"/>
  <c r="L43" i="6"/>
  <c r="K43" i="6"/>
  <c r="K56" i="6" s="1"/>
  <c r="J43" i="6"/>
  <c r="I43" i="6"/>
  <c r="I56" i="6" s="1"/>
  <c r="H43" i="6"/>
  <c r="H56" i="6" s="1"/>
  <c r="G43" i="6"/>
  <c r="G56" i="6" s="1"/>
  <c r="F43" i="6"/>
  <c r="E43" i="6"/>
  <c r="E56" i="6" s="1"/>
  <c r="D43" i="6"/>
  <c r="P42" i="6"/>
  <c r="P41" i="6"/>
  <c r="AD20" i="6"/>
  <c r="AC20" i="6"/>
  <c r="AB20" i="6"/>
  <c r="AA20" i="6"/>
  <c r="AA41" i="6" s="1"/>
  <c r="AB42" i="6" s="1"/>
  <c r="Z20" i="6"/>
  <c r="Y20" i="6"/>
  <c r="X20" i="6"/>
  <c r="W20" i="6"/>
  <c r="W41" i="6" s="1"/>
  <c r="X42" i="6" s="1"/>
  <c r="V20" i="6"/>
  <c r="U20" i="6"/>
  <c r="T20" i="6"/>
  <c r="S20" i="6"/>
  <c r="S42" i="6" s="1"/>
  <c r="P20" i="6"/>
  <c r="AD19" i="6"/>
  <c r="AC19" i="6"/>
  <c r="AB19" i="6"/>
  <c r="AA19" i="6"/>
  <c r="Z19" i="6"/>
  <c r="Y19" i="6"/>
  <c r="X19" i="6"/>
  <c r="W19" i="6"/>
  <c r="V19" i="6"/>
  <c r="U19" i="6"/>
  <c r="T19" i="6"/>
  <c r="S19" i="6"/>
  <c r="P19" i="6"/>
  <c r="P47" i="6"/>
  <c r="P46" i="6"/>
  <c r="P45" i="6"/>
  <c r="O40" i="6"/>
  <c r="N40" i="6"/>
  <c r="N55" i="6" s="1"/>
  <c r="N65" i="6" s="1"/>
  <c r="M40" i="6"/>
  <c r="L40" i="6"/>
  <c r="L55" i="6" s="1"/>
  <c r="L65" i="6" s="1"/>
  <c r="K40" i="6"/>
  <c r="J40" i="6"/>
  <c r="J55" i="6" s="1"/>
  <c r="J65" i="6" s="1"/>
  <c r="I40" i="6"/>
  <c r="H40" i="6"/>
  <c r="H55" i="6" s="1"/>
  <c r="H65" i="6" s="1"/>
  <c r="G40" i="6"/>
  <c r="F40" i="6"/>
  <c r="F55" i="6" s="1"/>
  <c r="F65" i="6" s="1"/>
  <c r="E40" i="6"/>
  <c r="D40" i="6"/>
  <c r="D55" i="6" s="1"/>
  <c r="D65" i="6" s="1"/>
  <c r="P39" i="6"/>
  <c r="P38" i="6"/>
  <c r="O37" i="6"/>
  <c r="N37" i="6"/>
  <c r="N53" i="6" s="1"/>
  <c r="N63" i="6" s="1"/>
  <c r="M37" i="6"/>
  <c r="M53" i="6" s="1"/>
  <c r="M63" i="6" s="1"/>
  <c r="L37" i="6"/>
  <c r="L53" i="6" s="1"/>
  <c r="L63" i="6" s="1"/>
  <c r="K37" i="6"/>
  <c r="J37" i="6"/>
  <c r="J53" i="6" s="1"/>
  <c r="J63" i="6" s="1"/>
  <c r="I37" i="6"/>
  <c r="I53" i="6" s="1"/>
  <c r="I63" i="6" s="1"/>
  <c r="H37" i="6"/>
  <c r="H53" i="6" s="1"/>
  <c r="H63" i="6" s="1"/>
  <c r="G37" i="6"/>
  <c r="F37" i="6"/>
  <c r="F53" i="6" s="1"/>
  <c r="F63" i="6" s="1"/>
  <c r="E37" i="6"/>
  <c r="E53" i="6" s="1"/>
  <c r="E63" i="6" s="1"/>
  <c r="D37" i="6"/>
  <c r="D53" i="6" s="1"/>
  <c r="D63" i="6" s="1"/>
  <c r="P36" i="6"/>
  <c r="P35" i="6"/>
  <c r="O34" i="6"/>
  <c r="N34" i="6"/>
  <c r="N52" i="6" s="1"/>
  <c r="N62" i="6" s="1"/>
  <c r="M34" i="6"/>
  <c r="M52" i="6" s="1"/>
  <c r="M62" i="6" s="1"/>
  <c r="L34" i="6"/>
  <c r="L52" i="6" s="1"/>
  <c r="L62" i="6" s="1"/>
  <c r="K34" i="6"/>
  <c r="J34" i="6"/>
  <c r="J52" i="6" s="1"/>
  <c r="J62" i="6" s="1"/>
  <c r="I34" i="6"/>
  <c r="I52" i="6" s="1"/>
  <c r="I62" i="6" s="1"/>
  <c r="H34" i="6"/>
  <c r="G34" i="6"/>
  <c r="F34" i="6"/>
  <c r="F52" i="6" s="1"/>
  <c r="F62" i="6" s="1"/>
  <c r="E34" i="6"/>
  <c r="E52" i="6" s="1"/>
  <c r="E62" i="6" s="1"/>
  <c r="D34" i="6"/>
  <c r="D52" i="6" s="1"/>
  <c r="D62" i="6" s="1"/>
  <c r="P33" i="6"/>
  <c r="P32" i="6"/>
  <c r="O31" i="6"/>
  <c r="O51" i="6" s="1"/>
  <c r="O61" i="6" s="1"/>
  <c r="N31" i="6"/>
  <c r="M31" i="6"/>
  <c r="M51" i="6" s="1"/>
  <c r="M61" i="6" s="1"/>
  <c r="L31" i="6"/>
  <c r="L51" i="6" s="1"/>
  <c r="L61" i="6" s="1"/>
  <c r="K31" i="6"/>
  <c r="K51" i="6" s="1"/>
  <c r="K61" i="6" s="1"/>
  <c r="J31" i="6"/>
  <c r="I31" i="6"/>
  <c r="I51" i="6" s="1"/>
  <c r="I61" i="6" s="1"/>
  <c r="H31" i="6"/>
  <c r="H51" i="6" s="1"/>
  <c r="H61" i="6" s="1"/>
  <c r="G31" i="6"/>
  <c r="G51" i="6" s="1"/>
  <c r="G61" i="6" s="1"/>
  <c r="F31" i="6"/>
  <c r="E31" i="6"/>
  <c r="E51" i="6" s="1"/>
  <c r="E61" i="6" s="1"/>
  <c r="D31" i="6"/>
  <c r="D51" i="6" s="1"/>
  <c r="D61" i="6" s="1"/>
  <c r="P30" i="6"/>
  <c r="P29" i="6"/>
  <c r="O28" i="6"/>
  <c r="O50" i="6" s="1"/>
  <c r="O60" i="6" s="1"/>
  <c r="N28" i="6"/>
  <c r="N50" i="6" s="1"/>
  <c r="N60" i="6" s="1"/>
  <c r="M28" i="6"/>
  <c r="M50" i="6" s="1"/>
  <c r="M60" i="6" s="1"/>
  <c r="L28" i="6"/>
  <c r="L50" i="6" s="1"/>
  <c r="L60" i="6" s="1"/>
  <c r="K28" i="6"/>
  <c r="K50" i="6" s="1"/>
  <c r="K60" i="6" s="1"/>
  <c r="J28" i="6"/>
  <c r="J50" i="6" s="1"/>
  <c r="J60" i="6" s="1"/>
  <c r="I28" i="6"/>
  <c r="I50" i="6" s="1"/>
  <c r="I60" i="6" s="1"/>
  <c r="H28" i="6"/>
  <c r="H50" i="6" s="1"/>
  <c r="H60" i="6" s="1"/>
  <c r="G28" i="6"/>
  <c r="G50" i="6" s="1"/>
  <c r="G60" i="6" s="1"/>
  <c r="F28" i="6"/>
  <c r="F50" i="6" s="1"/>
  <c r="F60" i="6" s="1"/>
  <c r="E28" i="6"/>
  <c r="E50" i="6" s="1"/>
  <c r="E60" i="6" s="1"/>
  <c r="D28" i="6"/>
  <c r="D50" i="6" s="1"/>
  <c r="D60" i="6" s="1"/>
  <c r="P27" i="6"/>
  <c r="P26" i="6"/>
  <c r="AD22" i="6"/>
  <c r="AC22" i="6"/>
  <c r="AB22" i="6"/>
  <c r="AA22" i="6"/>
  <c r="Z22" i="6"/>
  <c r="Y22" i="6"/>
  <c r="X22" i="6"/>
  <c r="W22" i="6"/>
  <c r="V22" i="6"/>
  <c r="U22" i="6"/>
  <c r="T22" i="6"/>
  <c r="S22" i="6"/>
  <c r="P22" i="6"/>
  <c r="AD21" i="6"/>
  <c r="AC21" i="6"/>
  <c r="AB21" i="6"/>
  <c r="AA21" i="6"/>
  <c r="Z21" i="6"/>
  <c r="Y21" i="6"/>
  <c r="X21" i="6"/>
  <c r="W21" i="6"/>
  <c r="V21" i="6"/>
  <c r="U21" i="6"/>
  <c r="T21" i="6"/>
  <c r="S21" i="6"/>
  <c r="P21" i="6"/>
  <c r="AD18" i="6"/>
  <c r="AC18" i="6"/>
  <c r="AB18" i="6"/>
  <c r="AA18" i="6"/>
  <c r="Z18" i="6"/>
  <c r="Y18" i="6"/>
  <c r="X18" i="6"/>
  <c r="W18" i="6"/>
  <c r="V18" i="6"/>
  <c r="U18" i="6"/>
  <c r="T18" i="6"/>
  <c r="S18" i="6"/>
  <c r="P18" i="6"/>
  <c r="AD17" i="6"/>
  <c r="AC17" i="6"/>
  <c r="AB17" i="6"/>
  <c r="AA17" i="6"/>
  <c r="Z17" i="6"/>
  <c r="Y17" i="6"/>
  <c r="X17" i="6"/>
  <c r="W17" i="6"/>
  <c r="V17" i="6"/>
  <c r="U17" i="6"/>
  <c r="T17" i="6"/>
  <c r="S17" i="6"/>
  <c r="P17" i="6"/>
  <c r="AD16" i="6"/>
  <c r="AC16" i="6"/>
  <c r="AB16" i="6"/>
  <c r="AA16" i="6"/>
  <c r="Z16" i="6"/>
  <c r="Y16" i="6"/>
  <c r="X16" i="6"/>
  <c r="W16" i="6"/>
  <c r="V16" i="6"/>
  <c r="U16" i="6"/>
  <c r="T16" i="6"/>
  <c r="S16" i="6"/>
  <c r="P16" i="6"/>
  <c r="AD15" i="6"/>
  <c r="AC15" i="6"/>
  <c r="AB15" i="6"/>
  <c r="AA15" i="6"/>
  <c r="Z15" i="6"/>
  <c r="Y15" i="6"/>
  <c r="X15" i="6"/>
  <c r="W15" i="6"/>
  <c r="V15" i="6"/>
  <c r="U15" i="6"/>
  <c r="T15" i="6"/>
  <c r="S15" i="6"/>
  <c r="P15" i="6"/>
  <c r="AD14" i="6"/>
  <c r="AC14" i="6"/>
  <c r="AB14" i="6"/>
  <c r="AA14" i="6"/>
  <c r="Z14" i="6"/>
  <c r="Y14" i="6"/>
  <c r="X14" i="6"/>
  <c r="W14" i="6"/>
  <c r="V14" i="6"/>
  <c r="U14" i="6"/>
  <c r="T14" i="6"/>
  <c r="S14" i="6"/>
  <c r="P14" i="6"/>
  <c r="AD13" i="6"/>
  <c r="AC13" i="6"/>
  <c r="AB13" i="6"/>
  <c r="AA13" i="6"/>
  <c r="Z13" i="6"/>
  <c r="Y13" i="6"/>
  <c r="X13" i="6"/>
  <c r="W13" i="6"/>
  <c r="V13" i="6"/>
  <c r="U13" i="6"/>
  <c r="T13" i="6"/>
  <c r="S13" i="6"/>
  <c r="P13" i="6"/>
  <c r="AD12" i="6"/>
  <c r="AC12" i="6"/>
  <c r="AB12" i="6"/>
  <c r="AA12" i="6"/>
  <c r="Z12" i="6"/>
  <c r="Y12" i="6"/>
  <c r="X12" i="6"/>
  <c r="W12" i="6"/>
  <c r="V12" i="6"/>
  <c r="U12" i="6"/>
  <c r="T12" i="6"/>
  <c r="S12" i="6"/>
  <c r="P12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AD10" i="6"/>
  <c r="AC10" i="6"/>
  <c r="AB10" i="6"/>
  <c r="AB35" i="6" s="1"/>
  <c r="AA10" i="6"/>
  <c r="AA35" i="6" s="1"/>
  <c r="Z10" i="6"/>
  <c r="Z35" i="6" s="1"/>
  <c r="AA36" i="6" s="1"/>
  <c r="Y10" i="6"/>
  <c r="Y35" i="6" s="1"/>
  <c r="X10" i="6"/>
  <c r="X35" i="6" s="1"/>
  <c r="W10" i="6"/>
  <c r="W35" i="6" s="1"/>
  <c r="V10" i="6"/>
  <c r="V35" i="6" s="1"/>
  <c r="W36" i="6" s="1"/>
  <c r="U10" i="6"/>
  <c r="U35" i="6" s="1"/>
  <c r="T10" i="6"/>
  <c r="T35" i="6" s="1"/>
  <c r="S10" i="6"/>
  <c r="S35" i="6" s="1"/>
  <c r="P10" i="6"/>
  <c r="AD9" i="6"/>
  <c r="AC9" i="6"/>
  <c r="AB9" i="6"/>
  <c r="AB53" i="6" s="1"/>
  <c r="AB63" i="6" s="1"/>
  <c r="AA9" i="6"/>
  <c r="AA53" i="6" s="1"/>
  <c r="AA63" i="6" s="1"/>
  <c r="Z9" i="6"/>
  <c r="Y9" i="6"/>
  <c r="X9" i="6"/>
  <c r="X53" i="6" s="1"/>
  <c r="X63" i="6" s="1"/>
  <c r="W9" i="6"/>
  <c r="W53" i="6" s="1"/>
  <c r="W63" i="6" s="1"/>
  <c r="V9" i="6"/>
  <c r="U9" i="6"/>
  <c r="T9" i="6"/>
  <c r="T53" i="6" s="1"/>
  <c r="T63" i="6" s="1"/>
  <c r="S9" i="6"/>
  <c r="S53" i="6" s="1"/>
  <c r="S63" i="6" s="1"/>
  <c r="P9" i="6"/>
  <c r="AD8" i="6"/>
  <c r="AD32" i="6" s="1"/>
  <c r="AC8" i="6"/>
  <c r="AB8" i="6"/>
  <c r="AA8" i="6"/>
  <c r="Z8" i="6"/>
  <c r="Y8" i="6"/>
  <c r="X8" i="6"/>
  <c r="W8" i="6"/>
  <c r="V8" i="6"/>
  <c r="U8" i="6"/>
  <c r="T8" i="6"/>
  <c r="S8" i="6"/>
  <c r="P8" i="6"/>
  <c r="AD7" i="6"/>
  <c r="AC7" i="6"/>
  <c r="AB7" i="6"/>
  <c r="AA7" i="6"/>
  <c r="Z7" i="6"/>
  <c r="Y7" i="6"/>
  <c r="X7" i="6"/>
  <c r="W7" i="6"/>
  <c r="V7" i="6"/>
  <c r="U7" i="6"/>
  <c r="T7" i="6"/>
  <c r="S7" i="6"/>
  <c r="P7" i="6"/>
  <c r="AD6" i="6"/>
  <c r="AD29" i="6" s="1"/>
  <c r="AC6" i="6"/>
  <c r="AB6" i="6"/>
  <c r="AA6" i="6"/>
  <c r="Z6" i="6"/>
  <c r="Y6" i="6"/>
  <c r="X6" i="6"/>
  <c r="W6" i="6"/>
  <c r="V6" i="6"/>
  <c r="U6" i="6"/>
  <c r="T6" i="6"/>
  <c r="S6" i="6"/>
  <c r="P6" i="6"/>
  <c r="AD5" i="6"/>
  <c r="AC5" i="6"/>
  <c r="AB5" i="6"/>
  <c r="AA5" i="6"/>
  <c r="Z5" i="6"/>
  <c r="Y5" i="6"/>
  <c r="X5" i="6"/>
  <c r="W5" i="6"/>
  <c r="V5" i="6"/>
  <c r="U5" i="6"/>
  <c r="T5" i="6"/>
  <c r="S5" i="6"/>
  <c r="P5" i="6"/>
  <c r="AD4" i="6"/>
  <c r="AD26" i="6" s="1"/>
  <c r="AC4" i="6"/>
  <c r="AC26" i="6" s="1"/>
  <c r="AB4" i="6"/>
  <c r="AB26" i="6" s="1"/>
  <c r="AC27" i="6" s="1"/>
  <c r="AA4" i="6"/>
  <c r="AA26" i="6" s="1"/>
  <c r="AB27" i="6" s="1"/>
  <c r="Z4" i="6"/>
  <c r="Z26" i="6" s="1"/>
  <c r="AA27" i="6" s="1"/>
  <c r="Y4" i="6"/>
  <c r="Y26" i="6" s="1"/>
  <c r="Z27" i="6" s="1"/>
  <c r="X4" i="6"/>
  <c r="X26" i="6" s="1"/>
  <c r="Y27" i="6" s="1"/>
  <c r="W4" i="6"/>
  <c r="W26" i="6" s="1"/>
  <c r="X27" i="6" s="1"/>
  <c r="V4" i="6"/>
  <c r="V26" i="6" s="1"/>
  <c r="W27" i="6" s="1"/>
  <c r="U4" i="6"/>
  <c r="U26" i="6" s="1"/>
  <c r="V27" i="6" s="1"/>
  <c r="T4" i="6"/>
  <c r="T26" i="6" s="1"/>
  <c r="U27" i="6" s="1"/>
  <c r="S4" i="6"/>
  <c r="S26" i="6" s="1"/>
  <c r="P4" i="6"/>
  <c r="AD3" i="6"/>
  <c r="AC3" i="6"/>
  <c r="AB3" i="6"/>
  <c r="AA3" i="6"/>
  <c r="Z3" i="6"/>
  <c r="Y3" i="6"/>
  <c r="X3" i="6"/>
  <c r="W3" i="6"/>
  <c r="V3" i="6"/>
  <c r="U3" i="6"/>
  <c r="T3" i="6"/>
  <c r="S3" i="6"/>
  <c r="P3" i="6"/>
  <c r="U41" i="6" l="1"/>
  <c r="V42" i="6" s="1"/>
  <c r="Y41" i="6"/>
  <c r="Z42" i="6" s="1"/>
  <c r="V53" i="6"/>
  <c r="V63" i="6" s="1"/>
  <c r="Z53" i="6"/>
  <c r="Z63" i="6" s="1"/>
  <c r="T41" i="6"/>
  <c r="U42" i="6" s="1"/>
  <c r="X41" i="6"/>
  <c r="Y42" i="6" s="1"/>
  <c r="AB41" i="6"/>
  <c r="AC42" i="6" s="1"/>
  <c r="S36" i="6"/>
  <c r="S41" i="6"/>
  <c r="T42" i="6" s="1"/>
  <c r="AA38" i="6"/>
  <c r="AB39" i="6" s="1"/>
  <c r="U53" i="6"/>
  <c r="U63" i="6" s="1"/>
  <c r="Y53" i="6"/>
  <c r="Y63" i="6" s="1"/>
  <c r="AC41" i="6"/>
  <c r="AD42" i="6" s="1"/>
  <c r="AC35" i="6"/>
  <c r="AD36" i="6" s="1"/>
  <c r="AC53" i="6"/>
  <c r="AC63" i="6" s="1"/>
  <c r="AD35" i="6"/>
  <c r="AD53" i="6"/>
  <c r="AD63" i="6" s="1"/>
  <c r="AD27" i="6"/>
  <c r="AE26" i="6"/>
  <c r="V41" i="6"/>
  <c r="W42" i="6" s="1"/>
  <c r="Z41" i="6"/>
  <c r="AA42" i="6" s="1"/>
  <c r="AD41" i="6"/>
  <c r="S38" i="6"/>
  <c r="T39" i="6" s="1"/>
  <c r="W38" i="6"/>
  <c r="X39" i="6" s="1"/>
  <c r="S39" i="6"/>
  <c r="U38" i="6"/>
  <c r="V39" i="6" s="1"/>
  <c r="Y38" i="6"/>
  <c r="Z39" i="6" s="1"/>
  <c r="AC38" i="6"/>
  <c r="T38" i="6"/>
  <c r="U39" i="6" s="1"/>
  <c r="X38" i="6"/>
  <c r="Y39" i="6" s="1"/>
  <c r="AB38" i="6"/>
  <c r="AC39" i="6" s="1"/>
  <c r="V38" i="6"/>
  <c r="W39" i="6" s="1"/>
  <c r="Z38" i="6"/>
  <c r="AA39" i="6" s="1"/>
  <c r="AD38" i="6"/>
  <c r="N66" i="6"/>
  <c r="L66" i="6"/>
  <c r="E66" i="6"/>
  <c r="M66" i="6"/>
  <c r="L56" i="6"/>
  <c r="H66" i="6"/>
  <c r="I66" i="6"/>
  <c r="D56" i="6"/>
  <c r="D66" i="6" s="1"/>
  <c r="J56" i="6"/>
  <c r="J66" i="6" s="1"/>
  <c r="F56" i="6"/>
  <c r="F66" i="6" s="1"/>
  <c r="G66" i="6"/>
  <c r="K66" i="6"/>
  <c r="O66" i="6"/>
  <c r="P54" i="6"/>
  <c r="P64" i="6" s="1"/>
  <c r="D64" i="6"/>
  <c r="O55" i="6"/>
  <c r="O65" i="6" s="1"/>
  <c r="K55" i="6"/>
  <c r="K65" i="6" s="1"/>
  <c r="G55" i="6"/>
  <c r="G65" i="6" s="1"/>
  <c r="O52" i="6"/>
  <c r="O62" i="6" s="1"/>
  <c r="K52" i="6"/>
  <c r="K62" i="6" s="1"/>
  <c r="G52" i="6"/>
  <c r="N51" i="6"/>
  <c r="N61" i="6" s="1"/>
  <c r="J51" i="6"/>
  <c r="J61" i="6" s="1"/>
  <c r="F51" i="6"/>
  <c r="P43" i="6"/>
  <c r="M55" i="6"/>
  <c r="M65" i="6" s="1"/>
  <c r="I55" i="6"/>
  <c r="I65" i="6" s="1"/>
  <c r="E55" i="6"/>
  <c r="E65" i="6" s="1"/>
  <c r="O53" i="6"/>
  <c r="O63" i="6" s="1"/>
  <c r="K53" i="6"/>
  <c r="K63" i="6" s="1"/>
  <c r="G53" i="6"/>
  <c r="G63" i="6" s="1"/>
  <c r="AE20" i="6"/>
  <c r="AE19" i="6"/>
  <c r="S33" i="6"/>
  <c r="W32" i="6"/>
  <c r="X33" i="6" s="1"/>
  <c r="U32" i="6"/>
  <c r="V33" i="6" s="1"/>
  <c r="Y32" i="6"/>
  <c r="Z33" i="6" s="1"/>
  <c r="AC32" i="6"/>
  <c r="AD33" i="6" s="1"/>
  <c r="X36" i="6"/>
  <c r="U29" i="6"/>
  <c r="V30" i="6" s="1"/>
  <c r="Z32" i="6"/>
  <c r="AA33" i="6" s="1"/>
  <c r="AE15" i="6"/>
  <c r="AE21" i="6"/>
  <c r="AE3" i="6"/>
  <c r="Y29" i="6"/>
  <c r="Z30" i="6" s="1"/>
  <c r="T29" i="6"/>
  <c r="U30" i="6" s="1"/>
  <c r="X29" i="6"/>
  <c r="Y30" i="6" s="1"/>
  <c r="AB29" i="6"/>
  <c r="AC30" i="6" s="1"/>
  <c r="S30" i="6"/>
  <c r="S27" i="6"/>
  <c r="S29" i="6"/>
  <c r="T30" i="6" s="1"/>
  <c r="W29" i="6"/>
  <c r="X30" i="6" s="1"/>
  <c r="AA29" i="6"/>
  <c r="AB30" i="6" s="1"/>
  <c r="V29" i="6"/>
  <c r="W30" i="6" s="1"/>
  <c r="Z29" i="6"/>
  <c r="AA30" i="6" s="1"/>
  <c r="V32" i="6"/>
  <c r="W33" i="6" s="1"/>
  <c r="AB36" i="6"/>
  <c r="AE14" i="6"/>
  <c r="AE18" i="6"/>
  <c r="P28" i="6"/>
  <c r="S32" i="6"/>
  <c r="AC29" i="6"/>
  <c r="AD30" i="6" s="1"/>
  <c r="T32" i="6"/>
  <c r="U33" i="6" s="1"/>
  <c r="X32" i="6"/>
  <c r="Y33" i="6" s="1"/>
  <c r="AB32" i="6"/>
  <c r="AC33" i="6" s="1"/>
  <c r="AA32" i="6"/>
  <c r="AB33" i="6" s="1"/>
  <c r="U36" i="6"/>
  <c r="Y36" i="6"/>
  <c r="AC36" i="6"/>
  <c r="AE10" i="6"/>
  <c r="R37" i="6" s="1"/>
  <c r="AE11" i="6"/>
  <c r="AE16" i="6"/>
  <c r="AE22" i="6"/>
  <c r="AE5" i="6"/>
  <c r="AE12" i="6"/>
  <c r="AE13" i="6"/>
  <c r="AE17" i="6"/>
  <c r="T27" i="6"/>
  <c r="H57" i="6"/>
  <c r="P31" i="6"/>
  <c r="L57" i="6"/>
  <c r="AE7" i="6"/>
  <c r="P34" i="6"/>
  <c r="P37" i="6"/>
  <c r="P40" i="6"/>
  <c r="P50" i="6"/>
  <c r="P60" i="6" s="1"/>
  <c r="AE4" i="6"/>
  <c r="AE8" i="6"/>
  <c r="V36" i="6"/>
  <c r="Z36" i="6"/>
  <c r="AE9" i="6"/>
  <c r="AE6" i="6"/>
  <c r="P56" i="6" l="1"/>
  <c r="P66" i="6" s="1"/>
  <c r="E57" i="6"/>
  <c r="AE27" i="6"/>
  <c r="R43" i="6"/>
  <c r="AD39" i="6"/>
  <c r="AE39" i="6" s="1"/>
  <c r="AE38" i="6"/>
  <c r="R40" i="6"/>
  <c r="Y40" i="6" s="1"/>
  <c r="Y55" i="6" s="1"/>
  <c r="Y65" i="6" s="1"/>
  <c r="P55" i="6"/>
  <c r="P65" i="6" s="1"/>
  <c r="D57" i="6"/>
  <c r="K57" i="6"/>
  <c r="I57" i="6"/>
  <c r="O57" i="6"/>
  <c r="G57" i="6"/>
  <c r="G62" i="6"/>
  <c r="N57" i="6"/>
  <c r="P51" i="6"/>
  <c r="P61" i="6" s="1"/>
  <c r="F61" i="6"/>
  <c r="M57" i="6"/>
  <c r="F57" i="6"/>
  <c r="P53" i="6"/>
  <c r="P63" i="6" s="1"/>
  <c r="P52" i="6"/>
  <c r="P62" i="6" s="1"/>
  <c r="J57" i="6"/>
  <c r="Z40" i="6"/>
  <c r="Z55" i="6" s="1"/>
  <c r="Z65" i="6" s="1"/>
  <c r="AE32" i="6"/>
  <c r="V37" i="6"/>
  <c r="V54" i="6" s="1"/>
  <c r="V64" i="6" s="1"/>
  <c r="AE30" i="6"/>
  <c r="R31" i="6"/>
  <c r="AA31" i="6" s="1"/>
  <c r="T33" i="6"/>
  <c r="AE33" i="6" s="1"/>
  <c r="AE29" i="6"/>
  <c r="R34" i="6"/>
  <c r="W34" i="6" s="1"/>
  <c r="AE35" i="6"/>
  <c r="T36" i="6"/>
  <c r="AE36" i="6" s="1"/>
  <c r="R28" i="6"/>
  <c r="AD45" i="6"/>
  <c r="Z45" i="6"/>
  <c r="V45" i="6"/>
  <c r="AA45" i="6"/>
  <c r="U45" i="6"/>
  <c r="Y45" i="6"/>
  <c r="T45" i="6"/>
  <c r="AC45" i="6"/>
  <c r="X45" i="6"/>
  <c r="S45" i="6"/>
  <c r="AB45" i="6"/>
  <c r="W45" i="6"/>
  <c r="AA46" i="6"/>
  <c r="W46" i="6"/>
  <c r="S46" i="6"/>
  <c r="AB46" i="6"/>
  <c r="V46" i="6"/>
  <c r="Z46" i="6"/>
  <c r="U46" i="6"/>
  <c r="AD46" i="6"/>
  <c r="Y46" i="6"/>
  <c r="T46" i="6"/>
  <c r="AC46" i="6"/>
  <c r="X46" i="6"/>
  <c r="AE53" i="6"/>
  <c r="AE63" i="6" s="1"/>
  <c r="AD40" i="6" l="1"/>
  <c r="AD55" i="6" s="1"/>
  <c r="AD65" i="6" s="1"/>
  <c r="W40" i="6"/>
  <c r="W55" i="6" s="1"/>
  <c r="W65" i="6" s="1"/>
  <c r="V40" i="6"/>
  <c r="V55" i="6" s="1"/>
  <c r="V65" i="6" s="1"/>
  <c r="AB40" i="6"/>
  <c r="AB55" i="6" s="1"/>
  <c r="AB65" i="6" s="1"/>
  <c r="AA51" i="6"/>
  <c r="AA61" i="6" s="1"/>
  <c r="AA40" i="6"/>
  <c r="AA55" i="6" s="1"/>
  <c r="AA65" i="6" s="1"/>
  <c r="U40" i="6"/>
  <c r="U55" i="6" s="1"/>
  <c r="U65" i="6" s="1"/>
  <c r="S40" i="6"/>
  <c r="S55" i="6" s="1"/>
  <c r="T40" i="6"/>
  <c r="T55" i="6" s="1"/>
  <c r="T65" i="6" s="1"/>
  <c r="X40" i="6"/>
  <c r="X55" i="6" s="1"/>
  <c r="X65" i="6" s="1"/>
  <c r="AC40" i="6"/>
  <c r="AC55" i="6" s="1"/>
  <c r="AC65" i="6" s="1"/>
  <c r="AE42" i="6"/>
  <c r="P57" i="6"/>
  <c r="AE41" i="6"/>
  <c r="AB31" i="6"/>
  <c r="AB51" i="6" s="1"/>
  <c r="AB61" i="6" s="1"/>
  <c r="V31" i="6"/>
  <c r="V51" i="6" s="1"/>
  <c r="V61" i="6" s="1"/>
  <c r="AA43" i="6"/>
  <c r="AA56" i="6" s="1"/>
  <c r="AA66" i="6" s="1"/>
  <c r="AB43" i="6"/>
  <c r="AB56" i="6" s="1"/>
  <c r="AB66" i="6" s="1"/>
  <c r="T43" i="6"/>
  <c r="T56" i="6" s="1"/>
  <c r="T66" i="6" s="1"/>
  <c r="Y43" i="6"/>
  <c r="Y56" i="6" s="1"/>
  <c r="Y66" i="6" s="1"/>
  <c r="X43" i="6"/>
  <c r="X56" i="6" s="1"/>
  <c r="X66" i="6" s="1"/>
  <c r="AC43" i="6"/>
  <c r="AC56" i="6" s="1"/>
  <c r="AC66" i="6" s="1"/>
  <c r="U43" i="6"/>
  <c r="U56" i="6" s="1"/>
  <c r="U66" i="6" s="1"/>
  <c r="AD43" i="6"/>
  <c r="AD56" i="6" s="1"/>
  <c r="AD66" i="6" s="1"/>
  <c r="V43" i="6"/>
  <c r="V56" i="6" s="1"/>
  <c r="V66" i="6" s="1"/>
  <c r="Z43" i="6"/>
  <c r="Z56" i="6" s="1"/>
  <c r="Z66" i="6" s="1"/>
  <c r="S43" i="6"/>
  <c r="S56" i="6" s="1"/>
  <c r="S66" i="6" s="1"/>
  <c r="W43" i="6"/>
  <c r="W56" i="6" s="1"/>
  <c r="W66" i="6" s="1"/>
  <c r="T31" i="6"/>
  <c r="T51" i="6" s="1"/>
  <c r="T61" i="6" s="1"/>
  <c r="X31" i="6"/>
  <c r="X51" i="6" s="1"/>
  <c r="X61" i="6" s="1"/>
  <c r="AD31" i="6"/>
  <c r="AD51" i="6" s="1"/>
  <c r="AD61" i="6" s="1"/>
  <c r="U31" i="6"/>
  <c r="U51" i="6" s="1"/>
  <c r="U61" i="6" s="1"/>
  <c r="AC34" i="6"/>
  <c r="S34" i="6"/>
  <c r="S37" i="6"/>
  <c r="Z37" i="6"/>
  <c r="Z54" i="6" s="1"/>
  <c r="Z64" i="6" s="1"/>
  <c r="Z34" i="6"/>
  <c r="W37" i="6"/>
  <c r="W54" i="6" s="1"/>
  <c r="W64" i="6" s="1"/>
  <c r="S31" i="6"/>
  <c r="S51" i="6" s="1"/>
  <c r="S61" i="6" s="1"/>
  <c r="Y31" i="6"/>
  <c r="Y51" i="6" s="1"/>
  <c r="Y61" i="6" s="1"/>
  <c r="Z31" i="6"/>
  <c r="Z51" i="6" s="1"/>
  <c r="Z61" i="6" s="1"/>
  <c r="X34" i="6"/>
  <c r="AC37" i="6"/>
  <c r="AC54" i="6" s="1"/>
  <c r="AC64" i="6" s="1"/>
  <c r="U37" i="6"/>
  <c r="U54" i="6" s="1"/>
  <c r="U64" i="6" s="1"/>
  <c r="T37" i="6"/>
  <c r="T54" i="6" s="1"/>
  <c r="T64" i="6" s="1"/>
  <c r="AB37" i="6"/>
  <c r="AB54" i="6" s="1"/>
  <c r="AB64" i="6" s="1"/>
  <c r="Y37" i="6"/>
  <c r="Y54" i="6" s="1"/>
  <c r="Y64" i="6" s="1"/>
  <c r="AA37" i="6"/>
  <c r="AA54" i="6" s="1"/>
  <c r="AA64" i="6" s="1"/>
  <c r="W31" i="6"/>
  <c r="W51" i="6" s="1"/>
  <c r="W61" i="6" s="1"/>
  <c r="AC31" i="6"/>
  <c r="AC51" i="6" s="1"/>
  <c r="AC61" i="6" s="1"/>
  <c r="U34" i="6"/>
  <c r="AD34" i="6"/>
  <c r="AD37" i="6"/>
  <c r="AD54" i="6" s="1"/>
  <c r="AD64" i="6" s="1"/>
  <c r="X37" i="6"/>
  <c r="X54" i="6" s="1"/>
  <c r="X64" i="6" s="1"/>
  <c r="AB34" i="6"/>
  <c r="Y34" i="6"/>
  <c r="AA34" i="6"/>
  <c r="V34" i="6"/>
  <c r="T34" i="6"/>
  <c r="AC47" i="6"/>
  <c r="Y47" i="6"/>
  <c r="U47" i="6"/>
  <c r="Z47" i="6"/>
  <c r="T47" i="6"/>
  <c r="T52" i="6" s="1"/>
  <c r="T62" i="6" s="1"/>
  <c r="X47" i="6"/>
  <c r="AD47" i="6"/>
  <c r="W47" i="6"/>
  <c r="W52" i="6" s="1"/>
  <c r="W62" i="6" s="1"/>
  <c r="AB47" i="6"/>
  <c r="AB52" i="6" s="1"/>
  <c r="AB62" i="6" s="1"/>
  <c r="V47" i="6"/>
  <c r="AA47" i="6"/>
  <c r="S47" i="6"/>
  <c r="AE46" i="6"/>
  <c r="AE45" i="6"/>
  <c r="AC28" i="6"/>
  <c r="AC50" i="6" s="1"/>
  <c r="AC60" i="6" s="1"/>
  <c r="Y28" i="6"/>
  <c r="Y50" i="6" s="1"/>
  <c r="Y60" i="6" s="1"/>
  <c r="U28" i="6"/>
  <c r="U50" i="6" s="1"/>
  <c r="U60" i="6" s="1"/>
  <c r="AA28" i="6"/>
  <c r="AA50" i="6" s="1"/>
  <c r="AA60" i="6" s="1"/>
  <c r="V28" i="6"/>
  <c r="V50" i="6" s="1"/>
  <c r="V60" i="6" s="1"/>
  <c r="Z28" i="6"/>
  <c r="Z50" i="6" s="1"/>
  <c r="Z60" i="6" s="1"/>
  <c r="T28" i="6"/>
  <c r="T50" i="6" s="1"/>
  <c r="T60" i="6" s="1"/>
  <c r="AD28" i="6"/>
  <c r="AD50" i="6" s="1"/>
  <c r="AD60" i="6" s="1"/>
  <c r="X28" i="6"/>
  <c r="X50" i="6" s="1"/>
  <c r="X60" i="6" s="1"/>
  <c r="S28" i="6"/>
  <c r="S50" i="6" s="1"/>
  <c r="S60" i="6" s="1"/>
  <c r="AB28" i="6"/>
  <c r="AB50" i="6" s="1"/>
  <c r="AB60" i="6" s="1"/>
  <c r="W28" i="6"/>
  <c r="W50" i="6" s="1"/>
  <c r="W60" i="6" s="1"/>
  <c r="AE56" i="6" l="1"/>
  <c r="AE66" i="6" s="1"/>
  <c r="V52" i="6"/>
  <c r="V62" i="6" s="1"/>
  <c r="AC52" i="6"/>
  <c r="AC62" i="6" s="1"/>
  <c r="X52" i="6"/>
  <c r="X62" i="6" s="1"/>
  <c r="S52" i="6"/>
  <c r="S62" i="6" s="1"/>
  <c r="Z52" i="6"/>
  <c r="Z62" i="6" s="1"/>
  <c r="S65" i="6"/>
  <c r="S54" i="6"/>
  <c r="Y52" i="6"/>
  <c r="Y62" i="6" s="1"/>
  <c r="AA52" i="6"/>
  <c r="AA62" i="6" s="1"/>
  <c r="AD52" i="6"/>
  <c r="AD62" i="6" s="1"/>
  <c r="U52" i="6"/>
  <c r="U62" i="6" s="1"/>
  <c r="AE40" i="6"/>
  <c r="AE43" i="6"/>
  <c r="AE31" i="6"/>
  <c r="AE55" i="6"/>
  <c r="AE65" i="6" s="1"/>
  <c r="AE34" i="6"/>
  <c r="AE37" i="6"/>
  <c r="AC57" i="6"/>
  <c r="AB57" i="6"/>
  <c r="W57" i="6"/>
  <c r="T57" i="6"/>
  <c r="AE28" i="6"/>
  <c r="AE47" i="6"/>
  <c r="U36" i="5"/>
  <c r="V36" i="5"/>
  <c r="W36" i="5"/>
  <c r="X36" i="5"/>
  <c r="Y36" i="5"/>
  <c r="Z36" i="5"/>
  <c r="AA36" i="5"/>
  <c r="AB36" i="5"/>
  <c r="AC36" i="5"/>
  <c r="T36" i="5"/>
  <c r="E45" i="5"/>
  <c r="E53" i="5" s="1"/>
  <c r="F45" i="5"/>
  <c r="F53" i="5" s="1"/>
  <c r="G45" i="5"/>
  <c r="G53" i="5" s="1"/>
  <c r="H45" i="5"/>
  <c r="H53" i="5" s="1"/>
  <c r="I45" i="5"/>
  <c r="I53" i="5" s="1"/>
  <c r="J45" i="5"/>
  <c r="J53" i="5" s="1"/>
  <c r="K45" i="5"/>
  <c r="K53" i="5" s="1"/>
  <c r="L45" i="5"/>
  <c r="L53" i="5" s="1"/>
  <c r="M45" i="5"/>
  <c r="M53" i="5" s="1"/>
  <c r="N45" i="5"/>
  <c r="O45" i="5"/>
  <c r="D45" i="5"/>
  <c r="S13" i="5"/>
  <c r="T13" i="5"/>
  <c r="U13" i="5"/>
  <c r="V13" i="5"/>
  <c r="W13" i="5"/>
  <c r="X13" i="5"/>
  <c r="Y13" i="5"/>
  <c r="Z13" i="5"/>
  <c r="AA13" i="5"/>
  <c r="AB13" i="5"/>
  <c r="AC13" i="5"/>
  <c r="AD13" i="5"/>
  <c r="S8" i="5"/>
  <c r="T8" i="5"/>
  <c r="U8" i="5"/>
  <c r="V8" i="5"/>
  <c r="W8" i="5"/>
  <c r="X8" i="5"/>
  <c r="Y8" i="5"/>
  <c r="Z8" i="5"/>
  <c r="AA8" i="5"/>
  <c r="AB8" i="5"/>
  <c r="AC8" i="5"/>
  <c r="AD8" i="5"/>
  <c r="S22" i="5"/>
  <c r="T22" i="5"/>
  <c r="U22" i="5"/>
  <c r="V22" i="5"/>
  <c r="W22" i="5"/>
  <c r="X22" i="5"/>
  <c r="Y22" i="5"/>
  <c r="Z22" i="5"/>
  <c r="AA22" i="5"/>
  <c r="AB22" i="5"/>
  <c r="AC22" i="5"/>
  <c r="AD22" i="5"/>
  <c r="P13" i="5"/>
  <c r="P8" i="5"/>
  <c r="S64" i="6" l="1"/>
  <c r="AE54" i="6"/>
  <c r="AE64" i="6" s="1"/>
  <c r="AA57" i="6"/>
  <c r="U57" i="6"/>
  <c r="X57" i="6"/>
  <c r="Z57" i="6"/>
  <c r="AD57" i="6"/>
  <c r="Y57" i="6"/>
  <c r="V57" i="6"/>
  <c r="AE51" i="6"/>
  <c r="AE52" i="6"/>
  <c r="AE62" i="6" s="1"/>
  <c r="S57" i="6"/>
  <c r="AE50" i="6"/>
  <c r="AE8" i="5"/>
  <c r="AE13" i="5"/>
  <c r="AE61" i="6" l="1"/>
  <c r="AF52" i="6"/>
  <c r="AE60" i="6"/>
  <c r="AF50" i="6"/>
  <c r="AF57" i="6" s="1"/>
  <c r="AE57" i="6"/>
  <c r="O53" i="5"/>
  <c r="N53" i="5"/>
  <c r="D53" i="5"/>
  <c r="P40" i="5"/>
  <c r="P39" i="5"/>
  <c r="O37" i="5"/>
  <c r="N37" i="5"/>
  <c r="M37" i="5"/>
  <c r="L37" i="5"/>
  <c r="K37" i="5"/>
  <c r="J37" i="5"/>
  <c r="I37" i="5"/>
  <c r="H37" i="5"/>
  <c r="G37" i="5"/>
  <c r="F37" i="5"/>
  <c r="E37" i="5"/>
  <c r="D37" i="5"/>
  <c r="P36" i="5"/>
  <c r="AD36" i="5"/>
  <c r="P35" i="5"/>
  <c r="O34" i="5"/>
  <c r="N34" i="5"/>
  <c r="M34" i="5"/>
  <c r="L34" i="5"/>
  <c r="K34" i="5"/>
  <c r="J34" i="5"/>
  <c r="I34" i="5"/>
  <c r="H34" i="5"/>
  <c r="G34" i="5"/>
  <c r="F34" i="5"/>
  <c r="E34" i="5"/>
  <c r="D34" i="5"/>
  <c r="D46" i="5" s="1"/>
  <c r="D54" i="5" s="1"/>
  <c r="P33" i="5"/>
  <c r="P32" i="5"/>
  <c r="O31" i="5"/>
  <c r="N31" i="5"/>
  <c r="M31" i="5"/>
  <c r="L31" i="5"/>
  <c r="K31" i="5"/>
  <c r="J31" i="5"/>
  <c r="I31" i="5"/>
  <c r="H31" i="5"/>
  <c r="G31" i="5"/>
  <c r="F31" i="5"/>
  <c r="E31" i="5"/>
  <c r="D31" i="5"/>
  <c r="D44" i="5" s="1"/>
  <c r="P30" i="5"/>
  <c r="P29" i="5"/>
  <c r="O28" i="5"/>
  <c r="O43" i="5" s="1"/>
  <c r="O51" i="5" s="1"/>
  <c r="N28" i="5"/>
  <c r="M28" i="5"/>
  <c r="M43" i="5" s="1"/>
  <c r="M51" i="5" s="1"/>
  <c r="L28" i="5"/>
  <c r="K28" i="5"/>
  <c r="K43" i="5" s="1"/>
  <c r="K51" i="5" s="1"/>
  <c r="J28" i="5"/>
  <c r="J43" i="5" s="1"/>
  <c r="J51" i="5" s="1"/>
  <c r="I28" i="5"/>
  <c r="I43" i="5" s="1"/>
  <c r="I51" i="5" s="1"/>
  <c r="H28" i="5"/>
  <c r="G28" i="5"/>
  <c r="G43" i="5" s="1"/>
  <c r="G51" i="5" s="1"/>
  <c r="F28" i="5"/>
  <c r="F43" i="5" s="1"/>
  <c r="F51" i="5" s="1"/>
  <c r="E28" i="5"/>
  <c r="E43" i="5" s="1"/>
  <c r="E51" i="5" s="1"/>
  <c r="D28" i="5"/>
  <c r="D43" i="5" s="1"/>
  <c r="D51" i="5" s="1"/>
  <c r="P27" i="5"/>
  <c r="P26" i="5"/>
  <c r="AE24" i="5"/>
  <c r="P24" i="5"/>
  <c r="AD23" i="5"/>
  <c r="AC23" i="5"/>
  <c r="AB23" i="5"/>
  <c r="AA23" i="5"/>
  <c r="Z23" i="5"/>
  <c r="Y23" i="5"/>
  <c r="X23" i="5"/>
  <c r="W23" i="5"/>
  <c r="V23" i="5"/>
  <c r="U23" i="5"/>
  <c r="T23" i="5"/>
  <c r="S23" i="5"/>
  <c r="P23" i="5"/>
  <c r="P22" i="5"/>
  <c r="AD21" i="5"/>
  <c r="AC21" i="5"/>
  <c r="AB21" i="5"/>
  <c r="AA21" i="5"/>
  <c r="Z21" i="5"/>
  <c r="Y21" i="5"/>
  <c r="X21" i="5"/>
  <c r="W21" i="5"/>
  <c r="V21" i="5"/>
  <c r="U21" i="5"/>
  <c r="T21" i="5"/>
  <c r="S21" i="5"/>
  <c r="P21" i="5"/>
  <c r="AD20" i="5"/>
  <c r="AD32" i="5" s="1"/>
  <c r="AC20" i="5"/>
  <c r="AC32" i="5" s="1"/>
  <c r="AD33" i="5" s="1"/>
  <c r="AB20" i="5"/>
  <c r="AB32" i="5" s="1"/>
  <c r="AC33" i="5" s="1"/>
  <c r="AA20" i="5"/>
  <c r="AA32" i="5" s="1"/>
  <c r="AB33" i="5" s="1"/>
  <c r="Z20" i="5"/>
  <c r="Z32" i="5" s="1"/>
  <c r="AA33" i="5" s="1"/>
  <c r="Y20" i="5"/>
  <c r="Y32" i="5" s="1"/>
  <c r="Z33" i="5" s="1"/>
  <c r="X20" i="5"/>
  <c r="X32" i="5" s="1"/>
  <c r="Y33" i="5" s="1"/>
  <c r="W20" i="5"/>
  <c r="W32" i="5" s="1"/>
  <c r="X33" i="5" s="1"/>
  <c r="V20" i="5"/>
  <c r="V32" i="5" s="1"/>
  <c r="W33" i="5" s="1"/>
  <c r="U20" i="5"/>
  <c r="U32" i="5" s="1"/>
  <c r="V33" i="5" s="1"/>
  <c r="T20" i="5"/>
  <c r="T32" i="5" s="1"/>
  <c r="U33" i="5" s="1"/>
  <c r="S20" i="5"/>
  <c r="P20" i="5"/>
  <c r="AD19" i="5"/>
  <c r="AC19" i="5"/>
  <c r="AB19" i="5"/>
  <c r="AA19" i="5"/>
  <c r="Z19" i="5"/>
  <c r="Y19" i="5"/>
  <c r="X19" i="5"/>
  <c r="W19" i="5"/>
  <c r="V19" i="5"/>
  <c r="U19" i="5"/>
  <c r="T19" i="5"/>
  <c r="S19" i="5"/>
  <c r="P19" i="5"/>
  <c r="AD18" i="5"/>
  <c r="AC18" i="5"/>
  <c r="AB18" i="5"/>
  <c r="AA18" i="5"/>
  <c r="Z18" i="5"/>
  <c r="Y18" i="5"/>
  <c r="X18" i="5"/>
  <c r="W18" i="5"/>
  <c r="V18" i="5"/>
  <c r="U18" i="5"/>
  <c r="T18" i="5"/>
  <c r="S18" i="5"/>
  <c r="P18" i="5"/>
  <c r="AD17" i="5"/>
  <c r="AC17" i="5"/>
  <c r="AB17" i="5"/>
  <c r="AA17" i="5"/>
  <c r="Z17" i="5"/>
  <c r="Y17" i="5"/>
  <c r="X17" i="5"/>
  <c r="W17" i="5"/>
  <c r="V17" i="5"/>
  <c r="U17" i="5"/>
  <c r="T17" i="5"/>
  <c r="S17" i="5"/>
  <c r="P17" i="5"/>
  <c r="AD16" i="5"/>
  <c r="AC16" i="5"/>
  <c r="AB16" i="5"/>
  <c r="AA16" i="5"/>
  <c r="Z16" i="5"/>
  <c r="Y16" i="5"/>
  <c r="X16" i="5"/>
  <c r="W16" i="5"/>
  <c r="V16" i="5"/>
  <c r="U16" i="5"/>
  <c r="T16" i="5"/>
  <c r="S16" i="5"/>
  <c r="P16" i="5"/>
  <c r="AD15" i="5"/>
  <c r="AC15" i="5"/>
  <c r="AB15" i="5"/>
  <c r="AA15" i="5"/>
  <c r="Z15" i="5"/>
  <c r="Y15" i="5"/>
  <c r="X15" i="5"/>
  <c r="W15" i="5"/>
  <c r="V15" i="5"/>
  <c r="U15" i="5"/>
  <c r="T15" i="5"/>
  <c r="S15" i="5"/>
  <c r="P15" i="5"/>
  <c r="AD14" i="5"/>
  <c r="AC14" i="5"/>
  <c r="AB14" i="5"/>
  <c r="AA14" i="5"/>
  <c r="Z14" i="5"/>
  <c r="Y14" i="5"/>
  <c r="X14" i="5"/>
  <c r="W14" i="5"/>
  <c r="V14" i="5"/>
  <c r="U14" i="5"/>
  <c r="T14" i="5"/>
  <c r="S14" i="5"/>
  <c r="P14" i="5"/>
  <c r="AD12" i="5"/>
  <c r="AC12" i="5"/>
  <c r="AB12" i="5"/>
  <c r="AA12" i="5"/>
  <c r="Z12" i="5"/>
  <c r="Y12" i="5"/>
  <c r="X12" i="5"/>
  <c r="W12" i="5"/>
  <c r="V12" i="5"/>
  <c r="U12" i="5"/>
  <c r="T12" i="5"/>
  <c r="S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P9" i="5"/>
  <c r="Q9" i="5" s="1"/>
  <c r="AD7" i="5"/>
  <c r="AC7" i="5"/>
  <c r="AB7" i="5"/>
  <c r="AA7" i="5"/>
  <c r="Z7" i="5"/>
  <c r="Y7" i="5"/>
  <c r="X7" i="5"/>
  <c r="W7" i="5"/>
  <c r="V7" i="5"/>
  <c r="U7" i="5"/>
  <c r="T7" i="5"/>
  <c r="S7" i="5"/>
  <c r="P7" i="5"/>
  <c r="AD6" i="5"/>
  <c r="AC6" i="5"/>
  <c r="AB6" i="5"/>
  <c r="AA6" i="5"/>
  <c r="Z6" i="5"/>
  <c r="Y6" i="5"/>
  <c r="X6" i="5"/>
  <c r="W6" i="5"/>
  <c r="V6" i="5"/>
  <c r="U6" i="5"/>
  <c r="T6" i="5"/>
  <c r="S6" i="5"/>
  <c r="P6" i="5"/>
  <c r="AD5" i="5"/>
  <c r="AC5" i="5"/>
  <c r="AB5" i="5"/>
  <c r="AA5" i="5"/>
  <c r="Z5" i="5"/>
  <c r="Y5" i="5"/>
  <c r="X5" i="5"/>
  <c r="W5" i="5"/>
  <c r="V5" i="5"/>
  <c r="U5" i="5"/>
  <c r="T5" i="5"/>
  <c r="S5" i="5"/>
  <c r="P5" i="5"/>
  <c r="AD4" i="5"/>
  <c r="AC4" i="5"/>
  <c r="AB4" i="5"/>
  <c r="AA4" i="5"/>
  <c r="Z4" i="5"/>
  <c r="Y4" i="5"/>
  <c r="X4" i="5"/>
  <c r="W4" i="5"/>
  <c r="V4" i="5"/>
  <c r="U4" i="5"/>
  <c r="T4" i="5"/>
  <c r="S4" i="5"/>
  <c r="P4" i="5"/>
  <c r="AD3" i="5"/>
  <c r="AC3" i="5"/>
  <c r="AB3" i="5"/>
  <c r="AA3" i="5"/>
  <c r="Z3" i="5"/>
  <c r="Y3" i="5"/>
  <c r="X3" i="5"/>
  <c r="W3" i="5"/>
  <c r="V3" i="5"/>
  <c r="U3" i="5"/>
  <c r="T3" i="5"/>
  <c r="S3" i="5"/>
  <c r="P3" i="5"/>
  <c r="Q7" i="5" l="1"/>
  <c r="S32" i="5"/>
  <c r="T33" i="5" s="1"/>
  <c r="S33" i="5"/>
  <c r="AE33" i="5" s="1"/>
  <c r="J46" i="5"/>
  <c r="J54" i="5" s="1"/>
  <c r="D47" i="5"/>
  <c r="D48" i="5" s="1"/>
  <c r="H47" i="5"/>
  <c r="H55" i="5" s="1"/>
  <c r="E44" i="5"/>
  <c r="I44" i="5"/>
  <c r="I52" i="5" s="1"/>
  <c r="M44" i="5"/>
  <c r="M52" i="5" s="1"/>
  <c r="G46" i="5"/>
  <c r="G54" i="5" s="1"/>
  <c r="K46" i="5"/>
  <c r="K54" i="5" s="1"/>
  <c r="O46" i="5"/>
  <c r="O54" i="5" s="1"/>
  <c r="E47" i="5"/>
  <c r="E55" i="5" s="1"/>
  <c r="I47" i="5"/>
  <c r="I55" i="5" s="1"/>
  <c r="M47" i="5"/>
  <c r="M55" i="5" s="1"/>
  <c r="H44" i="5"/>
  <c r="H52" i="5" s="1"/>
  <c r="L47" i="5"/>
  <c r="L55" i="5" s="1"/>
  <c r="H43" i="5"/>
  <c r="H51" i="5" s="1"/>
  <c r="L43" i="5"/>
  <c r="F44" i="5"/>
  <c r="F52" i="5" s="1"/>
  <c r="J44" i="5"/>
  <c r="N44" i="5"/>
  <c r="N52" i="5" s="1"/>
  <c r="H46" i="5"/>
  <c r="H54" i="5" s="1"/>
  <c r="L46" i="5"/>
  <c r="L54" i="5" s="1"/>
  <c r="F47" i="5"/>
  <c r="F55" i="5" s="1"/>
  <c r="J47" i="5"/>
  <c r="J55" i="5" s="1"/>
  <c r="N47" i="5"/>
  <c r="N55" i="5" s="1"/>
  <c r="N43" i="5"/>
  <c r="N51" i="5" s="1"/>
  <c r="L44" i="5"/>
  <c r="L52" i="5" s="1"/>
  <c r="F46" i="5"/>
  <c r="F54" i="5" s="1"/>
  <c r="N46" i="5"/>
  <c r="N54" i="5" s="1"/>
  <c r="G44" i="5"/>
  <c r="G52" i="5" s="1"/>
  <c r="K44" i="5"/>
  <c r="O44" i="5"/>
  <c r="O52" i="5" s="1"/>
  <c r="E46" i="5"/>
  <c r="I46" i="5"/>
  <c r="I54" i="5" s="1"/>
  <c r="M46" i="5"/>
  <c r="M54" i="5" s="1"/>
  <c r="G47" i="5"/>
  <c r="G55" i="5" s="1"/>
  <c r="K47" i="5"/>
  <c r="K55" i="5" s="1"/>
  <c r="O47" i="5"/>
  <c r="O55" i="5" s="1"/>
  <c r="AE36" i="5"/>
  <c r="AE35" i="5"/>
  <c r="V26" i="5"/>
  <c r="W27" i="5" s="1"/>
  <c r="Z26" i="5"/>
  <c r="AA27" i="5" s="1"/>
  <c r="AD26" i="5"/>
  <c r="X26" i="5"/>
  <c r="Y27" i="5" s="1"/>
  <c r="AA26" i="5"/>
  <c r="AB27" i="5" s="1"/>
  <c r="AE16" i="5"/>
  <c r="AE22" i="5"/>
  <c r="R37" i="5" s="1"/>
  <c r="S26" i="5"/>
  <c r="T27" i="5" s="1"/>
  <c r="T26" i="5"/>
  <c r="U27" i="5" s="1"/>
  <c r="AB26" i="5"/>
  <c r="AC27" i="5" s="1"/>
  <c r="Q6" i="5"/>
  <c r="AE9" i="5"/>
  <c r="AE3" i="5"/>
  <c r="P34" i="5"/>
  <c r="AE19" i="5"/>
  <c r="AE23" i="5"/>
  <c r="Q4" i="5"/>
  <c r="R39" i="5" s="1"/>
  <c r="U26" i="5"/>
  <c r="V27" i="5" s="1"/>
  <c r="Y26" i="5"/>
  <c r="Z27" i="5" s="1"/>
  <c r="AC26" i="5"/>
  <c r="AD27" i="5" s="1"/>
  <c r="T29" i="5"/>
  <c r="U30" i="5" s="1"/>
  <c r="X29" i="5"/>
  <c r="Y30" i="5" s="1"/>
  <c r="AB29" i="5"/>
  <c r="AC30" i="5" s="1"/>
  <c r="U29" i="5"/>
  <c r="V30" i="5" s="1"/>
  <c r="Y29" i="5"/>
  <c r="Z30" i="5" s="1"/>
  <c r="AC29" i="5"/>
  <c r="AD30" i="5" s="1"/>
  <c r="S30" i="5"/>
  <c r="W29" i="5"/>
  <c r="X30" i="5" s="1"/>
  <c r="AA29" i="5"/>
  <c r="AB30" i="5" s="1"/>
  <c r="S45" i="5"/>
  <c r="S53" i="5" s="1"/>
  <c r="AA45" i="5"/>
  <c r="AA53" i="5" s="1"/>
  <c r="AE21" i="5"/>
  <c r="AE14" i="5"/>
  <c r="AE5" i="5"/>
  <c r="AB45" i="5"/>
  <c r="AB53" i="5" s="1"/>
  <c r="U45" i="5"/>
  <c r="U53" i="5" s="1"/>
  <c r="W26" i="5"/>
  <c r="X27" i="5" s="1"/>
  <c r="AE11" i="5"/>
  <c r="AE18" i="5"/>
  <c r="AE7" i="5"/>
  <c r="AE12" i="5"/>
  <c r="S27" i="5"/>
  <c r="AE4" i="5"/>
  <c r="V29" i="5"/>
  <c r="W30" i="5" s="1"/>
  <c r="Z29" i="5"/>
  <c r="AA30" i="5" s="1"/>
  <c r="AD29" i="5"/>
  <c r="AE10" i="5"/>
  <c r="W45" i="5"/>
  <c r="W53" i="5" s="1"/>
  <c r="AE15" i="5"/>
  <c r="AE17" i="5"/>
  <c r="S29" i="5"/>
  <c r="T45" i="5"/>
  <c r="T53" i="5" s="1"/>
  <c r="X45" i="5"/>
  <c r="X53" i="5" s="1"/>
  <c r="AE20" i="5"/>
  <c r="P45" i="5"/>
  <c r="P53" i="5" s="1"/>
  <c r="Y45" i="5"/>
  <c r="Y53" i="5" s="1"/>
  <c r="AC45" i="5"/>
  <c r="AC53" i="5" s="1"/>
  <c r="AE6" i="5"/>
  <c r="V45" i="5"/>
  <c r="V53" i="5" s="1"/>
  <c r="Z45" i="5"/>
  <c r="Z53" i="5" s="1"/>
  <c r="AD45" i="5"/>
  <c r="AD53" i="5" s="1"/>
  <c r="P28" i="5"/>
  <c r="P31" i="5"/>
  <c r="D52" i="5"/>
  <c r="P37" i="5"/>
  <c r="E85" i="4"/>
  <c r="G85" i="4"/>
  <c r="I85" i="4"/>
  <c r="K85" i="4"/>
  <c r="E86" i="4"/>
  <c r="F86" i="4"/>
  <c r="G86" i="4"/>
  <c r="H86" i="4"/>
  <c r="I86" i="4"/>
  <c r="J86" i="4"/>
  <c r="K86" i="4"/>
  <c r="L86" i="4"/>
  <c r="M86" i="4"/>
  <c r="E88" i="4"/>
  <c r="F88" i="4"/>
  <c r="G88" i="4"/>
  <c r="H88" i="4"/>
  <c r="I88" i="4"/>
  <c r="J88" i="4"/>
  <c r="K88" i="4"/>
  <c r="L88" i="4"/>
  <c r="M88" i="4"/>
  <c r="E89" i="4"/>
  <c r="F89" i="4"/>
  <c r="G89" i="4"/>
  <c r="H89" i="4"/>
  <c r="I89" i="4"/>
  <c r="J89" i="4"/>
  <c r="K89" i="4"/>
  <c r="L89" i="4"/>
  <c r="M89" i="4"/>
  <c r="E90" i="4"/>
  <c r="F90" i="4"/>
  <c r="G90" i="4"/>
  <c r="H90" i="4"/>
  <c r="I90" i="4"/>
  <c r="J90" i="4"/>
  <c r="K90" i="4"/>
  <c r="L90" i="4"/>
  <c r="M90" i="4"/>
  <c r="D90" i="4"/>
  <c r="D89" i="4"/>
  <c r="D88" i="4"/>
  <c r="E74" i="4"/>
  <c r="F74" i="4"/>
  <c r="F85" i="4" s="1"/>
  <c r="G74" i="4"/>
  <c r="H74" i="4"/>
  <c r="H85" i="4" s="1"/>
  <c r="I74" i="4"/>
  <c r="J74" i="4"/>
  <c r="J85" i="4" s="1"/>
  <c r="K74" i="4"/>
  <c r="L74" i="4"/>
  <c r="L85" i="4" s="1"/>
  <c r="E76" i="4"/>
  <c r="E87" i="4" s="1"/>
  <c r="F76" i="4"/>
  <c r="F87" i="4" s="1"/>
  <c r="G76" i="4"/>
  <c r="G87" i="4" s="1"/>
  <c r="H76" i="4"/>
  <c r="H87" i="4" s="1"/>
  <c r="I76" i="4"/>
  <c r="I87" i="4" s="1"/>
  <c r="J76" i="4"/>
  <c r="J87" i="4" s="1"/>
  <c r="K76" i="4"/>
  <c r="K87" i="4" s="1"/>
  <c r="L76" i="4"/>
  <c r="L87" i="4" s="1"/>
  <c r="M76" i="4"/>
  <c r="M87" i="4" s="1"/>
  <c r="E77" i="4"/>
  <c r="F77" i="4"/>
  <c r="G77" i="4"/>
  <c r="H77" i="4"/>
  <c r="I77" i="4"/>
  <c r="J77" i="4"/>
  <c r="K77" i="4"/>
  <c r="L77" i="4"/>
  <c r="M77" i="4"/>
  <c r="N77" i="4"/>
  <c r="N88" i="4" s="1"/>
  <c r="O77" i="4"/>
  <c r="O88" i="4" s="1"/>
  <c r="E78" i="4"/>
  <c r="F78" i="4"/>
  <c r="G78" i="4"/>
  <c r="H78" i="4"/>
  <c r="I78" i="4"/>
  <c r="J78" i="4"/>
  <c r="K78" i="4"/>
  <c r="L78" i="4"/>
  <c r="M78" i="4"/>
  <c r="E79" i="4"/>
  <c r="F79" i="4"/>
  <c r="G79" i="4"/>
  <c r="H79" i="4"/>
  <c r="I79" i="4"/>
  <c r="J79" i="4"/>
  <c r="K79" i="4"/>
  <c r="L79" i="4"/>
  <c r="M79" i="4"/>
  <c r="D79" i="4"/>
  <c r="D78" i="4"/>
  <c r="D77" i="4"/>
  <c r="D76" i="4"/>
  <c r="D87" i="4" s="1"/>
  <c r="D74" i="4"/>
  <c r="D85" i="4" s="1"/>
  <c r="G48" i="5" l="1"/>
  <c r="M48" i="5"/>
  <c r="L48" i="5"/>
  <c r="K48" i="5"/>
  <c r="K52" i="5"/>
  <c r="J48" i="5"/>
  <c r="J52" i="5"/>
  <c r="P47" i="5"/>
  <c r="P55" i="5" s="1"/>
  <c r="O48" i="5"/>
  <c r="P46" i="5"/>
  <c r="P54" i="5" s="1"/>
  <c r="E54" i="5"/>
  <c r="P43" i="5"/>
  <c r="P51" i="5" s="1"/>
  <c r="L51" i="5"/>
  <c r="E48" i="5"/>
  <c r="E52" i="5"/>
  <c r="F48" i="5"/>
  <c r="I48" i="5"/>
  <c r="P44" i="5"/>
  <c r="P52" i="5" s="1"/>
  <c r="H48" i="5"/>
  <c r="N48" i="5"/>
  <c r="D55" i="5"/>
  <c r="AE27" i="5"/>
  <c r="Z39" i="5"/>
  <c r="R40" i="5"/>
  <c r="W40" i="5" s="1"/>
  <c r="R31" i="5"/>
  <c r="AC31" i="5" s="1"/>
  <c r="R28" i="5"/>
  <c r="AC28" i="5" s="1"/>
  <c r="R34" i="5"/>
  <c r="X34" i="5" s="1"/>
  <c r="X46" i="5" s="1"/>
  <c r="X54" i="5" s="1"/>
  <c r="AC37" i="5"/>
  <c r="AC47" i="5" s="1"/>
  <c r="AC55" i="5" s="1"/>
  <c r="Y37" i="5"/>
  <c r="Y47" i="5" s="1"/>
  <c r="Y55" i="5" s="1"/>
  <c r="U37" i="5"/>
  <c r="U47" i="5" s="1"/>
  <c r="U55" i="5" s="1"/>
  <c r="AB37" i="5"/>
  <c r="AB47" i="5" s="1"/>
  <c r="AB55" i="5" s="1"/>
  <c r="W37" i="5"/>
  <c r="W47" i="5" s="1"/>
  <c r="W55" i="5" s="1"/>
  <c r="AD37" i="5"/>
  <c r="AD47" i="5" s="1"/>
  <c r="AD55" i="5" s="1"/>
  <c r="V37" i="5"/>
  <c r="V47" i="5" s="1"/>
  <c r="V55" i="5" s="1"/>
  <c r="AA37" i="5"/>
  <c r="AA47" i="5" s="1"/>
  <c r="AA55" i="5" s="1"/>
  <c r="T37" i="5"/>
  <c r="T47" i="5" s="1"/>
  <c r="T55" i="5" s="1"/>
  <c r="X37" i="5"/>
  <c r="X47" i="5" s="1"/>
  <c r="X55" i="5" s="1"/>
  <c r="S37" i="5"/>
  <c r="Z37" i="5"/>
  <c r="Z47" i="5" s="1"/>
  <c r="Z55" i="5" s="1"/>
  <c r="AE26" i="5"/>
  <c r="T30" i="5"/>
  <c r="AE30" i="5" s="1"/>
  <c r="AE29" i="5"/>
  <c r="AE32" i="5"/>
  <c r="AE45" i="5"/>
  <c r="AE53" i="5" s="1"/>
  <c r="T65" i="4"/>
  <c r="U65" i="4"/>
  <c r="V65" i="4"/>
  <c r="W65" i="4"/>
  <c r="X65" i="4"/>
  <c r="Y65" i="4"/>
  <c r="Z65" i="4"/>
  <c r="AA65" i="4"/>
  <c r="AB65" i="4"/>
  <c r="AC65" i="4"/>
  <c r="AD66" i="4" s="1"/>
  <c r="AD65" i="4"/>
  <c r="S66" i="4"/>
  <c r="S65" i="4"/>
  <c r="AC45" i="4"/>
  <c r="AD45" i="4"/>
  <c r="AC46" i="4"/>
  <c r="AD46" i="4"/>
  <c r="AC47" i="4"/>
  <c r="AD47" i="4"/>
  <c r="T45" i="4"/>
  <c r="U45" i="4"/>
  <c r="V45" i="4"/>
  <c r="W45" i="4"/>
  <c r="X45" i="4"/>
  <c r="Y45" i="4"/>
  <c r="Z45" i="4"/>
  <c r="AA45" i="4"/>
  <c r="AB45" i="4"/>
  <c r="T46" i="4"/>
  <c r="U46" i="4"/>
  <c r="V46" i="4"/>
  <c r="W46" i="4"/>
  <c r="X46" i="4"/>
  <c r="Y46" i="4"/>
  <c r="Z46" i="4"/>
  <c r="AA46" i="4"/>
  <c r="AB46" i="4"/>
  <c r="T47" i="4"/>
  <c r="U47" i="4"/>
  <c r="V47" i="4"/>
  <c r="W47" i="4"/>
  <c r="X47" i="4"/>
  <c r="Y47" i="4"/>
  <c r="Z47" i="4"/>
  <c r="AA47" i="4"/>
  <c r="AB47" i="4"/>
  <c r="S47" i="4"/>
  <c r="S45" i="4"/>
  <c r="S46" i="4"/>
  <c r="P46" i="4"/>
  <c r="P47" i="4"/>
  <c r="AB34" i="5" l="1"/>
  <c r="AB46" i="5" s="1"/>
  <c r="AB54" i="5" s="1"/>
  <c r="P48" i="5"/>
  <c r="AA39" i="5"/>
  <c r="U39" i="5"/>
  <c r="U34" i="5"/>
  <c r="U46" i="5" s="1"/>
  <c r="U54" i="5" s="1"/>
  <c r="AC34" i="5"/>
  <c r="AC46" i="5" s="1"/>
  <c r="AC54" i="5" s="1"/>
  <c r="AD31" i="5"/>
  <c r="AD39" i="5"/>
  <c r="V34" i="5"/>
  <c r="V46" i="5" s="1"/>
  <c r="V54" i="5" s="1"/>
  <c r="AC40" i="5"/>
  <c r="AC44" i="5" s="1"/>
  <c r="AC52" i="5" s="1"/>
  <c r="Y34" i="5"/>
  <c r="Y46" i="5" s="1"/>
  <c r="Y54" i="5" s="1"/>
  <c r="AA34" i="5"/>
  <c r="AA46" i="5" s="1"/>
  <c r="AA54" i="5" s="1"/>
  <c r="T40" i="5"/>
  <c r="AA40" i="5"/>
  <c r="X39" i="5"/>
  <c r="Z34" i="5"/>
  <c r="Z46" i="5" s="1"/>
  <c r="Z54" i="5" s="1"/>
  <c r="W34" i="5"/>
  <c r="W46" i="5" s="1"/>
  <c r="W54" i="5" s="1"/>
  <c r="T34" i="5"/>
  <c r="T46" i="5" s="1"/>
  <c r="T54" i="5" s="1"/>
  <c r="Y39" i="5"/>
  <c r="AC39" i="5"/>
  <c r="AC43" i="5" s="1"/>
  <c r="S34" i="5"/>
  <c r="S46" i="5" s="1"/>
  <c r="AD34" i="5"/>
  <c r="AD46" i="5" s="1"/>
  <c r="AD54" i="5" s="1"/>
  <c r="W39" i="5"/>
  <c r="AB39" i="5"/>
  <c r="V39" i="5"/>
  <c r="T39" i="5"/>
  <c r="S39" i="5"/>
  <c r="V40" i="5"/>
  <c r="W28" i="5"/>
  <c r="S40" i="5"/>
  <c r="T31" i="5"/>
  <c r="AB28" i="5"/>
  <c r="W31" i="5"/>
  <c r="W44" i="5" s="1"/>
  <c r="W52" i="5" s="1"/>
  <c r="AA31" i="5"/>
  <c r="AB40" i="5"/>
  <c r="S28" i="5"/>
  <c r="X31" i="5"/>
  <c r="U31" i="5"/>
  <c r="Z40" i="5"/>
  <c r="Y40" i="5"/>
  <c r="X40" i="5"/>
  <c r="U40" i="5"/>
  <c r="AD40" i="5"/>
  <c r="AA28" i="5"/>
  <c r="Z28" i="5"/>
  <c r="Z43" i="5" s="1"/>
  <c r="Z51" i="5" s="1"/>
  <c r="U28" i="5"/>
  <c r="V28" i="5"/>
  <c r="T28" i="5"/>
  <c r="Y28" i="5"/>
  <c r="AB31" i="5"/>
  <c r="Z31" i="5"/>
  <c r="Z44" i="5" s="1"/>
  <c r="Z52" i="5" s="1"/>
  <c r="Y31" i="5"/>
  <c r="Y44" i="5" s="1"/>
  <c r="Y52" i="5" s="1"/>
  <c r="AD28" i="5"/>
  <c r="X28" i="5"/>
  <c r="S31" i="5"/>
  <c r="V31" i="5"/>
  <c r="S47" i="5"/>
  <c r="AE37" i="5"/>
  <c r="AE46" i="4"/>
  <c r="AE47" i="4"/>
  <c r="AC48" i="5" l="1"/>
  <c r="AC51" i="5"/>
  <c r="AD43" i="5"/>
  <c r="AD51" i="5" s="1"/>
  <c r="U43" i="5"/>
  <c r="U51" i="5" s="1"/>
  <c r="AA43" i="5"/>
  <c r="AE28" i="5"/>
  <c r="V43" i="5"/>
  <c r="V51" i="5" s="1"/>
  <c r="AE34" i="5"/>
  <c r="AE31" i="5"/>
  <c r="AD44" i="5"/>
  <c r="AD52" i="5" s="1"/>
  <c r="Y43" i="5"/>
  <c r="Y51" i="5" s="1"/>
  <c r="T44" i="5"/>
  <c r="T52" i="5" s="1"/>
  <c r="V44" i="5"/>
  <c r="V52" i="5" s="1"/>
  <c r="AA44" i="5"/>
  <c r="AA52" i="5" s="1"/>
  <c r="X43" i="5"/>
  <c r="X51" i="5" s="1"/>
  <c r="U44" i="5"/>
  <c r="U52" i="5" s="1"/>
  <c r="S43" i="5"/>
  <c r="S51" i="5" s="1"/>
  <c r="T43" i="5"/>
  <c r="T51" i="5" s="1"/>
  <c r="W43" i="5"/>
  <c r="AE39" i="5"/>
  <c r="AB43" i="5"/>
  <c r="AB51" i="5" s="1"/>
  <c r="S44" i="5"/>
  <c r="S52" i="5" s="1"/>
  <c r="AB44" i="5"/>
  <c r="AB52" i="5" s="1"/>
  <c r="X44" i="5"/>
  <c r="X52" i="5" s="1"/>
  <c r="AE40" i="5"/>
  <c r="Z48" i="5"/>
  <c r="S55" i="5"/>
  <c r="AE47" i="5"/>
  <c r="AE55" i="5" s="1"/>
  <c r="AE46" i="5"/>
  <c r="AE54" i="5" s="1"/>
  <c r="S54" i="5"/>
  <c r="S43" i="4"/>
  <c r="T43" i="4"/>
  <c r="U43" i="4"/>
  <c r="V43" i="4"/>
  <c r="W43" i="4"/>
  <c r="X43" i="4"/>
  <c r="Y43" i="4"/>
  <c r="Z43" i="4"/>
  <c r="AA43" i="4"/>
  <c r="AB43" i="4"/>
  <c r="AC43" i="4"/>
  <c r="AD43" i="4"/>
  <c r="P43" i="4"/>
  <c r="P36" i="4"/>
  <c r="P37" i="4"/>
  <c r="S44" i="4"/>
  <c r="T44" i="4"/>
  <c r="U44" i="4"/>
  <c r="V44" i="4"/>
  <c r="W44" i="4"/>
  <c r="X44" i="4"/>
  <c r="Y44" i="4"/>
  <c r="Z44" i="4"/>
  <c r="AA44" i="4"/>
  <c r="AB44" i="4"/>
  <c r="AC44" i="4"/>
  <c r="AD44" i="4"/>
  <c r="S33" i="4"/>
  <c r="T33" i="4"/>
  <c r="U33" i="4"/>
  <c r="V33" i="4"/>
  <c r="W33" i="4"/>
  <c r="X33" i="4"/>
  <c r="Y33" i="4"/>
  <c r="Z33" i="4"/>
  <c r="AA33" i="4"/>
  <c r="AB33" i="4"/>
  <c r="AC33" i="4"/>
  <c r="AD33" i="4"/>
  <c r="S34" i="4"/>
  <c r="T34" i="4"/>
  <c r="U34" i="4"/>
  <c r="V34" i="4"/>
  <c r="W34" i="4"/>
  <c r="X34" i="4"/>
  <c r="Y34" i="4"/>
  <c r="Z34" i="4"/>
  <c r="AA34" i="4"/>
  <c r="AB34" i="4"/>
  <c r="AC34" i="4"/>
  <c r="AD34" i="4"/>
  <c r="S35" i="4"/>
  <c r="T35" i="4"/>
  <c r="U35" i="4"/>
  <c r="V35" i="4"/>
  <c r="W35" i="4"/>
  <c r="X35" i="4"/>
  <c r="Y35" i="4"/>
  <c r="Z35" i="4"/>
  <c r="AA35" i="4"/>
  <c r="AB35" i="4"/>
  <c r="AC35" i="4"/>
  <c r="AD35" i="4"/>
  <c r="S36" i="4"/>
  <c r="T36" i="4"/>
  <c r="U36" i="4"/>
  <c r="V36" i="4"/>
  <c r="W36" i="4"/>
  <c r="X36" i="4"/>
  <c r="Y36" i="4"/>
  <c r="Z36" i="4"/>
  <c r="AA36" i="4"/>
  <c r="AB36" i="4"/>
  <c r="AC36" i="4"/>
  <c r="AD36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26" i="4"/>
  <c r="T26" i="4"/>
  <c r="U26" i="4"/>
  <c r="V26" i="4"/>
  <c r="W26" i="4"/>
  <c r="X26" i="4"/>
  <c r="Y26" i="4"/>
  <c r="Z26" i="4"/>
  <c r="AA26" i="4"/>
  <c r="AB26" i="4"/>
  <c r="AC26" i="4"/>
  <c r="AD26" i="4"/>
  <c r="S27" i="4"/>
  <c r="T27" i="4"/>
  <c r="U27" i="4"/>
  <c r="V27" i="4"/>
  <c r="W27" i="4"/>
  <c r="X27" i="4"/>
  <c r="Y27" i="4"/>
  <c r="Z27" i="4"/>
  <c r="AA27" i="4"/>
  <c r="AB27" i="4"/>
  <c r="AC27" i="4"/>
  <c r="AD27" i="4"/>
  <c r="S28" i="4"/>
  <c r="T28" i="4"/>
  <c r="U28" i="4"/>
  <c r="V28" i="4"/>
  <c r="W28" i="4"/>
  <c r="X28" i="4"/>
  <c r="Y28" i="4"/>
  <c r="Z28" i="4"/>
  <c r="AA28" i="4"/>
  <c r="AB28" i="4"/>
  <c r="AC28" i="4"/>
  <c r="AD28" i="4"/>
  <c r="S20" i="4"/>
  <c r="T20" i="4"/>
  <c r="U20" i="4"/>
  <c r="V20" i="4"/>
  <c r="W20" i="4"/>
  <c r="X20" i="4"/>
  <c r="Y20" i="4"/>
  <c r="Z20" i="4"/>
  <c r="AA20" i="4"/>
  <c r="AB20" i="4"/>
  <c r="AC20" i="4"/>
  <c r="AD20" i="4"/>
  <c r="S21" i="4"/>
  <c r="T21" i="4"/>
  <c r="U21" i="4"/>
  <c r="V21" i="4"/>
  <c r="W21" i="4"/>
  <c r="X21" i="4"/>
  <c r="Y21" i="4"/>
  <c r="Z21" i="4"/>
  <c r="AA21" i="4"/>
  <c r="AB21" i="4"/>
  <c r="AC21" i="4"/>
  <c r="AD21" i="4"/>
  <c r="S22" i="4"/>
  <c r="T22" i="4"/>
  <c r="U22" i="4"/>
  <c r="V22" i="4"/>
  <c r="W22" i="4"/>
  <c r="X22" i="4"/>
  <c r="Y22" i="4"/>
  <c r="Z22" i="4"/>
  <c r="AA22" i="4"/>
  <c r="AB22" i="4"/>
  <c r="AC22" i="4"/>
  <c r="AD22" i="4"/>
  <c r="S16" i="4"/>
  <c r="T16" i="4"/>
  <c r="U16" i="4"/>
  <c r="V16" i="4"/>
  <c r="W16" i="4"/>
  <c r="X16" i="4"/>
  <c r="Y16" i="4"/>
  <c r="Z16" i="4"/>
  <c r="AA16" i="4"/>
  <c r="AB16" i="4"/>
  <c r="AC16" i="4"/>
  <c r="AD16" i="4"/>
  <c r="AC12" i="4"/>
  <c r="AD12" i="4"/>
  <c r="T12" i="4"/>
  <c r="U12" i="4"/>
  <c r="V12" i="4"/>
  <c r="W12" i="4"/>
  <c r="X12" i="4"/>
  <c r="Y12" i="4"/>
  <c r="Z12" i="4"/>
  <c r="AA12" i="4"/>
  <c r="AB12" i="4"/>
  <c r="S12" i="4"/>
  <c r="P71" i="4"/>
  <c r="P70" i="4"/>
  <c r="P69" i="4"/>
  <c r="O67" i="4"/>
  <c r="O79" i="4" s="1"/>
  <c r="O90" i="4" s="1"/>
  <c r="N67" i="4"/>
  <c r="N79" i="4" s="1"/>
  <c r="N90" i="4" s="1"/>
  <c r="M67" i="4"/>
  <c r="L67" i="4"/>
  <c r="K67" i="4"/>
  <c r="J67" i="4"/>
  <c r="I67" i="4"/>
  <c r="H67" i="4"/>
  <c r="G67" i="4"/>
  <c r="F67" i="4"/>
  <c r="E67" i="4"/>
  <c r="D67" i="4"/>
  <c r="P66" i="4"/>
  <c r="P65" i="4"/>
  <c r="O64" i="4"/>
  <c r="O78" i="4" s="1"/>
  <c r="O89" i="4" s="1"/>
  <c r="N64" i="4"/>
  <c r="N78" i="4" s="1"/>
  <c r="N89" i="4" s="1"/>
  <c r="M64" i="4"/>
  <c r="L64" i="4"/>
  <c r="K64" i="4"/>
  <c r="J64" i="4"/>
  <c r="I64" i="4"/>
  <c r="H64" i="4"/>
  <c r="G64" i="4"/>
  <c r="F64" i="4"/>
  <c r="E64" i="4"/>
  <c r="D64" i="4"/>
  <c r="P63" i="4"/>
  <c r="P62" i="4"/>
  <c r="O61" i="4"/>
  <c r="O76" i="4" s="1"/>
  <c r="O87" i="4" s="1"/>
  <c r="N61" i="4"/>
  <c r="N76" i="4" s="1"/>
  <c r="N87" i="4" s="1"/>
  <c r="M61" i="4"/>
  <c r="L61" i="4"/>
  <c r="K61" i="4"/>
  <c r="J61" i="4"/>
  <c r="I61" i="4"/>
  <c r="H61" i="4"/>
  <c r="G61" i="4"/>
  <c r="F61" i="4"/>
  <c r="E61" i="4"/>
  <c r="D61" i="4"/>
  <c r="P60" i="4"/>
  <c r="P59" i="4"/>
  <c r="O55" i="4"/>
  <c r="O86" i="4" s="1"/>
  <c r="N55" i="4"/>
  <c r="N86" i="4" s="1"/>
  <c r="M55" i="4"/>
  <c r="L55" i="4"/>
  <c r="K55" i="4"/>
  <c r="J55" i="4"/>
  <c r="I55" i="4"/>
  <c r="H55" i="4"/>
  <c r="G55" i="4"/>
  <c r="F55" i="4"/>
  <c r="E55" i="4"/>
  <c r="D55" i="4"/>
  <c r="P54" i="4"/>
  <c r="P53" i="4"/>
  <c r="O52" i="4"/>
  <c r="O74" i="4" s="1"/>
  <c r="O85" i="4" s="1"/>
  <c r="N52" i="4"/>
  <c r="N74" i="4" s="1"/>
  <c r="N85" i="4" s="1"/>
  <c r="M52" i="4"/>
  <c r="M74" i="4" s="1"/>
  <c r="M85" i="4" s="1"/>
  <c r="L52" i="4"/>
  <c r="K52" i="4"/>
  <c r="J52" i="4"/>
  <c r="I52" i="4"/>
  <c r="H52" i="4"/>
  <c r="G52" i="4"/>
  <c r="F52" i="4"/>
  <c r="E52" i="4"/>
  <c r="D52" i="4"/>
  <c r="P51" i="4"/>
  <c r="P50" i="4"/>
  <c r="P48" i="4"/>
  <c r="P45" i="4"/>
  <c r="AD42" i="4"/>
  <c r="AC42" i="4"/>
  <c r="AB42" i="4"/>
  <c r="AA42" i="4"/>
  <c r="Z42" i="4"/>
  <c r="Y42" i="4"/>
  <c r="X42" i="4"/>
  <c r="W42" i="4"/>
  <c r="V42" i="4"/>
  <c r="U42" i="4"/>
  <c r="T42" i="4"/>
  <c r="S42" i="4"/>
  <c r="P42" i="4"/>
  <c r="AD41" i="4"/>
  <c r="AC41" i="4"/>
  <c r="AB41" i="4"/>
  <c r="AA41" i="4"/>
  <c r="Z41" i="4"/>
  <c r="Y41" i="4"/>
  <c r="X41" i="4"/>
  <c r="W41" i="4"/>
  <c r="V41" i="4"/>
  <c r="U41" i="4"/>
  <c r="T41" i="4"/>
  <c r="S41" i="4"/>
  <c r="P41" i="4"/>
  <c r="AD40" i="4"/>
  <c r="AC40" i="4"/>
  <c r="AB40" i="4"/>
  <c r="AA40" i="4"/>
  <c r="Z40" i="4"/>
  <c r="Y40" i="4"/>
  <c r="X40" i="4"/>
  <c r="W40" i="4"/>
  <c r="V40" i="4"/>
  <c r="U40" i="4"/>
  <c r="T40" i="4"/>
  <c r="S40" i="4"/>
  <c r="P40" i="4"/>
  <c r="AD39" i="4"/>
  <c r="AC39" i="4"/>
  <c r="AB39" i="4"/>
  <c r="AA39" i="4"/>
  <c r="Z39" i="4"/>
  <c r="Y39" i="4"/>
  <c r="X39" i="4"/>
  <c r="W39" i="4"/>
  <c r="V39" i="4"/>
  <c r="U39" i="4"/>
  <c r="T39" i="4"/>
  <c r="S39" i="4"/>
  <c r="P39" i="4"/>
  <c r="P35" i="4"/>
  <c r="P34" i="4"/>
  <c r="AD32" i="4"/>
  <c r="AC32" i="4"/>
  <c r="AB32" i="4"/>
  <c r="AA32" i="4"/>
  <c r="Z32" i="4"/>
  <c r="Y32" i="4"/>
  <c r="X32" i="4"/>
  <c r="W32" i="4"/>
  <c r="V32" i="4"/>
  <c r="U32" i="4"/>
  <c r="T32" i="4"/>
  <c r="S32" i="4"/>
  <c r="P32" i="4"/>
  <c r="AD31" i="4"/>
  <c r="AC31" i="4"/>
  <c r="AB31" i="4"/>
  <c r="AA31" i="4"/>
  <c r="Z31" i="4"/>
  <c r="Y31" i="4"/>
  <c r="X31" i="4"/>
  <c r="W31" i="4"/>
  <c r="V31" i="4"/>
  <c r="U31" i="4"/>
  <c r="T31" i="4"/>
  <c r="S31" i="4"/>
  <c r="P31" i="4"/>
  <c r="AD30" i="4"/>
  <c r="AC30" i="4"/>
  <c r="AB30" i="4"/>
  <c r="AA30" i="4"/>
  <c r="Z30" i="4"/>
  <c r="Y30" i="4"/>
  <c r="X30" i="4"/>
  <c r="W30" i="4"/>
  <c r="V30" i="4"/>
  <c r="U30" i="4"/>
  <c r="T30" i="4"/>
  <c r="S30" i="4"/>
  <c r="P30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5" i="4"/>
  <c r="AC25" i="4"/>
  <c r="AB25" i="4"/>
  <c r="AA25" i="4"/>
  <c r="Z25" i="4"/>
  <c r="Y25" i="4"/>
  <c r="X25" i="4"/>
  <c r="W25" i="4"/>
  <c r="V25" i="4"/>
  <c r="U25" i="4"/>
  <c r="T25" i="4"/>
  <c r="S25" i="4"/>
  <c r="P25" i="4"/>
  <c r="AD24" i="4"/>
  <c r="AC24" i="4"/>
  <c r="AB24" i="4"/>
  <c r="AA24" i="4"/>
  <c r="Z24" i="4"/>
  <c r="Y24" i="4"/>
  <c r="X24" i="4"/>
  <c r="W24" i="4"/>
  <c r="V24" i="4"/>
  <c r="U24" i="4"/>
  <c r="T24" i="4"/>
  <c r="S24" i="4"/>
  <c r="P24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19" i="4"/>
  <c r="AC19" i="4"/>
  <c r="AB19" i="4"/>
  <c r="AA19" i="4"/>
  <c r="Z19" i="4"/>
  <c r="Y19" i="4"/>
  <c r="X19" i="4"/>
  <c r="W19" i="4"/>
  <c r="V19" i="4"/>
  <c r="U19" i="4"/>
  <c r="T19" i="4"/>
  <c r="S19" i="4"/>
  <c r="P19" i="4"/>
  <c r="AD18" i="4"/>
  <c r="AC18" i="4"/>
  <c r="AB18" i="4"/>
  <c r="AA18" i="4"/>
  <c r="Z18" i="4"/>
  <c r="Y18" i="4"/>
  <c r="X18" i="4"/>
  <c r="W18" i="4"/>
  <c r="V18" i="4"/>
  <c r="U18" i="4"/>
  <c r="T18" i="4"/>
  <c r="S18" i="4"/>
  <c r="P18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4" i="4"/>
  <c r="AD56" i="4" s="1"/>
  <c r="AC14" i="4"/>
  <c r="AB14" i="4"/>
  <c r="AB56" i="4" s="1"/>
  <c r="AC57" i="4" s="1"/>
  <c r="AA14" i="4"/>
  <c r="Z14" i="4"/>
  <c r="Z56" i="4" s="1"/>
  <c r="AA57" i="4" s="1"/>
  <c r="Y14" i="4"/>
  <c r="X14" i="4"/>
  <c r="X56" i="4" s="1"/>
  <c r="Y57" i="4" s="1"/>
  <c r="W14" i="4"/>
  <c r="V14" i="4"/>
  <c r="V56" i="4" s="1"/>
  <c r="W57" i="4" s="1"/>
  <c r="U14" i="4"/>
  <c r="T14" i="4"/>
  <c r="T56" i="4" s="1"/>
  <c r="U57" i="4" s="1"/>
  <c r="S14" i="4"/>
  <c r="P14" i="4"/>
  <c r="AD13" i="4"/>
  <c r="AC13" i="4"/>
  <c r="AB13" i="4"/>
  <c r="AA13" i="4"/>
  <c r="Z13" i="4"/>
  <c r="Y13" i="4"/>
  <c r="X13" i="4"/>
  <c r="W13" i="4"/>
  <c r="V13" i="4"/>
  <c r="U13" i="4"/>
  <c r="T13" i="4"/>
  <c r="S13" i="4"/>
  <c r="P13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C53" i="4" s="1"/>
  <c r="AD54" i="4" s="1"/>
  <c r="AB10" i="4"/>
  <c r="AA10" i="4"/>
  <c r="Z10" i="4"/>
  <c r="Y10" i="4"/>
  <c r="X10" i="4"/>
  <c r="W10" i="4"/>
  <c r="V10" i="4"/>
  <c r="U10" i="4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S5" i="4"/>
  <c r="P5" i="4"/>
  <c r="AD4" i="4"/>
  <c r="AC4" i="4"/>
  <c r="AB4" i="4"/>
  <c r="AA4" i="4"/>
  <c r="Z4" i="4"/>
  <c r="Y4" i="4"/>
  <c r="X4" i="4"/>
  <c r="W4" i="4"/>
  <c r="V4" i="4"/>
  <c r="U4" i="4"/>
  <c r="T4" i="4"/>
  <c r="S4" i="4"/>
  <c r="P4" i="4"/>
  <c r="AD3" i="4"/>
  <c r="AC3" i="4"/>
  <c r="AB3" i="4"/>
  <c r="AA3" i="4"/>
  <c r="Z3" i="4"/>
  <c r="Y3" i="4"/>
  <c r="X3" i="4"/>
  <c r="W3" i="4"/>
  <c r="V3" i="4"/>
  <c r="U3" i="4"/>
  <c r="T3" i="4"/>
  <c r="S3" i="4"/>
  <c r="P3" i="4"/>
  <c r="AD53" i="4" l="1"/>
  <c r="U56" i="4"/>
  <c r="V57" i="4" s="1"/>
  <c r="Y56" i="4"/>
  <c r="Z57" i="4" s="1"/>
  <c r="AC56" i="4"/>
  <c r="AD57" i="4" s="1"/>
  <c r="S56" i="4"/>
  <c r="T57" i="4" s="1"/>
  <c r="W56" i="4"/>
  <c r="X57" i="4" s="1"/>
  <c r="AA56" i="4"/>
  <c r="AB57" i="4" s="1"/>
  <c r="S57" i="4"/>
  <c r="AE57" i="4" s="1"/>
  <c r="W53" i="4"/>
  <c r="X54" i="4" s="1"/>
  <c r="AA53" i="4"/>
  <c r="AB54" i="4" s="1"/>
  <c r="V53" i="4"/>
  <c r="W54" i="4" s="1"/>
  <c r="Z53" i="4"/>
  <c r="AA54" i="4" s="1"/>
  <c r="U53" i="4"/>
  <c r="V54" i="4" s="1"/>
  <c r="Y53" i="4"/>
  <c r="Z54" i="4" s="1"/>
  <c r="T53" i="4"/>
  <c r="U54" i="4" s="1"/>
  <c r="X53" i="4"/>
  <c r="Y54" i="4" s="1"/>
  <c r="AB53" i="4"/>
  <c r="AC54" i="4" s="1"/>
  <c r="S54" i="4"/>
  <c r="S53" i="4"/>
  <c r="V77" i="4"/>
  <c r="V88" i="4" s="1"/>
  <c r="Z77" i="4"/>
  <c r="Z88" i="4" s="1"/>
  <c r="T77" i="4"/>
  <c r="T88" i="4" s="1"/>
  <c r="X77" i="4"/>
  <c r="X88" i="4" s="1"/>
  <c r="AB77" i="4"/>
  <c r="AB88" i="4" s="1"/>
  <c r="U77" i="4"/>
  <c r="U88" i="4" s="1"/>
  <c r="Y77" i="4"/>
  <c r="Y88" i="4" s="1"/>
  <c r="S77" i="4"/>
  <c r="S88" i="4" s="1"/>
  <c r="W77" i="4"/>
  <c r="W88" i="4" s="1"/>
  <c r="AA77" i="4"/>
  <c r="AA88" i="4" s="1"/>
  <c r="Q5" i="4"/>
  <c r="AC77" i="4"/>
  <c r="AC88" i="4" s="1"/>
  <c r="AD77" i="4"/>
  <c r="AD88" i="4" s="1"/>
  <c r="Q19" i="4"/>
  <c r="AD48" i="5"/>
  <c r="W48" i="5"/>
  <c r="W51" i="5"/>
  <c r="Y48" i="5"/>
  <c r="U48" i="5"/>
  <c r="AA48" i="5"/>
  <c r="AA51" i="5"/>
  <c r="AB48" i="5"/>
  <c r="T48" i="5"/>
  <c r="X48" i="5"/>
  <c r="V48" i="5"/>
  <c r="AE43" i="5"/>
  <c r="AE44" i="5"/>
  <c r="S48" i="5"/>
  <c r="AE43" i="4"/>
  <c r="AE37" i="4"/>
  <c r="AE36" i="4"/>
  <c r="AE44" i="4"/>
  <c r="AE38" i="4"/>
  <c r="AE33" i="4"/>
  <c r="AE27" i="4"/>
  <c r="AB59" i="4"/>
  <c r="AC60" i="4" s="1"/>
  <c r="AE26" i="4"/>
  <c r="W62" i="4"/>
  <c r="X63" i="4" s="1"/>
  <c r="AA62" i="4"/>
  <c r="AB63" i="4" s="1"/>
  <c r="AE28" i="4"/>
  <c r="V62" i="4"/>
  <c r="W63" i="4" s="1"/>
  <c r="Z62" i="4"/>
  <c r="AA63" i="4" s="1"/>
  <c r="AD62" i="4"/>
  <c r="AE20" i="4"/>
  <c r="AE22" i="4"/>
  <c r="AE21" i="4"/>
  <c r="AE16" i="4"/>
  <c r="S50" i="4"/>
  <c r="T51" i="4" s="1"/>
  <c r="W50" i="4"/>
  <c r="X51" i="4" s="1"/>
  <c r="AA50" i="4"/>
  <c r="AB51" i="4" s="1"/>
  <c r="U50" i="4"/>
  <c r="V51" i="4" s="1"/>
  <c r="V59" i="4"/>
  <c r="W60" i="4" s="1"/>
  <c r="Z59" i="4"/>
  <c r="AA60" i="4" s="1"/>
  <c r="AD59" i="4"/>
  <c r="S59" i="4"/>
  <c r="T60" i="4" s="1"/>
  <c r="W59" i="4"/>
  <c r="X60" i="4" s="1"/>
  <c r="P20" i="4"/>
  <c r="P44" i="4"/>
  <c r="Q18" i="4"/>
  <c r="AB50" i="4"/>
  <c r="AC51" i="4" s="1"/>
  <c r="AE15" i="4"/>
  <c r="AC59" i="4"/>
  <c r="AD60" i="4" s="1"/>
  <c r="P26" i="4"/>
  <c r="AE29" i="4"/>
  <c r="P16" i="4"/>
  <c r="U59" i="4"/>
  <c r="V60" i="4" s="1"/>
  <c r="Y59" i="4"/>
  <c r="Z60" i="4" s="1"/>
  <c r="P22" i="4"/>
  <c r="Q22" i="4" s="1"/>
  <c r="U62" i="4"/>
  <c r="V63" i="4" s="1"/>
  <c r="X62" i="4"/>
  <c r="Y63" i="4" s="1"/>
  <c r="AB62" i="4"/>
  <c r="AC63" i="4" s="1"/>
  <c r="P67" i="4"/>
  <c r="AE45" i="4"/>
  <c r="AE41" i="4"/>
  <c r="AE42" i="4"/>
  <c r="AE39" i="4"/>
  <c r="AE34" i="4"/>
  <c r="AE31" i="4"/>
  <c r="AE32" i="4"/>
  <c r="T62" i="4"/>
  <c r="U63" i="4" s="1"/>
  <c r="S62" i="4"/>
  <c r="AE23" i="4"/>
  <c r="Y62" i="4"/>
  <c r="Z63" i="4" s="1"/>
  <c r="AC62" i="4"/>
  <c r="AD63" i="4" s="1"/>
  <c r="AE25" i="4"/>
  <c r="S60" i="4"/>
  <c r="AA59" i="4"/>
  <c r="AB60" i="4" s="1"/>
  <c r="T59" i="4"/>
  <c r="U60" i="4" s="1"/>
  <c r="X59" i="4"/>
  <c r="Y60" i="4" s="1"/>
  <c r="AE13" i="4"/>
  <c r="AE5" i="4"/>
  <c r="Y50" i="4"/>
  <c r="Z51" i="4" s="1"/>
  <c r="AE3" i="4"/>
  <c r="V50" i="4"/>
  <c r="W51" i="4" s="1"/>
  <c r="Z50" i="4"/>
  <c r="AA51" i="4" s="1"/>
  <c r="AD50" i="4"/>
  <c r="AE6" i="4"/>
  <c r="AE9" i="4"/>
  <c r="Q10" i="4"/>
  <c r="Q4" i="4"/>
  <c r="AE11" i="4"/>
  <c r="AE18" i="4"/>
  <c r="AE48" i="4"/>
  <c r="R67" i="4" s="1"/>
  <c r="P55" i="4"/>
  <c r="AE4" i="4"/>
  <c r="AC50" i="4"/>
  <c r="AD51" i="4" s="1"/>
  <c r="AE8" i="4"/>
  <c r="AE14" i="4"/>
  <c r="AE19" i="4"/>
  <c r="AE24" i="4"/>
  <c r="AE30" i="4"/>
  <c r="P33" i="4"/>
  <c r="AE35" i="4"/>
  <c r="S51" i="4"/>
  <c r="T50" i="4"/>
  <c r="U51" i="4" s="1"/>
  <c r="X50" i="4"/>
  <c r="Y51" i="4" s="1"/>
  <c r="AE17" i="4"/>
  <c r="P28" i="4"/>
  <c r="S63" i="4"/>
  <c r="AE7" i="4"/>
  <c r="P27" i="4"/>
  <c r="P61" i="4"/>
  <c r="P64" i="4"/>
  <c r="P79" i="4"/>
  <c r="P90" i="4" s="1"/>
  <c r="AE10" i="4"/>
  <c r="P21" i="4"/>
  <c r="P38" i="4"/>
  <c r="AE40" i="4"/>
  <c r="P52" i="4"/>
  <c r="J61" i="3"/>
  <c r="I60" i="3"/>
  <c r="E95" i="3"/>
  <c r="F95" i="3"/>
  <c r="G95" i="3"/>
  <c r="H95" i="3"/>
  <c r="I95" i="3"/>
  <c r="J95" i="3"/>
  <c r="K95" i="3"/>
  <c r="L95" i="3"/>
  <c r="M95" i="3"/>
  <c r="D95" i="3"/>
  <c r="E85" i="3"/>
  <c r="F85" i="3"/>
  <c r="G85" i="3"/>
  <c r="H85" i="3"/>
  <c r="I85" i="3"/>
  <c r="J85" i="3"/>
  <c r="K85" i="3"/>
  <c r="L85" i="3"/>
  <c r="M85" i="3"/>
  <c r="N85" i="3"/>
  <c r="O85" i="3"/>
  <c r="O95" i="3" s="1"/>
  <c r="D85" i="3"/>
  <c r="D81" i="3"/>
  <c r="AE56" i="4" l="1"/>
  <c r="R58" i="4"/>
  <c r="AA58" i="4" s="1"/>
  <c r="AA82" i="4" s="1"/>
  <c r="AE51" i="5"/>
  <c r="AF43" i="5"/>
  <c r="AE52" i="5"/>
  <c r="AF45" i="5"/>
  <c r="AF49" i="5" s="1"/>
  <c r="P85" i="3"/>
  <c r="N95" i="3"/>
  <c r="Q21" i="4"/>
  <c r="R69" i="4"/>
  <c r="R64" i="4"/>
  <c r="Z64" i="4" s="1"/>
  <c r="Z78" i="4" s="1"/>
  <c r="Z89" i="4" s="1"/>
  <c r="Q20" i="4"/>
  <c r="R61" i="4"/>
  <c r="U67" i="4"/>
  <c r="U79" i="4" s="1"/>
  <c r="U90" i="4" s="1"/>
  <c r="Y67" i="4"/>
  <c r="Y79" i="4" s="1"/>
  <c r="Y90" i="4" s="1"/>
  <c r="AC67" i="4"/>
  <c r="AC79" i="4" s="1"/>
  <c r="AC90" i="4" s="1"/>
  <c r="V67" i="4"/>
  <c r="V79" i="4" s="1"/>
  <c r="V90" i="4" s="1"/>
  <c r="Z67" i="4"/>
  <c r="Z79" i="4" s="1"/>
  <c r="Z90" i="4" s="1"/>
  <c r="AD67" i="4"/>
  <c r="AD79" i="4" s="1"/>
  <c r="AD90" i="4" s="1"/>
  <c r="W67" i="4"/>
  <c r="W79" i="4" s="1"/>
  <c r="W90" i="4" s="1"/>
  <c r="AA67" i="4"/>
  <c r="AA79" i="4" s="1"/>
  <c r="AA90" i="4" s="1"/>
  <c r="T67" i="4"/>
  <c r="T79" i="4" s="1"/>
  <c r="T90" i="4" s="1"/>
  <c r="X67" i="4"/>
  <c r="X79" i="4" s="1"/>
  <c r="X90" i="4" s="1"/>
  <c r="AB67" i="4"/>
  <c r="AB79" i="4" s="1"/>
  <c r="AB90" i="4" s="1"/>
  <c r="AE48" i="5"/>
  <c r="AE62" i="4"/>
  <c r="AE60" i="4"/>
  <c r="AE59" i="4"/>
  <c r="E80" i="4"/>
  <c r="P74" i="4"/>
  <c r="P85" i="4" s="1"/>
  <c r="D80" i="4"/>
  <c r="P77" i="4"/>
  <c r="P88" i="4" s="1"/>
  <c r="T63" i="4"/>
  <c r="AE63" i="4" s="1"/>
  <c r="O80" i="4"/>
  <c r="M80" i="4"/>
  <c r="P78" i="4"/>
  <c r="P89" i="4" s="1"/>
  <c r="G80" i="4"/>
  <c r="K80" i="4"/>
  <c r="J80" i="4"/>
  <c r="L80" i="4"/>
  <c r="H80" i="4"/>
  <c r="AE65" i="4"/>
  <c r="P75" i="4"/>
  <c r="P86" i="4" s="1"/>
  <c r="N80" i="4"/>
  <c r="T54" i="4"/>
  <c r="AE54" i="4" s="1"/>
  <c r="AE53" i="4"/>
  <c r="I80" i="4"/>
  <c r="AE51" i="4"/>
  <c r="R52" i="4"/>
  <c r="P76" i="4"/>
  <c r="P87" i="4" s="1"/>
  <c r="F80" i="4"/>
  <c r="AE66" i="4"/>
  <c r="AE50" i="4"/>
  <c r="I37" i="3"/>
  <c r="Y38" i="3"/>
  <c r="N36" i="3"/>
  <c r="O36" i="3"/>
  <c r="N37" i="3"/>
  <c r="O37" i="3"/>
  <c r="N38" i="3"/>
  <c r="O38" i="3"/>
  <c r="E36" i="3"/>
  <c r="F36" i="3"/>
  <c r="G36" i="3"/>
  <c r="H36" i="3"/>
  <c r="I36" i="3"/>
  <c r="J36" i="3"/>
  <c r="K36" i="3"/>
  <c r="L36" i="3"/>
  <c r="M36" i="3"/>
  <c r="E37" i="3"/>
  <c r="F37" i="3"/>
  <c r="G37" i="3"/>
  <c r="H37" i="3"/>
  <c r="K37" i="3"/>
  <c r="L37" i="3"/>
  <c r="M37" i="3"/>
  <c r="E38" i="3"/>
  <c r="F38" i="3"/>
  <c r="G38" i="3"/>
  <c r="H38" i="3"/>
  <c r="I38" i="3"/>
  <c r="J38" i="3"/>
  <c r="K38" i="3"/>
  <c r="L38" i="3"/>
  <c r="M38" i="3"/>
  <c r="D38" i="3"/>
  <c r="D37" i="3"/>
  <c r="D36" i="3"/>
  <c r="Y36" i="3"/>
  <c r="AE36" i="3"/>
  <c r="AD58" i="4" l="1"/>
  <c r="AD82" i="4" s="1"/>
  <c r="U58" i="4"/>
  <c r="U82" i="4" s="1"/>
  <c r="S58" i="4"/>
  <c r="S82" i="4" s="1"/>
  <c r="X58" i="4"/>
  <c r="X82" i="4" s="1"/>
  <c r="T58" i="4"/>
  <c r="T82" i="4" s="1"/>
  <c r="AC58" i="4"/>
  <c r="AC82" i="4" s="1"/>
  <c r="W58" i="4"/>
  <c r="W82" i="4" s="1"/>
  <c r="V58" i="4"/>
  <c r="V82" i="4" s="1"/>
  <c r="AB58" i="4"/>
  <c r="AB82" i="4" s="1"/>
  <c r="Z58" i="4"/>
  <c r="Z82" i="4" s="1"/>
  <c r="Y58" i="4"/>
  <c r="Y82" i="4" s="1"/>
  <c r="R71" i="4"/>
  <c r="AD71" i="4" s="1"/>
  <c r="P36" i="3"/>
  <c r="S67" i="4"/>
  <c r="S79" i="4" s="1"/>
  <c r="U64" i="4"/>
  <c r="U78" i="4" s="1"/>
  <c r="U89" i="4" s="1"/>
  <c r="S64" i="4"/>
  <c r="S78" i="4" s="1"/>
  <c r="S89" i="4" s="1"/>
  <c r="AA64" i="4"/>
  <c r="AA78" i="4" s="1"/>
  <c r="AA89" i="4" s="1"/>
  <c r="X64" i="4"/>
  <c r="X78" i="4" s="1"/>
  <c r="X89" i="4" s="1"/>
  <c r="AD64" i="4"/>
  <c r="AD78" i="4" s="1"/>
  <c r="AD89" i="4" s="1"/>
  <c r="T64" i="4"/>
  <c r="T78" i="4" s="1"/>
  <c r="T89" i="4" s="1"/>
  <c r="W64" i="4"/>
  <c r="W78" i="4" s="1"/>
  <c r="W89" i="4" s="1"/>
  <c r="AC64" i="4"/>
  <c r="AC78" i="4" s="1"/>
  <c r="AC89" i="4" s="1"/>
  <c r="Y64" i="4"/>
  <c r="Y78" i="4" s="1"/>
  <c r="Y89" i="4" s="1"/>
  <c r="AB64" i="4"/>
  <c r="AB78" i="4" s="1"/>
  <c r="AB89" i="4" s="1"/>
  <c r="V64" i="4"/>
  <c r="V78" i="4" s="1"/>
  <c r="V89" i="4" s="1"/>
  <c r="AC52" i="4"/>
  <c r="Y52" i="4"/>
  <c r="U52" i="4"/>
  <c r="AB52" i="4"/>
  <c r="W52" i="4"/>
  <c r="AA52" i="4"/>
  <c r="V52" i="4"/>
  <c r="AD52" i="4"/>
  <c r="S52" i="4"/>
  <c r="Z52" i="4"/>
  <c r="X52" i="4"/>
  <c r="T52" i="4"/>
  <c r="AA69" i="4"/>
  <c r="W69" i="4"/>
  <c r="S69" i="4"/>
  <c r="AB69" i="4"/>
  <c r="V69" i="4"/>
  <c r="Y69" i="4"/>
  <c r="AD69" i="4"/>
  <c r="X69" i="4"/>
  <c r="AC69" i="4"/>
  <c r="AC74" i="4" s="1"/>
  <c r="AC85" i="4" s="1"/>
  <c r="U69" i="4"/>
  <c r="Z69" i="4"/>
  <c r="T69" i="4"/>
  <c r="AC61" i="4"/>
  <c r="Y61" i="4"/>
  <c r="U61" i="4"/>
  <c r="AD61" i="4"/>
  <c r="X61" i="4"/>
  <c r="S61" i="4"/>
  <c r="AB61" i="4"/>
  <c r="W61" i="4"/>
  <c r="AA61" i="4"/>
  <c r="V61" i="4"/>
  <c r="Z61" i="4"/>
  <c r="T61" i="4"/>
  <c r="P80" i="4"/>
  <c r="Y37" i="3"/>
  <c r="AE37" i="3" s="1"/>
  <c r="AD87" i="3"/>
  <c r="AC87" i="3"/>
  <c r="AB87" i="3"/>
  <c r="AA87" i="3"/>
  <c r="Z87" i="3"/>
  <c r="Y87" i="3"/>
  <c r="X87" i="3"/>
  <c r="W87" i="3"/>
  <c r="V87" i="3"/>
  <c r="U87" i="3"/>
  <c r="T87" i="3"/>
  <c r="S87" i="3"/>
  <c r="O87" i="3"/>
  <c r="N87" i="3"/>
  <c r="M87" i="3"/>
  <c r="L87" i="3"/>
  <c r="K87" i="3"/>
  <c r="J87" i="3"/>
  <c r="I87" i="3"/>
  <c r="H87" i="3"/>
  <c r="G87" i="3"/>
  <c r="F87" i="3"/>
  <c r="E87" i="3"/>
  <c r="D87" i="3"/>
  <c r="P78" i="3"/>
  <c r="P77" i="3"/>
  <c r="P76" i="3"/>
  <c r="O74" i="3"/>
  <c r="N74" i="3"/>
  <c r="M74" i="3"/>
  <c r="L74" i="3"/>
  <c r="K74" i="3"/>
  <c r="J74" i="3"/>
  <c r="I74" i="3"/>
  <c r="H74" i="3"/>
  <c r="G74" i="3"/>
  <c r="F74" i="3"/>
  <c r="E74" i="3"/>
  <c r="D74" i="3"/>
  <c r="P73" i="3"/>
  <c r="P72" i="3"/>
  <c r="O71" i="3"/>
  <c r="N71" i="3"/>
  <c r="M71" i="3"/>
  <c r="L71" i="3"/>
  <c r="L86" i="3" s="1"/>
  <c r="L96" i="3" s="1"/>
  <c r="K71" i="3"/>
  <c r="J71" i="3"/>
  <c r="I71" i="3"/>
  <c r="H71" i="3"/>
  <c r="H86" i="3" s="1"/>
  <c r="H96" i="3" s="1"/>
  <c r="G71" i="3"/>
  <c r="F71" i="3"/>
  <c r="E71" i="3"/>
  <c r="E86" i="3" s="1"/>
  <c r="E96" i="3" s="1"/>
  <c r="D71" i="3"/>
  <c r="P70" i="3"/>
  <c r="P69" i="3"/>
  <c r="O68" i="3"/>
  <c r="O84" i="3" s="1"/>
  <c r="O94" i="3" s="1"/>
  <c r="N68" i="3"/>
  <c r="N84" i="3" s="1"/>
  <c r="N94" i="3" s="1"/>
  <c r="M68" i="3"/>
  <c r="M84" i="3" s="1"/>
  <c r="M94" i="3" s="1"/>
  <c r="L68" i="3"/>
  <c r="L84" i="3" s="1"/>
  <c r="L94" i="3" s="1"/>
  <c r="K68" i="3"/>
  <c r="K84" i="3" s="1"/>
  <c r="K94" i="3" s="1"/>
  <c r="J68" i="3"/>
  <c r="J84" i="3" s="1"/>
  <c r="J94" i="3" s="1"/>
  <c r="I68" i="3"/>
  <c r="I84" i="3" s="1"/>
  <c r="I94" i="3" s="1"/>
  <c r="H68" i="3"/>
  <c r="H84" i="3" s="1"/>
  <c r="H94" i="3" s="1"/>
  <c r="G68" i="3"/>
  <c r="G84" i="3" s="1"/>
  <c r="G94" i="3" s="1"/>
  <c r="F68" i="3"/>
  <c r="F84" i="3" s="1"/>
  <c r="F94" i="3" s="1"/>
  <c r="E68" i="3"/>
  <c r="E84" i="3" s="1"/>
  <c r="E94" i="3" s="1"/>
  <c r="D68" i="3"/>
  <c r="D84" i="3" s="1"/>
  <c r="P67" i="3"/>
  <c r="P66" i="3"/>
  <c r="O65" i="3"/>
  <c r="N65" i="3"/>
  <c r="M65" i="3"/>
  <c r="L65" i="3"/>
  <c r="K65" i="3"/>
  <c r="J65" i="3"/>
  <c r="I65" i="3"/>
  <c r="H65" i="3"/>
  <c r="H83" i="3" s="1"/>
  <c r="H93" i="3" s="1"/>
  <c r="G65" i="3"/>
  <c r="F65" i="3"/>
  <c r="E65" i="3"/>
  <c r="D65" i="3"/>
  <c r="P64" i="3"/>
  <c r="P63" i="3"/>
  <c r="O62" i="3"/>
  <c r="N62" i="3"/>
  <c r="M62" i="3"/>
  <c r="L62" i="3"/>
  <c r="K62" i="3"/>
  <c r="K83" i="3" s="1"/>
  <c r="K93" i="3" s="1"/>
  <c r="J62" i="3"/>
  <c r="I62" i="3"/>
  <c r="H62" i="3"/>
  <c r="G62" i="3"/>
  <c r="G83" i="3" s="1"/>
  <c r="G93" i="3" s="1"/>
  <c r="F62" i="3"/>
  <c r="E62" i="3"/>
  <c r="D62" i="3"/>
  <c r="P61" i="3"/>
  <c r="P60" i="3"/>
  <c r="O59" i="3"/>
  <c r="N59" i="3"/>
  <c r="M59" i="3"/>
  <c r="L59" i="3"/>
  <c r="K59" i="3"/>
  <c r="J59" i="3"/>
  <c r="I59" i="3"/>
  <c r="H59" i="3"/>
  <c r="G59" i="3"/>
  <c r="F59" i="3"/>
  <c r="E59" i="3"/>
  <c r="D59" i="3"/>
  <c r="P58" i="3"/>
  <c r="P57" i="3"/>
  <c r="O56" i="3"/>
  <c r="N56" i="3"/>
  <c r="M56" i="3"/>
  <c r="L56" i="3"/>
  <c r="K56" i="3"/>
  <c r="J56" i="3"/>
  <c r="I56" i="3"/>
  <c r="H56" i="3"/>
  <c r="G56" i="3"/>
  <c r="F56" i="3"/>
  <c r="E56" i="3"/>
  <c r="D56" i="3"/>
  <c r="P55" i="3"/>
  <c r="P54" i="3"/>
  <c r="O53" i="3"/>
  <c r="O81" i="3" s="1"/>
  <c r="O91" i="3" s="1"/>
  <c r="N53" i="3"/>
  <c r="N81" i="3" s="1"/>
  <c r="N91" i="3" s="1"/>
  <c r="M53" i="3"/>
  <c r="M81" i="3" s="1"/>
  <c r="M91" i="3" s="1"/>
  <c r="L53" i="3"/>
  <c r="L81" i="3" s="1"/>
  <c r="L91" i="3" s="1"/>
  <c r="K53" i="3"/>
  <c r="K81" i="3" s="1"/>
  <c r="K91" i="3" s="1"/>
  <c r="J53" i="3"/>
  <c r="J81" i="3" s="1"/>
  <c r="J91" i="3" s="1"/>
  <c r="I53" i="3"/>
  <c r="I81" i="3" s="1"/>
  <c r="I91" i="3" s="1"/>
  <c r="H53" i="3"/>
  <c r="H81" i="3" s="1"/>
  <c r="H91" i="3" s="1"/>
  <c r="G53" i="3"/>
  <c r="G81" i="3" s="1"/>
  <c r="G91" i="3" s="1"/>
  <c r="F53" i="3"/>
  <c r="F81" i="3" s="1"/>
  <c r="F91" i="3" s="1"/>
  <c r="E53" i="3"/>
  <c r="E81" i="3" s="1"/>
  <c r="E91" i="3" s="1"/>
  <c r="D53" i="3"/>
  <c r="D91" i="3" s="1"/>
  <c r="P52" i="3"/>
  <c r="P51" i="3"/>
  <c r="AE49" i="3"/>
  <c r="P49" i="3"/>
  <c r="AE48" i="3"/>
  <c r="O48" i="3"/>
  <c r="N48" i="3"/>
  <c r="M48" i="3"/>
  <c r="L48" i="3"/>
  <c r="K48" i="3"/>
  <c r="J48" i="3"/>
  <c r="I48" i="3"/>
  <c r="H48" i="3"/>
  <c r="G48" i="3"/>
  <c r="F48" i="3"/>
  <c r="E48" i="3"/>
  <c r="D48" i="3"/>
  <c r="AD47" i="3"/>
  <c r="AC47" i="3"/>
  <c r="AB47" i="3"/>
  <c r="AA47" i="3"/>
  <c r="Z47" i="3"/>
  <c r="Y47" i="3"/>
  <c r="X47" i="3"/>
  <c r="W47" i="3"/>
  <c r="V47" i="3"/>
  <c r="U47" i="3"/>
  <c r="T47" i="3"/>
  <c r="S47" i="3"/>
  <c r="P47" i="3"/>
  <c r="AD46" i="3"/>
  <c r="AC46" i="3"/>
  <c r="AB46" i="3"/>
  <c r="AA46" i="3"/>
  <c r="Z46" i="3"/>
  <c r="Y46" i="3"/>
  <c r="X46" i="3"/>
  <c r="W46" i="3"/>
  <c r="V46" i="3"/>
  <c r="U46" i="3"/>
  <c r="T46" i="3"/>
  <c r="S46" i="3"/>
  <c r="P46" i="3"/>
  <c r="AD45" i="3"/>
  <c r="AC45" i="3"/>
  <c r="AB45" i="3"/>
  <c r="AA45" i="3"/>
  <c r="Z45" i="3"/>
  <c r="Y45" i="3"/>
  <c r="X45" i="3"/>
  <c r="W45" i="3"/>
  <c r="V45" i="3"/>
  <c r="U45" i="3"/>
  <c r="T45" i="3"/>
  <c r="S45" i="3"/>
  <c r="P45" i="3"/>
  <c r="AD44" i="3"/>
  <c r="AC44" i="3"/>
  <c r="AB44" i="3"/>
  <c r="AA44" i="3"/>
  <c r="Z44" i="3"/>
  <c r="Y44" i="3"/>
  <c r="X44" i="3"/>
  <c r="W44" i="3"/>
  <c r="V44" i="3"/>
  <c r="U44" i="3"/>
  <c r="T44" i="3"/>
  <c r="S44" i="3"/>
  <c r="P44" i="3"/>
  <c r="AE43" i="3"/>
  <c r="O43" i="3"/>
  <c r="N43" i="3"/>
  <c r="M43" i="3"/>
  <c r="L43" i="3"/>
  <c r="K43" i="3"/>
  <c r="J43" i="3"/>
  <c r="I43" i="3"/>
  <c r="H43" i="3"/>
  <c r="G43" i="3"/>
  <c r="F43" i="3"/>
  <c r="E43" i="3"/>
  <c r="D43" i="3"/>
  <c r="AD42" i="3"/>
  <c r="AC42" i="3"/>
  <c r="AB42" i="3"/>
  <c r="AA42" i="3"/>
  <c r="Z42" i="3"/>
  <c r="Y42" i="3"/>
  <c r="X42" i="3"/>
  <c r="W42" i="3"/>
  <c r="V42" i="3"/>
  <c r="U42" i="3"/>
  <c r="T42" i="3"/>
  <c r="S42" i="3"/>
  <c r="P42" i="3"/>
  <c r="AD41" i="3"/>
  <c r="AC41" i="3"/>
  <c r="AB41" i="3"/>
  <c r="AA41" i="3"/>
  <c r="Z41" i="3"/>
  <c r="Y41" i="3"/>
  <c r="X41" i="3"/>
  <c r="W41" i="3"/>
  <c r="V41" i="3"/>
  <c r="U41" i="3"/>
  <c r="T41" i="3"/>
  <c r="S41" i="3"/>
  <c r="P41" i="3"/>
  <c r="AD40" i="3"/>
  <c r="AC40" i="3"/>
  <c r="AB40" i="3"/>
  <c r="AA40" i="3"/>
  <c r="Z40" i="3"/>
  <c r="Y40" i="3"/>
  <c r="X40" i="3"/>
  <c r="W40" i="3"/>
  <c r="V40" i="3"/>
  <c r="U40" i="3"/>
  <c r="T40" i="3"/>
  <c r="S40" i="3"/>
  <c r="P40" i="3"/>
  <c r="AD39" i="3"/>
  <c r="AC39" i="3"/>
  <c r="AB39" i="3"/>
  <c r="AA39" i="3"/>
  <c r="Z39" i="3"/>
  <c r="Y39" i="3"/>
  <c r="X39" i="3"/>
  <c r="W39" i="3"/>
  <c r="V39" i="3"/>
  <c r="U39" i="3"/>
  <c r="T39" i="3"/>
  <c r="S39" i="3"/>
  <c r="P39" i="3"/>
  <c r="AE38" i="3"/>
  <c r="AD35" i="3"/>
  <c r="AC35" i="3"/>
  <c r="AB35" i="3"/>
  <c r="AA35" i="3"/>
  <c r="Z35" i="3"/>
  <c r="Y35" i="3"/>
  <c r="X35" i="3"/>
  <c r="W35" i="3"/>
  <c r="V35" i="3"/>
  <c r="U35" i="3"/>
  <c r="T35" i="3"/>
  <c r="S35" i="3"/>
  <c r="P35" i="3"/>
  <c r="AD34" i="3"/>
  <c r="AD85" i="3" s="1"/>
  <c r="AD95" i="3" s="1"/>
  <c r="AC34" i="3"/>
  <c r="AC85" i="3" s="1"/>
  <c r="AB34" i="3"/>
  <c r="AB85" i="3" s="1"/>
  <c r="AB95" i="3" s="1"/>
  <c r="AA34" i="3"/>
  <c r="Z34" i="3"/>
  <c r="Z85" i="3" s="1"/>
  <c r="Z95" i="3" s="1"/>
  <c r="Y34" i="3"/>
  <c r="Y85" i="3" s="1"/>
  <c r="Y95" i="3" s="1"/>
  <c r="X34" i="3"/>
  <c r="X85" i="3" s="1"/>
  <c r="X95" i="3" s="1"/>
  <c r="W34" i="3"/>
  <c r="V34" i="3"/>
  <c r="V85" i="3" s="1"/>
  <c r="V95" i="3" s="1"/>
  <c r="U34" i="3"/>
  <c r="U85" i="3" s="1"/>
  <c r="U95" i="3" s="1"/>
  <c r="T34" i="3"/>
  <c r="T85" i="3" s="1"/>
  <c r="T95" i="3" s="1"/>
  <c r="S34" i="3"/>
  <c r="P34" i="3"/>
  <c r="P95" i="3" s="1"/>
  <c r="AE33" i="3"/>
  <c r="O33" i="3"/>
  <c r="N33" i="3"/>
  <c r="M33" i="3"/>
  <c r="L33" i="3"/>
  <c r="K33" i="3"/>
  <c r="J33" i="3"/>
  <c r="I33" i="3"/>
  <c r="H33" i="3"/>
  <c r="G33" i="3"/>
  <c r="F33" i="3"/>
  <c r="E33" i="3"/>
  <c r="D33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AE31" i="3"/>
  <c r="O31" i="3"/>
  <c r="N31" i="3"/>
  <c r="M31" i="3"/>
  <c r="L31" i="3"/>
  <c r="K31" i="3"/>
  <c r="J31" i="3"/>
  <c r="I31" i="3"/>
  <c r="H31" i="3"/>
  <c r="G31" i="3"/>
  <c r="F31" i="3"/>
  <c r="E31" i="3"/>
  <c r="D31" i="3"/>
  <c r="AD30" i="3"/>
  <c r="AC30" i="3"/>
  <c r="AB30" i="3"/>
  <c r="AA30" i="3"/>
  <c r="Z30" i="3"/>
  <c r="Y30" i="3"/>
  <c r="X30" i="3"/>
  <c r="W30" i="3"/>
  <c r="V30" i="3"/>
  <c r="U30" i="3"/>
  <c r="T30" i="3"/>
  <c r="S30" i="3"/>
  <c r="P30" i="3"/>
  <c r="AD29" i="3"/>
  <c r="AC29" i="3"/>
  <c r="AB29" i="3"/>
  <c r="AA29" i="3"/>
  <c r="Z29" i="3"/>
  <c r="Y29" i="3"/>
  <c r="X29" i="3"/>
  <c r="W29" i="3"/>
  <c r="V29" i="3"/>
  <c r="U29" i="3"/>
  <c r="T29" i="3"/>
  <c r="S29" i="3"/>
  <c r="P29" i="3"/>
  <c r="AD28" i="3"/>
  <c r="AC28" i="3"/>
  <c r="AB28" i="3"/>
  <c r="AA28" i="3"/>
  <c r="Z28" i="3"/>
  <c r="Y28" i="3"/>
  <c r="X28" i="3"/>
  <c r="W28" i="3"/>
  <c r="V28" i="3"/>
  <c r="U28" i="3"/>
  <c r="T28" i="3"/>
  <c r="S28" i="3"/>
  <c r="P28" i="3"/>
  <c r="AE27" i="3"/>
  <c r="O27" i="3"/>
  <c r="N27" i="3"/>
  <c r="M27" i="3"/>
  <c r="L27" i="3"/>
  <c r="K27" i="3"/>
  <c r="J27" i="3"/>
  <c r="I27" i="3"/>
  <c r="H27" i="3"/>
  <c r="G27" i="3"/>
  <c r="F27" i="3"/>
  <c r="E27" i="3"/>
  <c r="D27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AE25" i="3"/>
  <c r="O25" i="3"/>
  <c r="N25" i="3"/>
  <c r="M25" i="3"/>
  <c r="L25" i="3"/>
  <c r="K25" i="3"/>
  <c r="J25" i="3"/>
  <c r="I25" i="3"/>
  <c r="H25" i="3"/>
  <c r="G25" i="3"/>
  <c r="F25" i="3"/>
  <c r="E25" i="3"/>
  <c r="D25" i="3"/>
  <c r="AD24" i="3"/>
  <c r="AC24" i="3"/>
  <c r="AB24" i="3"/>
  <c r="AA24" i="3"/>
  <c r="Z24" i="3"/>
  <c r="Y24" i="3"/>
  <c r="X24" i="3"/>
  <c r="W24" i="3"/>
  <c r="V24" i="3"/>
  <c r="U24" i="3"/>
  <c r="T24" i="3"/>
  <c r="S24" i="3"/>
  <c r="P24" i="3"/>
  <c r="AD23" i="3"/>
  <c r="AC23" i="3"/>
  <c r="AB23" i="3"/>
  <c r="AA23" i="3"/>
  <c r="Z23" i="3"/>
  <c r="Y23" i="3"/>
  <c r="X23" i="3"/>
  <c r="W23" i="3"/>
  <c r="V23" i="3"/>
  <c r="U23" i="3"/>
  <c r="T23" i="3"/>
  <c r="S23" i="3"/>
  <c r="P23" i="3"/>
  <c r="AD22" i="3"/>
  <c r="AC22" i="3"/>
  <c r="AB22" i="3"/>
  <c r="AA22" i="3"/>
  <c r="Z22" i="3"/>
  <c r="Y22" i="3"/>
  <c r="X22" i="3"/>
  <c r="W22" i="3"/>
  <c r="V22" i="3"/>
  <c r="U22" i="3"/>
  <c r="T22" i="3"/>
  <c r="S22" i="3"/>
  <c r="P22" i="3"/>
  <c r="AE21" i="3"/>
  <c r="O21" i="3"/>
  <c r="N21" i="3"/>
  <c r="M21" i="3"/>
  <c r="L21" i="3"/>
  <c r="K21" i="3"/>
  <c r="J21" i="3"/>
  <c r="I21" i="3"/>
  <c r="H21" i="3"/>
  <c r="G21" i="3"/>
  <c r="F21" i="3"/>
  <c r="E21" i="3"/>
  <c r="D21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AE19" i="3"/>
  <c r="O19" i="3"/>
  <c r="N19" i="3"/>
  <c r="M19" i="3"/>
  <c r="L19" i="3"/>
  <c r="K19" i="3"/>
  <c r="J19" i="3"/>
  <c r="I19" i="3"/>
  <c r="H19" i="3"/>
  <c r="G19" i="3"/>
  <c r="F19" i="3"/>
  <c r="E19" i="3"/>
  <c r="D19" i="3"/>
  <c r="AD18" i="3"/>
  <c r="AC18" i="3"/>
  <c r="AB18" i="3"/>
  <c r="AA18" i="3"/>
  <c r="Z18" i="3"/>
  <c r="Y18" i="3"/>
  <c r="X18" i="3"/>
  <c r="W18" i="3"/>
  <c r="V18" i="3"/>
  <c r="U18" i="3"/>
  <c r="T18" i="3"/>
  <c r="S18" i="3"/>
  <c r="P18" i="3"/>
  <c r="AD17" i="3"/>
  <c r="AC17" i="3"/>
  <c r="AB17" i="3"/>
  <c r="AA17" i="3"/>
  <c r="Z17" i="3"/>
  <c r="Y17" i="3"/>
  <c r="X17" i="3"/>
  <c r="W17" i="3"/>
  <c r="V17" i="3"/>
  <c r="U17" i="3"/>
  <c r="T17" i="3"/>
  <c r="S17" i="3"/>
  <c r="P17" i="3"/>
  <c r="AD16" i="3"/>
  <c r="AC16" i="3"/>
  <c r="AB16" i="3"/>
  <c r="AA16" i="3"/>
  <c r="Z16" i="3"/>
  <c r="Y16" i="3"/>
  <c r="X16" i="3"/>
  <c r="W16" i="3"/>
  <c r="V16" i="3"/>
  <c r="U16" i="3"/>
  <c r="T16" i="3"/>
  <c r="S16" i="3"/>
  <c r="P16" i="3"/>
  <c r="AE15" i="3"/>
  <c r="O15" i="3"/>
  <c r="N15" i="3"/>
  <c r="M15" i="3"/>
  <c r="L15" i="3"/>
  <c r="K15" i="3"/>
  <c r="J15" i="3"/>
  <c r="I15" i="3"/>
  <c r="H15" i="3"/>
  <c r="G15" i="3"/>
  <c r="F15" i="3"/>
  <c r="E15" i="3"/>
  <c r="D15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AD13" i="3"/>
  <c r="AC13" i="3"/>
  <c r="AB13" i="3"/>
  <c r="AA13" i="3"/>
  <c r="Z13" i="3"/>
  <c r="Y13" i="3"/>
  <c r="X13" i="3"/>
  <c r="W13" i="3"/>
  <c r="V13" i="3"/>
  <c r="U13" i="3"/>
  <c r="T13" i="3"/>
  <c r="S13" i="3"/>
  <c r="P13" i="3"/>
  <c r="AD12" i="3"/>
  <c r="AC12" i="3"/>
  <c r="AB12" i="3"/>
  <c r="AA12" i="3"/>
  <c r="Z12" i="3"/>
  <c r="Y12" i="3"/>
  <c r="X12" i="3"/>
  <c r="W12" i="3"/>
  <c r="V12" i="3"/>
  <c r="U12" i="3"/>
  <c r="T12" i="3"/>
  <c r="S12" i="3"/>
  <c r="P12" i="3"/>
  <c r="AD11" i="3"/>
  <c r="AC11" i="3"/>
  <c r="AB11" i="3"/>
  <c r="AA11" i="3"/>
  <c r="Z11" i="3"/>
  <c r="Y11" i="3"/>
  <c r="X11" i="3"/>
  <c r="W11" i="3"/>
  <c r="V11" i="3"/>
  <c r="U11" i="3"/>
  <c r="T11" i="3"/>
  <c r="S11" i="3"/>
  <c r="P11" i="3"/>
  <c r="AE10" i="3"/>
  <c r="O10" i="3"/>
  <c r="N10" i="3"/>
  <c r="M10" i="3"/>
  <c r="L10" i="3"/>
  <c r="K10" i="3"/>
  <c r="J10" i="3"/>
  <c r="I10" i="3"/>
  <c r="H10" i="3"/>
  <c r="G10" i="3"/>
  <c r="F10" i="3"/>
  <c r="E10" i="3"/>
  <c r="D10" i="3"/>
  <c r="AE9" i="3"/>
  <c r="O9" i="3"/>
  <c r="N9" i="3"/>
  <c r="M9" i="3"/>
  <c r="L9" i="3"/>
  <c r="K9" i="3"/>
  <c r="J9" i="3"/>
  <c r="I9" i="3"/>
  <c r="H9" i="3"/>
  <c r="G9" i="3"/>
  <c r="F9" i="3"/>
  <c r="E9" i="3"/>
  <c r="D9" i="3"/>
  <c r="AD8" i="3"/>
  <c r="AC8" i="3"/>
  <c r="AB8" i="3"/>
  <c r="AA8" i="3"/>
  <c r="Z8" i="3"/>
  <c r="Y8" i="3"/>
  <c r="X8" i="3"/>
  <c r="W8" i="3"/>
  <c r="V8" i="3"/>
  <c r="U8" i="3"/>
  <c r="T8" i="3"/>
  <c r="S8" i="3"/>
  <c r="P8" i="3"/>
  <c r="AD7" i="3"/>
  <c r="AC7" i="3"/>
  <c r="AB7" i="3"/>
  <c r="AA7" i="3"/>
  <c r="Z7" i="3"/>
  <c r="Y7" i="3"/>
  <c r="X7" i="3"/>
  <c r="W7" i="3"/>
  <c r="V7" i="3"/>
  <c r="U7" i="3"/>
  <c r="T7" i="3"/>
  <c r="S7" i="3"/>
  <c r="P7" i="3"/>
  <c r="AD6" i="3"/>
  <c r="AC6" i="3"/>
  <c r="AB6" i="3"/>
  <c r="AA6" i="3"/>
  <c r="Z6" i="3"/>
  <c r="Y6" i="3"/>
  <c r="X6" i="3"/>
  <c r="W6" i="3"/>
  <c r="V6" i="3"/>
  <c r="U6" i="3"/>
  <c r="T6" i="3"/>
  <c r="S6" i="3"/>
  <c r="P6" i="3"/>
  <c r="AD5" i="3"/>
  <c r="AC5" i="3"/>
  <c r="AB5" i="3"/>
  <c r="AA5" i="3"/>
  <c r="Z5" i="3"/>
  <c r="Y5" i="3"/>
  <c r="X5" i="3"/>
  <c r="W5" i="3"/>
  <c r="V5" i="3"/>
  <c r="U5" i="3"/>
  <c r="T5" i="3"/>
  <c r="S5" i="3"/>
  <c r="P5" i="3"/>
  <c r="AD4" i="3"/>
  <c r="AC4" i="3"/>
  <c r="AB4" i="3"/>
  <c r="AA4" i="3"/>
  <c r="Z4" i="3"/>
  <c r="Y4" i="3"/>
  <c r="X4" i="3"/>
  <c r="W4" i="3"/>
  <c r="V4" i="3"/>
  <c r="U4" i="3"/>
  <c r="T4" i="3"/>
  <c r="S4" i="3"/>
  <c r="P4" i="3"/>
  <c r="AD3" i="3"/>
  <c r="AC3" i="3"/>
  <c r="AB3" i="3"/>
  <c r="AA3" i="3"/>
  <c r="Z3" i="3"/>
  <c r="Y3" i="3"/>
  <c r="X3" i="3"/>
  <c r="W3" i="3"/>
  <c r="V3" i="3"/>
  <c r="U3" i="3"/>
  <c r="T3" i="3"/>
  <c r="S3" i="3"/>
  <c r="P3" i="3"/>
  <c r="AD76" i="4" l="1"/>
  <c r="AD87" i="4" s="1"/>
  <c r="S71" i="4"/>
  <c r="X71" i="4"/>
  <c r="X76" i="4" s="1"/>
  <c r="X87" i="4" s="1"/>
  <c r="Y71" i="4"/>
  <c r="Y76" i="4" s="1"/>
  <c r="Y87" i="4" s="1"/>
  <c r="U71" i="4"/>
  <c r="U76" i="4" s="1"/>
  <c r="U87" i="4" s="1"/>
  <c r="Z71" i="4"/>
  <c r="Z76" i="4" s="1"/>
  <c r="Z87" i="4" s="1"/>
  <c r="T71" i="4"/>
  <c r="T76" i="4" s="1"/>
  <c r="T87" i="4" s="1"/>
  <c r="W71" i="4"/>
  <c r="W76" i="4" s="1"/>
  <c r="W87" i="4" s="1"/>
  <c r="AC71" i="4"/>
  <c r="AC76" i="4" s="1"/>
  <c r="AC87" i="4" s="1"/>
  <c r="V71" i="4"/>
  <c r="V76" i="4" s="1"/>
  <c r="V87" i="4" s="1"/>
  <c r="AB71" i="4"/>
  <c r="AB76" i="4" s="1"/>
  <c r="AB87" i="4" s="1"/>
  <c r="AE82" i="4"/>
  <c r="AE58" i="4"/>
  <c r="AA71" i="4"/>
  <c r="AA76" i="4" s="1"/>
  <c r="AA87" i="4" s="1"/>
  <c r="S85" i="3"/>
  <c r="S95" i="3" s="1"/>
  <c r="W85" i="3"/>
  <c r="W95" i="3" s="1"/>
  <c r="AA85" i="3"/>
  <c r="AA95" i="3" s="1"/>
  <c r="S63" i="3"/>
  <c r="W63" i="3"/>
  <c r="X64" i="3" s="1"/>
  <c r="AA63" i="3"/>
  <c r="AB64" i="3" s="1"/>
  <c r="AC95" i="3"/>
  <c r="V74" i="4"/>
  <c r="V85" i="4" s="1"/>
  <c r="U74" i="4"/>
  <c r="U85" i="4" s="1"/>
  <c r="AA74" i="4"/>
  <c r="AA85" i="4" s="1"/>
  <c r="S76" i="4"/>
  <c r="T74" i="4"/>
  <c r="T85" i="4" s="1"/>
  <c r="AB74" i="4"/>
  <c r="AB85" i="4" s="1"/>
  <c r="AD74" i="4"/>
  <c r="AD85" i="4" s="1"/>
  <c r="X74" i="4"/>
  <c r="X85" i="4" s="1"/>
  <c r="Z74" i="4"/>
  <c r="Z85" i="4" s="1"/>
  <c r="Y74" i="4"/>
  <c r="Y85" i="4" s="1"/>
  <c r="S74" i="4"/>
  <c r="W74" i="4"/>
  <c r="W85" i="4" s="1"/>
  <c r="S90" i="4"/>
  <c r="AE79" i="4"/>
  <c r="AE90" i="4" s="1"/>
  <c r="AE67" i="4"/>
  <c r="AE64" i="4"/>
  <c r="AE77" i="4"/>
  <c r="AE88" i="4" s="1"/>
  <c r="AE61" i="4"/>
  <c r="AE69" i="4"/>
  <c r="AE52" i="4"/>
  <c r="D86" i="3"/>
  <c r="D96" i="3" s="1"/>
  <c r="D83" i="3"/>
  <c r="D93" i="3" s="1"/>
  <c r="I86" i="3"/>
  <c r="I96" i="3" s="1"/>
  <c r="M86" i="3"/>
  <c r="M96" i="3" s="1"/>
  <c r="O83" i="3"/>
  <c r="O93" i="3" s="1"/>
  <c r="J37" i="3"/>
  <c r="P37" i="3" s="1"/>
  <c r="V57" i="3"/>
  <c r="W58" i="3" s="1"/>
  <c r="Z57" i="3"/>
  <c r="AA58" i="3" s="1"/>
  <c r="F86" i="3"/>
  <c r="F96" i="3" s="1"/>
  <c r="J86" i="3"/>
  <c r="J96" i="3" s="1"/>
  <c r="N86" i="3"/>
  <c r="N96" i="3" s="1"/>
  <c r="AB60" i="3"/>
  <c r="AC61" i="3" s="1"/>
  <c r="G86" i="3"/>
  <c r="G96" i="3" s="1"/>
  <c r="K86" i="3"/>
  <c r="K96" i="3" s="1"/>
  <c r="O86" i="3"/>
  <c r="O96" i="3" s="1"/>
  <c r="AC60" i="3"/>
  <c r="AD61" i="3" s="1"/>
  <c r="AB51" i="3"/>
  <c r="AC52" i="3" s="1"/>
  <c r="AC54" i="3"/>
  <c r="AD55" i="3" s="1"/>
  <c r="T57" i="3"/>
  <c r="U58" i="3" s="1"/>
  <c r="S61" i="3"/>
  <c r="W60" i="3"/>
  <c r="X61" i="3" s="1"/>
  <c r="AA60" i="3"/>
  <c r="AB61" i="3" s="1"/>
  <c r="U63" i="3"/>
  <c r="V64" i="3" s="1"/>
  <c r="T63" i="3"/>
  <c r="U64" i="3" s="1"/>
  <c r="X63" i="3"/>
  <c r="Y64" i="3" s="1"/>
  <c r="AB63" i="3"/>
  <c r="AC64" i="3" s="1"/>
  <c r="AD66" i="3"/>
  <c r="T69" i="3"/>
  <c r="U70" i="3" s="1"/>
  <c r="W69" i="3"/>
  <c r="X70" i="3" s="1"/>
  <c r="AA69" i="3"/>
  <c r="AB70" i="3" s="1"/>
  <c r="U54" i="3"/>
  <c r="V55" i="3" s="1"/>
  <c r="Y54" i="3"/>
  <c r="Z55" i="3" s="1"/>
  <c r="X57" i="3"/>
  <c r="Y58" i="3" s="1"/>
  <c r="F82" i="3"/>
  <c r="F92" i="3" s="1"/>
  <c r="V63" i="3"/>
  <c r="W64" i="3" s="1"/>
  <c r="U66" i="3"/>
  <c r="V67" i="3" s="1"/>
  <c r="Y66" i="3"/>
  <c r="Z67" i="3" s="1"/>
  <c r="AE39" i="3"/>
  <c r="Z69" i="3"/>
  <c r="AA70" i="3" s="1"/>
  <c r="AC72" i="3"/>
  <c r="AD73" i="3" s="1"/>
  <c r="T72" i="3"/>
  <c r="U73" i="3" s="1"/>
  <c r="X72" i="3"/>
  <c r="Y73" i="3" s="1"/>
  <c r="AB72" i="3"/>
  <c r="AC73" i="3" s="1"/>
  <c r="P68" i="3"/>
  <c r="Q8" i="3"/>
  <c r="AB57" i="3"/>
  <c r="AC58" i="3" s="1"/>
  <c r="N82" i="3"/>
  <c r="N92" i="3" s="1"/>
  <c r="T60" i="3"/>
  <c r="U61" i="3" s="1"/>
  <c r="X60" i="3"/>
  <c r="Y61" i="3" s="1"/>
  <c r="V51" i="3"/>
  <c r="W52" i="3" s="1"/>
  <c r="Z51" i="3"/>
  <c r="AA52" i="3" s="1"/>
  <c r="AD51" i="3"/>
  <c r="W54" i="3"/>
  <c r="X55" i="3" s="1"/>
  <c r="AA54" i="3"/>
  <c r="AB55" i="3" s="1"/>
  <c r="S58" i="3"/>
  <c r="W57" i="3"/>
  <c r="X58" i="3" s="1"/>
  <c r="AA57" i="3"/>
  <c r="AB58" i="3" s="1"/>
  <c r="AD57" i="3"/>
  <c r="Q18" i="3"/>
  <c r="V66" i="3"/>
  <c r="W67" i="3" s="1"/>
  <c r="E82" i="3"/>
  <c r="E92" i="3" s="1"/>
  <c r="E83" i="3"/>
  <c r="E93" i="3" s="1"/>
  <c r="I83" i="3"/>
  <c r="I93" i="3" s="1"/>
  <c r="M83" i="3"/>
  <c r="M93" i="3" s="1"/>
  <c r="AE47" i="3"/>
  <c r="AA66" i="3"/>
  <c r="AB67" i="3" s="1"/>
  <c r="P33" i="3"/>
  <c r="AE41" i="3"/>
  <c r="S51" i="3"/>
  <c r="T52" i="3" s="1"/>
  <c r="W51" i="3"/>
  <c r="X52" i="3" s="1"/>
  <c r="AA51" i="3"/>
  <c r="AB52" i="3" s="1"/>
  <c r="T54" i="3"/>
  <c r="U55" i="3" s="1"/>
  <c r="X54" i="3"/>
  <c r="Y55" i="3" s="1"/>
  <c r="AB54" i="3"/>
  <c r="AC55" i="3" s="1"/>
  <c r="V54" i="3"/>
  <c r="W55" i="3" s="1"/>
  <c r="Z54" i="3"/>
  <c r="AA55" i="3" s="1"/>
  <c r="AE11" i="3"/>
  <c r="S60" i="3"/>
  <c r="T61" i="3" s="1"/>
  <c r="P19" i="3"/>
  <c r="AE22" i="3"/>
  <c r="Z63" i="3"/>
  <c r="AA64" i="3" s="1"/>
  <c r="AD63" i="3"/>
  <c r="Y63" i="3"/>
  <c r="Z64" i="3" s="1"/>
  <c r="AC63" i="3"/>
  <c r="AD64" i="3" s="1"/>
  <c r="T66" i="3"/>
  <c r="U67" i="3" s="1"/>
  <c r="X66" i="3"/>
  <c r="Y67" i="3" s="1"/>
  <c r="AB66" i="3"/>
  <c r="AC67" i="3" s="1"/>
  <c r="AE30" i="3"/>
  <c r="U69" i="3"/>
  <c r="V70" i="3" s="1"/>
  <c r="Y69" i="3"/>
  <c r="Z70" i="3" s="1"/>
  <c r="AC69" i="3"/>
  <c r="AD70" i="3" s="1"/>
  <c r="AE42" i="3"/>
  <c r="P43" i="3"/>
  <c r="M82" i="3"/>
  <c r="M92" i="3" s="1"/>
  <c r="S57" i="3"/>
  <c r="T58" i="3" s="1"/>
  <c r="P59" i="3"/>
  <c r="L83" i="3"/>
  <c r="L93" i="3" s="1"/>
  <c r="AE87" i="3"/>
  <c r="P84" i="3"/>
  <c r="P94" i="3" s="1"/>
  <c r="AE6" i="3"/>
  <c r="Q7" i="3"/>
  <c r="AE13" i="3"/>
  <c r="P14" i="3"/>
  <c r="V60" i="3"/>
  <c r="W61" i="3" s="1"/>
  <c r="Z60" i="3"/>
  <c r="AA61" i="3" s="1"/>
  <c r="AD60" i="3"/>
  <c r="U60" i="3"/>
  <c r="V61" i="3" s="1"/>
  <c r="Y60" i="3"/>
  <c r="Z61" i="3" s="1"/>
  <c r="P21" i="3"/>
  <c r="AE24" i="3"/>
  <c r="P25" i="3"/>
  <c r="AE28" i="3"/>
  <c r="Z66" i="3"/>
  <c r="AA67" i="3" s="1"/>
  <c r="AC66" i="3"/>
  <c r="AD67" i="3" s="1"/>
  <c r="AE34" i="3"/>
  <c r="V69" i="3"/>
  <c r="W70" i="3" s="1"/>
  <c r="AD69" i="3"/>
  <c r="AE44" i="3"/>
  <c r="V72" i="3"/>
  <c r="W73" i="3" s="1"/>
  <c r="Z72" i="3"/>
  <c r="AA73" i="3" s="1"/>
  <c r="AD72" i="3"/>
  <c r="U72" i="3"/>
  <c r="V73" i="3" s="1"/>
  <c r="Y72" i="3"/>
  <c r="Z73" i="3" s="1"/>
  <c r="G82" i="3"/>
  <c r="G92" i="3" s="1"/>
  <c r="K82" i="3"/>
  <c r="K92" i="3" s="1"/>
  <c r="O82" i="3"/>
  <c r="O92" i="3" s="1"/>
  <c r="J82" i="3"/>
  <c r="J92" i="3" s="1"/>
  <c r="U51" i="3"/>
  <c r="V52" i="3" s="1"/>
  <c r="AE5" i="3"/>
  <c r="Y51" i="3"/>
  <c r="Z52" i="3" s="1"/>
  <c r="AE3" i="3"/>
  <c r="Q4" i="3"/>
  <c r="Q5" i="3"/>
  <c r="S54" i="3"/>
  <c r="S55" i="3"/>
  <c r="AE8" i="3"/>
  <c r="P15" i="3"/>
  <c r="AE17" i="3"/>
  <c r="S73" i="3"/>
  <c r="W72" i="3"/>
  <c r="X73" i="3" s="1"/>
  <c r="AA72" i="3"/>
  <c r="AB73" i="3" s="1"/>
  <c r="AE45" i="3"/>
  <c r="D82" i="3"/>
  <c r="H82" i="3"/>
  <c r="H92" i="3" s="1"/>
  <c r="L82" i="3"/>
  <c r="L92" i="3" s="1"/>
  <c r="P56" i="3"/>
  <c r="AE4" i="3"/>
  <c r="AC51" i="3"/>
  <c r="AD52" i="3" s="1"/>
  <c r="AD54" i="3"/>
  <c r="AE12" i="3"/>
  <c r="AE18" i="3"/>
  <c r="T64" i="3"/>
  <c r="AE23" i="3"/>
  <c r="S66" i="3"/>
  <c r="S67" i="3"/>
  <c r="W66" i="3"/>
  <c r="X67" i="3" s="1"/>
  <c r="AE29" i="3"/>
  <c r="P31" i="3"/>
  <c r="AE35" i="3"/>
  <c r="S52" i="3"/>
  <c r="I82" i="3"/>
  <c r="I92" i="3" s="1"/>
  <c r="F83" i="3"/>
  <c r="J83" i="3"/>
  <c r="J93" i="3" s="1"/>
  <c r="N83" i="3"/>
  <c r="N93" i="3" s="1"/>
  <c r="S72" i="3"/>
  <c r="T51" i="3"/>
  <c r="U52" i="3" s="1"/>
  <c r="X51" i="3"/>
  <c r="Y52" i="3" s="1"/>
  <c r="P10" i="3"/>
  <c r="AE16" i="3"/>
  <c r="P27" i="3"/>
  <c r="P32" i="3"/>
  <c r="X69" i="3"/>
  <c r="Y70" i="3" s="1"/>
  <c r="AB69" i="3"/>
  <c r="AC70" i="3" s="1"/>
  <c r="AE46" i="3"/>
  <c r="S64" i="3"/>
  <c r="P74" i="3"/>
  <c r="P9" i="3"/>
  <c r="U57" i="3"/>
  <c r="V58" i="3" s="1"/>
  <c r="Y57" i="3"/>
  <c r="Z58" i="3" s="1"/>
  <c r="AC57" i="3"/>
  <c r="AD58" i="3" s="1"/>
  <c r="P26" i="3"/>
  <c r="P48" i="3"/>
  <c r="P62" i="3"/>
  <c r="P65" i="3"/>
  <c r="P87" i="3"/>
  <c r="AE7" i="3"/>
  <c r="P20" i="3"/>
  <c r="P38" i="3"/>
  <c r="S70" i="3"/>
  <c r="AE40" i="3"/>
  <c r="P53" i="3"/>
  <c r="S69" i="3"/>
  <c r="P71" i="3"/>
  <c r="E93" i="1"/>
  <c r="F93" i="1"/>
  <c r="G93" i="1"/>
  <c r="H93" i="1"/>
  <c r="I93" i="1"/>
  <c r="J93" i="1"/>
  <c r="K93" i="1"/>
  <c r="L93" i="1"/>
  <c r="M93" i="1"/>
  <c r="D93" i="1"/>
  <c r="AE71" i="4" l="1"/>
  <c r="AE85" i="3"/>
  <c r="AE95" i="3" s="1"/>
  <c r="R76" i="3"/>
  <c r="AE74" i="4"/>
  <c r="S85" i="4"/>
  <c r="AE78" i="4"/>
  <c r="AE89" i="4" s="1"/>
  <c r="AE76" i="4"/>
  <c r="AE87" i="4" s="1"/>
  <c r="S87" i="4"/>
  <c r="L88" i="3"/>
  <c r="E88" i="3"/>
  <c r="R59" i="3"/>
  <c r="Z59" i="3" s="1"/>
  <c r="R78" i="3"/>
  <c r="W78" i="3" s="1"/>
  <c r="R77" i="3"/>
  <c r="X77" i="3" s="1"/>
  <c r="K88" i="3"/>
  <c r="P86" i="3"/>
  <c r="P96" i="3" s="1"/>
  <c r="AE60" i="3"/>
  <c r="R71" i="3"/>
  <c r="T71" i="3" s="1"/>
  <c r="AE63" i="3"/>
  <c r="D94" i="3"/>
  <c r="AE61" i="3"/>
  <c r="P81" i="3"/>
  <c r="P91" i="3" s="1"/>
  <c r="J88" i="3"/>
  <c r="R68" i="3"/>
  <c r="AA68" i="3" s="1"/>
  <c r="AA84" i="3" s="1"/>
  <c r="AA94" i="3" s="1"/>
  <c r="R65" i="3"/>
  <c r="AC65" i="3" s="1"/>
  <c r="H88" i="3"/>
  <c r="D88" i="3"/>
  <c r="R56" i="3"/>
  <c r="S56" i="3" s="1"/>
  <c r="AE58" i="3"/>
  <c r="O88" i="3"/>
  <c r="G88" i="3"/>
  <c r="M88" i="3"/>
  <c r="T73" i="3"/>
  <c r="AE73" i="3" s="1"/>
  <c r="AE72" i="3"/>
  <c r="AE57" i="3"/>
  <c r="AE66" i="3"/>
  <c r="T67" i="3"/>
  <c r="AE67" i="3" s="1"/>
  <c r="P82" i="3"/>
  <c r="P92" i="3" s="1"/>
  <c r="D92" i="3"/>
  <c r="N88" i="3"/>
  <c r="R74" i="3"/>
  <c r="R62" i="3"/>
  <c r="T55" i="3"/>
  <c r="AE55" i="3" s="1"/>
  <c r="AE54" i="3"/>
  <c r="I88" i="3"/>
  <c r="T70" i="3"/>
  <c r="AE70" i="3" s="1"/>
  <c r="AE69" i="3"/>
  <c r="AE52" i="3"/>
  <c r="R53" i="3"/>
  <c r="AE64" i="3"/>
  <c r="P83" i="3"/>
  <c r="P93" i="3" s="1"/>
  <c r="F93" i="3"/>
  <c r="F88" i="3"/>
  <c r="AE51" i="3"/>
  <c r="AF78" i="4" l="1"/>
  <c r="AE85" i="4"/>
  <c r="AF74" i="4"/>
  <c r="T78" i="3"/>
  <c r="AD71" i="3"/>
  <c r="Z71" i="3"/>
  <c r="AA71" i="3"/>
  <c r="AC71" i="3"/>
  <c r="AD68" i="3"/>
  <c r="AD84" i="3" s="1"/>
  <c r="AD94" i="3" s="1"/>
  <c r="S71" i="3"/>
  <c r="X71" i="3"/>
  <c r="X65" i="3"/>
  <c r="AB65" i="3"/>
  <c r="AD65" i="3"/>
  <c r="AA65" i="3"/>
  <c r="Y65" i="3"/>
  <c r="V65" i="3"/>
  <c r="U59" i="3"/>
  <c r="AA59" i="3"/>
  <c r="Y59" i="3"/>
  <c r="T59" i="3"/>
  <c r="AC59" i="3"/>
  <c r="AB59" i="3"/>
  <c r="W59" i="3"/>
  <c r="AD59" i="3"/>
  <c r="X59" i="3"/>
  <c r="V59" i="3"/>
  <c r="S59" i="3"/>
  <c r="U65" i="3"/>
  <c r="S65" i="3"/>
  <c r="Z65" i="3"/>
  <c r="T65" i="3"/>
  <c r="W65" i="3"/>
  <c r="AB68" i="3"/>
  <c r="AB84" i="3" s="1"/>
  <c r="AB94" i="3" s="1"/>
  <c r="AC56" i="3"/>
  <c r="X68" i="3"/>
  <c r="X84" i="3" s="1"/>
  <c r="X94" i="3" s="1"/>
  <c r="AB77" i="3"/>
  <c r="Z56" i="3"/>
  <c r="AA77" i="3"/>
  <c r="T68" i="3"/>
  <c r="T84" i="3" s="1"/>
  <c r="T94" i="3" s="1"/>
  <c r="W68" i="3"/>
  <c r="W84" i="3" s="1"/>
  <c r="W94" i="3" s="1"/>
  <c r="X56" i="3"/>
  <c r="X82" i="3" s="1"/>
  <c r="X92" i="3" s="1"/>
  <c r="W56" i="3"/>
  <c r="Y71" i="3"/>
  <c r="V71" i="3"/>
  <c r="AB71" i="3"/>
  <c r="Z68" i="3"/>
  <c r="Z84" i="3" s="1"/>
  <c r="Z94" i="3" s="1"/>
  <c r="T56" i="3"/>
  <c r="W71" i="3"/>
  <c r="U71" i="3"/>
  <c r="AB78" i="3"/>
  <c r="U78" i="3"/>
  <c r="S78" i="3"/>
  <c r="AD78" i="3"/>
  <c r="V78" i="3"/>
  <c r="Y78" i="3"/>
  <c r="Z78" i="3"/>
  <c r="X78" i="3"/>
  <c r="AA78" i="3"/>
  <c r="AC78" i="3"/>
  <c r="V77" i="3"/>
  <c r="W77" i="3"/>
  <c r="Z77" i="3"/>
  <c r="AC77" i="3"/>
  <c r="S77" i="3"/>
  <c r="AD77" i="3"/>
  <c r="T77" i="3"/>
  <c r="U77" i="3"/>
  <c r="Y77" i="3"/>
  <c r="AD56" i="3"/>
  <c r="AC68" i="3"/>
  <c r="AC84" i="3" s="1"/>
  <c r="AC94" i="3" s="1"/>
  <c r="U68" i="3"/>
  <c r="U84" i="3" s="1"/>
  <c r="U94" i="3" s="1"/>
  <c r="S68" i="3"/>
  <c r="V56" i="3"/>
  <c r="U56" i="3"/>
  <c r="AA56" i="3"/>
  <c r="Y68" i="3"/>
  <c r="Y84" i="3" s="1"/>
  <c r="Y94" i="3" s="1"/>
  <c r="V68" i="3"/>
  <c r="V84" i="3" s="1"/>
  <c r="V94" i="3" s="1"/>
  <c r="AB56" i="3"/>
  <c r="Y56" i="3"/>
  <c r="AD74" i="3"/>
  <c r="Z74" i="3"/>
  <c r="V74" i="3"/>
  <c r="AA74" i="3"/>
  <c r="U74" i="3"/>
  <c r="AB74" i="3"/>
  <c r="T74" i="3"/>
  <c r="Y74" i="3"/>
  <c r="S74" i="3"/>
  <c r="X74" i="3"/>
  <c r="AC74" i="3"/>
  <c r="W74" i="3"/>
  <c r="AC53" i="3"/>
  <c r="Y53" i="3"/>
  <c r="U53" i="3"/>
  <c r="AB53" i="3"/>
  <c r="W53" i="3"/>
  <c r="AA53" i="3"/>
  <c r="V53" i="3"/>
  <c r="AD53" i="3"/>
  <c r="S53" i="3"/>
  <c r="Z53" i="3"/>
  <c r="X53" i="3"/>
  <c r="T53" i="3"/>
  <c r="AA76" i="3"/>
  <c r="W76" i="3"/>
  <c r="S76" i="3"/>
  <c r="AB76" i="3"/>
  <c r="AB81" i="3" s="1"/>
  <c r="AB91" i="3" s="1"/>
  <c r="V76" i="3"/>
  <c r="Y76" i="3"/>
  <c r="Y81" i="3" s="1"/>
  <c r="Y91" i="3" s="1"/>
  <c r="AD76" i="3"/>
  <c r="X76" i="3"/>
  <c r="AC76" i="3"/>
  <c r="AC81" i="3" s="1"/>
  <c r="AC91" i="3" s="1"/>
  <c r="U76" i="3"/>
  <c r="Z76" i="3"/>
  <c r="Z81" i="3" s="1"/>
  <c r="Z91" i="3" s="1"/>
  <c r="T76" i="3"/>
  <c r="T81" i="3" s="1"/>
  <c r="T91" i="3" s="1"/>
  <c r="AC62" i="3"/>
  <c r="Y62" i="3"/>
  <c r="U62" i="3"/>
  <c r="AD62" i="3"/>
  <c r="X62" i="3"/>
  <c r="S62" i="3"/>
  <c r="AB62" i="3"/>
  <c r="W62" i="3"/>
  <c r="AA62" i="3"/>
  <c r="V62" i="3"/>
  <c r="Z62" i="3"/>
  <c r="T62" i="3"/>
  <c r="S84" i="3"/>
  <c r="P88" i="3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D102" i="1"/>
  <c r="D101" i="1"/>
  <c r="P54" i="1"/>
  <c r="V81" i="3" l="1"/>
  <c r="V91" i="3" s="1"/>
  <c r="AA81" i="3"/>
  <c r="AA91" i="3" s="1"/>
  <c r="W86" i="3"/>
  <c r="W96" i="3" s="1"/>
  <c r="X81" i="3"/>
  <c r="X91" i="3" s="1"/>
  <c r="V86" i="3"/>
  <c r="V96" i="3" s="1"/>
  <c r="AD86" i="3"/>
  <c r="AD96" i="3" s="1"/>
  <c r="AC86" i="3"/>
  <c r="AC96" i="3" s="1"/>
  <c r="U86" i="3"/>
  <c r="U96" i="3" s="1"/>
  <c r="AB86" i="3"/>
  <c r="AB96" i="3" s="1"/>
  <c r="S86" i="3"/>
  <c r="S96" i="3" s="1"/>
  <c r="Z86" i="3"/>
  <c r="Z96" i="3" s="1"/>
  <c r="Y86" i="3"/>
  <c r="Y96" i="3" s="1"/>
  <c r="X86" i="3"/>
  <c r="X96" i="3" s="1"/>
  <c r="AA86" i="3"/>
  <c r="AA96" i="3" s="1"/>
  <c r="T86" i="3"/>
  <c r="T96" i="3" s="1"/>
  <c r="AD81" i="3"/>
  <c r="AD91" i="3" s="1"/>
  <c r="W81" i="3"/>
  <c r="W91" i="3" s="1"/>
  <c r="S81" i="3"/>
  <c r="S91" i="3" s="1"/>
  <c r="U81" i="3"/>
  <c r="U91" i="3" s="1"/>
  <c r="S82" i="3"/>
  <c r="S92" i="3" s="1"/>
  <c r="W83" i="3"/>
  <c r="W93" i="3" s="1"/>
  <c r="AB82" i="3"/>
  <c r="AB92" i="3" s="1"/>
  <c r="AE59" i="3"/>
  <c r="T83" i="3"/>
  <c r="T93" i="3" s="1"/>
  <c r="AD83" i="3"/>
  <c r="AD93" i="3" s="1"/>
  <c r="AE65" i="3"/>
  <c r="Z83" i="3"/>
  <c r="Z93" i="3" s="1"/>
  <c r="AD82" i="3"/>
  <c r="AD92" i="3" s="1"/>
  <c r="T82" i="3"/>
  <c r="T92" i="3" s="1"/>
  <c r="Z82" i="3"/>
  <c r="Z92" i="3" s="1"/>
  <c r="X83" i="3"/>
  <c r="X93" i="3" s="1"/>
  <c r="AC83" i="3"/>
  <c r="AC93" i="3" s="1"/>
  <c r="AE71" i="3"/>
  <c r="AA83" i="3"/>
  <c r="AA93" i="3" s="1"/>
  <c r="AC82" i="3"/>
  <c r="AC92" i="3" s="1"/>
  <c r="Y82" i="3"/>
  <c r="Y92" i="3" s="1"/>
  <c r="AA82" i="3"/>
  <c r="AA92" i="3" s="1"/>
  <c r="V82" i="3"/>
  <c r="V92" i="3" s="1"/>
  <c r="W82" i="3"/>
  <c r="W92" i="3" s="1"/>
  <c r="AE78" i="3"/>
  <c r="AB83" i="3"/>
  <c r="AB93" i="3" s="1"/>
  <c r="U83" i="3"/>
  <c r="U93" i="3" s="1"/>
  <c r="V83" i="3"/>
  <c r="V93" i="3" s="1"/>
  <c r="Y83" i="3"/>
  <c r="Y93" i="3" s="1"/>
  <c r="AE77" i="3"/>
  <c r="AE56" i="3"/>
  <c r="U82" i="3"/>
  <c r="U92" i="3" s="1"/>
  <c r="AE68" i="3"/>
  <c r="AE76" i="3"/>
  <c r="AE53" i="3"/>
  <c r="S94" i="3"/>
  <c r="AE84" i="3"/>
  <c r="AE94" i="3" s="1"/>
  <c r="S83" i="3"/>
  <c r="AE62" i="3"/>
  <c r="AE74" i="3"/>
  <c r="E89" i="1"/>
  <c r="E98" i="1" s="1"/>
  <c r="F89" i="1"/>
  <c r="F98" i="1" s="1"/>
  <c r="G89" i="1"/>
  <c r="G98" i="1" s="1"/>
  <c r="H89" i="1"/>
  <c r="H98" i="1" s="1"/>
  <c r="I89" i="1"/>
  <c r="I98" i="1" s="1"/>
  <c r="J89" i="1"/>
  <c r="J98" i="1" s="1"/>
  <c r="K89" i="1"/>
  <c r="K98" i="1" s="1"/>
  <c r="L89" i="1"/>
  <c r="L98" i="1" s="1"/>
  <c r="M89" i="1"/>
  <c r="M98" i="1" s="1"/>
  <c r="E90" i="1"/>
  <c r="E99" i="1" s="1"/>
  <c r="F90" i="1"/>
  <c r="F99" i="1" s="1"/>
  <c r="G90" i="1"/>
  <c r="G99" i="1" s="1"/>
  <c r="H90" i="1"/>
  <c r="H99" i="1" s="1"/>
  <c r="I90" i="1"/>
  <c r="I99" i="1" s="1"/>
  <c r="J90" i="1"/>
  <c r="J99" i="1" s="1"/>
  <c r="K90" i="1"/>
  <c r="K99" i="1" s="1"/>
  <c r="L90" i="1"/>
  <c r="L99" i="1" s="1"/>
  <c r="M90" i="1"/>
  <c r="M99" i="1" s="1"/>
  <c r="E91" i="1"/>
  <c r="E100" i="1" s="1"/>
  <c r="F91" i="1"/>
  <c r="F100" i="1" s="1"/>
  <c r="G91" i="1"/>
  <c r="G100" i="1" s="1"/>
  <c r="H91" i="1"/>
  <c r="H100" i="1" s="1"/>
  <c r="I91" i="1"/>
  <c r="I100" i="1" s="1"/>
  <c r="J91" i="1"/>
  <c r="J100" i="1" s="1"/>
  <c r="K91" i="1"/>
  <c r="K100" i="1" s="1"/>
  <c r="L91" i="1"/>
  <c r="L100" i="1" s="1"/>
  <c r="E92" i="1"/>
  <c r="F92" i="1"/>
  <c r="G92" i="1"/>
  <c r="H92" i="1"/>
  <c r="I92" i="1"/>
  <c r="J92" i="1"/>
  <c r="K92" i="1"/>
  <c r="L92" i="1"/>
  <c r="M92" i="1"/>
  <c r="E94" i="1"/>
  <c r="F94" i="1"/>
  <c r="G94" i="1"/>
  <c r="H94" i="1"/>
  <c r="I94" i="1"/>
  <c r="J94" i="1"/>
  <c r="K94" i="1"/>
  <c r="L94" i="1"/>
  <c r="M94" i="1"/>
  <c r="N94" i="1"/>
  <c r="O94" i="1"/>
  <c r="D92" i="1"/>
  <c r="D91" i="1"/>
  <c r="D100" i="1" s="1"/>
  <c r="D90" i="1"/>
  <c r="D99" i="1" s="1"/>
  <c r="D89" i="1"/>
  <c r="D98" i="1" s="1"/>
  <c r="D94" i="1"/>
  <c r="L95" i="1" l="1"/>
  <c r="H95" i="1"/>
  <c r="AB88" i="3"/>
  <c r="T88" i="3"/>
  <c r="Z88" i="3"/>
  <c r="AE86" i="3"/>
  <c r="AE96" i="3" s="1"/>
  <c r="AE82" i="3"/>
  <c r="AA88" i="3"/>
  <c r="AD88" i="3"/>
  <c r="V88" i="3"/>
  <c r="AC88" i="3"/>
  <c r="U88" i="3"/>
  <c r="W88" i="3"/>
  <c r="X88" i="3"/>
  <c r="AE83" i="3"/>
  <c r="AE93" i="3" s="1"/>
  <c r="S93" i="3"/>
  <c r="S88" i="3"/>
  <c r="AE81" i="3"/>
  <c r="Y88" i="3"/>
  <c r="P94" i="1"/>
  <c r="I95" i="1"/>
  <c r="E95" i="1"/>
  <c r="K95" i="1"/>
  <c r="G95" i="1"/>
  <c r="J95" i="1"/>
  <c r="F95" i="1"/>
  <c r="D95" i="1"/>
  <c r="AE94" i="1"/>
  <c r="T94" i="1"/>
  <c r="U94" i="1"/>
  <c r="V94" i="1"/>
  <c r="W94" i="1"/>
  <c r="X94" i="1"/>
  <c r="Y94" i="1"/>
  <c r="Z94" i="1"/>
  <c r="AA94" i="1"/>
  <c r="AB94" i="1"/>
  <c r="AC94" i="1"/>
  <c r="AD94" i="1"/>
  <c r="S94" i="1"/>
  <c r="AE92" i="3" l="1"/>
  <c r="AF83" i="3"/>
  <c r="AE91" i="3"/>
  <c r="AF81" i="3"/>
  <c r="AE88" i="3"/>
  <c r="AE53" i="1"/>
  <c r="AE54" i="1"/>
  <c r="AF88" i="3" l="1"/>
  <c r="P85" i="1"/>
  <c r="P86" i="1"/>
  <c r="P84" i="1"/>
  <c r="G76" i="1" l="1"/>
  <c r="H76" i="1"/>
  <c r="I76" i="1"/>
  <c r="J76" i="1"/>
  <c r="K76" i="1"/>
  <c r="L76" i="1"/>
  <c r="M76" i="1"/>
  <c r="F70" i="1"/>
  <c r="P74" i="1"/>
  <c r="P75" i="1"/>
  <c r="P77" i="1"/>
  <c r="P78" i="1"/>
  <c r="P80" i="1"/>
  <c r="P81" i="1"/>
  <c r="E76" i="1"/>
  <c r="F76" i="1"/>
  <c r="N76" i="1"/>
  <c r="N92" i="1" s="1"/>
  <c r="N101" i="1" s="1"/>
  <c r="O76" i="1"/>
  <c r="O92" i="1" s="1"/>
  <c r="O101" i="1" s="1"/>
  <c r="E79" i="1"/>
  <c r="F79" i="1"/>
  <c r="G79" i="1"/>
  <c r="H79" i="1"/>
  <c r="I79" i="1"/>
  <c r="J79" i="1"/>
  <c r="K79" i="1"/>
  <c r="L79" i="1"/>
  <c r="M79" i="1"/>
  <c r="N79" i="1"/>
  <c r="N93" i="1" s="1"/>
  <c r="N102" i="1" s="1"/>
  <c r="O79" i="1"/>
  <c r="O93" i="1" s="1"/>
  <c r="O102" i="1" s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P68" i="1"/>
  <c r="P69" i="1"/>
  <c r="P71" i="1"/>
  <c r="P72" i="1"/>
  <c r="E70" i="1"/>
  <c r="G70" i="1"/>
  <c r="H70" i="1"/>
  <c r="I70" i="1"/>
  <c r="J70" i="1"/>
  <c r="K70" i="1"/>
  <c r="L70" i="1"/>
  <c r="M70" i="1"/>
  <c r="M91" i="1" s="1"/>
  <c r="N70" i="1"/>
  <c r="N91" i="1" s="1"/>
  <c r="N100" i="1" s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P62" i="1"/>
  <c r="P63" i="1"/>
  <c r="P65" i="1"/>
  <c r="P66" i="1"/>
  <c r="E64" i="1"/>
  <c r="F64" i="1"/>
  <c r="G64" i="1"/>
  <c r="H64" i="1"/>
  <c r="I64" i="1"/>
  <c r="J64" i="1"/>
  <c r="K64" i="1"/>
  <c r="L64" i="1"/>
  <c r="M64" i="1"/>
  <c r="N64" i="1"/>
  <c r="N90" i="1" s="1"/>
  <c r="N99" i="1" s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P59" i="1"/>
  <c r="P60" i="1"/>
  <c r="E61" i="1"/>
  <c r="F61" i="1"/>
  <c r="G61" i="1"/>
  <c r="H61" i="1"/>
  <c r="I61" i="1"/>
  <c r="J61" i="1"/>
  <c r="K61" i="1"/>
  <c r="L61" i="1"/>
  <c r="M61" i="1"/>
  <c r="N61" i="1"/>
  <c r="O61" i="1"/>
  <c r="D61" i="1"/>
  <c r="P57" i="1"/>
  <c r="P56" i="1"/>
  <c r="E58" i="1"/>
  <c r="F58" i="1"/>
  <c r="G58" i="1"/>
  <c r="H58" i="1"/>
  <c r="I58" i="1"/>
  <c r="J58" i="1"/>
  <c r="K58" i="1"/>
  <c r="L58" i="1"/>
  <c r="M58" i="1"/>
  <c r="N58" i="1"/>
  <c r="O58" i="1"/>
  <c r="D58" i="1"/>
  <c r="O90" i="1" l="1"/>
  <c r="O99" i="1" s="1"/>
  <c r="O89" i="1"/>
  <c r="O98" i="1" s="1"/>
  <c r="M100" i="1"/>
  <c r="M95" i="1"/>
  <c r="P92" i="1"/>
  <c r="O91" i="1"/>
  <c r="P90" i="1"/>
  <c r="N89" i="1"/>
  <c r="P82" i="1"/>
  <c r="P79" i="1"/>
  <c r="P76" i="1"/>
  <c r="P73" i="1"/>
  <c r="P70" i="1"/>
  <c r="P67" i="1"/>
  <c r="P64" i="1"/>
  <c r="P61" i="1"/>
  <c r="P58" i="1"/>
  <c r="E53" i="1"/>
  <c r="F53" i="1"/>
  <c r="G53" i="1"/>
  <c r="H53" i="1"/>
  <c r="I53" i="1"/>
  <c r="J53" i="1"/>
  <c r="K53" i="1"/>
  <c r="L53" i="1"/>
  <c r="M53" i="1"/>
  <c r="N53" i="1"/>
  <c r="O53" i="1"/>
  <c r="E48" i="1"/>
  <c r="F48" i="1"/>
  <c r="G48" i="1"/>
  <c r="H48" i="1"/>
  <c r="I48" i="1"/>
  <c r="J48" i="1"/>
  <c r="K48" i="1"/>
  <c r="L48" i="1"/>
  <c r="M48" i="1"/>
  <c r="N48" i="1"/>
  <c r="O48" i="1"/>
  <c r="E43" i="1"/>
  <c r="F43" i="1"/>
  <c r="G43" i="1"/>
  <c r="H43" i="1"/>
  <c r="I43" i="1"/>
  <c r="J43" i="1"/>
  <c r="K43" i="1"/>
  <c r="L43" i="1"/>
  <c r="M43" i="1"/>
  <c r="N43" i="1"/>
  <c r="O43" i="1"/>
  <c r="E37" i="1"/>
  <c r="F37" i="1"/>
  <c r="G37" i="1"/>
  <c r="H37" i="1"/>
  <c r="I37" i="1"/>
  <c r="J37" i="1"/>
  <c r="K37" i="1"/>
  <c r="L37" i="1"/>
  <c r="M37" i="1"/>
  <c r="N37" i="1"/>
  <c r="O37" i="1"/>
  <c r="E38" i="1"/>
  <c r="F38" i="1"/>
  <c r="G38" i="1"/>
  <c r="H38" i="1"/>
  <c r="I38" i="1"/>
  <c r="J38" i="1"/>
  <c r="K38" i="1"/>
  <c r="L38" i="1"/>
  <c r="M38" i="1"/>
  <c r="N38" i="1"/>
  <c r="O38" i="1"/>
  <c r="E39" i="1"/>
  <c r="F39" i="1"/>
  <c r="G39" i="1"/>
  <c r="H39" i="1"/>
  <c r="I39" i="1"/>
  <c r="J39" i="1"/>
  <c r="K39" i="1"/>
  <c r="L39" i="1"/>
  <c r="M39" i="1"/>
  <c r="N39" i="1"/>
  <c r="O39" i="1"/>
  <c r="E40" i="1"/>
  <c r="F40" i="1"/>
  <c r="G40" i="1"/>
  <c r="H40" i="1"/>
  <c r="I40" i="1"/>
  <c r="J40" i="1"/>
  <c r="K40" i="1"/>
  <c r="L40" i="1"/>
  <c r="M40" i="1"/>
  <c r="N40" i="1"/>
  <c r="O40" i="1"/>
  <c r="E30" i="1"/>
  <c r="F30" i="1"/>
  <c r="G30" i="1"/>
  <c r="H30" i="1"/>
  <c r="I30" i="1"/>
  <c r="J30" i="1"/>
  <c r="K30" i="1"/>
  <c r="L30" i="1"/>
  <c r="M30" i="1"/>
  <c r="N30" i="1"/>
  <c r="O30" i="1"/>
  <c r="E31" i="1"/>
  <c r="F31" i="1"/>
  <c r="G31" i="1"/>
  <c r="H31" i="1"/>
  <c r="I31" i="1"/>
  <c r="J31" i="1"/>
  <c r="K31" i="1"/>
  <c r="L31" i="1"/>
  <c r="M31" i="1"/>
  <c r="N31" i="1"/>
  <c r="O31" i="1"/>
  <c r="E32" i="1"/>
  <c r="F32" i="1"/>
  <c r="G32" i="1"/>
  <c r="H32" i="1"/>
  <c r="I32" i="1"/>
  <c r="J32" i="1"/>
  <c r="K32" i="1"/>
  <c r="L32" i="1"/>
  <c r="M32" i="1"/>
  <c r="N32" i="1"/>
  <c r="O32" i="1"/>
  <c r="E24" i="1"/>
  <c r="F24" i="1"/>
  <c r="G24" i="1"/>
  <c r="H24" i="1"/>
  <c r="I24" i="1"/>
  <c r="J24" i="1"/>
  <c r="K24" i="1"/>
  <c r="L24" i="1"/>
  <c r="M24" i="1"/>
  <c r="N24" i="1"/>
  <c r="O24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E19" i="1"/>
  <c r="F19" i="1"/>
  <c r="G19" i="1"/>
  <c r="H19" i="1"/>
  <c r="I19" i="1"/>
  <c r="J19" i="1"/>
  <c r="K19" i="1"/>
  <c r="L19" i="1"/>
  <c r="M19" i="1"/>
  <c r="N19" i="1"/>
  <c r="O19" i="1"/>
  <c r="E20" i="1"/>
  <c r="F20" i="1"/>
  <c r="G20" i="1"/>
  <c r="H20" i="1"/>
  <c r="I20" i="1"/>
  <c r="J20" i="1"/>
  <c r="K20" i="1"/>
  <c r="L20" i="1"/>
  <c r="M20" i="1"/>
  <c r="N20" i="1"/>
  <c r="O20" i="1"/>
  <c r="D53" i="1"/>
  <c r="D48" i="1"/>
  <c r="D43" i="1"/>
  <c r="D40" i="1"/>
  <c r="D39" i="1"/>
  <c r="D38" i="1"/>
  <c r="D37" i="1"/>
  <c r="D32" i="1"/>
  <c r="D31" i="1"/>
  <c r="D30" i="1"/>
  <c r="D26" i="1"/>
  <c r="D25" i="1"/>
  <c r="D24" i="1"/>
  <c r="D20" i="1"/>
  <c r="D19" i="1"/>
  <c r="N14" i="1"/>
  <c r="O14" i="1"/>
  <c r="N15" i="1"/>
  <c r="O15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D15" i="1"/>
  <c r="D14" i="1"/>
  <c r="T44" i="1"/>
  <c r="AE14" i="1"/>
  <c r="AE15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Z59" i="1" s="1"/>
  <c r="AA60" i="1" s="1"/>
  <c r="AA8" i="1"/>
  <c r="AB8" i="1"/>
  <c r="AC8" i="1"/>
  <c r="AD8" i="1"/>
  <c r="AD59" i="1" s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U62" i="1" s="1"/>
  <c r="V63" i="1" s="1"/>
  <c r="V12" i="1"/>
  <c r="W12" i="1"/>
  <c r="X12" i="1"/>
  <c r="Y12" i="1"/>
  <c r="Y62" i="1" s="1"/>
  <c r="Z63" i="1" s="1"/>
  <c r="Z12" i="1"/>
  <c r="AA12" i="1"/>
  <c r="AB12" i="1"/>
  <c r="AC12" i="1"/>
  <c r="AC62" i="1" s="1"/>
  <c r="AD63" i="1" s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T65" i="1" s="1"/>
  <c r="U66" i="1" s="1"/>
  <c r="U17" i="1"/>
  <c r="V17" i="1"/>
  <c r="W17" i="1"/>
  <c r="X17" i="1"/>
  <c r="X65" i="1" s="1"/>
  <c r="Y66" i="1" s="1"/>
  <c r="Y17" i="1"/>
  <c r="Z17" i="1"/>
  <c r="AA17" i="1"/>
  <c r="AB17" i="1"/>
  <c r="AB65" i="1" s="1"/>
  <c r="AC66" i="1" s="1"/>
  <c r="AC17" i="1"/>
  <c r="AD17" i="1"/>
  <c r="AD65" i="1" s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W68" i="1" s="1"/>
  <c r="X69" i="1" s="1"/>
  <c r="X22" i="1"/>
  <c r="Y22" i="1"/>
  <c r="Z22" i="1"/>
  <c r="AA22" i="1"/>
  <c r="AA68" i="1" s="1"/>
  <c r="AB69" i="1" s="1"/>
  <c r="AB22" i="1"/>
  <c r="AC22" i="1"/>
  <c r="AC68" i="1" s="1"/>
  <c r="AD69" i="1" s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V71" i="1" s="1"/>
  <c r="W72" i="1" s="1"/>
  <c r="W28" i="1"/>
  <c r="X28" i="1"/>
  <c r="Y28" i="1"/>
  <c r="Z28" i="1"/>
  <c r="Z71" i="1" s="1"/>
  <c r="AA72" i="1" s="1"/>
  <c r="AA28" i="1"/>
  <c r="AB28" i="1"/>
  <c r="AC28" i="1"/>
  <c r="AD28" i="1"/>
  <c r="AD71" i="1" s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U74" i="1" s="1"/>
  <c r="V75" i="1" s="1"/>
  <c r="V34" i="1"/>
  <c r="W34" i="1"/>
  <c r="X34" i="1"/>
  <c r="Y34" i="1"/>
  <c r="Y74" i="1" s="1"/>
  <c r="Z75" i="1" s="1"/>
  <c r="Z34" i="1"/>
  <c r="AA34" i="1"/>
  <c r="AB34" i="1"/>
  <c r="AC34" i="1"/>
  <c r="AC74" i="1" s="1"/>
  <c r="AD75" i="1" s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T77" i="1" s="1"/>
  <c r="U78" i="1" s="1"/>
  <c r="U45" i="1"/>
  <c r="V45" i="1"/>
  <c r="W45" i="1"/>
  <c r="X45" i="1"/>
  <c r="X77" i="1" s="1"/>
  <c r="Y78" i="1" s="1"/>
  <c r="Y45" i="1"/>
  <c r="Z45" i="1"/>
  <c r="AA45" i="1"/>
  <c r="AB45" i="1"/>
  <c r="AB77" i="1" s="1"/>
  <c r="AC78" i="1" s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4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101" i="1" s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AB80" i="1" l="1"/>
  <c r="AC81" i="1" s="1"/>
  <c r="X80" i="1"/>
  <c r="Y81" i="1" s="1"/>
  <c r="T80" i="1"/>
  <c r="U81" i="1" s="1"/>
  <c r="AC71" i="1"/>
  <c r="AD72" i="1" s="1"/>
  <c r="Y71" i="1"/>
  <c r="Z72" i="1" s="1"/>
  <c r="U71" i="1"/>
  <c r="V72" i="1" s="1"/>
  <c r="AD68" i="1"/>
  <c r="Z68" i="1"/>
  <c r="AA69" i="1" s="1"/>
  <c r="AB62" i="1"/>
  <c r="AC63" i="1" s="1"/>
  <c r="X62" i="1"/>
  <c r="Y63" i="1" s="1"/>
  <c r="T62" i="1"/>
  <c r="U63" i="1" s="1"/>
  <c r="V59" i="1"/>
  <c r="W60" i="1" s="1"/>
  <c r="AC56" i="1"/>
  <c r="AD57" i="1" s="1"/>
  <c r="Y56" i="1"/>
  <c r="Z57" i="1" s="1"/>
  <c r="U56" i="1"/>
  <c r="V57" i="1" s="1"/>
  <c r="AD77" i="1"/>
  <c r="AC77" i="1"/>
  <c r="AD78" i="1" s="1"/>
  <c r="Z62" i="1"/>
  <c r="AA63" i="1" s="1"/>
  <c r="V62" i="1"/>
  <c r="W63" i="1" s="1"/>
  <c r="Y59" i="1"/>
  <c r="Z60" i="1" s="1"/>
  <c r="U59" i="1"/>
  <c r="V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89" i="1"/>
  <c r="P98" i="1" s="1"/>
  <c r="N98" i="1"/>
  <c r="P91" i="1"/>
  <c r="O100" i="1"/>
  <c r="O95" i="1"/>
  <c r="P93" i="1"/>
  <c r="P100" i="1"/>
  <c r="P99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R70" i="1" s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Q4" i="1"/>
  <c r="AE49" i="1"/>
  <c r="AE44" i="1"/>
  <c r="AE35" i="1"/>
  <c r="AE28" i="1"/>
  <c r="R73" i="1" s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R61" i="1" s="1"/>
  <c r="AE4" i="1"/>
  <c r="P15" i="1"/>
  <c r="P39" i="1"/>
  <c r="P40" i="1"/>
  <c r="P31" i="1"/>
  <c r="P25" i="1"/>
  <c r="P19" i="1"/>
  <c r="P14" i="1"/>
  <c r="R64" i="1" l="1"/>
  <c r="AD64" i="1" s="1"/>
  <c r="R58" i="1"/>
  <c r="X58" i="1" s="1"/>
  <c r="P95" i="1"/>
  <c r="N95" i="1"/>
  <c r="P102" i="1"/>
  <c r="R79" i="1"/>
  <c r="AD79" i="1" s="1"/>
  <c r="R76" i="1"/>
  <c r="AC76" i="1" s="1"/>
  <c r="AC92" i="1" s="1"/>
  <c r="AC101" i="1" s="1"/>
  <c r="AD73" i="1"/>
  <c r="V73" i="1"/>
  <c r="Z73" i="1"/>
  <c r="S73" i="1"/>
  <c r="W73" i="1"/>
  <c r="AA73" i="1"/>
  <c r="T73" i="1"/>
  <c r="X73" i="1"/>
  <c r="AB73" i="1"/>
  <c r="AC73" i="1"/>
  <c r="U73" i="1"/>
  <c r="Y73" i="1"/>
  <c r="V61" i="1"/>
  <c r="Z61" i="1"/>
  <c r="W61" i="1"/>
  <c r="AA61" i="1"/>
  <c r="AC61" i="1"/>
  <c r="X61" i="1"/>
  <c r="AB61" i="1"/>
  <c r="S61" i="1"/>
  <c r="Y61" i="1"/>
  <c r="U61" i="1"/>
  <c r="T61" i="1"/>
  <c r="AD61" i="1"/>
  <c r="T60" i="1"/>
  <c r="AE60" i="1" s="1"/>
  <c r="AE59" i="1"/>
  <c r="T66" i="1"/>
  <c r="AE66" i="1" s="1"/>
  <c r="AE65" i="1"/>
  <c r="R84" i="1"/>
  <c r="AC70" i="1"/>
  <c r="X70" i="1"/>
  <c r="AB70" i="1"/>
  <c r="AD70" i="1"/>
  <c r="U70" i="1"/>
  <c r="Y70" i="1"/>
  <c r="V70" i="1"/>
  <c r="Z70" i="1"/>
  <c r="S70" i="1"/>
  <c r="T70" i="1"/>
  <c r="W70" i="1"/>
  <c r="AA70" i="1"/>
  <c r="S58" i="1"/>
  <c r="Z58" i="1"/>
  <c r="AE80" i="1"/>
  <c r="T81" i="1"/>
  <c r="AE81" i="1" s="1"/>
  <c r="AC64" i="1"/>
  <c r="X64" i="1"/>
  <c r="AB64" i="1"/>
  <c r="U64" i="1"/>
  <c r="Y64" i="1"/>
  <c r="V64" i="1"/>
  <c r="S64" i="1"/>
  <c r="T64" i="1"/>
  <c r="AA64" i="1"/>
  <c r="AE56" i="1"/>
  <c r="T57" i="1"/>
  <c r="AE57" i="1" s="1"/>
  <c r="AE62" i="1"/>
  <c r="T63" i="1"/>
  <c r="AE63" i="1" s="1"/>
  <c r="AE74" i="1"/>
  <c r="T75" i="1"/>
  <c r="AE71" i="1"/>
  <c r="T72" i="1"/>
  <c r="AE72" i="1" s="1"/>
  <c r="R85" i="1"/>
  <c r="R67" i="1"/>
  <c r="AE77" i="1"/>
  <c r="T78" i="1"/>
  <c r="AE78" i="1" s="1"/>
  <c r="R82" i="1"/>
  <c r="AE75" i="1"/>
  <c r="R86" i="1"/>
  <c r="AE68" i="1"/>
  <c r="T69" i="1"/>
  <c r="AE69" i="1" s="1"/>
  <c r="Y79" i="1" l="1"/>
  <c r="U79" i="1"/>
  <c r="AC79" i="1"/>
  <c r="V76" i="1"/>
  <c r="V92" i="1" s="1"/>
  <c r="V101" i="1" s="1"/>
  <c r="V58" i="1"/>
  <c r="AB58" i="1"/>
  <c r="AA58" i="1"/>
  <c r="Y58" i="1"/>
  <c r="AC58" i="1"/>
  <c r="W58" i="1"/>
  <c r="AD58" i="1"/>
  <c r="T58" i="1"/>
  <c r="U58" i="1"/>
  <c r="T79" i="1"/>
  <c r="AA79" i="1"/>
  <c r="AB79" i="1"/>
  <c r="V79" i="1"/>
  <c r="W64" i="1"/>
  <c r="AE64" i="1" s="1"/>
  <c r="Z64" i="1"/>
  <c r="S79" i="1"/>
  <c r="Z79" i="1"/>
  <c r="X79" i="1"/>
  <c r="W79" i="1"/>
  <c r="S76" i="1"/>
  <c r="S92" i="1" s="1"/>
  <c r="T76" i="1"/>
  <c r="T92" i="1" s="1"/>
  <c r="T101" i="1" s="1"/>
  <c r="S91" i="1"/>
  <c r="AE73" i="1"/>
  <c r="Y76" i="1"/>
  <c r="Y92" i="1" s="1"/>
  <c r="Y101" i="1" s="1"/>
  <c r="AB76" i="1"/>
  <c r="AB92" i="1" s="1"/>
  <c r="AB101" i="1" s="1"/>
  <c r="AA76" i="1"/>
  <c r="AA92" i="1" s="1"/>
  <c r="AA101" i="1" s="1"/>
  <c r="U76" i="1"/>
  <c r="U92" i="1" s="1"/>
  <c r="U101" i="1" s="1"/>
  <c r="X76" i="1"/>
  <c r="X92" i="1" s="1"/>
  <c r="X101" i="1" s="1"/>
  <c r="W76" i="1"/>
  <c r="W92" i="1" s="1"/>
  <c r="W101" i="1" s="1"/>
  <c r="Z76" i="1"/>
  <c r="Z92" i="1" s="1"/>
  <c r="Z101" i="1" s="1"/>
  <c r="AD76" i="1"/>
  <c r="AD92" i="1" s="1"/>
  <c r="AD101" i="1" s="1"/>
  <c r="V82" i="1"/>
  <c r="Z82" i="1"/>
  <c r="S82" i="1"/>
  <c r="U82" i="1"/>
  <c r="W82" i="1"/>
  <c r="AA82" i="1"/>
  <c r="T82" i="1"/>
  <c r="T93" i="1" s="1"/>
  <c r="T102" i="1" s="1"/>
  <c r="Y82" i="1"/>
  <c r="Y93" i="1" s="1"/>
  <c r="Y102" i="1" s="1"/>
  <c r="AC82" i="1"/>
  <c r="X82" i="1"/>
  <c r="AB82" i="1"/>
  <c r="AD82" i="1"/>
  <c r="AD93" i="1" s="1"/>
  <c r="AD102" i="1" s="1"/>
  <c r="V85" i="1"/>
  <c r="Z85" i="1"/>
  <c r="AD85" i="1"/>
  <c r="S85" i="1"/>
  <c r="W85" i="1"/>
  <c r="AA85" i="1"/>
  <c r="U85" i="1"/>
  <c r="AC85" i="1"/>
  <c r="T85" i="1"/>
  <c r="T90" i="1" s="1"/>
  <c r="T99" i="1" s="1"/>
  <c r="X85" i="1"/>
  <c r="AB85" i="1"/>
  <c r="Y85" i="1"/>
  <c r="AE70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U89" i="1" s="1"/>
  <c r="Y84" i="1"/>
  <c r="AC84" i="1"/>
  <c r="T84" i="1"/>
  <c r="T89" i="1" s="1"/>
  <c r="V84" i="1"/>
  <c r="V89" i="1" s="1"/>
  <c r="Z84" i="1"/>
  <c r="Z89" i="1" s="1"/>
  <c r="AD84" i="1"/>
  <c r="AD89" i="1" s="1"/>
  <c r="AB84" i="1"/>
  <c r="W84" i="1"/>
  <c r="W89" i="1" s="1"/>
  <c r="AA84" i="1"/>
  <c r="AA89" i="1" s="1"/>
  <c r="S84" i="1"/>
  <c r="S89" i="1" s="1"/>
  <c r="X84" i="1"/>
  <c r="X89" i="1" s="1"/>
  <c r="W86" i="1"/>
  <c r="W91" i="1" s="1"/>
  <c r="W100" i="1" s="1"/>
  <c r="AA86" i="1"/>
  <c r="AA91" i="1" s="1"/>
  <c r="AA100" i="1" s="1"/>
  <c r="V86" i="1"/>
  <c r="V91" i="1" s="1"/>
  <c r="V100" i="1" s="1"/>
  <c r="T86" i="1"/>
  <c r="T91" i="1" s="1"/>
  <c r="T100" i="1" s="1"/>
  <c r="X86" i="1"/>
  <c r="X91" i="1" s="1"/>
  <c r="X100" i="1" s="1"/>
  <c r="AB86" i="1"/>
  <c r="AB91" i="1" s="1"/>
  <c r="AB100" i="1" s="1"/>
  <c r="S86" i="1"/>
  <c r="Z86" i="1"/>
  <c r="Z91" i="1" s="1"/>
  <c r="Z100" i="1" s="1"/>
  <c r="U86" i="1"/>
  <c r="U91" i="1" s="1"/>
  <c r="U100" i="1" s="1"/>
  <c r="Y86" i="1"/>
  <c r="Y91" i="1" s="1"/>
  <c r="Y100" i="1" s="1"/>
  <c r="AC86" i="1"/>
  <c r="AC91" i="1" s="1"/>
  <c r="AC100" i="1" s="1"/>
  <c r="AD86" i="1"/>
  <c r="AD91" i="1" s="1"/>
  <c r="AD100" i="1" s="1"/>
  <c r="AE61" i="1"/>
  <c r="V93" i="1" l="1"/>
  <c r="V102" i="1" s="1"/>
  <c r="U93" i="1"/>
  <c r="U102" i="1" s="1"/>
  <c r="AC93" i="1"/>
  <c r="AC102" i="1" s="1"/>
  <c r="AB89" i="1"/>
  <c r="AB98" i="1" s="1"/>
  <c r="AE58" i="1"/>
  <c r="AC89" i="1"/>
  <c r="Y89" i="1"/>
  <c r="AE89" i="1" s="1"/>
  <c r="AF89" i="1" s="1"/>
  <c r="AA93" i="1"/>
  <c r="AA102" i="1" s="1"/>
  <c r="AB93" i="1"/>
  <c r="AB102" i="1" s="1"/>
  <c r="S93" i="1"/>
  <c r="S102" i="1" s="1"/>
  <c r="Z93" i="1"/>
  <c r="Z102" i="1" s="1"/>
  <c r="U90" i="1"/>
  <c r="U99" i="1" s="1"/>
  <c r="X90" i="1"/>
  <c r="X99" i="1" s="1"/>
  <c r="Z90" i="1"/>
  <c r="Z99" i="1" s="1"/>
  <c r="AD90" i="1"/>
  <c r="AD99" i="1" s="1"/>
  <c r="W93" i="1"/>
  <c r="W102" i="1" s="1"/>
  <c r="X93" i="1"/>
  <c r="X102" i="1" s="1"/>
  <c r="AE79" i="1"/>
  <c r="S101" i="1"/>
  <c r="AE92" i="1"/>
  <c r="AE76" i="1"/>
  <c r="S100" i="1"/>
  <c r="AE91" i="1"/>
  <c r="AE100" i="1" s="1"/>
  <c r="AB90" i="1"/>
  <c r="AB99" i="1" s="1"/>
  <c r="AA90" i="1"/>
  <c r="AA99" i="1" s="1"/>
  <c r="W90" i="1"/>
  <c r="W99" i="1" s="1"/>
  <c r="V90" i="1"/>
  <c r="V99" i="1" s="1"/>
  <c r="Y90" i="1"/>
  <c r="Y99" i="1" s="1"/>
  <c r="AC90" i="1"/>
  <c r="AC99" i="1" s="1"/>
  <c r="S90" i="1"/>
  <c r="S99" i="1" s="1"/>
  <c r="W98" i="1"/>
  <c r="V98" i="1"/>
  <c r="U98" i="1"/>
  <c r="X98" i="1"/>
  <c r="T98" i="1"/>
  <c r="T95" i="1"/>
  <c r="S98" i="1"/>
  <c r="AD98" i="1"/>
  <c r="AC98" i="1"/>
  <c r="Z98" i="1"/>
  <c r="AA98" i="1"/>
  <c r="AE86" i="1"/>
  <c r="AE84" i="1"/>
  <c r="AE82" i="1"/>
  <c r="AE85" i="1"/>
  <c r="AE67" i="1"/>
  <c r="Y98" i="1" l="1"/>
  <c r="Z95" i="1"/>
  <c r="AE101" i="1"/>
  <c r="AF93" i="1"/>
  <c r="U95" i="1"/>
  <c r="Y95" i="1"/>
  <c r="AB95" i="1"/>
  <c r="AD95" i="1"/>
  <c r="AE90" i="1"/>
  <c r="AA95" i="1"/>
  <c r="AC95" i="1"/>
  <c r="X95" i="1"/>
  <c r="AE93" i="1"/>
  <c r="AE102" i="1" s="1"/>
  <c r="W95" i="1"/>
  <c r="S95" i="1"/>
  <c r="V95" i="1"/>
  <c r="AE98" i="1"/>
  <c r="AE99" i="1" l="1"/>
  <c r="AF91" i="1"/>
  <c r="AF95" i="1" s="1"/>
  <c r="AE95" i="1"/>
  <c r="P12" i="4"/>
  <c r="Q12" i="4" s="1"/>
  <c r="R70" i="4" s="1"/>
  <c r="AE12" i="4"/>
  <c r="AC70" i="4" l="1"/>
  <c r="T70" i="4"/>
  <c r="Y70" i="4"/>
  <c r="AB70" i="4"/>
  <c r="S70" i="4"/>
  <c r="AD70" i="4"/>
  <c r="Z70" i="4"/>
  <c r="X70" i="4"/>
  <c r="AA70" i="4"/>
  <c r="V70" i="4"/>
  <c r="U70" i="4"/>
  <c r="W70" i="4"/>
  <c r="R55" i="4"/>
  <c r="Z55" i="4" l="1"/>
  <c r="Z75" i="4" s="1"/>
  <c r="AD55" i="4"/>
  <c r="AD75" i="4" s="1"/>
  <c r="AC55" i="4"/>
  <c r="AC75" i="4" s="1"/>
  <c r="X55" i="4"/>
  <c r="X75" i="4" s="1"/>
  <c r="AA55" i="4"/>
  <c r="AA75" i="4" s="1"/>
  <c r="U55" i="4"/>
  <c r="U75" i="4" s="1"/>
  <c r="T55" i="4"/>
  <c r="T75" i="4" s="1"/>
  <c r="V55" i="4"/>
  <c r="V75" i="4" s="1"/>
  <c r="Y55" i="4"/>
  <c r="Y75" i="4" s="1"/>
  <c r="AB55" i="4"/>
  <c r="AB75" i="4" s="1"/>
  <c r="S55" i="4"/>
  <c r="S75" i="4" s="1"/>
  <c r="W55" i="4"/>
  <c r="W75" i="4" s="1"/>
  <c r="AE70" i="4"/>
  <c r="AD86" i="4" l="1"/>
  <c r="AD80" i="4"/>
  <c r="AC86" i="4"/>
  <c r="AC80" i="4"/>
  <c r="U86" i="4"/>
  <c r="U80" i="4"/>
  <c r="AA86" i="4"/>
  <c r="AA80" i="4"/>
  <c r="Z86" i="4"/>
  <c r="Z80" i="4"/>
  <c r="W86" i="4"/>
  <c r="W80" i="4"/>
  <c r="V86" i="4"/>
  <c r="V80" i="4"/>
  <c r="X86" i="4"/>
  <c r="X80" i="4"/>
  <c r="AE55" i="4"/>
  <c r="T86" i="4"/>
  <c r="T80" i="4"/>
  <c r="AB86" i="4"/>
  <c r="AB80" i="4"/>
  <c r="Y86" i="4"/>
  <c r="Y80" i="4"/>
  <c r="AE75" i="4" l="1"/>
  <c r="AF76" i="4" s="1"/>
  <c r="AF80" i="4" s="1"/>
  <c r="S80" i="4"/>
  <c r="S86" i="4"/>
  <c r="AE86" i="4" l="1"/>
  <c r="AE80" i="4"/>
</calcChain>
</file>

<file path=xl/comments1.xml><?xml version="1.0" encoding="utf-8"?>
<comments xmlns="http://schemas.openxmlformats.org/spreadsheetml/2006/main">
  <authors>
    <author>Author</author>
  </authors>
  <commentList>
    <comment ref="AD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manual adjustment to normalize for bill to be reflected in January revenue</t>
        </r>
      </text>
    </comment>
    <comment ref="AD3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manual adjustment to normalize for bill to be reflected in January revenue</t>
        </r>
      </text>
    </comment>
    <comment ref="AD3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manual adjustment to normalize for bill to be reflected in January revenue</t>
        </r>
      </text>
    </comment>
  </commentList>
</comments>
</file>

<file path=xl/sharedStrings.xml><?xml version="1.0" encoding="utf-8"?>
<sst xmlns="http://schemas.openxmlformats.org/spreadsheetml/2006/main" count="749" uniqueCount="119">
  <si>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</si>
  <si>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</si>
  <si>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</si>
  <si>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</si>
  <si>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</si>
  <si>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</si>
  <si>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</si>
  <si>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</si>
  <si>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</si>
  <si>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</si>
  <si>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</si>
  <si>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</si>
  <si>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</si>
  <si>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</si>
  <si>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</si>
  <si>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</si>
  <si>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</si>
  <si>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</si>
  <si>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</si>
  <si>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</si>
  <si>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</si>
  <si>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</si>
  <si>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</si>
  <si>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</si>
  <si>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</si>
  <si>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</si>
  <si>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</si>
  <si>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</si>
  <si>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</si>
  <si>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</si>
  <si>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</si>
  <si>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</si>
  <si>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</si>
  <si>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</si>
  <si>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</si>
  <si>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</si>
  <si>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</si>
  <si>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</si>
  <si>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</si>
  <si>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</si>
  <si>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</si>
  <si>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</si>
  <si>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</si>
  <si>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</si>
  <si>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</si>
  <si>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</si>
  <si>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</si>
  <si>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</si>
  <si>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</si>
  <si>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</si>
  <si>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</si>
  <si>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</si>
  <si>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</si>
  <si>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</si>
  <si>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</si>
  <si>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</si>
  <si>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</si>
  <si>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2016 Data needs update</t>
  </si>
  <si>
    <t>ID Electric Normalized Revenue Calculation</t>
  </si>
  <si>
    <t>Sch 25P</t>
  </si>
  <si>
    <t>Schedule 25P</t>
  </si>
  <si>
    <t>Schedule 31/32</t>
  </si>
  <si>
    <t>Block 3 Demand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</si>
  <si>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</si>
  <si>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</si>
  <si>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</si>
  <si>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</si>
  <si>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</si>
  <si>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</si>
  <si>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</si>
  <si>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</si>
  <si>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</si>
  <si>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</si>
  <si>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</si>
  <si>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</si>
  <si>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</si>
  <si>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</si>
  <si>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</si>
  <si>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</si>
  <si>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</si>
  <si>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</si>
  <si>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</si>
  <si>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</si>
  <si>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</si>
  <si>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</si>
  <si>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</si>
  <si>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</si>
  <si>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</si>
  <si>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</si>
  <si>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</si>
  <si>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</si>
  <si>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ID Natural Gas Normalized Revenue Calculation</t>
  </si>
  <si>
    <t>Sch 159</t>
  </si>
  <si>
    <t>OR Natural Gas Normalized Revenue Calculation</t>
  </si>
  <si>
    <t>Sch 410</t>
  </si>
  <si>
    <t>Sch 420</t>
  </si>
  <si>
    <t>Sch 424</t>
  </si>
  <si>
    <t>Sch 440</t>
  </si>
  <si>
    <t>Sch 444</t>
  </si>
  <si>
    <t>Sch 456</t>
  </si>
  <si>
    <t>Sch 447</t>
  </si>
  <si>
    <t>Sch 447B</t>
  </si>
  <si>
    <t>Sch 447R</t>
  </si>
  <si>
    <t>Sch 447W</t>
  </si>
  <si>
    <t>Schedule 410</t>
  </si>
  <si>
    <t>Schedule 420</t>
  </si>
  <si>
    <t>Schedule 424</t>
  </si>
  <si>
    <t>Schedule 440</t>
  </si>
  <si>
    <t>Schedule 444</t>
  </si>
  <si>
    <t>Schedule 456</t>
  </si>
  <si>
    <t>Special Contracts Sch 447</t>
  </si>
  <si>
    <t>Res</t>
  </si>
  <si>
    <t>Non-Res</t>
  </si>
  <si>
    <t>Excluded</t>
  </si>
  <si>
    <t>Schedule 112/122/132 Exclusion</t>
  </si>
  <si>
    <t>December billing determinants</t>
  </si>
  <si>
    <t>from January revenues at 1/19/2018</t>
  </si>
  <si>
    <t>6/1/2018 billing rate</t>
  </si>
  <si>
    <t>7/1/2018 billing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</si>
</sst>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45454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65" fontId="0" fillId="2" borderId="0" xfId="0" applyNumberFormat="1" applyFill="1" applyAlignment="1">
      <alignment horizontal="right"/>
    </xf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3" fontId="3" fillId="0" borderId="2" xfId="0" applyNumberFormat="1" applyFont="1" applyFill="1" applyBorder="1" applyAlignment="1">
      <alignment horizontal="right" vertical="top"/>
    </xf>
    <xf numFmtId="0" fontId="0" fillId="0" borderId="2" xfId="0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0" fontId="0" fillId="0" borderId="0" xfId="0" applyNumberFormat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44" fontId="0" fillId="0" borderId="0" xfId="2" applyFont="1"/>
    <xf numFmtId="3" fontId="0" fillId="0" borderId="0" xfId="0" applyNumberFormat="1"/>
    <xf numFmtId="0" fontId="0" fillId="2" borderId="0" xfId="0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zoomScaleNormal="100" workbookViewId="0">
      <pane xSplit="2" ySplit="2" topLeftCell="X75" activePane="bottomRight" state="frozen"/>
      <selection pane="topRight" activeCell="C1" sqref="C1"/>
      <selection pane="bottomLeft" activeCell="A3" sqref="A3"/>
      <selection pane="bottomRight" activeCell="AF106" sqref="AF106"/>
    </sheetView>
  </sheetViews>
  <sheetFormatPr defaultRowHeight="14.4" x14ac:dyDescent="0.3"/>
  <cols>
    <col min="1" max="1" width="5.8867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3.33203125" customWidth="1"/>
    <col min="18" max="18" width="10.88671875" style="12" customWidth="1"/>
    <col min="19" max="20" width="12.109375" customWidth="1"/>
    <col min="21" max="21" width="12.5546875" customWidth="1"/>
    <col min="22" max="22" width="12.109375" customWidth="1"/>
    <col min="23" max="23" width="12" customWidth="1"/>
    <col min="24" max="24" width="12.44140625" customWidth="1"/>
    <col min="25" max="25" width="12" customWidth="1"/>
    <col min="26" max="26" width="12.109375" customWidth="1"/>
    <col min="27" max="27" width="12.5546875" customWidth="1"/>
    <col min="28" max="28" width="11.88671875" customWidth="1"/>
    <col min="29" max="29" width="11.88671875" style="18" customWidth="1"/>
    <col min="30" max="30" width="12.33203125" style="18" customWidth="1"/>
    <col min="31" max="31" width="13.5546875" customWidth="1"/>
    <col min="32" max="32" width="18" customWidth="1"/>
    <col min="33" max="33" width="8.88671875" hidden="1" customWidth="1"/>
  </cols>
  <sheetData>
    <row r="1" spans="1:31" x14ac:dyDescent="0.3">
      <c r="A1" t="s">
        <v>0</v>
      </c>
      <c r="R1" s="37" t="s">
        <v>118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34</v>
      </c>
      <c r="B3" t="s">
        <v>14</v>
      </c>
      <c r="D3" s="5">
        <v>211633</v>
      </c>
      <c r="E3" s="5">
        <v>211566</v>
      </c>
      <c r="F3" s="5">
        <v>212133</v>
      </c>
      <c r="G3" s="5">
        <v>211543</v>
      </c>
      <c r="H3" s="5">
        <v>210785</v>
      </c>
      <c r="I3" s="5">
        <v>211361</v>
      </c>
      <c r="J3" s="5">
        <v>210972</v>
      </c>
      <c r="K3" s="5">
        <v>211954</v>
      </c>
      <c r="L3" s="5">
        <v>211893</v>
      </c>
      <c r="M3" s="5">
        <v>213359</v>
      </c>
      <c r="N3" s="10">
        <v>213407</v>
      </c>
      <c r="O3" s="10">
        <v>213762</v>
      </c>
      <c r="P3" s="2">
        <f>SUM(D3:O3)</f>
        <v>2544368</v>
      </c>
      <c r="Q3" s="2">
        <v>600</v>
      </c>
      <c r="R3" s="13">
        <v>9</v>
      </c>
      <c r="S3" s="3">
        <f t="shared" ref="S3:S13" si="0">$R3*D3</f>
        <v>1904697</v>
      </c>
      <c r="T3" s="3">
        <f t="shared" ref="T3:T13" si="1">$R3*E3</f>
        <v>1904094</v>
      </c>
      <c r="U3" s="3">
        <f t="shared" ref="U3:U13" si="2">$R3*F3</f>
        <v>1909197</v>
      </c>
      <c r="V3" s="3">
        <f t="shared" ref="V3:V13" si="3">$R3*G3</f>
        <v>1903887</v>
      </c>
      <c r="W3" s="3">
        <f t="shared" ref="W3:W13" si="4">$R3*H3</f>
        <v>1897065</v>
      </c>
      <c r="X3" s="3">
        <f t="shared" ref="X3:X13" si="5">$R3*I3</f>
        <v>1902249</v>
      </c>
      <c r="Y3" s="3">
        <f t="shared" ref="Y3:Y13" si="6">$R3*J3</f>
        <v>1898748</v>
      </c>
      <c r="Z3" s="3">
        <f t="shared" ref="Z3:Z13" si="7">$R3*K3</f>
        <v>1907586</v>
      </c>
      <c r="AA3" s="3">
        <f t="shared" ref="AA3:AA13" si="8">$R3*L3</f>
        <v>1907037</v>
      </c>
      <c r="AB3" s="3">
        <f t="shared" ref="AB3:AB13" si="9">$R3*M3</f>
        <v>1920231</v>
      </c>
      <c r="AC3" s="24">
        <f t="shared" ref="AC3:AC13" si="10">$R3*N3</f>
        <v>1920663</v>
      </c>
      <c r="AD3" s="24">
        <f t="shared" ref="AD3:AD13" si="11">$R3*O3</f>
        <v>1923858</v>
      </c>
      <c r="AE3" s="3">
        <f>SUM(S3:AD3)</f>
        <v>22899312</v>
      </c>
    </row>
    <row r="4" spans="1:31" x14ac:dyDescent="0.3">
      <c r="B4" t="s">
        <v>15</v>
      </c>
      <c r="D4" s="5">
        <v>152324597.99961999</v>
      </c>
      <c r="E4" s="5">
        <v>146323516.99935001</v>
      </c>
      <c r="F4" s="5">
        <v>139511842.66516</v>
      </c>
      <c r="G4" s="5">
        <v>133204711.00345001</v>
      </c>
      <c r="H4" s="5">
        <v>125669387.77688</v>
      </c>
      <c r="I4" s="5">
        <v>122234475.52643999</v>
      </c>
      <c r="J4" s="5">
        <v>126918922.21333</v>
      </c>
      <c r="K4" s="5">
        <v>134495319.38009</v>
      </c>
      <c r="L4" s="5">
        <v>131794421.43025</v>
      </c>
      <c r="M4" s="5">
        <v>124618186.21016</v>
      </c>
      <c r="N4" s="10">
        <v>135288462.48320001</v>
      </c>
      <c r="O4" s="10">
        <v>145974927.11987999</v>
      </c>
      <c r="P4" s="2">
        <f t="shared" ref="P4:P68" si="12">SUM(D4:O4)</f>
        <v>1618358770.8078101</v>
      </c>
      <c r="Q4" s="2">
        <f>IF(P4-P3*Q3&gt;0,P4-P3*Q3,0)</f>
        <v>91737970.807810068</v>
      </c>
      <c r="R4" s="14">
        <v>8.1699999999999995E-2</v>
      </c>
      <c r="S4" s="3">
        <f t="shared" si="0"/>
        <v>12444919.656568952</v>
      </c>
      <c r="T4" s="3">
        <f t="shared" si="1"/>
        <v>11954631.338846896</v>
      </c>
      <c r="U4" s="3">
        <f t="shared" si="2"/>
        <v>11398117.545743572</v>
      </c>
      <c r="V4" s="3">
        <f t="shared" si="3"/>
        <v>10882824.888981866</v>
      </c>
      <c r="W4" s="3">
        <f t="shared" si="4"/>
        <v>10267188.981371095</v>
      </c>
      <c r="X4" s="3">
        <f t="shared" si="5"/>
        <v>9986556.6505101472</v>
      </c>
      <c r="Y4" s="3">
        <f t="shared" si="6"/>
        <v>10369275.94482906</v>
      </c>
      <c r="Z4" s="3">
        <f t="shared" si="7"/>
        <v>10988267.593353352</v>
      </c>
      <c r="AA4" s="3">
        <f t="shared" si="8"/>
        <v>10767604.230851425</v>
      </c>
      <c r="AB4" s="3">
        <f t="shared" si="9"/>
        <v>10181305.813370071</v>
      </c>
      <c r="AC4" s="24">
        <f t="shared" si="10"/>
        <v>11053067.38487744</v>
      </c>
      <c r="AD4" s="24">
        <f t="shared" si="11"/>
        <v>11926151.545694195</v>
      </c>
      <c r="AE4" s="3">
        <f t="shared" ref="AE4:AE54" si="13">SUM(S4:AD4)</f>
        <v>132219911.57499808</v>
      </c>
    </row>
    <row r="5" spans="1:31" x14ac:dyDescent="0.3">
      <c r="B5" t="s">
        <v>16</v>
      </c>
      <c r="D5" s="5">
        <v>79922822.000379995</v>
      </c>
      <c r="E5" s="5">
        <v>65280124.000650004</v>
      </c>
      <c r="F5" s="5">
        <v>51325053.33484</v>
      </c>
      <c r="G5" s="5">
        <v>39200233.666550003</v>
      </c>
      <c r="H5" s="5">
        <v>28407041.33312</v>
      </c>
      <c r="I5" s="5">
        <v>24943005.333560001</v>
      </c>
      <c r="J5" s="5">
        <v>34847602.666670002</v>
      </c>
      <c r="K5" s="5">
        <v>47227187.999909997</v>
      </c>
      <c r="L5" s="5">
        <v>38949084.999750003</v>
      </c>
      <c r="M5" s="5">
        <v>25407570.639839999</v>
      </c>
      <c r="N5" s="10">
        <v>39569472.618799999</v>
      </c>
      <c r="O5" s="10">
        <v>58821158.540119998</v>
      </c>
      <c r="P5" s="2">
        <f t="shared" si="12"/>
        <v>533900357.13419002</v>
      </c>
      <c r="Q5" s="2">
        <f>IF(P4-P3*Q3&lt;0,P5+P4-P3*Q3,P5)</f>
        <v>533900357.13419002</v>
      </c>
      <c r="R5" s="14">
        <v>9.4020000000000006E-2</v>
      </c>
      <c r="S5" s="3">
        <f t="shared" si="0"/>
        <v>7514343.7244757274</v>
      </c>
      <c r="T5" s="3">
        <f t="shared" si="1"/>
        <v>6137637.2585411137</v>
      </c>
      <c r="U5" s="3">
        <f t="shared" si="2"/>
        <v>4825581.5145416567</v>
      </c>
      <c r="V5" s="3">
        <f t="shared" si="3"/>
        <v>3685605.9693290316</v>
      </c>
      <c r="W5" s="3">
        <f t="shared" si="4"/>
        <v>2670830.0261399425</v>
      </c>
      <c r="X5" s="3">
        <f t="shared" si="5"/>
        <v>2345141.3614613116</v>
      </c>
      <c r="Y5" s="3">
        <f t="shared" si="6"/>
        <v>3276371.6027203137</v>
      </c>
      <c r="Z5" s="3">
        <f t="shared" si="7"/>
        <v>4440300.2157515381</v>
      </c>
      <c r="AA5" s="3">
        <f t="shared" si="8"/>
        <v>3661992.9716764954</v>
      </c>
      <c r="AB5" s="3">
        <f t="shared" si="9"/>
        <v>2388819.7915577567</v>
      </c>
      <c r="AC5" s="24">
        <f t="shared" si="10"/>
        <v>3720321.8156195763</v>
      </c>
      <c r="AD5" s="24">
        <f t="shared" si="11"/>
        <v>5530365.3259420823</v>
      </c>
      <c r="AE5" s="3">
        <f t="shared" si="13"/>
        <v>50197311.577756546</v>
      </c>
    </row>
    <row r="6" spans="1:31" x14ac:dyDescent="0.3">
      <c r="B6" t="s">
        <v>17</v>
      </c>
      <c r="D6" s="5">
        <v>94928521</v>
      </c>
      <c r="E6" s="5">
        <v>62838396</v>
      </c>
      <c r="F6" s="5">
        <v>36328192</v>
      </c>
      <c r="G6" s="5">
        <v>18626990</v>
      </c>
      <c r="H6" s="5">
        <v>9820034</v>
      </c>
      <c r="I6" s="5">
        <v>7467085</v>
      </c>
      <c r="J6" s="5">
        <v>12365407</v>
      </c>
      <c r="K6" s="5">
        <v>20019308</v>
      </c>
      <c r="L6" s="5">
        <v>14550099</v>
      </c>
      <c r="M6" s="5">
        <v>7712936.3770000003</v>
      </c>
      <c r="N6" s="10">
        <v>18155129.447000001</v>
      </c>
      <c r="O6" s="10">
        <v>40947857.436999999</v>
      </c>
      <c r="P6" s="2">
        <f t="shared" si="12"/>
        <v>343759955.26099998</v>
      </c>
      <c r="Q6" s="2">
        <f>P6</f>
        <v>343759955.26099998</v>
      </c>
      <c r="R6" s="14">
        <v>0.10913</v>
      </c>
      <c r="S6" s="3">
        <f t="shared" si="0"/>
        <v>10359549.49673</v>
      </c>
      <c r="T6" s="3">
        <f t="shared" si="1"/>
        <v>6857554.1554800002</v>
      </c>
      <c r="U6" s="3">
        <f t="shared" si="2"/>
        <v>3964495.59296</v>
      </c>
      <c r="V6" s="3">
        <f t="shared" si="3"/>
        <v>2032763.4187</v>
      </c>
      <c r="W6" s="3">
        <f t="shared" si="4"/>
        <v>1071660.31042</v>
      </c>
      <c r="X6" s="3">
        <f t="shared" si="5"/>
        <v>814882.98605000007</v>
      </c>
      <c r="Y6" s="3">
        <f t="shared" si="6"/>
        <v>1349436.8659100002</v>
      </c>
      <c r="Z6" s="3">
        <f t="shared" si="7"/>
        <v>2184707.0820400002</v>
      </c>
      <c r="AA6" s="3">
        <f t="shared" si="8"/>
        <v>1587852.3038700002</v>
      </c>
      <c r="AB6" s="3">
        <f t="shared" si="9"/>
        <v>841712.74682201003</v>
      </c>
      <c r="AC6" s="24">
        <f t="shared" si="10"/>
        <v>1981269.2765511102</v>
      </c>
      <c r="AD6" s="24">
        <f t="shared" si="11"/>
        <v>4468639.6820998099</v>
      </c>
      <c r="AE6" s="3">
        <f t="shared" si="13"/>
        <v>37514523.91763293</v>
      </c>
    </row>
    <row r="7" spans="1:31" x14ac:dyDescent="0.3">
      <c r="A7" t="s">
        <v>35</v>
      </c>
      <c r="B7" t="s">
        <v>14</v>
      </c>
      <c r="D7" s="5">
        <v>501</v>
      </c>
      <c r="E7" s="5">
        <v>493</v>
      </c>
      <c r="F7" s="5">
        <v>485</v>
      </c>
      <c r="G7" s="5">
        <v>475</v>
      </c>
      <c r="H7" s="5">
        <v>473</v>
      </c>
      <c r="I7" s="5">
        <v>469</v>
      </c>
      <c r="J7" s="5">
        <v>467</v>
      </c>
      <c r="K7" s="5">
        <v>457</v>
      </c>
      <c r="L7" s="5">
        <v>446</v>
      </c>
      <c r="M7" s="5">
        <v>439</v>
      </c>
      <c r="N7" s="10">
        <v>449</v>
      </c>
      <c r="O7" s="10">
        <v>415</v>
      </c>
      <c r="P7" s="2">
        <f t="shared" si="12"/>
        <v>5569</v>
      </c>
      <c r="Q7" s="2"/>
      <c r="R7" s="13">
        <v>9</v>
      </c>
      <c r="S7" s="3">
        <f t="shared" si="0"/>
        <v>4509</v>
      </c>
      <c r="T7" s="3">
        <f t="shared" si="1"/>
        <v>4437</v>
      </c>
      <c r="U7" s="3">
        <f t="shared" si="2"/>
        <v>4365</v>
      </c>
      <c r="V7" s="3">
        <f t="shared" si="3"/>
        <v>4275</v>
      </c>
      <c r="W7" s="3">
        <f t="shared" si="4"/>
        <v>4257</v>
      </c>
      <c r="X7" s="3">
        <f t="shared" si="5"/>
        <v>4221</v>
      </c>
      <c r="Y7" s="3">
        <f t="shared" si="6"/>
        <v>4203</v>
      </c>
      <c r="Z7" s="3">
        <f t="shared" si="7"/>
        <v>4113</v>
      </c>
      <c r="AA7" s="3">
        <f t="shared" si="8"/>
        <v>4014</v>
      </c>
      <c r="AB7" s="3">
        <f t="shared" si="9"/>
        <v>3951</v>
      </c>
      <c r="AC7" s="24">
        <f t="shared" si="10"/>
        <v>4041</v>
      </c>
      <c r="AD7" s="24">
        <f t="shared" si="11"/>
        <v>3735</v>
      </c>
      <c r="AE7" s="3">
        <f t="shared" si="13"/>
        <v>50121</v>
      </c>
    </row>
    <row r="8" spans="1:31" x14ac:dyDescent="0.3">
      <c r="B8" t="s">
        <v>15</v>
      </c>
      <c r="D8" s="5">
        <v>392390.66665999999</v>
      </c>
      <c r="E8" s="5">
        <v>370937.33334000001</v>
      </c>
      <c r="F8" s="5">
        <v>357006.99998999998</v>
      </c>
      <c r="G8" s="5">
        <v>335540</v>
      </c>
      <c r="H8" s="5">
        <v>314846.66665999999</v>
      </c>
      <c r="I8" s="5">
        <v>284236</v>
      </c>
      <c r="J8" s="5">
        <v>282122</v>
      </c>
      <c r="K8" s="5">
        <v>289488</v>
      </c>
      <c r="L8" s="5">
        <v>275615</v>
      </c>
      <c r="M8" s="5">
        <v>270266.97100000002</v>
      </c>
      <c r="N8" s="10">
        <v>309761</v>
      </c>
      <c r="O8" s="10">
        <v>305803</v>
      </c>
      <c r="P8" s="2">
        <f t="shared" si="12"/>
        <v>3788013.6376499999</v>
      </c>
      <c r="Q8" s="2"/>
      <c r="R8" s="14">
        <v>5.0169999999999999E-2</v>
      </c>
      <c r="S8" s="3">
        <f t="shared" si="0"/>
        <v>19686.239746332198</v>
      </c>
      <c r="T8" s="3">
        <f t="shared" si="1"/>
        <v>18609.926013667799</v>
      </c>
      <c r="U8" s="3">
        <f t="shared" si="2"/>
        <v>17911.041189498297</v>
      </c>
      <c r="V8" s="3">
        <f t="shared" si="3"/>
        <v>16834.041799999999</v>
      </c>
      <c r="W8" s="3">
        <f t="shared" si="4"/>
        <v>15795.857266332199</v>
      </c>
      <c r="X8" s="3">
        <f t="shared" si="5"/>
        <v>14260.12012</v>
      </c>
      <c r="Y8" s="3">
        <f t="shared" si="6"/>
        <v>14154.060739999999</v>
      </c>
      <c r="Z8" s="3">
        <f t="shared" si="7"/>
        <v>14523.61296</v>
      </c>
      <c r="AA8" s="3">
        <f t="shared" si="8"/>
        <v>13827.60455</v>
      </c>
      <c r="AB8" s="3">
        <f t="shared" si="9"/>
        <v>13559.293935070002</v>
      </c>
      <c r="AC8" s="24">
        <f t="shared" si="10"/>
        <v>15540.70937</v>
      </c>
      <c r="AD8" s="24">
        <f t="shared" si="11"/>
        <v>15342.13651</v>
      </c>
      <c r="AE8" s="3">
        <f t="shared" si="13"/>
        <v>190044.64420090048</v>
      </c>
    </row>
    <row r="9" spans="1:31" x14ac:dyDescent="0.3">
      <c r="B9" t="s">
        <v>16</v>
      </c>
      <c r="D9" s="5">
        <v>255809.33334000001</v>
      </c>
      <c r="E9" s="5">
        <v>214790.66665999999</v>
      </c>
      <c r="F9" s="5">
        <v>177255.00000999999</v>
      </c>
      <c r="G9" s="5">
        <v>134998</v>
      </c>
      <c r="H9" s="5">
        <v>95574.333339999997</v>
      </c>
      <c r="I9" s="5">
        <v>55339</v>
      </c>
      <c r="J9" s="5">
        <v>60619</v>
      </c>
      <c r="K9" s="5">
        <v>69381</v>
      </c>
      <c r="L9" s="5">
        <v>66134</v>
      </c>
      <c r="M9" s="5">
        <v>59469</v>
      </c>
      <c r="N9" s="10">
        <v>116086</v>
      </c>
      <c r="O9" s="10">
        <v>151237.22399999999</v>
      </c>
      <c r="P9" s="2">
        <f t="shared" si="12"/>
        <v>1456692.5573499999</v>
      </c>
      <c r="Q9" s="2"/>
      <c r="R9" s="14">
        <v>6.2489999999999997E-2</v>
      </c>
      <c r="S9" s="3">
        <f t="shared" si="0"/>
        <v>15985.5252404166</v>
      </c>
      <c r="T9" s="3">
        <f t="shared" si="1"/>
        <v>13422.268759583398</v>
      </c>
      <c r="U9" s="3">
        <f t="shared" si="2"/>
        <v>11076.6649506249</v>
      </c>
      <c r="V9" s="3">
        <f t="shared" si="3"/>
        <v>8436.0250199999991</v>
      </c>
      <c r="W9" s="3">
        <f t="shared" si="4"/>
        <v>5972.4400904165996</v>
      </c>
      <c r="X9" s="3">
        <f t="shared" si="5"/>
        <v>3458.13411</v>
      </c>
      <c r="Y9" s="3">
        <f t="shared" si="6"/>
        <v>3788.08131</v>
      </c>
      <c r="Z9" s="3">
        <f t="shared" si="7"/>
        <v>4335.6186899999993</v>
      </c>
      <c r="AA9" s="3">
        <f t="shared" si="8"/>
        <v>4132.7136599999994</v>
      </c>
      <c r="AB9" s="3">
        <f t="shared" si="9"/>
        <v>3716.2178099999996</v>
      </c>
      <c r="AC9" s="24">
        <f t="shared" si="10"/>
        <v>7254.21414</v>
      </c>
      <c r="AD9" s="24">
        <f t="shared" si="11"/>
        <v>9450.8141277599989</v>
      </c>
      <c r="AE9" s="3">
        <f t="shared" si="13"/>
        <v>91028.717908801482</v>
      </c>
    </row>
    <row r="10" spans="1:31" x14ac:dyDescent="0.3">
      <c r="B10" t="s">
        <v>17</v>
      </c>
      <c r="D10" s="5">
        <v>380352</v>
      </c>
      <c r="E10" s="5">
        <v>237219</v>
      </c>
      <c r="F10" s="5">
        <v>142775</v>
      </c>
      <c r="G10" s="5">
        <v>77302</v>
      </c>
      <c r="H10" s="5">
        <v>29865</v>
      </c>
      <c r="I10" s="5">
        <v>11544</v>
      </c>
      <c r="J10" s="5">
        <v>19372</v>
      </c>
      <c r="K10" s="5">
        <v>25612</v>
      </c>
      <c r="L10" s="5">
        <v>18703</v>
      </c>
      <c r="M10" s="5">
        <v>15106</v>
      </c>
      <c r="N10" s="10">
        <v>63391</v>
      </c>
      <c r="O10" s="10">
        <v>125887.32399999999</v>
      </c>
      <c r="P10" s="2">
        <f t="shared" si="12"/>
        <v>1147128.324</v>
      </c>
      <c r="Q10" s="2"/>
      <c r="R10" s="14">
        <v>7.7600000000000002E-2</v>
      </c>
      <c r="S10" s="3">
        <f t="shared" si="0"/>
        <v>29515.315200000001</v>
      </c>
      <c r="T10" s="3">
        <f t="shared" si="1"/>
        <v>18408.1944</v>
      </c>
      <c r="U10" s="3">
        <f t="shared" si="2"/>
        <v>11079.34</v>
      </c>
      <c r="V10" s="3">
        <f t="shared" si="3"/>
        <v>5998.6352000000006</v>
      </c>
      <c r="W10" s="3">
        <f t="shared" si="4"/>
        <v>2317.5239999999999</v>
      </c>
      <c r="X10" s="3">
        <f t="shared" si="5"/>
        <v>895.81439999999998</v>
      </c>
      <c r="Y10" s="3">
        <f t="shared" si="6"/>
        <v>1503.2672</v>
      </c>
      <c r="Z10" s="3">
        <f t="shared" si="7"/>
        <v>1987.4912000000002</v>
      </c>
      <c r="AA10" s="3">
        <f t="shared" si="8"/>
        <v>1451.3528000000001</v>
      </c>
      <c r="AB10" s="3">
        <f t="shared" si="9"/>
        <v>1172.2256</v>
      </c>
      <c r="AC10" s="24">
        <f t="shared" si="10"/>
        <v>4919.1415999999999</v>
      </c>
      <c r="AD10" s="24">
        <f t="shared" si="11"/>
        <v>9768.8563424000004</v>
      </c>
      <c r="AE10" s="3">
        <f t="shared" si="13"/>
        <v>89017.157942400023</v>
      </c>
    </row>
    <row r="11" spans="1:31" x14ac:dyDescent="0.3">
      <c r="A11" t="s">
        <v>36</v>
      </c>
      <c r="B11" t="s">
        <v>14</v>
      </c>
      <c r="D11" s="5">
        <v>22480</v>
      </c>
      <c r="E11" s="5">
        <v>22357</v>
      </c>
      <c r="F11" s="5">
        <v>22507</v>
      </c>
      <c r="G11" s="5">
        <v>22384</v>
      </c>
      <c r="H11" s="5">
        <v>22275</v>
      </c>
      <c r="I11" s="5">
        <v>22557</v>
      </c>
      <c r="J11" s="5">
        <v>22403</v>
      </c>
      <c r="K11" s="5">
        <v>22604</v>
      </c>
      <c r="L11" s="5">
        <v>22528</v>
      </c>
      <c r="M11" s="5">
        <v>22623</v>
      </c>
      <c r="N11" s="10">
        <v>22341</v>
      </c>
      <c r="O11" s="10">
        <v>22556</v>
      </c>
      <c r="P11" s="2">
        <f t="shared" si="12"/>
        <v>269615</v>
      </c>
      <c r="Q11" s="2">
        <v>1437</v>
      </c>
      <c r="R11" s="13">
        <v>20</v>
      </c>
      <c r="S11" s="3">
        <f t="shared" si="0"/>
        <v>449600</v>
      </c>
      <c r="T11" s="3">
        <f t="shared" si="1"/>
        <v>447140</v>
      </c>
      <c r="U11" s="3">
        <f t="shared" si="2"/>
        <v>450140</v>
      </c>
      <c r="V11" s="3">
        <f t="shared" si="3"/>
        <v>447680</v>
      </c>
      <c r="W11" s="3">
        <f t="shared" si="4"/>
        <v>445500</v>
      </c>
      <c r="X11" s="3">
        <f t="shared" si="5"/>
        <v>451140</v>
      </c>
      <c r="Y11" s="3">
        <f t="shared" si="6"/>
        <v>448060</v>
      </c>
      <c r="Z11" s="3">
        <f t="shared" si="7"/>
        <v>452080</v>
      </c>
      <c r="AA11" s="3">
        <f t="shared" si="8"/>
        <v>450560</v>
      </c>
      <c r="AB11" s="3">
        <f t="shared" si="9"/>
        <v>452460</v>
      </c>
      <c r="AC11" s="24">
        <f t="shared" si="10"/>
        <v>446820</v>
      </c>
      <c r="AD11" s="24">
        <f t="shared" si="11"/>
        <v>451120</v>
      </c>
      <c r="AE11" s="3">
        <f t="shared" si="13"/>
        <v>5392300</v>
      </c>
    </row>
    <row r="12" spans="1:31" x14ac:dyDescent="0.3">
      <c r="B12" t="s">
        <v>15</v>
      </c>
      <c r="D12" s="5">
        <v>37434509.666670002</v>
      </c>
      <c r="E12" s="5">
        <v>35585431.999980003</v>
      </c>
      <c r="F12" s="5">
        <v>33451732.666609999</v>
      </c>
      <c r="G12" s="5">
        <v>31273643.333360001</v>
      </c>
      <c r="H12" s="5">
        <v>29378190.500020001</v>
      </c>
      <c r="I12" s="5">
        <v>29419323.166650001</v>
      </c>
      <c r="J12" s="5">
        <v>29742918</v>
      </c>
      <c r="K12" s="5">
        <v>31911862.666669998</v>
      </c>
      <c r="L12" s="5">
        <v>31324467.999990001</v>
      </c>
      <c r="M12" s="5">
        <v>29211199.785599999</v>
      </c>
      <c r="N12" s="10">
        <v>30980009.2212</v>
      </c>
      <c r="O12" s="10">
        <v>34041861.268339999</v>
      </c>
      <c r="P12" s="2">
        <f t="shared" si="12"/>
        <v>383755150.27508998</v>
      </c>
      <c r="Q12" s="2">
        <f>IF(P12-P11*Q11&gt;0,P12-P11*Q11,0)</f>
        <v>0</v>
      </c>
      <c r="R12" s="14">
        <v>0.1178</v>
      </c>
      <c r="S12" s="3">
        <f t="shared" si="0"/>
        <v>4409785.2387337266</v>
      </c>
      <c r="T12" s="3">
        <f t="shared" si="1"/>
        <v>4191963.8895976446</v>
      </c>
      <c r="U12" s="3">
        <f t="shared" si="2"/>
        <v>3940614.108126658</v>
      </c>
      <c r="V12" s="3">
        <f t="shared" si="3"/>
        <v>3684035.184669808</v>
      </c>
      <c r="W12" s="3">
        <f t="shared" si="4"/>
        <v>3460750.840902356</v>
      </c>
      <c r="X12" s="3">
        <f t="shared" si="5"/>
        <v>3465596.2690313701</v>
      </c>
      <c r="Y12" s="3">
        <f t="shared" si="6"/>
        <v>3503715.7404</v>
      </c>
      <c r="Z12" s="3">
        <f t="shared" si="7"/>
        <v>3759217.4221337261</v>
      </c>
      <c r="AA12" s="3">
        <f t="shared" si="8"/>
        <v>3690022.3303988222</v>
      </c>
      <c r="AB12" s="3">
        <f t="shared" si="9"/>
        <v>3441079.33474368</v>
      </c>
      <c r="AC12" s="24">
        <f t="shared" si="10"/>
        <v>3649445.0862573599</v>
      </c>
      <c r="AD12" s="24">
        <f t="shared" si="11"/>
        <v>4010131.2574104518</v>
      </c>
      <c r="AE12" s="3">
        <f t="shared" si="13"/>
        <v>45206356.702405602</v>
      </c>
    </row>
    <row r="13" spans="1:31" x14ac:dyDescent="0.3">
      <c r="B13" t="s">
        <v>16</v>
      </c>
      <c r="D13" s="5">
        <v>24145069.333330002</v>
      </c>
      <c r="E13" s="5">
        <v>19801493.000020001</v>
      </c>
      <c r="F13" s="5">
        <v>15960848.333389999</v>
      </c>
      <c r="G13" s="5">
        <v>13564319.66664</v>
      </c>
      <c r="H13" s="5">
        <v>12169269.999980001</v>
      </c>
      <c r="I13" s="5">
        <v>13768760.333350001</v>
      </c>
      <c r="J13" s="5">
        <v>15628175</v>
      </c>
      <c r="K13" s="5">
        <v>19020584.333330002</v>
      </c>
      <c r="L13" s="5">
        <v>17304355.000009999</v>
      </c>
      <c r="M13" s="5">
        <v>13017922.5254</v>
      </c>
      <c r="N13" s="10">
        <v>14176761.9658</v>
      </c>
      <c r="O13" s="10">
        <v>16964748.584660001</v>
      </c>
      <c r="P13" s="2">
        <f t="shared" si="12"/>
        <v>195522308.07591</v>
      </c>
      <c r="Q13" s="2">
        <f>IF(P12-P11*Q11&lt;0,P13+P12-P11*Q11,P13)</f>
        <v>191840703.35099995</v>
      </c>
      <c r="R13" s="14">
        <v>8.7720000000000006E-2</v>
      </c>
      <c r="S13" s="3">
        <f t="shared" si="0"/>
        <v>2118005.4819197077</v>
      </c>
      <c r="T13" s="3">
        <f t="shared" si="1"/>
        <v>1736986.9659617546</v>
      </c>
      <c r="U13" s="3">
        <f t="shared" si="2"/>
        <v>1400085.6158049707</v>
      </c>
      <c r="V13" s="3">
        <f t="shared" si="3"/>
        <v>1189862.1211576608</v>
      </c>
      <c r="W13" s="3">
        <f t="shared" si="4"/>
        <v>1067488.3643982457</v>
      </c>
      <c r="X13" s="3">
        <f t="shared" si="5"/>
        <v>1207795.6564414622</v>
      </c>
      <c r="Y13" s="3">
        <f t="shared" si="6"/>
        <v>1370903.5110000002</v>
      </c>
      <c r="Z13" s="3">
        <f t="shared" si="7"/>
        <v>1668485.6577197078</v>
      </c>
      <c r="AA13" s="3">
        <f t="shared" si="8"/>
        <v>1517938.0206008772</v>
      </c>
      <c r="AB13" s="3">
        <f t="shared" si="9"/>
        <v>1141932.163928088</v>
      </c>
      <c r="AC13" s="24">
        <f t="shared" si="10"/>
        <v>1243585.5596399761</v>
      </c>
      <c r="AD13" s="24">
        <f t="shared" si="11"/>
        <v>1488147.7458463754</v>
      </c>
      <c r="AE13" s="3">
        <f t="shared" si="13"/>
        <v>17151216.864418823</v>
      </c>
    </row>
    <row r="14" spans="1:31" x14ac:dyDescent="0.3">
      <c r="B14" t="s">
        <v>19</v>
      </c>
      <c r="D14" s="2">
        <f t="shared" ref="D14:O15" si="14">S14/$R14</f>
        <v>34427.549230769233</v>
      </c>
      <c r="E14" s="2">
        <f t="shared" si="14"/>
        <v>32070.239999999998</v>
      </c>
      <c r="F14" s="2">
        <f t="shared" si="14"/>
        <v>30699.969230769228</v>
      </c>
      <c r="G14" s="2">
        <f t="shared" si="14"/>
        <v>28254.963076923079</v>
      </c>
      <c r="H14" s="2">
        <f t="shared" si="14"/>
        <v>29001.295384615387</v>
      </c>
      <c r="I14" s="2">
        <f t="shared" si="14"/>
        <v>32858.836923076924</v>
      </c>
      <c r="J14" s="2">
        <f t="shared" si="14"/>
        <v>35302.953846153847</v>
      </c>
      <c r="K14" s="2">
        <f t="shared" si="14"/>
        <v>38129.86153846154</v>
      </c>
      <c r="L14" s="2">
        <f t="shared" si="14"/>
        <v>37212.032307692309</v>
      </c>
      <c r="M14" s="2">
        <f t="shared" si="14"/>
        <v>33785.989230769228</v>
      </c>
      <c r="N14" s="19">
        <f t="shared" si="14"/>
        <v>31838.395384615385</v>
      </c>
      <c r="O14" s="19">
        <f t="shared" si="14"/>
        <v>29815.096923076922</v>
      </c>
      <c r="P14" s="2">
        <f t="shared" si="12"/>
        <v>393397.18307692301</v>
      </c>
      <c r="Q14" s="2"/>
      <c r="R14" s="13">
        <v>6.5</v>
      </c>
      <c r="S14" s="4">
        <v>223779.07</v>
      </c>
      <c r="T14" s="4">
        <v>208456.56</v>
      </c>
      <c r="U14" s="4">
        <v>199549.8</v>
      </c>
      <c r="V14" s="4">
        <v>183657.26</v>
      </c>
      <c r="W14" s="4">
        <v>188508.42</v>
      </c>
      <c r="X14" s="4">
        <v>213582.44</v>
      </c>
      <c r="Y14" s="4">
        <v>229469.2</v>
      </c>
      <c r="Z14" s="4">
        <v>247844.1</v>
      </c>
      <c r="AA14" s="4">
        <v>241878.21</v>
      </c>
      <c r="AB14" s="4">
        <v>219608.93</v>
      </c>
      <c r="AC14" s="11">
        <v>206949.57</v>
      </c>
      <c r="AD14" s="11">
        <v>193798.13</v>
      </c>
      <c r="AE14" s="3">
        <f t="shared" si="13"/>
        <v>2557081.69</v>
      </c>
    </row>
    <row r="15" spans="1:31" x14ac:dyDescent="0.3">
      <c r="B15" t="s">
        <v>20</v>
      </c>
      <c r="D15" s="2">
        <f t="shared" si="14"/>
        <v>1267.54</v>
      </c>
      <c r="E15" s="2">
        <f t="shared" si="14"/>
        <v>1280.5999999999999</v>
      </c>
      <c r="F15" s="2">
        <f t="shared" si="14"/>
        <v>1232.32</v>
      </c>
      <c r="G15" s="2">
        <f t="shared" si="14"/>
        <v>1243.5</v>
      </c>
      <c r="H15" s="2">
        <f t="shared" si="14"/>
        <v>1267.58</v>
      </c>
      <c r="I15" s="2">
        <f t="shared" si="14"/>
        <v>1468.08</v>
      </c>
      <c r="J15" s="2">
        <f t="shared" si="14"/>
        <v>985.92</v>
      </c>
      <c r="K15" s="2">
        <f t="shared" si="14"/>
        <v>1043.92</v>
      </c>
      <c r="L15" s="2">
        <f t="shared" si="14"/>
        <v>1124.74</v>
      </c>
      <c r="M15" s="2">
        <f t="shared" si="14"/>
        <v>1133.98</v>
      </c>
      <c r="N15" s="19">
        <f t="shared" si="14"/>
        <v>1299.76</v>
      </c>
      <c r="O15" s="19">
        <f t="shared" si="14"/>
        <v>1120.1600000000001</v>
      </c>
      <c r="P15" s="2">
        <f t="shared" si="12"/>
        <v>14468.099999999999</v>
      </c>
      <c r="Q15" s="2"/>
      <c r="R15" s="13">
        <v>0.5</v>
      </c>
      <c r="S15" s="4">
        <v>633.77</v>
      </c>
      <c r="T15" s="4">
        <v>640.29999999999995</v>
      </c>
      <c r="U15" s="4">
        <v>616.16</v>
      </c>
      <c r="V15" s="4">
        <v>621.75</v>
      </c>
      <c r="W15" s="4">
        <v>633.79</v>
      </c>
      <c r="X15" s="4">
        <v>734.04</v>
      </c>
      <c r="Y15" s="4">
        <v>492.96</v>
      </c>
      <c r="Z15" s="4">
        <v>521.96</v>
      </c>
      <c r="AA15" s="4">
        <v>562.37</v>
      </c>
      <c r="AB15" s="4">
        <v>566.99</v>
      </c>
      <c r="AC15" s="11">
        <v>649.88</v>
      </c>
      <c r="AD15" s="11">
        <v>560.08000000000004</v>
      </c>
      <c r="AE15" s="3">
        <f t="shared" si="13"/>
        <v>7234.0499999999993</v>
      </c>
    </row>
    <row r="16" spans="1:31" x14ac:dyDescent="0.3">
      <c r="A16" t="s">
        <v>37</v>
      </c>
      <c r="B16" t="s">
        <v>14</v>
      </c>
      <c r="D16" s="5">
        <v>9102</v>
      </c>
      <c r="E16" s="5">
        <v>9133</v>
      </c>
      <c r="F16" s="5">
        <v>9152</v>
      </c>
      <c r="G16" s="5">
        <v>9154</v>
      </c>
      <c r="H16" s="5">
        <v>9117</v>
      </c>
      <c r="I16" s="5">
        <v>9199</v>
      </c>
      <c r="J16" s="5">
        <v>9169</v>
      </c>
      <c r="K16" s="5">
        <v>9192</v>
      </c>
      <c r="L16" s="5">
        <v>9227</v>
      </c>
      <c r="M16" s="5">
        <v>9267</v>
      </c>
      <c r="N16" s="10">
        <v>9275</v>
      </c>
      <c r="O16" s="10">
        <v>9391</v>
      </c>
      <c r="P16" s="2">
        <f t="shared" si="12"/>
        <v>110378</v>
      </c>
      <c r="Q16" s="2"/>
      <c r="R16" s="13">
        <v>20</v>
      </c>
      <c r="S16" s="3">
        <f t="shared" ref="S16:AD18" si="15">$R16*D16</f>
        <v>182040</v>
      </c>
      <c r="T16" s="3">
        <f t="shared" si="15"/>
        <v>182660</v>
      </c>
      <c r="U16" s="3">
        <f t="shared" si="15"/>
        <v>183040</v>
      </c>
      <c r="V16" s="3">
        <f t="shared" si="15"/>
        <v>183080</v>
      </c>
      <c r="W16" s="3">
        <f t="shared" si="15"/>
        <v>182340</v>
      </c>
      <c r="X16" s="3">
        <f t="shared" si="15"/>
        <v>183980</v>
      </c>
      <c r="Y16" s="3">
        <f t="shared" si="15"/>
        <v>183380</v>
      </c>
      <c r="Z16" s="3">
        <f t="shared" si="15"/>
        <v>183840</v>
      </c>
      <c r="AA16" s="3">
        <f t="shared" si="15"/>
        <v>184540</v>
      </c>
      <c r="AB16" s="3">
        <f t="shared" si="15"/>
        <v>185340</v>
      </c>
      <c r="AC16" s="24">
        <f t="shared" si="15"/>
        <v>185500</v>
      </c>
      <c r="AD16" s="24">
        <f t="shared" si="15"/>
        <v>187820</v>
      </c>
      <c r="AE16" s="3">
        <f t="shared" si="13"/>
        <v>2207560</v>
      </c>
    </row>
    <row r="17" spans="1:31" x14ac:dyDescent="0.3">
      <c r="B17" t="s">
        <v>15</v>
      </c>
      <c r="D17" s="5">
        <v>6714671</v>
      </c>
      <c r="E17" s="5">
        <v>6084190.3333299998</v>
      </c>
      <c r="F17" s="5">
        <v>5195428.3333299998</v>
      </c>
      <c r="G17" s="5">
        <v>4340122.33</v>
      </c>
      <c r="H17" s="5">
        <v>3759002.3333399999</v>
      </c>
      <c r="I17" s="5">
        <v>3380191.03</v>
      </c>
      <c r="J17" s="5">
        <v>3305233.12</v>
      </c>
      <c r="K17" s="5">
        <v>3499093.2866699998</v>
      </c>
      <c r="L17" s="5">
        <v>3532546.57</v>
      </c>
      <c r="M17" s="5">
        <v>3502703.1706699999</v>
      </c>
      <c r="N17" s="10">
        <v>4178210.8019900001</v>
      </c>
      <c r="O17" s="10">
        <v>5334649.6953299996</v>
      </c>
      <c r="P17" s="2">
        <f t="shared" si="12"/>
        <v>52826042.00466001</v>
      </c>
      <c r="Q17" s="2"/>
      <c r="R17" s="14">
        <v>0.11699</v>
      </c>
      <c r="S17" s="3">
        <f t="shared" si="15"/>
        <v>785549.36028999998</v>
      </c>
      <c r="T17" s="3">
        <f t="shared" si="15"/>
        <v>711789.42709627666</v>
      </c>
      <c r="U17" s="3">
        <f t="shared" si="15"/>
        <v>607813.16071627662</v>
      </c>
      <c r="V17" s="3">
        <f t="shared" si="15"/>
        <v>507750.9113867</v>
      </c>
      <c r="W17" s="3">
        <f t="shared" si="15"/>
        <v>439765.68297744659</v>
      </c>
      <c r="X17" s="3">
        <f t="shared" si="15"/>
        <v>395448.54859969998</v>
      </c>
      <c r="Y17" s="3">
        <f t="shared" si="15"/>
        <v>386679.22270879999</v>
      </c>
      <c r="Z17" s="3">
        <f t="shared" si="15"/>
        <v>409358.92360752326</v>
      </c>
      <c r="AA17" s="3">
        <f t="shared" si="15"/>
        <v>413272.62322429998</v>
      </c>
      <c r="AB17" s="3">
        <f t="shared" si="15"/>
        <v>409781.24393668328</v>
      </c>
      <c r="AC17" s="24">
        <f t="shared" si="15"/>
        <v>488808.88172481011</v>
      </c>
      <c r="AD17" s="24">
        <f t="shared" si="15"/>
        <v>624100.6678566566</v>
      </c>
      <c r="AE17" s="3">
        <f t="shared" si="13"/>
        <v>6180118.6541251736</v>
      </c>
    </row>
    <row r="18" spans="1:31" x14ac:dyDescent="0.3">
      <c r="B18" t="s">
        <v>16</v>
      </c>
      <c r="D18" s="5">
        <v>1345129</v>
      </c>
      <c r="E18" s="5">
        <v>1244072.6666699999</v>
      </c>
      <c r="F18" s="5">
        <v>812463.66666999995</v>
      </c>
      <c r="G18" s="5">
        <v>752974</v>
      </c>
      <c r="H18" s="5">
        <v>245136.66665999999</v>
      </c>
      <c r="I18" s="5">
        <v>402442</v>
      </c>
      <c r="J18" s="5">
        <v>449492</v>
      </c>
      <c r="K18" s="5">
        <v>618773.33333000005</v>
      </c>
      <c r="L18" s="5">
        <v>676481</v>
      </c>
      <c r="M18" s="5">
        <v>610979.69733</v>
      </c>
      <c r="N18" s="10">
        <v>604327.36901000002</v>
      </c>
      <c r="O18" s="10">
        <v>899046.81866999995</v>
      </c>
      <c r="P18" s="2">
        <f t="shared" si="12"/>
        <v>8661318.2183399983</v>
      </c>
      <c r="Q18" s="2"/>
      <c r="R18" s="14">
        <v>8.6910000000000001E-2</v>
      </c>
      <c r="S18" s="3">
        <f t="shared" si="15"/>
        <v>116905.16139000001</v>
      </c>
      <c r="T18" s="3">
        <f t="shared" si="15"/>
        <v>108122.35546028969</v>
      </c>
      <c r="U18" s="3">
        <f t="shared" si="15"/>
        <v>70611.217270289693</v>
      </c>
      <c r="V18" s="3">
        <f t="shared" si="15"/>
        <v>65440.97034</v>
      </c>
      <c r="W18" s="3">
        <f t="shared" si="15"/>
        <v>21304.827699420599</v>
      </c>
      <c r="X18" s="3">
        <f t="shared" si="15"/>
        <v>34976.234219999998</v>
      </c>
      <c r="Y18" s="3">
        <f t="shared" si="15"/>
        <v>39065.349719999998</v>
      </c>
      <c r="Z18" s="3">
        <f t="shared" si="15"/>
        <v>53777.590399710309</v>
      </c>
      <c r="AA18" s="3">
        <f t="shared" si="15"/>
        <v>58792.963710000004</v>
      </c>
      <c r="AB18" s="3">
        <f t="shared" si="15"/>
        <v>53100.245494950301</v>
      </c>
      <c r="AC18" s="24">
        <f t="shared" si="15"/>
        <v>52522.091640659106</v>
      </c>
      <c r="AD18" s="24">
        <f t="shared" si="15"/>
        <v>78136.159010609699</v>
      </c>
      <c r="AE18" s="3">
        <f t="shared" si="13"/>
        <v>752755.16635592957</v>
      </c>
    </row>
    <row r="19" spans="1:31" x14ac:dyDescent="0.3">
      <c r="B19" t="s">
        <v>19</v>
      </c>
      <c r="D19" s="2">
        <f t="shared" ref="D19:O20" si="16">S19/$R19</f>
        <v>1149.1938461538462</v>
      </c>
      <c r="E19" s="2">
        <f t="shared" si="16"/>
        <v>1235.5384615384614</v>
      </c>
      <c r="F19" s="2">
        <f t="shared" si="16"/>
        <v>983.71076923076919</v>
      </c>
      <c r="G19" s="2">
        <f t="shared" si="16"/>
        <v>886.86461538461538</v>
      </c>
      <c r="H19" s="2">
        <f t="shared" si="16"/>
        <v>420.64923076923071</v>
      </c>
      <c r="I19" s="2">
        <f t="shared" si="16"/>
        <v>443.56615384615384</v>
      </c>
      <c r="J19" s="2">
        <f t="shared" si="16"/>
        <v>447.97846153846154</v>
      </c>
      <c r="K19" s="2">
        <f t="shared" si="16"/>
        <v>700.76307692307694</v>
      </c>
      <c r="L19" s="2">
        <f t="shared" si="16"/>
        <v>737.52923076923071</v>
      </c>
      <c r="M19" s="2">
        <f t="shared" si="16"/>
        <v>813.11076923076928</v>
      </c>
      <c r="N19" s="19">
        <f t="shared" si="16"/>
        <v>854.54153846153849</v>
      </c>
      <c r="O19" s="19">
        <f t="shared" si="16"/>
        <v>993.89692307692303</v>
      </c>
      <c r="P19" s="2">
        <f t="shared" si="12"/>
        <v>9667.3430769230781</v>
      </c>
      <c r="Q19" s="2"/>
      <c r="R19" s="13">
        <v>6.5</v>
      </c>
      <c r="S19" s="4">
        <v>7469.76</v>
      </c>
      <c r="T19" s="4">
        <v>8031</v>
      </c>
      <c r="U19" s="4">
        <v>6394.12</v>
      </c>
      <c r="V19" s="4">
        <v>5764.62</v>
      </c>
      <c r="W19" s="4">
        <v>2734.22</v>
      </c>
      <c r="X19" s="4">
        <v>2883.18</v>
      </c>
      <c r="Y19" s="4">
        <v>2911.86</v>
      </c>
      <c r="Z19" s="4">
        <v>4554.96</v>
      </c>
      <c r="AA19" s="4">
        <v>4793.9399999999996</v>
      </c>
      <c r="AB19" s="4">
        <v>5285.22</v>
      </c>
      <c r="AC19" s="11">
        <v>5554.52</v>
      </c>
      <c r="AD19" s="11">
        <v>6460.33</v>
      </c>
      <c r="AE19" s="3">
        <f t="shared" si="13"/>
        <v>62837.73000000001</v>
      </c>
    </row>
    <row r="20" spans="1:31" x14ac:dyDescent="0.3">
      <c r="B20" t="s">
        <v>20</v>
      </c>
      <c r="D20" s="2">
        <f t="shared" si="16"/>
        <v>0</v>
      </c>
      <c r="E20" s="2">
        <f t="shared" si="16"/>
        <v>0</v>
      </c>
      <c r="F20" s="2">
        <f t="shared" si="16"/>
        <v>0</v>
      </c>
      <c r="G20" s="2">
        <f t="shared" si="16"/>
        <v>0</v>
      </c>
      <c r="H20" s="2">
        <f t="shared" si="16"/>
        <v>0</v>
      </c>
      <c r="I20" s="2">
        <f t="shared" si="16"/>
        <v>0</v>
      </c>
      <c r="J20" s="2">
        <f t="shared" si="16"/>
        <v>0</v>
      </c>
      <c r="K20" s="2">
        <f t="shared" si="16"/>
        <v>0</v>
      </c>
      <c r="L20" s="2">
        <f t="shared" si="16"/>
        <v>0</v>
      </c>
      <c r="M20" s="2">
        <f t="shared" si="16"/>
        <v>0</v>
      </c>
      <c r="N20" s="19">
        <f t="shared" si="16"/>
        <v>0</v>
      </c>
      <c r="O20" s="19">
        <f t="shared" si="16"/>
        <v>0</v>
      </c>
      <c r="P20" s="2">
        <f t="shared" si="12"/>
        <v>0</v>
      </c>
      <c r="Q20" s="2"/>
      <c r="R20" s="13">
        <v>0.5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11">
        <v>0</v>
      </c>
      <c r="AD20" s="11">
        <v>0</v>
      </c>
      <c r="AE20" s="3">
        <f t="shared" si="13"/>
        <v>0</v>
      </c>
    </row>
    <row r="21" spans="1:31" x14ac:dyDescent="0.3">
      <c r="A21" t="s">
        <v>38</v>
      </c>
      <c r="B21" t="s">
        <v>14</v>
      </c>
      <c r="D21" s="5">
        <v>1834</v>
      </c>
      <c r="E21" s="5">
        <v>1850</v>
      </c>
      <c r="F21" s="5">
        <v>1845</v>
      </c>
      <c r="G21" s="5">
        <v>1850</v>
      </c>
      <c r="H21" s="5">
        <v>1838</v>
      </c>
      <c r="I21" s="5">
        <v>1855</v>
      </c>
      <c r="J21" s="5">
        <v>1844</v>
      </c>
      <c r="K21" s="5">
        <v>1855</v>
      </c>
      <c r="L21" s="5">
        <v>1850</v>
      </c>
      <c r="M21" s="5">
        <v>1845</v>
      </c>
      <c r="N21" s="10">
        <v>1849</v>
      </c>
      <c r="O21" s="10">
        <v>1854</v>
      </c>
      <c r="P21" s="2">
        <f t="shared" si="12"/>
        <v>22169</v>
      </c>
      <c r="Q21" s="2">
        <v>59700</v>
      </c>
      <c r="R21" s="13">
        <v>500</v>
      </c>
      <c r="S21" s="3">
        <f t="shared" ref="S21:AD23" si="17">$R21*D21</f>
        <v>917000</v>
      </c>
      <c r="T21" s="3">
        <f t="shared" si="17"/>
        <v>925000</v>
      </c>
      <c r="U21" s="3">
        <f t="shared" si="17"/>
        <v>922500</v>
      </c>
      <c r="V21" s="3">
        <f t="shared" si="17"/>
        <v>925000</v>
      </c>
      <c r="W21" s="3">
        <f t="shared" si="17"/>
        <v>919000</v>
      </c>
      <c r="X21" s="3">
        <f t="shared" si="17"/>
        <v>927500</v>
      </c>
      <c r="Y21" s="3">
        <f t="shared" si="17"/>
        <v>922000</v>
      </c>
      <c r="Z21" s="3">
        <f t="shared" si="17"/>
        <v>927500</v>
      </c>
      <c r="AA21" s="3">
        <f t="shared" si="17"/>
        <v>925000</v>
      </c>
      <c r="AB21" s="3">
        <f t="shared" si="17"/>
        <v>922500</v>
      </c>
      <c r="AC21" s="24">
        <f t="shared" si="17"/>
        <v>924500</v>
      </c>
      <c r="AD21" s="24">
        <f t="shared" si="17"/>
        <v>927000</v>
      </c>
      <c r="AE21" s="3">
        <f t="shared" si="13"/>
        <v>11084500</v>
      </c>
    </row>
    <row r="22" spans="1:31" x14ac:dyDescent="0.3">
      <c r="B22" t="s">
        <v>15</v>
      </c>
      <c r="D22" s="5">
        <v>111109273</v>
      </c>
      <c r="E22" s="5">
        <v>105611183</v>
      </c>
      <c r="F22" s="5">
        <v>99018702</v>
      </c>
      <c r="G22" s="5">
        <v>96724922</v>
      </c>
      <c r="H22" s="5">
        <v>94799527</v>
      </c>
      <c r="I22" s="5">
        <v>100610776</v>
      </c>
      <c r="J22" s="5">
        <v>100636435.33333001</v>
      </c>
      <c r="K22" s="5">
        <v>106566666</v>
      </c>
      <c r="L22" s="5">
        <v>105262486</v>
      </c>
      <c r="M22" s="5">
        <v>96078495.306669995</v>
      </c>
      <c r="N22" s="10">
        <v>101250606.82433</v>
      </c>
      <c r="O22" s="10">
        <v>105589957.124</v>
      </c>
      <c r="P22" s="2">
        <f t="shared" si="12"/>
        <v>1223259029.58833</v>
      </c>
      <c r="Q22" s="2">
        <f>IF(P22-P21*Q21&gt;0,P22-P21*Q21,0)</f>
        <v>0</v>
      </c>
      <c r="R22" s="14">
        <v>7.5249999999999997E-2</v>
      </c>
      <c r="S22" s="3">
        <f t="shared" si="17"/>
        <v>8360972.7932500001</v>
      </c>
      <c r="T22" s="3">
        <f t="shared" si="17"/>
        <v>7947241.5207500001</v>
      </c>
      <c r="U22" s="3">
        <f t="shared" si="17"/>
        <v>7451157.3254999993</v>
      </c>
      <c r="V22" s="3">
        <f t="shared" si="17"/>
        <v>7278550.3805</v>
      </c>
      <c r="W22" s="3">
        <f t="shared" si="17"/>
        <v>7133664.4067500001</v>
      </c>
      <c r="X22" s="3">
        <f t="shared" si="17"/>
        <v>7570960.8939999994</v>
      </c>
      <c r="Y22" s="3">
        <f t="shared" si="17"/>
        <v>7572891.7588330824</v>
      </c>
      <c r="Z22" s="3">
        <f t="shared" si="17"/>
        <v>8019141.6164999995</v>
      </c>
      <c r="AA22" s="3">
        <f t="shared" si="17"/>
        <v>7921002.0714999996</v>
      </c>
      <c r="AB22" s="3">
        <f t="shared" si="17"/>
        <v>7229906.7718269173</v>
      </c>
      <c r="AC22" s="24">
        <f t="shared" si="17"/>
        <v>7619108.1635308322</v>
      </c>
      <c r="AD22" s="24">
        <f t="shared" si="17"/>
        <v>7945644.2735809991</v>
      </c>
      <c r="AE22" s="3">
        <f t="shared" si="13"/>
        <v>92050241.97652182</v>
      </c>
    </row>
    <row r="23" spans="1:31" x14ac:dyDescent="0.3">
      <c r="B23" t="s">
        <v>16</v>
      </c>
      <c r="D23" s="5">
        <v>16484931</v>
      </c>
      <c r="E23" s="5">
        <v>12677379</v>
      </c>
      <c r="F23" s="5">
        <v>11618071</v>
      </c>
      <c r="G23" s="5">
        <v>11090036</v>
      </c>
      <c r="H23" s="5">
        <v>11216410</v>
      </c>
      <c r="I23" s="5">
        <v>12935048</v>
      </c>
      <c r="J23" s="5">
        <v>15464214.66667</v>
      </c>
      <c r="K23" s="5">
        <v>15761935</v>
      </c>
      <c r="L23" s="5">
        <v>15493757</v>
      </c>
      <c r="M23" s="5">
        <v>10520710.933329999</v>
      </c>
      <c r="N23" s="10">
        <v>11210750.42667</v>
      </c>
      <c r="O23" s="10">
        <v>14544926.402000001</v>
      </c>
      <c r="P23" s="2">
        <f t="shared" si="12"/>
        <v>159018169.42866999</v>
      </c>
      <c r="Q23" s="2">
        <f>IF(P22-P21*Q21&lt;0,P23+P22-P21*Q21,P23)</f>
        <v>58787899.01699996</v>
      </c>
      <c r="R23" s="14">
        <v>6.7659999999999998E-2</v>
      </c>
      <c r="S23" s="3">
        <f t="shared" si="17"/>
        <v>1115370.4314599999</v>
      </c>
      <c r="T23" s="3">
        <f t="shared" si="17"/>
        <v>857751.46314000001</v>
      </c>
      <c r="U23" s="3">
        <f t="shared" si="17"/>
        <v>786078.68385999999</v>
      </c>
      <c r="V23" s="3">
        <f t="shared" si="17"/>
        <v>750351.83575999993</v>
      </c>
      <c r="W23" s="3">
        <f t="shared" si="17"/>
        <v>758902.30059999996</v>
      </c>
      <c r="X23" s="3">
        <f t="shared" si="17"/>
        <v>875185.34768000001</v>
      </c>
      <c r="Y23" s="3">
        <f t="shared" si="17"/>
        <v>1046308.7643468921</v>
      </c>
      <c r="Z23" s="3">
        <f t="shared" si="17"/>
        <v>1066452.5220999999</v>
      </c>
      <c r="AA23" s="3">
        <f t="shared" si="17"/>
        <v>1048307.5986199999</v>
      </c>
      <c r="AB23" s="3">
        <f t="shared" si="17"/>
        <v>711831.30174910778</v>
      </c>
      <c r="AC23" s="24">
        <f t="shared" si="17"/>
        <v>758519.3738684922</v>
      </c>
      <c r="AD23" s="24">
        <f t="shared" si="17"/>
        <v>984109.72035932005</v>
      </c>
      <c r="AE23" s="3">
        <f t="shared" si="13"/>
        <v>10759169.343543811</v>
      </c>
    </row>
    <row r="24" spans="1:31" x14ac:dyDescent="0.3">
      <c r="B24" t="s">
        <v>19</v>
      </c>
      <c r="D24" s="2">
        <f t="shared" ref="D24:O26" si="18">S24/$R24</f>
        <v>200803.04923076925</v>
      </c>
      <c r="E24" s="2">
        <f t="shared" si="18"/>
        <v>199243.32</v>
      </c>
      <c r="F24" s="2">
        <f t="shared" si="18"/>
        <v>193482.4030769231</v>
      </c>
      <c r="G24" s="2">
        <f t="shared" si="18"/>
        <v>190594.47384615385</v>
      </c>
      <c r="H24" s="2">
        <f t="shared" si="18"/>
        <v>197338.54461538463</v>
      </c>
      <c r="I24" s="2">
        <f t="shared" si="18"/>
        <v>216327.68923076923</v>
      </c>
      <c r="J24" s="2">
        <f t="shared" si="18"/>
        <v>230657.6676923077</v>
      </c>
      <c r="K24" s="2">
        <f t="shared" si="18"/>
        <v>224385.39076923078</v>
      </c>
      <c r="L24" s="2">
        <f t="shared" si="18"/>
        <v>221048.43384615384</v>
      </c>
      <c r="M24" s="2">
        <f t="shared" si="18"/>
        <v>206319.87076923077</v>
      </c>
      <c r="N24" s="19">
        <f t="shared" si="18"/>
        <v>192814.33846153846</v>
      </c>
      <c r="O24" s="19">
        <f t="shared" si="18"/>
        <v>196726.4246153846</v>
      </c>
      <c r="P24" s="2">
        <f t="shared" si="12"/>
        <v>2469741.6061538458</v>
      </c>
      <c r="Q24" s="2"/>
      <c r="R24" s="13">
        <v>6.5</v>
      </c>
      <c r="S24" s="4">
        <v>1305219.82</v>
      </c>
      <c r="T24" s="4">
        <v>1295081.58</v>
      </c>
      <c r="U24" s="4">
        <v>1257635.6200000001</v>
      </c>
      <c r="V24" s="4">
        <v>1238864.08</v>
      </c>
      <c r="W24" s="4">
        <v>1282700.54</v>
      </c>
      <c r="X24" s="4">
        <v>1406129.98</v>
      </c>
      <c r="Y24" s="4">
        <v>1499274.84</v>
      </c>
      <c r="Z24" s="4">
        <v>1458505.04</v>
      </c>
      <c r="AA24" s="4">
        <v>1436814.82</v>
      </c>
      <c r="AB24" s="4">
        <v>1341079.1599999999</v>
      </c>
      <c r="AC24" s="11">
        <v>1253293.2</v>
      </c>
      <c r="AD24" s="11">
        <v>1278721.76</v>
      </c>
      <c r="AE24" s="3">
        <f t="shared" si="13"/>
        <v>16053320.439999999</v>
      </c>
    </row>
    <row r="25" spans="1:31" x14ac:dyDescent="0.3">
      <c r="B25" t="s">
        <v>20</v>
      </c>
      <c r="D25" s="2">
        <f t="shared" si="18"/>
        <v>15951.8</v>
      </c>
      <c r="E25" s="2">
        <f t="shared" si="18"/>
        <v>17813.62</v>
      </c>
      <c r="F25" s="2">
        <f t="shared" si="18"/>
        <v>17937.560000000001</v>
      </c>
      <c r="G25" s="2">
        <f t="shared" si="18"/>
        <v>18992.5</v>
      </c>
      <c r="H25" s="2">
        <f t="shared" si="18"/>
        <v>20574.86</v>
      </c>
      <c r="I25" s="2">
        <f t="shared" si="18"/>
        <v>22097.4</v>
      </c>
      <c r="J25" s="2">
        <f t="shared" si="18"/>
        <v>23060.14</v>
      </c>
      <c r="K25" s="2">
        <f t="shared" si="18"/>
        <v>23306.98</v>
      </c>
      <c r="L25" s="2">
        <f t="shared" si="18"/>
        <v>21609.24</v>
      </c>
      <c r="M25" s="2">
        <f t="shared" si="18"/>
        <v>28495.360000000001</v>
      </c>
      <c r="N25" s="19">
        <f t="shared" si="18"/>
        <v>20899.02</v>
      </c>
      <c r="O25" s="19">
        <f t="shared" si="18"/>
        <v>20576.32</v>
      </c>
      <c r="P25" s="2">
        <f t="shared" si="12"/>
        <v>251314.80000000002</v>
      </c>
      <c r="Q25" s="2"/>
      <c r="R25" s="13">
        <v>0.5</v>
      </c>
      <c r="S25" s="4">
        <v>7975.9</v>
      </c>
      <c r="T25" s="4">
        <v>8906.81</v>
      </c>
      <c r="U25" s="4">
        <v>8968.7800000000007</v>
      </c>
      <c r="V25" s="4">
        <v>9496.25</v>
      </c>
      <c r="W25" s="4">
        <v>10287.43</v>
      </c>
      <c r="X25" s="4">
        <v>11048.7</v>
      </c>
      <c r="Y25" s="4">
        <v>11530.07</v>
      </c>
      <c r="Z25" s="4">
        <v>11653.49</v>
      </c>
      <c r="AA25" s="4">
        <v>10804.62</v>
      </c>
      <c r="AB25" s="4">
        <v>14247.68</v>
      </c>
      <c r="AC25" s="11">
        <v>10449.51</v>
      </c>
      <c r="AD25" s="11">
        <v>10288.16</v>
      </c>
      <c r="AE25" s="3">
        <f t="shared" si="13"/>
        <v>125657.40000000001</v>
      </c>
    </row>
    <row r="26" spans="1:31" x14ac:dyDescent="0.3">
      <c r="B26" t="s">
        <v>21</v>
      </c>
      <c r="D26" s="2">
        <f t="shared" si="18"/>
        <v>23188</v>
      </c>
      <c r="E26" s="2">
        <f t="shared" si="18"/>
        <v>27006.350000000002</v>
      </c>
      <c r="F26" s="2">
        <f t="shared" si="18"/>
        <v>23114.05</v>
      </c>
      <c r="G26" s="2">
        <f t="shared" si="18"/>
        <v>26568.649999999998</v>
      </c>
      <c r="H26" s="2">
        <f t="shared" si="18"/>
        <v>24943.1</v>
      </c>
      <c r="I26" s="2">
        <f t="shared" si="18"/>
        <v>26634.6</v>
      </c>
      <c r="J26" s="2">
        <f t="shared" si="18"/>
        <v>35141.5</v>
      </c>
      <c r="K26" s="2">
        <f t="shared" si="18"/>
        <v>30287.8</v>
      </c>
      <c r="L26" s="2">
        <f t="shared" si="18"/>
        <v>25767.699999999997</v>
      </c>
      <c r="M26" s="2">
        <f t="shared" si="18"/>
        <v>27132.5</v>
      </c>
      <c r="N26" s="19">
        <f t="shared" si="18"/>
        <v>22051.599999999999</v>
      </c>
      <c r="O26" s="19">
        <f t="shared" si="18"/>
        <v>20100.399999999998</v>
      </c>
      <c r="P26" s="2">
        <f t="shared" si="12"/>
        <v>311936.25</v>
      </c>
      <c r="Q26" s="2"/>
      <c r="R26" s="13">
        <v>-0.2</v>
      </c>
      <c r="S26" s="4">
        <v>-4637.6000000000004</v>
      </c>
      <c r="T26" s="4">
        <v>-5401.27</v>
      </c>
      <c r="U26" s="4">
        <v>-4622.8100000000004</v>
      </c>
      <c r="V26" s="4">
        <v>-5313.73</v>
      </c>
      <c r="W26" s="4">
        <v>-4988.62</v>
      </c>
      <c r="X26" s="4">
        <v>-5326.92</v>
      </c>
      <c r="Y26" s="4">
        <v>-7028.3</v>
      </c>
      <c r="Z26" s="4">
        <v>-6057.56</v>
      </c>
      <c r="AA26" s="4">
        <v>-5153.54</v>
      </c>
      <c r="AB26" s="4">
        <v>-5426.5</v>
      </c>
      <c r="AC26" s="11">
        <v>-4410.32</v>
      </c>
      <c r="AD26" s="11">
        <v>-4020.08</v>
      </c>
      <c r="AE26" s="3">
        <f t="shared" si="13"/>
        <v>-62387.25</v>
      </c>
    </row>
    <row r="27" spans="1:31" x14ac:dyDescent="0.3">
      <c r="A27" t="s">
        <v>39</v>
      </c>
      <c r="B27" t="s">
        <v>14</v>
      </c>
      <c r="D27" s="5">
        <v>50</v>
      </c>
      <c r="E27" s="5">
        <v>48</v>
      </c>
      <c r="F27" s="5">
        <v>48</v>
      </c>
      <c r="G27" s="5">
        <v>47</v>
      </c>
      <c r="H27" s="5">
        <v>51</v>
      </c>
      <c r="I27" s="5">
        <v>49</v>
      </c>
      <c r="J27" s="5">
        <v>49</v>
      </c>
      <c r="K27" s="5">
        <v>49</v>
      </c>
      <c r="L27" s="5">
        <v>49</v>
      </c>
      <c r="M27" s="5">
        <v>48</v>
      </c>
      <c r="N27" s="10">
        <v>47</v>
      </c>
      <c r="O27" s="10">
        <v>47</v>
      </c>
      <c r="P27" s="2">
        <f t="shared" si="12"/>
        <v>582</v>
      </c>
      <c r="Q27" s="2"/>
      <c r="R27" s="13">
        <v>500</v>
      </c>
      <c r="S27" s="3">
        <f t="shared" ref="S27:AD29" si="19">$R27*D27</f>
        <v>25000</v>
      </c>
      <c r="T27" s="3">
        <f t="shared" si="19"/>
        <v>24000</v>
      </c>
      <c r="U27" s="3">
        <f t="shared" si="19"/>
        <v>24000</v>
      </c>
      <c r="V27" s="3">
        <f t="shared" si="19"/>
        <v>23500</v>
      </c>
      <c r="W27" s="3">
        <f t="shared" si="19"/>
        <v>25500</v>
      </c>
      <c r="X27" s="3">
        <f t="shared" si="19"/>
        <v>24500</v>
      </c>
      <c r="Y27" s="3">
        <f t="shared" si="19"/>
        <v>24500</v>
      </c>
      <c r="Z27" s="3">
        <f t="shared" si="19"/>
        <v>24500</v>
      </c>
      <c r="AA27" s="3">
        <f t="shared" si="19"/>
        <v>24500</v>
      </c>
      <c r="AB27" s="3">
        <f t="shared" si="19"/>
        <v>24000</v>
      </c>
      <c r="AC27" s="24">
        <f t="shared" si="19"/>
        <v>23500</v>
      </c>
      <c r="AD27" s="24">
        <f t="shared" si="19"/>
        <v>23500</v>
      </c>
      <c r="AE27" s="3">
        <f t="shared" si="13"/>
        <v>291000</v>
      </c>
    </row>
    <row r="28" spans="1:31" x14ac:dyDescent="0.3">
      <c r="B28" t="s">
        <v>15</v>
      </c>
      <c r="D28" s="5">
        <v>4282640</v>
      </c>
      <c r="E28" s="5">
        <v>3461560</v>
      </c>
      <c r="F28" s="5">
        <v>3065380</v>
      </c>
      <c r="G28" s="5">
        <v>2592560</v>
      </c>
      <c r="H28" s="5">
        <v>2633400</v>
      </c>
      <c r="I28" s="5">
        <v>2221720</v>
      </c>
      <c r="J28" s="5">
        <v>2316740</v>
      </c>
      <c r="K28" s="5">
        <v>2658360</v>
      </c>
      <c r="L28" s="5">
        <v>2557520</v>
      </c>
      <c r="M28" s="5">
        <v>2348817.64</v>
      </c>
      <c r="N28" s="10">
        <v>2554874.4</v>
      </c>
      <c r="O28" s="10">
        <v>3274150.32</v>
      </c>
      <c r="P28" s="2">
        <f t="shared" si="12"/>
        <v>33967722.359999999</v>
      </c>
      <c r="Q28" s="2"/>
      <c r="R28" s="14">
        <v>7.4440000000000006E-2</v>
      </c>
      <c r="S28" s="3">
        <f t="shared" si="19"/>
        <v>318799.72160000005</v>
      </c>
      <c r="T28" s="3">
        <f t="shared" si="19"/>
        <v>257678.52640000003</v>
      </c>
      <c r="U28" s="3">
        <f t="shared" si="19"/>
        <v>228186.88720000003</v>
      </c>
      <c r="V28" s="3">
        <f t="shared" si="19"/>
        <v>192990.16640000002</v>
      </c>
      <c r="W28" s="3">
        <f t="shared" si="19"/>
        <v>196030.296</v>
      </c>
      <c r="X28" s="3">
        <f t="shared" si="19"/>
        <v>165384.83680000002</v>
      </c>
      <c r="Y28" s="3">
        <f t="shared" si="19"/>
        <v>172458.12560000003</v>
      </c>
      <c r="Z28" s="3">
        <f t="shared" si="19"/>
        <v>197888.31840000002</v>
      </c>
      <c r="AA28" s="3">
        <f t="shared" si="19"/>
        <v>190381.78880000001</v>
      </c>
      <c r="AB28" s="3">
        <f t="shared" si="19"/>
        <v>174845.98512160001</v>
      </c>
      <c r="AC28" s="24">
        <f t="shared" si="19"/>
        <v>190184.850336</v>
      </c>
      <c r="AD28" s="24">
        <f t="shared" si="19"/>
        <v>243727.7498208</v>
      </c>
      <c r="AE28" s="3">
        <f t="shared" si="13"/>
        <v>2528557.2524784002</v>
      </c>
    </row>
    <row r="29" spans="1:31" x14ac:dyDescent="0.3">
      <c r="B29" t="s">
        <v>16</v>
      </c>
      <c r="D29" s="5">
        <v>85280</v>
      </c>
      <c r="E29" s="5">
        <v>153920</v>
      </c>
      <c r="F29" s="5">
        <v>8960</v>
      </c>
      <c r="G29" s="5">
        <v>0</v>
      </c>
      <c r="H29" s="5">
        <v>0</v>
      </c>
      <c r="I29" s="5">
        <v>0</v>
      </c>
      <c r="J29" s="5">
        <v>0</v>
      </c>
      <c r="K29" s="5">
        <v>5000</v>
      </c>
      <c r="L29" s="5">
        <v>2240</v>
      </c>
      <c r="M29" s="5">
        <v>0</v>
      </c>
      <c r="N29" s="10">
        <v>0</v>
      </c>
      <c r="O29" s="10">
        <v>0</v>
      </c>
      <c r="P29" s="2">
        <f t="shared" si="12"/>
        <v>255400</v>
      </c>
      <c r="Q29" s="2"/>
      <c r="R29" s="14">
        <v>6.6850000000000007E-2</v>
      </c>
      <c r="S29" s="3">
        <f t="shared" si="19"/>
        <v>5700.9680000000008</v>
      </c>
      <c r="T29" s="3">
        <f t="shared" si="19"/>
        <v>10289.552000000001</v>
      </c>
      <c r="U29" s="3">
        <f t="shared" si="19"/>
        <v>598.97600000000011</v>
      </c>
      <c r="V29" s="3">
        <f t="shared" si="19"/>
        <v>0</v>
      </c>
      <c r="W29" s="3">
        <f t="shared" si="19"/>
        <v>0</v>
      </c>
      <c r="X29" s="3">
        <f t="shared" si="19"/>
        <v>0</v>
      </c>
      <c r="Y29" s="3">
        <f t="shared" si="19"/>
        <v>0</v>
      </c>
      <c r="Z29" s="3">
        <f t="shared" si="19"/>
        <v>334.25000000000006</v>
      </c>
      <c r="AA29" s="3">
        <f t="shared" si="19"/>
        <v>149.74400000000003</v>
      </c>
      <c r="AB29" s="3">
        <f t="shared" si="19"/>
        <v>0</v>
      </c>
      <c r="AC29" s="24">
        <f t="shared" si="19"/>
        <v>0</v>
      </c>
      <c r="AD29" s="24">
        <f t="shared" si="19"/>
        <v>0</v>
      </c>
      <c r="AE29" s="3">
        <f t="shared" si="13"/>
        <v>17073.490000000002</v>
      </c>
    </row>
    <row r="30" spans="1:31" x14ac:dyDescent="0.3">
      <c r="B30" t="s">
        <v>19</v>
      </c>
      <c r="D30" s="2">
        <f t="shared" ref="D30:O32" si="20">S30/$R30</f>
        <v>5746.5230769230775</v>
      </c>
      <c r="E30" s="2">
        <f t="shared" si="20"/>
        <v>5193.6000000000004</v>
      </c>
      <c r="F30" s="2">
        <f t="shared" si="20"/>
        <v>4397.7230769230773</v>
      </c>
      <c r="G30" s="2">
        <f t="shared" si="20"/>
        <v>3409.8461538461538</v>
      </c>
      <c r="H30" s="2">
        <f t="shared" si="20"/>
        <v>3311.8030769230772</v>
      </c>
      <c r="I30" s="2">
        <f t="shared" si="20"/>
        <v>2866.3384615384616</v>
      </c>
      <c r="J30" s="2">
        <f t="shared" si="20"/>
        <v>3359.8153846153846</v>
      </c>
      <c r="K30" s="2">
        <f t="shared" si="20"/>
        <v>3523.5692307692307</v>
      </c>
      <c r="L30" s="2">
        <f t="shared" si="20"/>
        <v>3341.5384615384614</v>
      </c>
      <c r="M30" s="2">
        <f t="shared" si="20"/>
        <v>3238.7815384615387</v>
      </c>
      <c r="N30" s="19">
        <f t="shared" si="20"/>
        <v>3452.8246153846153</v>
      </c>
      <c r="O30" s="19">
        <f t="shared" si="20"/>
        <v>4281.8584615384616</v>
      </c>
      <c r="P30" s="2">
        <f t="shared" si="12"/>
        <v>46124.221538461534</v>
      </c>
      <c r="Q30" s="2"/>
      <c r="R30" s="13">
        <v>6.5</v>
      </c>
      <c r="S30" s="4">
        <v>37352.400000000001</v>
      </c>
      <c r="T30" s="4">
        <v>33758.400000000001</v>
      </c>
      <c r="U30" s="4">
        <v>28585.200000000001</v>
      </c>
      <c r="V30" s="4">
        <v>22164</v>
      </c>
      <c r="W30" s="4">
        <v>21526.720000000001</v>
      </c>
      <c r="X30" s="4">
        <v>18631.2</v>
      </c>
      <c r="Y30" s="4">
        <v>21838.799999999999</v>
      </c>
      <c r="Z30" s="4">
        <v>22903.200000000001</v>
      </c>
      <c r="AA30" s="4">
        <v>21720</v>
      </c>
      <c r="AB30" s="4">
        <v>21052.080000000002</v>
      </c>
      <c r="AC30" s="11">
        <v>22443.360000000001</v>
      </c>
      <c r="AD30" s="11">
        <v>27832.080000000002</v>
      </c>
      <c r="AE30" s="3">
        <f t="shared" si="13"/>
        <v>299807.44</v>
      </c>
    </row>
    <row r="31" spans="1:31" x14ac:dyDescent="0.3">
      <c r="B31" t="s">
        <v>20</v>
      </c>
      <c r="D31" s="2">
        <f t="shared" si="20"/>
        <v>0</v>
      </c>
      <c r="E31" s="2">
        <f t="shared" si="20"/>
        <v>0</v>
      </c>
      <c r="F31" s="2">
        <f t="shared" si="20"/>
        <v>0</v>
      </c>
      <c r="G31" s="2">
        <f t="shared" si="20"/>
        <v>0</v>
      </c>
      <c r="H31" s="2">
        <f t="shared" si="20"/>
        <v>1.06</v>
      </c>
      <c r="I31" s="2">
        <f t="shared" si="20"/>
        <v>33.979999999999997</v>
      </c>
      <c r="J31" s="2">
        <f t="shared" si="20"/>
        <v>23.8</v>
      </c>
      <c r="K31" s="2">
        <f t="shared" si="20"/>
        <v>47.72</v>
      </c>
      <c r="L31" s="2">
        <f t="shared" si="20"/>
        <v>34.46</v>
      </c>
      <c r="M31" s="2">
        <f t="shared" si="20"/>
        <v>32.92</v>
      </c>
      <c r="N31" s="19">
        <f t="shared" si="20"/>
        <v>0</v>
      </c>
      <c r="O31" s="19">
        <f t="shared" si="20"/>
        <v>0</v>
      </c>
      <c r="P31" s="2">
        <f t="shared" si="12"/>
        <v>173.94</v>
      </c>
      <c r="Q31" s="2"/>
      <c r="R31" s="13">
        <v>0.5</v>
      </c>
      <c r="S31" s="4">
        <v>0</v>
      </c>
      <c r="T31" s="4">
        <v>0</v>
      </c>
      <c r="U31" s="4">
        <v>0</v>
      </c>
      <c r="V31" s="4">
        <v>0</v>
      </c>
      <c r="W31" s="4">
        <v>0.53</v>
      </c>
      <c r="X31" s="4">
        <v>16.989999999999998</v>
      </c>
      <c r="Y31" s="4">
        <v>11.9</v>
      </c>
      <c r="Z31" s="4">
        <v>23.86</v>
      </c>
      <c r="AA31" s="4">
        <v>17.23</v>
      </c>
      <c r="AB31" s="4">
        <v>16.46</v>
      </c>
      <c r="AC31" s="11">
        <v>0</v>
      </c>
      <c r="AD31" s="11">
        <v>0</v>
      </c>
      <c r="AE31" s="3">
        <f t="shared" si="13"/>
        <v>86.97</v>
      </c>
    </row>
    <row r="32" spans="1:31" x14ac:dyDescent="0.3">
      <c r="B32" t="s">
        <v>21</v>
      </c>
      <c r="D32" s="2">
        <f t="shared" si="20"/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9">
        <f t="shared" si="20"/>
        <v>0</v>
      </c>
      <c r="O32" s="19">
        <f t="shared" si="20"/>
        <v>0</v>
      </c>
      <c r="P32" s="2">
        <f t="shared" si="12"/>
        <v>0</v>
      </c>
      <c r="Q32" s="2"/>
      <c r="R32" s="13">
        <v>-0.2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11">
        <v>0</v>
      </c>
      <c r="AD32" s="11">
        <v>0</v>
      </c>
      <c r="AE32" s="3">
        <f t="shared" si="13"/>
        <v>0</v>
      </c>
    </row>
    <row r="33" spans="1:31" x14ac:dyDescent="0.3">
      <c r="A33" t="s">
        <v>40</v>
      </c>
      <c r="B33" t="s">
        <v>14</v>
      </c>
      <c r="D33" s="5">
        <v>23</v>
      </c>
      <c r="E33" s="5">
        <v>21</v>
      </c>
      <c r="F33" s="5">
        <v>21</v>
      </c>
      <c r="G33" s="5">
        <v>21</v>
      </c>
      <c r="H33" s="5">
        <v>21</v>
      </c>
      <c r="I33" s="5">
        <v>20</v>
      </c>
      <c r="J33" s="5">
        <v>21</v>
      </c>
      <c r="K33" s="5">
        <v>21</v>
      </c>
      <c r="L33" s="5">
        <v>22</v>
      </c>
      <c r="M33" s="5">
        <v>19</v>
      </c>
      <c r="N33" s="10">
        <v>26</v>
      </c>
      <c r="O33" s="10">
        <v>23</v>
      </c>
      <c r="P33" s="2">
        <f t="shared" si="12"/>
        <v>259</v>
      </c>
      <c r="Q33" s="2"/>
      <c r="R33" s="13">
        <v>24000</v>
      </c>
      <c r="S33" s="3">
        <f t="shared" ref="S33:AD36" si="21">$R33*D33</f>
        <v>552000</v>
      </c>
      <c r="T33" s="3">
        <f t="shared" si="21"/>
        <v>504000</v>
      </c>
      <c r="U33" s="3">
        <f t="shared" si="21"/>
        <v>504000</v>
      </c>
      <c r="V33" s="3">
        <f t="shared" si="21"/>
        <v>504000</v>
      </c>
      <c r="W33" s="3">
        <f t="shared" si="21"/>
        <v>504000</v>
      </c>
      <c r="X33" s="3">
        <f t="shared" si="21"/>
        <v>480000</v>
      </c>
      <c r="Y33" s="3">
        <f t="shared" si="21"/>
        <v>504000</v>
      </c>
      <c r="Z33" s="3">
        <f t="shared" si="21"/>
        <v>504000</v>
      </c>
      <c r="AA33" s="3">
        <f t="shared" si="21"/>
        <v>528000</v>
      </c>
      <c r="AB33" s="3">
        <f t="shared" si="21"/>
        <v>456000</v>
      </c>
      <c r="AC33" s="24">
        <f t="shared" si="21"/>
        <v>624000</v>
      </c>
      <c r="AD33" s="24">
        <f t="shared" si="21"/>
        <v>552000</v>
      </c>
      <c r="AE33" s="3">
        <f t="shared" si="13"/>
        <v>6216000</v>
      </c>
    </row>
    <row r="34" spans="1:31" x14ac:dyDescent="0.3">
      <c r="B34" t="s">
        <v>15</v>
      </c>
      <c r="D34" s="5">
        <v>11500000</v>
      </c>
      <c r="E34" s="5">
        <v>10500000</v>
      </c>
      <c r="F34" s="5">
        <v>10500000</v>
      </c>
      <c r="G34" s="5">
        <v>10500000</v>
      </c>
      <c r="H34" s="5">
        <v>10500000</v>
      </c>
      <c r="I34" s="5">
        <v>10000000</v>
      </c>
      <c r="J34" s="5">
        <v>10500000</v>
      </c>
      <c r="K34" s="5">
        <v>10500000</v>
      </c>
      <c r="L34" s="5">
        <v>11000000</v>
      </c>
      <c r="M34" s="5">
        <v>9200000</v>
      </c>
      <c r="N34" s="10">
        <v>13000000</v>
      </c>
      <c r="O34" s="10">
        <v>11500000</v>
      </c>
      <c r="P34" s="2">
        <f t="shared" si="12"/>
        <v>129200000</v>
      </c>
      <c r="Q34" s="2"/>
      <c r="R34" s="14">
        <v>5.6779999999999997E-2</v>
      </c>
      <c r="S34" s="3">
        <f t="shared" si="21"/>
        <v>652970</v>
      </c>
      <c r="T34" s="3">
        <f t="shared" si="21"/>
        <v>596190</v>
      </c>
      <c r="U34" s="3">
        <f t="shared" si="21"/>
        <v>596190</v>
      </c>
      <c r="V34" s="3">
        <f t="shared" si="21"/>
        <v>596190</v>
      </c>
      <c r="W34" s="3">
        <f t="shared" si="21"/>
        <v>596190</v>
      </c>
      <c r="X34" s="3">
        <f t="shared" si="21"/>
        <v>567800</v>
      </c>
      <c r="Y34" s="3">
        <f t="shared" si="21"/>
        <v>596190</v>
      </c>
      <c r="Z34" s="3">
        <f t="shared" si="21"/>
        <v>596190</v>
      </c>
      <c r="AA34" s="3">
        <f t="shared" si="21"/>
        <v>624580</v>
      </c>
      <c r="AB34" s="3">
        <f t="shared" si="21"/>
        <v>522376</v>
      </c>
      <c r="AC34" s="24">
        <f t="shared" si="21"/>
        <v>738140</v>
      </c>
      <c r="AD34" s="24">
        <f t="shared" si="21"/>
        <v>652970</v>
      </c>
      <c r="AE34" s="3">
        <f t="shared" si="13"/>
        <v>7335976</v>
      </c>
    </row>
    <row r="35" spans="1:31" x14ac:dyDescent="0.3">
      <c r="B35" t="s">
        <v>16</v>
      </c>
      <c r="D35" s="5">
        <v>52898505</v>
      </c>
      <c r="E35" s="5">
        <v>44008202</v>
      </c>
      <c r="F35" s="5">
        <v>47271074</v>
      </c>
      <c r="G35" s="5">
        <v>44893800</v>
      </c>
      <c r="H35" s="5">
        <v>45535288</v>
      </c>
      <c r="I35" s="5">
        <v>45140748</v>
      </c>
      <c r="J35" s="5">
        <v>50394697</v>
      </c>
      <c r="K35" s="5">
        <v>52412730</v>
      </c>
      <c r="L35" s="5">
        <v>50991572</v>
      </c>
      <c r="M35" s="5">
        <v>36127977.200000003</v>
      </c>
      <c r="N35" s="10">
        <v>52546779.200000003</v>
      </c>
      <c r="O35" s="10">
        <v>49792669.399999999</v>
      </c>
      <c r="P35" s="2">
        <f t="shared" si="12"/>
        <v>572014041.79999995</v>
      </c>
      <c r="Q35" s="2"/>
      <c r="R35" s="14">
        <v>5.126E-2</v>
      </c>
      <c r="S35" s="3">
        <f t="shared" si="21"/>
        <v>2711577.3662999999</v>
      </c>
      <c r="T35" s="3">
        <f t="shared" si="21"/>
        <v>2255860.4345200001</v>
      </c>
      <c r="U35" s="3">
        <f t="shared" si="21"/>
        <v>2423115.25324</v>
      </c>
      <c r="V35" s="3">
        <f t="shared" si="21"/>
        <v>2301256.1880000001</v>
      </c>
      <c r="W35" s="3">
        <f t="shared" si="21"/>
        <v>2334138.8628799999</v>
      </c>
      <c r="X35" s="3">
        <f t="shared" si="21"/>
        <v>2313914.74248</v>
      </c>
      <c r="Y35" s="3">
        <f t="shared" si="21"/>
        <v>2583232.1682199999</v>
      </c>
      <c r="Z35" s="3">
        <f t="shared" si="21"/>
        <v>2686676.5397999999</v>
      </c>
      <c r="AA35" s="3">
        <f t="shared" si="21"/>
        <v>2613827.9807199999</v>
      </c>
      <c r="AB35" s="3">
        <f t="shared" si="21"/>
        <v>1851920.1112720002</v>
      </c>
      <c r="AC35" s="24">
        <f t="shared" si="21"/>
        <v>2693547.901792</v>
      </c>
      <c r="AD35" s="24">
        <f t="shared" si="21"/>
        <v>2552372.2334440001</v>
      </c>
      <c r="AE35" s="3">
        <f t="shared" si="13"/>
        <v>29321439.782668002</v>
      </c>
    </row>
    <row r="36" spans="1:31" x14ac:dyDescent="0.3">
      <c r="B36" t="s">
        <v>17</v>
      </c>
      <c r="D36" s="5">
        <v>35256140</v>
      </c>
      <c r="E36" s="5">
        <v>31617518</v>
      </c>
      <c r="F36" s="5">
        <v>36750658</v>
      </c>
      <c r="G36" s="5">
        <v>34753100</v>
      </c>
      <c r="H36" s="5">
        <v>35551504</v>
      </c>
      <c r="I36" s="5">
        <v>34410688</v>
      </c>
      <c r="J36" s="5">
        <v>36445027</v>
      </c>
      <c r="K36" s="5">
        <v>36669177</v>
      </c>
      <c r="L36" s="5">
        <v>34310276</v>
      </c>
      <c r="M36" s="5">
        <v>89214.6</v>
      </c>
      <c r="N36" s="10">
        <v>71464286</v>
      </c>
      <c r="O36" s="10">
        <v>34572201.600000001</v>
      </c>
      <c r="P36" s="2">
        <f t="shared" si="12"/>
        <v>421889790.20000005</v>
      </c>
      <c r="Q36" s="2"/>
      <c r="R36" s="14">
        <v>4.3389999999999998E-2</v>
      </c>
      <c r="S36" s="3">
        <f t="shared" si="21"/>
        <v>1529763.9146</v>
      </c>
      <c r="T36" s="3">
        <f t="shared" si="21"/>
        <v>1371884.1060199998</v>
      </c>
      <c r="U36" s="3">
        <f t="shared" si="21"/>
        <v>1594611.0506199999</v>
      </c>
      <c r="V36" s="3">
        <f t="shared" si="21"/>
        <v>1507937.0089999998</v>
      </c>
      <c r="W36" s="3">
        <f t="shared" si="21"/>
        <v>1542579.75856</v>
      </c>
      <c r="X36" s="3">
        <f t="shared" si="21"/>
        <v>1493079.75232</v>
      </c>
      <c r="Y36" s="3">
        <f t="shared" si="21"/>
        <v>1581349.72153</v>
      </c>
      <c r="Z36" s="3">
        <f t="shared" si="21"/>
        <v>1591075.5900299998</v>
      </c>
      <c r="AA36" s="3">
        <f t="shared" si="21"/>
        <v>1488722.87564</v>
      </c>
      <c r="AB36" s="3">
        <f t="shared" si="21"/>
        <v>3871.0214940000001</v>
      </c>
      <c r="AC36" s="24">
        <f t="shared" si="21"/>
        <v>3100835.3695399999</v>
      </c>
      <c r="AD36" s="24">
        <f t="shared" si="21"/>
        <v>1500087.827424</v>
      </c>
      <c r="AE36" s="3">
        <f t="shared" si="13"/>
        <v>18305797.996777996</v>
      </c>
    </row>
    <row r="37" spans="1:31" x14ac:dyDescent="0.3">
      <c r="B37" t="s">
        <v>19</v>
      </c>
      <c r="D37" s="2">
        <f t="shared" ref="D37:O40" si="22">S37/$R37</f>
        <v>98661.230769230766</v>
      </c>
      <c r="E37" s="2">
        <f t="shared" si="22"/>
        <v>99643.38461538461</v>
      </c>
      <c r="F37" s="2">
        <f t="shared" si="22"/>
        <v>97332.923076923078</v>
      </c>
      <c r="G37" s="2">
        <f t="shared" si="22"/>
        <v>92972.307692307688</v>
      </c>
      <c r="H37" s="2">
        <f t="shared" si="22"/>
        <v>100207.38461538461</v>
      </c>
      <c r="I37" s="2">
        <f t="shared" si="22"/>
        <v>99048.923076923078</v>
      </c>
      <c r="J37" s="2">
        <f t="shared" si="22"/>
        <v>103838.76923076923</v>
      </c>
      <c r="K37" s="2">
        <f t="shared" si="22"/>
        <v>106422.46153846153</v>
      </c>
      <c r="L37" s="2">
        <f t="shared" si="22"/>
        <v>108242.76923076923</v>
      </c>
      <c r="M37" s="2">
        <f t="shared" si="22"/>
        <v>34510.643076923079</v>
      </c>
      <c r="N37" s="19">
        <f t="shared" si="22"/>
        <v>155548.30461538461</v>
      </c>
      <c r="O37" s="19">
        <f t="shared" si="22"/>
        <v>100905.38923076923</v>
      </c>
      <c r="P37" s="2">
        <f t="shared" si="12"/>
        <v>1197334.4907692308</v>
      </c>
      <c r="Q37" s="2"/>
      <c r="R37" s="13">
        <v>6.5</v>
      </c>
      <c r="S37" s="4">
        <v>641298</v>
      </c>
      <c r="T37" s="4">
        <v>647682</v>
      </c>
      <c r="U37" s="4">
        <v>632664</v>
      </c>
      <c r="V37" s="4">
        <v>604320</v>
      </c>
      <c r="W37" s="4">
        <v>651348</v>
      </c>
      <c r="X37" s="4">
        <v>643818</v>
      </c>
      <c r="Y37" s="4">
        <v>674952</v>
      </c>
      <c r="Z37" s="4">
        <v>691746</v>
      </c>
      <c r="AA37" s="4">
        <v>703578</v>
      </c>
      <c r="AB37" s="4">
        <v>224319.18</v>
      </c>
      <c r="AC37" s="11">
        <v>1011063.98</v>
      </c>
      <c r="AD37" s="11">
        <v>655885.03</v>
      </c>
      <c r="AE37" s="3">
        <f t="shared" si="13"/>
        <v>7782674.1900000004</v>
      </c>
    </row>
    <row r="38" spans="1:31" x14ac:dyDescent="0.3">
      <c r="B38" t="s">
        <v>22</v>
      </c>
      <c r="D38" s="2">
        <f t="shared" si="22"/>
        <v>99196</v>
      </c>
      <c r="E38" s="2">
        <f t="shared" si="22"/>
        <v>95907</v>
      </c>
      <c r="F38" s="2">
        <f t="shared" si="22"/>
        <v>93516</v>
      </c>
      <c r="G38" s="2">
        <f t="shared" si="22"/>
        <v>91376</v>
      </c>
      <c r="H38" s="2">
        <f t="shared" si="22"/>
        <v>100162</v>
      </c>
      <c r="I38" s="2">
        <f t="shared" si="22"/>
        <v>100252</v>
      </c>
      <c r="J38" s="2">
        <f t="shared" si="22"/>
        <v>102152</v>
      </c>
      <c r="K38" s="2">
        <f t="shared" si="22"/>
        <v>104866</v>
      </c>
      <c r="L38" s="2">
        <f t="shared" si="22"/>
        <v>101756</v>
      </c>
      <c r="M38" s="2">
        <f t="shared" si="22"/>
        <v>72498.549999999988</v>
      </c>
      <c r="N38" s="19">
        <f t="shared" si="22"/>
        <v>109584.85</v>
      </c>
      <c r="O38" s="19">
        <f t="shared" si="22"/>
        <v>100799.79999999999</v>
      </c>
      <c r="P38" s="2">
        <f t="shared" si="12"/>
        <v>1172066.2000000002</v>
      </c>
      <c r="Q38" s="2"/>
      <c r="R38" s="13">
        <v>-0.2</v>
      </c>
      <c r="S38" s="4">
        <v>-19839.2</v>
      </c>
      <c r="T38" s="4">
        <v>-19181.400000000001</v>
      </c>
      <c r="U38" s="4">
        <v>-18703.2</v>
      </c>
      <c r="V38" s="4">
        <v>-18275.2</v>
      </c>
      <c r="W38" s="4">
        <v>-20032.400000000001</v>
      </c>
      <c r="X38" s="4">
        <v>-20050.400000000001</v>
      </c>
      <c r="Y38" s="4">
        <v>-20430.400000000001</v>
      </c>
      <c r="Z38" s="4">
        <v>-20973.200000000001</v>
      </c>
      <c r="AA38" s="4">
        <v>-20351.2</v>
      </c>
      <c r="AB38" s="4">
        <v>-14499.71</v>
      </c>
      <c r="AC38" s="11">
        <v>-21916.97</v>
      </c>
      <c r="AD38" s="11">
        <v>-20159.96</v>
      </c>
      <c r="AE38" s="3">
        <f t="shared" si="13"/>
        <v>-234413.24</v>
      </c>
    </row>
    <row r="39" spans="1:31" x14ac:dyDescent="0.3">
      <c r="B39" t="s">
        <v>23</v>
      </c>
      <c r="D39" s="2">
        <f t="shared" si="22"/>
        <v>10002.999999999998</v>
      </c>
      <c r="E39" s="2">
        <f t="shared" si="22"/>
        <v>12397</v>
      </c>
      <c r="F39" s="2">
        <f t="shared" si="22"/>
        <v>12163.999999999998</v>
      </c>
      <c r="G39" s="2">
        <f t="shared" si="22"/>
        <v>10076</v>
      </c>
      <c r="H39" s="2">
        <f t="shared" si="22"/>
        <v>9557</v>
      </c>
      <c r="I39" s="2">
        <f t="shared" si="22"/>
        <v>9747.9999999999982</v>
      </c>
      <c r="J39" s="2">
        <f t="shared" si="22"/>
        <v>9387.9999999999982</v>
      </c>
      <c r="K39" s="2">
        <f t="shared" si="22"/>
        <v>10857</v>
      </c>
      <c r="L39" s="2">
        <f t="shared" si="22"/>
        <v>11531</v>
      </c>
      <c r="M39" s="2">
        <f t="shared" si="22"/>
        <v>0</v>
      </c>
      <c r="N39" s="19">
        <f t="shared" si="22"/>
        <v>23184</v>
      </c>
      <c r="O39" s="19">
        <f t="shared" si="22"/>
        <v>0</v>
      </c>
      <c r="P39" s="2">
        <f t="shared" si="12"/>
        <v>118905</v>
      </c>
      <c r="Q39" s="2"/>
      <c r="R39" s="13">
        <v>-1.1000000000000001</v>
      </c>
      <c r="S39" s="4">
        <v>-11003.3</v>
      </c>
      <c r="T39" s="4">
        <v>-13636.7</v>
      </c>
      <c r="U39" s="4">
        <v>-13380.4</v>
      </c>
      <c r="V39" s="4">
        <v>-11083.6</v>
      </c>
      <c r="W39" s="4">
        <v>-10512.7</v>
      </c>
      <c r="X39" s="4">
        <v>-10722.8</v>
      </c>
      <c r="Y39" s="4">
        <v>-10326.799999999999</v>
      </c>
      <c r="Z39" s="4">
        <v>-11942.7</v>
      </c>
      <c r="AA39" s="4">
        <v>-12684.1</v>
      </c>
      <c r="AB39" s="4">
        <v>0</v>
      </c>
      <c r="AC39" s="11">
        <v>-25502.400000000001</v>
      </c>
      <c r="AD39" s="11">
        <v>0</v>
      </c>
      <c r="AE39" s="3">
        <f t="shared" si="13"/>
        <v>-130795.5</v>
      </c>
    </row>
    <row r="40" spans="1:31" x14ac:dyDescent="0.3">
      <c r="B40" t="s">
        <v>24</v>
      </c>
      <c r="D40" s="2">
        <f t="shared" si="22"/>
        <v>51696</v>
      </c>
      <c r="E40" s="2">
        <f t="shared" si="22"/>
        <v>52704.000000000007</v>
      </c>
      <c r="F40" s="2">
        <f t="shared" si="22"/>
        <v>53137.000000000007</v>
      </c>
      <c r="G40" s="2">
        <f t="shared" si="22"/>
        <v>52128</v>
      </c>
      <c r="H40" s="2">
        <f t="shared" si="22"/>
        <v>51984.000000000007</v>
      </c>
      <c r="I40" s="2">
        <f t="shared" si="22"/>
        <v>51840</v>
      </c>
      <c r="J40" s="2">
        <f t="shared" si="22"/>
        <v>52416</v>
      </c>
      <c r="K40" s="2">
        <f t="shared" si="22"/>
        <v>52128</v>
      </c>
      <c r="L40" s="2">
        <f t="shared" si="22"/>
        <v>52272.000000000007</v>
      </c>
      <c r="M40" s="2">
        <f t="shared" si="22"/>
        <v>0</v>
      </c>
      <c r="N40" s="19">
        <f t="shared" si="22"/>
        <v>108145</v>
      </c>
      <c r="O40" s="19">
        <f t="shared" si="22"/>
        <v>0</v>
      </c>
      <c r="P40" s="2">
        <f t="shared" si="12"/>
        <v>578450</v>
      </c>
      <c r="Q40" s="2"/>
      <c r="R40" s="13">
        <v>-1.4</v>
      </c>
      <c r="S40" s="4">
        <v>-72374.399999999994</v>
      </c>
      <c r="T40" s="4">
        <v>-73785.600000000006</v>
      </c>
      <c r="U40" s="4">
        <v>-74391.8</v>
      </c>
      <c r="V40" s="4">
        <v>-72979.199999999997</v>
      </c>
      <c r="W40" s="4">
        <v>-72777.600000000006</v>
      </c>
      <c r="X40" s="4">
        <v>-72576</v>
      </c>
      <c r="Y40" s="4">
        <v>-73382.399999999994</v>
      </c>
      <c r="Z40" s="4">
        <v>-72979.199999999997</v>
      </c>
      <c r="AA40" s="4">
        <v>-73180.800000000003</v>
      </c>
      <c r="AB40" s="4">
        <v>0</v>
      </c>
      <c r="AC40" s="11">
        <v>-151403</v>
      </c>
      <c r="AD40" s="11">
        <v>0</v>
      </c>
      <c r="AE40" s="3">
        <f t="shared" si="13"/>
        <v>-809830</v>
      </c>
    </row>
    <row r="41" spans="1:31" x14ac:dyDescent="0.3">
      <c r="A41" t="s">
        <v>44</v>
      </c>
      <c r="B41" t="s">
        <v>14</v>
      </c>
      <c r="D41" s="5">
        <v>31</v>
      </c>
      <c r="E41" s="5">
        <v>79</v>
      </c>
      <c r="F41" s="5">
        <v>50</v>
      </c>
      <c r="G41" s="5">
        <v>44</v>
      </c>
      <c r="H41" s="5">
        <v>47</v>
      </c>
      <c r="I41" s="5">
        <v>48</v>
      </c>
      <c r="J41" s="5">
        <v>47</v>
      </c>
      <c r="K41" s="5">
        <v>48</v>
      </c>
      <c r="L41" s="5">
        <v>48</v>
      </c>
      <c r="M41" s="5">
        <v>49</v>
      </c>
      <c r="N41" s="10">
        <v>49</v>
      </c>
      <c r="O41" s="10">
        <v>49</v>
      </c>
      <c r="P41" s="2">
        <f t="shared" si="12"/>
        <v>589</v>
      </c>
      <c r="Q41" s="2"/>
      <c r="R41" s="13">
        <v>20</v>
      </c>
      <c r="S41" s="3">
        <f t="shared" ref="S41:AD42" si="23">$R41*D41</f>
        <v>620</v>
      </c>
      <c r="T41" s="3">
        <f t="shared" si="23"/>
        <v>1580</v>
      </c>
      <c r="U41" s="3">
        <f t="shared" si="23"/>
        <v>1000</v>
      </c>
      <c r="V41" s="3">
        <f t="shared" si="23"/>
        <v>880</v>
      </c>
      <c r="W41" s="3">
        <f t="shared" si="23"/>
        <v>940</v>
      </c>
      <c r="X41" s="3">
        <f t="shared" si="23"/>
        <v>960</v>
      </c>
      <c r="Y41" s="3">
        <f t="shared" si="23"/>
        <v>940</v>
      </c>
      <c r="Z41" s="3">
        <f t="shared" si="23"/>
        <v>960</v>
      </c>
      <c r="AA41" s="3">
        <f t="shared" si="23"/>
        <v>960</v>
      </c>
      <c r="AB41" s="3">
        <f t="shared" si="23"/>
        <v>980</v>
      </c>
      <c r="AC41" s="24">
        <f t="shared" si="23"/>
        <v>980</v>
      </c>
      <c r="AD41" s="24">
        <f t="shared" si="23"/>
        <v>980</v>
      </c>
      <c r="AE41" s="3">
        <f t="shared" si="13"/>
        <v>11780</v>
      </c>
    </row>
    <row r="42" spans="1:31" x14ac:dyDescent="0.3">
      <c r="B42" t="s">
        <v>17</v>
      </c>
      <c r="D42" s="5">
        <v>7860</v>
      </c>
      <c r="E42" s="5">
        <v>8040</v>
      </c>
      <c r="F42" s="5">
        <v>7200</v>
      </c>
      <c r="G42" s="5">
        <v>69980</v>
      </c>
      <c r="H42" s="5">
        <v>1899240</v>
      </c>
      <c r="I42" s="5">
        <v>4100420</v>
      </c>
      <c r="J42" s="5">
        <v>6298940</v>
      </c>
      <c r="K42" s="5">
        <v>6156300</v>
      </c>
      <c r="L42" s="5">
        <v>4962600</v>
      </c>
      <c r="M42" s="5">
        <v>3146720</v>
      </c>
      <c r="N42" s="10">
        <v>286060</v>
      </c>
      <c r="O42" s="10">
        <v>13480</v>
      </c>
      <c r="P42" s="2">
        <f t="shared" si="12"/>
        <v>26956840</v>
      </c>
      <c r="Q42" s="2"/>
      <c r="R42" s="14">
        <v>7.2459999999999997E-2</v>
      </c>
      <c r="S42" s="3">
        <f t="shared" si="23"/>
        <v>569.53559999999993</v>
      </c>
      <c r="T42" s="3">
        <f t="shared" si="23"/>
        <v>582.57839999999999</v>
      </c>
      <c r="U42" s="3">
        <f t="shared" si="23"/>
        <v>521.71199999999999</v>
      </c>
      <c r="V42" s="3">
        <f t="shared" si="23"/>
        <v>5070.7507999999998</v>
      </c>
      <c r="W42" s="3">
        <f t="shared" si="23"/>
        <v>137618.93039999998</v>
      </c>
      <c r="X42" s="3">
        <f t="shared" si="23"/>
        <v>297116.43319999997</v>
      </c>
      <c r="Y42" s="3">
        <f t="shared" si="23"/>
        <v>456421.1924</v>
      </c>
      <c r="Z42" s="3">
        <f t="shared" si="23"/>
        <v>446085.49799999996</v>
      </c>
      <c r="AA42" s="3">
        <f t="shared" si="23"/>
        <v>359589.99599999998</v>
      </c>
      <c r="AB42" s="3">
        <f t="shared" si="23"/>
        <v>228011.33119999999</v>
      </c>
      <c r="AC42" s="24">
        <f t="shared" si="23"/>
        <v>20727.907599999999</v>
      </c>
      <c r="AD42" s="24">
        <f t="shared" si="23"/>
        <v>976.7607999999999</v>
      </c>
      <c r="AE42" s="3">
        <f t="shared" si="13"/>
        <v>1953292.6264</v>
      </c>
    </row>
    <row r="43" spans="1:31" x14ac:dyDescent="0.3">
      <c r="B43" t="s">
        <v>20</v>
      </c>
      <c r="D43" s="2">
        <f t="shared" ref="D43:O43" si="24">S43/$R43</f>
        <v>0</v>
      </c>
      <c r="E43" s="2">
        <f t="shared" si="24"/>
        <v>0</v>
      </c>
      <c r="F43" s="2">
        <f t="shared" si="24"/>
        <v>0</v>
      </c>
      <c r="G43" s="2">
        <f t="shared" si="24"/>
        <v>-27.4</v>
      </c>
      <c r="H43" s="2">
        <f t="shared" si="24"/>
        <v>220.06</v>
      </c>
      <c r="I43" s="2">
        <f t="shared" si="24"/>
        <v>292</v>
      </c>
      <c r="J43" s="2">
        <f t="shared" si="24"/>
        <v>406.18</v>
      </c>
      <c r="K43" s="2">
        <f t="shared" si="24"/>
        <v>419.48</v>
      </c>
      <c r="L43" s="2">
        <f t="shared" si="24"/>
        <v>374.04</v>
      </c>
      <c r="M43" s="2">
        <f t="shared" si="24"/>
        <v>337.68</v>
      </c>
      <c r="N43" s="19">
        <f t="shared" si="24"/>
        <v>266.12</v>
      </c>
      <c r="O43" s="19">
        <f t="shared" si="24"/>
        <v>6.16</v>
      </c>
      <c r="P43" s="2">
        <f t="shared" si="12"/>
        <v>2294.3199999999997</v>
      </c>
      <c r="Q43" s="2"/>
      <c r="R43" s="13">
        <v>0.5</v>
      </c>
      <c r="S43" s="4">
        <v>0</v>
      </c>
      <c r="T43" s="4">
        <v>0</v>
      </c>
      <c r="U43" s="4">
        <v>0</v>
      </c>
      <c r="V43" s="4">
        <v>-13.7</v>
      </c>
      <c r="W43" s="4">
        <v>110.03</v>
      </c>
      <c r="X43" s="4">
        <v>146</v>
      </c>
      <c r="Y43" s="4">
        <v>203.09</v>
      </c>
      <c r="Z43" s="4">
        <v>209.74</v>
      </c>
      <c r="AA43" s="4">
        <v>187.02</v>
      </c>
      <c r="AB43" s="4">
        <v>168.84</v>
      </c>
      <c r="AC43" s="11">
        <v>133.06</v>
      </c>
      <c r="AD43" s="11">
        <v>3.08</v>
      </c>
      <c r="AE43" s="3">
        <f t="shared" si="13"/>
        <v>1147.1599999999999</v>
      </c>
    </row>
    <row r="44" spans="1:31" x14ac:dyDescent="0.3">
      <c r="A44" t="s">
        <v>41</v>
      </c>
      <c r="B44" t="s">
        <v>14</v>
      </c>
      <c r="D44" s="5">
        <v>1200</v>
      </c>
      <c r="E44" s="5">
        <v>1143</v>
      </c>
      <c r="F44" s="5">
        <v>1206</v>
      </c>
      <c r="G44" s="5">
        <v>1195</v>
      </c>
      <c r="H44" s="5">
        <v>1175</v>
      </c>
      <c r="I44" s="5">
        <v>1201</v>
      </c>
      <c r="J44" s="5">
        <v>1196</v>
      </c>
      <c r="K44" s="5">
        <v>1225</v>
      </c>
      <c r="L44" s="5">
        <v>1199</v>
      </c>
      <c r="M44" s="5">
        <v>1188</v>
      </c>
      <c r="N44" s="10">
        <v>1183</v>
      </c>
      <c r="O44" s="10">
        <v>1144</v>
      </c>
      <c r="P44" s="2">
        <f t="shared" si="12"/>
        <v>14255</v>
      </c>
      <c r="Q44" s="2"/>
      <c r="R44" s="13">
        <v>20</v>
      </c>
      <c r="S44" s="3">
        <f t="shared" ref="S44:AD47" si="25">$R44*D44</f>
        <v>24000</v>
      </c>
      <c r="T44" s="3">
        <f t="shared" si="25"/>
        <v>22860</v>
      </c>
      <c r="U44" s="3">
        <f t="shared" si="25"/>
        <v>24120</v>
      </c>
      <c r="V44" s="3">
        <f t="shared" si="25"/>
        <v>23900</v>
      </c>
      <c r="W44" s="3">
        <f t="shared" si="25"/>
        <v>23500</v>
      </c>
      <c r="X44" s="3">
        <f t="shared" si="25"/>
        <v>24020</v>
      </c>
      <c r="Y44" s="3">
        <f t="shared" si="25"/>
        <v>23920</v>
      </c>
      <c r="Z44" s="3">
        <f t="shared" si="25"/>
        <v>24500</v>
      </c>
      <c r="AA44" s="3">
        <f t="shared" si="25"/>
        <v>23980</v>
      </c>
      <c r="AB44" s="3">
        <f t="shared" si="25"/>
        <v>23760</v>
      </c>
      <c r="AC44" s="24">
        <f t="shared" si="25"/>
        <v>23660</v>
      </c>
      <c r="AD44" s="24">
        <f t="shared" si="25"/>
        <v>22880</v>
      </c>
      <c r="AE44" s="3">
        <f t="shared" si="13"/>
        <v>285100</v>
      </c>
    </row>
    <row r="45" spans="1:31" x14ac:dyDescent="0.3">
      <c r="B45" t="s">
        <v>15</v>
      </c>
      <c r="D45" s="5">
        <v>1478720.625</v>
      </c>
      <c r="E45" s="5">
        <v>1718636.1333300001</v>
      </c>
      <c r="F45" s="5">
        <v>1659190.6666699999</v>
      </c>
      <c r="G45" s="5">
        <v>1666642.5049999999</v>
      </c>
      <c r="H45" s="5">
        <v>2123003.9633399998</v>
      </c>
      <c r="I45" s="5">
        <v>3505546.28999</v>
      </c>
      <c r="J45" s="5">
        <v>4289940.7666699998</v>
      </c>
      <c r="K45" s="5">
        <v>4859115.28</v>
      </c>
      <c r="L45" s="5">
        <v>4148499.0616799998</v>
      </c>
      <c r="M45" s="5">
        <v>2928632.4063300001</v>
      </c>
      <c r="N45" s="10">
        <v>2003034.96649</v>
      </c>
      <c r="O45" s="10">
        <v>1195001.0963300001</v>
      </c>
      <c r="P45" s="2">
        <f t="shared" si="12"/>
        <v>31575963.76083</v>
      </c>
      <c r="Q45" s="2"/>
      <c r="R45" s="14">
        <v>0.10022</v>
      </c>
      <c r="S45" s="3">
        <f t="shared" si="25"/>
        <v>148197.38103750002</v>
      </c>
      <c r="T45" s="3">
        <f t="shared" si="25"/>
        <v>172241.71328233261</v>
      </c>
      <c r="U45" s="3">
        <f t="shared" si="25"/>
        <v>166284.08861366741</v>
      </c>
      <c r="V45" s="3">
        <f t="shared" si="25"/>
        <v>167030.91185109998</v>
      </c>
      <c r="W45" s="3">
        <f t="shared" si="25"/>
        <v>212767.4572059348</v>
      </c>
      <c r="X45" s="3">
        <f t="shared" si="25"/>
        <v>351325.84918279783</v>
      </c>
      <c r="Y45" s="3">
        <f t="shared" si="25"/>
        <v>429937.86363566737</v>
      </c>
      <c r="Z45" s="3">
        <f t="shared" si="25"/>
        <v>486980.53336160007</v>
      </c>
      <c r="AA45" s="3">
        <f t="shared" si="25"/>
        <v>415762.57596156962</v>
      </c>
      <c r="AB45" s="3">
        <f t="shared" si="25"/>
        <v>293507.53976239264</v>
      </c>
      <c r="AC45" s="24">
        <f t="shared" si="25"/>
        <v>200744.16434162779</v>
      </c>
      <c r="AD45" s="24">
        <f t="shared" si="25"/>
        <v>119763.00987419262</v>
      </c>
      <c r="AE45" s="3">
        <f t="shared" si="13"/>
        <v>3164543.0881103827</v>
      </c>
    </row>
    <row r="46" spans="1:31" x14ac:dyDescent="0.3">
      <c r="B46" t="s">
        <v>16</v>
      </c>
      <c r="D46" s="5">
        <v>448888.61</v>
      </c>
      <c r="E46" s="5">
        <v>449929.01</v>
      </c>
      <c r="F46" s="5">
        <v>418768.93333000003</v>
      </c>
      <c r="G46" s="5">
        <v>407118.42</v>
      </c>
      <c r="H46" s="5">
        <v>634169.76665999996</v>
      </c>
      <c r="I46" s="5">
        <v>1119674.8300099999</v>
      </c>
      <c r="J46" s="5">
        <v>1426221.53333</v>
      </c>
      <c r="K46" s="5">
        <v>1506306.32333</v>
      </c>
      <c r="L46" s="5">
        <v>1326873.73832</v>
      </c>
      <c r="M46" s="5">
        <v>750018.21666999999</v>
      </c>
      <c r="N46" s="10">
        <v>429747.50234000001</v>
      </c>
      <c r="O46" s="10">
        <v>355199.95867000002</v>
      </c>
      <c r="P46" s="2">
        <f t="shared" si="12"/>
        <v>9272916.8426600005</v>
      </c>
      <c r="Q46" s="2"/>
      <c r="R46" s="14">
        <v>0.10022</v>
      </c>
      <c r="S46" s="3">
        <f t="shared" si="25"/>
        <v>44987.616494200003</v>
      </c>
      <c r="T46" s="3">
        <f t="shared" si="25"/>
        <v>45091.885382200002</v>
      </c>
      <c r="U46" s="3">
        <f t="shared" si="25"/>
        <v>41969.022498332604</v>
      </c>
      <c r="V46" s="3">
        <f t="shared" si="25"/>
        <v>40801.408052400002</v>
      </c>
      <c r="W46" s="3">
        <f t="shared" si="25"/>
        <v>63556.494014665201</v>
      </c>
      <c r="X46" s="3">
        <f t="shared" si="25"/>
        <v>112213.81146360219</v>
      </c>
      <c r="Y46" s="3">
        <f t="shared" si="25"/>
        <v>142935.9220703326</v>
      </c>
      <c r="Z46" s="3">
        <f t="shared" si="25"/>
        <v>150962.01972413261</v>
      </c>
      <c r="AA46" s="3">
        <f t="shared" si="25"/>
        <v>132979.28605443041</v>
      </c>
      <c r="AB46" s="3">
        <f t="shared" si="25"/>
        <v>75166.825674667401</v>
      </c>
      <c r="AC46" s="24">
        <f t="shared" si="25"/>
        <v>43069.294684514804</v>
      </c>
      <c r="AD46" s="24">
        <f t="shared" si="25"/>
        <v>35598.139857907401</v>
      </c>
      <c r="AE46" s="3">
        <f t="shared" si="13"/>
        <v>929331.72597138514</v>
      </c>
    </row>
    <row r="47" spans="1:31" x14ac:dyDescent="0.3">
      <c r="B47" t="s">
        <v>17</v>
      </c>
      <c r="D47" s="5">
        <v>1814805.7649999999</v>
      </c>
      <c r="E47" s="5">
        <v>1930699.8566699999</v>
      </c>
      <c r="F47" s="5">
        <v>2198554.4</v>
      </c>
      <c r="G47" s="5">
        <v>2050084.075</v>
      </c>
      <c r="H47" s="5">
        <v>2194345.27</v>
      </c>
      <c r="I47" s="5">
        <v>5346613.88</v>
      </c>
      <c r="J47" s="5">
        <v>10366946.699999999</v>
      </c>
      <c r="K47" s="5">
        <v>16139622.896670001</v>
      </c>
      <c r="L47" s="5">
        <v>11328198.199999999</v>
      </c>
      <c r="M47" s="5">
        <v>4283155.57</v>
      </c>
      <c r="N47" s="10">
        <v>1890493.1211699999</v>
      </c>
      <c r="O47" s="10">
        <v>1552965.108</v>
      </c>
      <c r="P47" s="2">
        <f t="shared" si="12"/>
        <v>61096484.84251</v>
      </c>
      <c r="Q47" s="2"/>
      <c r="R47" s="14">
        <v>7.2459999999999997E-2</v>
      </c>
      <c r="S47" s="3">
        <f t="shared" si="25"/>
        <v>131500.8257319</v>
      </c>
      <c r="T47" s="3">
        <f t="shared" si="25"/>
        <v>139898.5116143082</v>
      </c>
      <c r="U47" s="3">
        <f t="shared" si="25"/>
        <v>159307.25182399998</v>
      </c>
      <c r="V47" s="3">
        <f t="shared" si="25"/>
        <v>148549.09207449999</v>
      </c>
      <c r="W47" s="3">
        <f t="shared" si="25"/>
        <v>159002.25826420001</v>
      </c>
      <c r="X47" s="3">
        <f t="shared" si="25"/>
        <v>387415.64174479997</v>
      </c>
      <c r="Y47" s="3">
        <f t="shared" si="25"/>
        <v>751188.9578819999</v>
      </c>
      <c r="Z47" s="3">
        <f t="shared" si="25"/>
        <v>1169477.0750927082</v>
      </c>
      <c r="AA47" s="3">
        <f t="shared" si="25"/>
        <v>820841.24157199985</v>
      </c>
      <c r="AB47" s="3">
        <f t="shared" si="25"/>
        <v>310357.45260220004</v>
      </c>
      <c r="AC47" s="24">
        <f t="shared" si="25"/>
        <v>136985.13155997818</v>
      </c>
      <c r="AD47" s="24">
        <f t="shared" si="25"/>
        <v>112527.85172568</v>
      </c>
      <c r="AE47" s="3">
        <f t="shared" si="13"/>
        <v>4427051.2916882746</v>
      </c>
    </row>
    <row r="48" spans="1:31" x14ac:dyDescent="0.3">
      <c r="B48" t="s">
        <v>20</v>
      </c>
      <c r="D48" s="2">
        <f t="shared" ref="D48:O48" si="26">S48/$R48</f>
        <v>353.62</v>
      </c>
      <c r="E48" s="2">
        <f t="shared" si="26"/>
        <v>380.66</v>
      </c>
      <c r="F48" s="2">
        <f t="shared" si="26"/>
        <v>349.84</v>
      </c>
      <c r="G48" s="2">
        <f t="shared" si="26"/>
        <v>332.22</v>
      </c>
      <c r="H48" s="2">
        <f t="shared" si="26"/>
        <v>471.3</v>
      </c>
      <c r="I48" s="2">
        <f t="shared" si="26"/>
        <v>427.92</v>
      </c>
      <c r="J48" s="2">
        <f t="shared" si="26"/>
        <v>471.04</v>
      </c>
      <c r="K48" s="2">
        <f t="shared" si="26"/>
        <v>623.05999999999995</v>
      </c>
      <c r="L48" s="2">
        <f t="shared" si="26"/>
        <v>591.74</v>
      </c>
      <c r="M48" s="2">
        <f t="shared" si="26"/>
        <v>1165.3800000000001</v>
      </c>
      <c r="N48" s="19">
        <f t="shared" si="26"/>
        <v>499.38</v>
      </c>
      <c r="O48" s="19">
        <f t="shared" si="26"/>
        <v>300.08</v>
      </c>
      <c r="P48" s="2">
        <f t="shared" si="12"/>
        <v>5966.24</v>
      </c>
      <c r="Q48" s="2"/>
      <c r="R48" s="13">
        <v>0.5</v>
      </c>
      <c r="S48" s="4">
        <v>176.81</v>
      </c>
      <c r="T48" s="4">
        <v>190.33</v>
      </c>
      <c r="U48" s="4">
        <v>174.92</v>
      </c>
      <c r="V48" s="4">
        <v>166.11</v>
      </c>
      <c r="W48" s="4">
        <v>235.65</v>
      </c>
      <c r="X48" s="4">
        <v>213.96</v>
      </c>
      <c r="Y48" s="4">
        <v>235.52</v>
      </c>
      <c r="Z48" s="4">
        <v>311.52999999999997</v>
      </c>
      <c r="AA48" s="4">
        <v>295.87</v>
      </c>
      <c r="AB48" s="4">
        <v>582.69000000000005</v>
      </c>
      <c r="AC48" s="11">
        <v>249.69</v>
      </c>
      <c r="AD48" s="11">
        <v>150.04</v>
      </c>
      <c r="AE48" s="3">
        <f t="shared" si="13"/>
        <v>2983.12</v>
      </c>
    </row>
    <row r="49" spans="1:32" x14ac:dyDescent="0.3">
      <c r="A49" t="s">
        <v>42</v>
      </c>
      <c r="B49" t="s">
        <v>14</v>
      </c>
      <c r="D49" s="5">
        <v>1186</v>
      </c>
      <c r="E49" s="5">
        <v>1179</v>
      </c>
      <c r="F49" s="5">
        <v>1219</v>
      </c>
      <c r="G49" s="5">
        <v>1183</v>
      </c>
      <c r="H49" s="5">
        <v>1201</v>
      </c>
      <c r="I49" s="5">
        <v>1195</v>
      </c>
      <c r="J49" s="5">
        <v>1178</v>
      </c>
      <c r="K49" s="5">
        <v>1215</v>
      </c>
      <c r="L49" s="5">
        <v>1203</v>
      </c>
      <c r="M49" s="5">
        <v>1192</v>
      </c>
      <c r="N49" s="10">
        <v>1203</v>
      </c>
      <c r="O49" s="10">
        <v>1181</v>
      </c>
      <c r="P49" s="2">
        <f t="shared" si="12"/>
        <v>14335</v>
      </c>
      <c r="Q49" s="2"/>
      <c r="R49" s="13">
        <v>20</v>
      </c>
      <c r="S49" s="3">
        <f t="shared" ref="S49:AD52" si="27">$R49*D49</f>
        <v>23720</v>
      </c>
      <c r="T49" s="3">
        <f t="shared" si="27"/>
        <v>23580</v>
      </c>
      <c r="U49" s="3">
        <f t="shared" si="27"/>
        <v>24380</v>
      </c>
      <c r="V49" s="3">
        <f t="shared" si="27"/>
        <v>23660</v>
      </c>
      <c r="W49" s="3">
        <f t="shared" si="27"/>
        <v>24020</v>
      </c>
      <c r="X49" s="3">
        <f t="shared" si="27"/>
        <v>23900</v>
      </c>
      <c r="Y49" s="3">
        <f t="shared" si="27"/>
        <v>23560</v>
      </c>
      <c r="Z49" s="3">
        <f t="shared" si="27"/>
        <v>24300</v>
      </c>
      <c r="AA49" s="3">
        <f t="shared" si="27"/>
        <v>24060</v>
      </c>
      <c r="AB49" s="3">
        <f t="shared" si="27"/>
        <v>23840</v>
      </c>
      <c r="AC49" s="24">
        <f t="shared" si="27"/>
        <v>24060</v>
      </c>
      <c r="AD49" s="24">
        <f t="shared" si="27"/>
        <v>23620</v>
      </c>
      <c r="AE49" s="3">
        <f t="shared" si="13"/>
        <v>286700</v>
      </c>
    </row>
    <row r="50" spans="1:32" x14ac:dyDescent="0.3">
      <c r="B50" t="s">
        <v>15</v>
      </c>
      <c r="D50" s="5">
        <v>133695.65333</v>
      </c>
      <c r="E50" s="5">
        <v>123837.36667</v>
      </c>
      <c r="F50" s="5">
        <v>122020.88666</v>
      </c>
      <c r="G50" s="5">
        <v>126171.9</v>
      </c>
      <c r="H50" s="5">
        <v>190536.71</v>
      </c>
      <c r="I50" s="5">
        <v>291507.62667000003</v>
      </c>
      <c r="J50" s="5">
        <v>453425.51500999997</v>
      </c>
      <c r="K50" s="5">
        <v>525699.66833000001</v>
      </c>
      <c r="L50" s="5">
        <v>427437.78333000001</v>
      </c>
      <c r="M50" s="5">
        <v>260979.67165999999</v>
      </c>
      <c r="N50" s="10">
        <v>149859.28633</v>
      </c>
      <c r="O50" s="10">
        <v>113250.60867</v>
      </c>
      <c r="P50" s="2">
        <f t="shared" si="12"/>
        <v>2918422.6766600003</v>
      </c>
      <c r="Q50" s="2"/>
      <c r="R50" s="14">
        <v>9.9409999999999998E-2</v>
      </c>
      <c r="S50" s="3">
        <f t="shared" si="27"/>
        <v>13290.6848975353</v>
      </c>
      <c r="T50" s="3">
        <f t="shared" si="27"/>
        <v>12310.6726206647</v>
      </c>
      <c r="U50" s="3">
        <f t="shared" si="27"/>
        <v>12130.0963428706</v>
      </c>
      <c r="V50" s="3">
        <f t="shared" si="27"/>
        <v>12542.748578999999</v>
      </c>
      <c r="W50" s="3">
        <f t="shared" si="27"/>
        <v>18941.254341100001</v>
      </c>
      <c r="X50" s="3">
        <f t="shared" si="27"/>
        <v>28978.773167264702</v>
      </c>
      <c r="Y50" s="3">
        <f t="shared" si="27"/>
        <v>45075.030447144098</v>
      </c>
      <c r="Z50" s="3">
        <f t="shared" si="27"/>
        <v>52259.804028685299</v>
      </c>
      <c r="AA50" s="3">
        <f t="shared" si="27"/>
        <v>42491.590040835297</v>
      </c>
      <c r="AB50" s="3">
        <f t="shared" si="27"/>
        <v>25943.989159720601</v>
      </c>
      <c r="AC50" s="24">
        <f t="shared" si="27"/>
        <v>14897.5116540653</v>
      </c>
      <c r="AD50" s="24">
        <f t="shared" si="27"/>
        <v>11258.243007884699</v>
      </c>
      <c r="AE50" s="3">
        <f t="shared" si="13"/>
        <v>290120.39828677056</v>
      </c>
    </row>
    <row r="51" spans="1:32" x14ac:dyDescent="0.3">
      <c r="B51" t="s">
        <v>16</v>
      </c>
      <c r="D51" s="5">
        <v>71328.396670000002</v>
      </c>
      <c r="E51" s="5">
        <v>62443.883329999997</v>
      </c>
      <c r="F51" s="5">
        <v>58383.463340000002</v>
      </c>
      <c r="G51" s="5">
        <v>49910.75</v>
      </c>
      <c r="H51" s="5">
        <v>81879.429999999993</v>
      </c>
      <c r="I51" s="5">
        <v>145087.62333</v>
      </c>
      <c r="J51" s="5">
        <v>283295.58499</v>
      </c>
      <c r="K51" s="5">
        <v>346948.9</v>
      </c>
      <c r="L51" s="5">
        <v>255883.56667</v>
      </c>
      <c r="M51" s="5">
        <v>108942.44334</v>
      </c>
      <c r="N51" s="10">
        <v>45617.207329999997</v>
      </c>
      <c r="O51" s="10">
        <v>48370.222329999997</v>
      </c>
      <c r="P51" s="2">
        <f t="shared" si="12"/>
        <v>1558091.4713299999</v>
      </c>
      <c r="Q51" s="2"/>
      <c r="R51" s="14">
        <v>9.9409999999999998E-2</v>
      </c>
      <c r="S51" s="3">
        <f t="shared" si="27"/>
        <v>7090.7559129646997</v>
      </c>
      <c r="T51" s="3">
        <f t="shared" si="27"/>
        <v>6207.5464418352994</v>
      </c>
      <c r="U51" s="3">
        <f t="shared" si="27"/>
        <v>5803.9000906294004</v>
      </c>
      <c r="V51" s="3">
        <f t="shared" si="27"/>
        <v>4961.6276575000002</v>
      </c>
      <c r="W51" s="3">
        <f t="shared" si="27"/>
        <v>8139.6341362999992</v>
      </c>
      <c r="X51" s="3">
        <f t="shared" si="27"/>
        <v>14423.160635235299</v>
      </c>
      <c r="Y51" s="3">
        <f t="shared" si="27"/>
        <v>28162.414103855899</v>
      </c>
      <c r="Z51" s="3">
        <f t="shared" si="27"/>
        <v>34490.190149000002</v>
      </c>
      <c r="AA51" s="3">
        <f t="shared" si="27"/>
        <v>25437.3853626647</v>
      </c>
      <c r="AB51" s="3">
        <f t="shared" si="27"/>
        <v>10829.968292429399</v>
      </c>
      <c r="AC51" s="24">
        <f t="shared" si="27"/>
        <v>4534.8065806752993</v>
      </c>
      <c r="AD51" s="24">
        <f t="shared" si="27"/>
        <v>4808.4838018252995</v>
      </c>
      <c r="AE51" s="3">
        <f t="shared" si="13"/>
        <v>154889.87316491531</v>
      </c>
    </row>
    <row r="52" spans="1:32" x14ac:dyDescent="0.3">
      <c r="B52" t="s">
        <v>17</v>
      </c>
      <c r="D52" s="5">
        <v>159124.95000000001</v>
      </c>
      <c r="E52" s="5">
        <v>140293.75</v>
      </c>
      <c r="F52" s="5">
        <v>112397.65</v>
      </c>
      <c r="G52" s="5">
        <v>81256.350000000006</v>
      </c>
      <c r="H52" s="5">
        <v>190932.86</v>
      </c>
      <c r="I52" s="5">
        <v>401811.75</v>
      </c>
      <c r="J52" s="5">
        <v>735371.9</v>
      </c>
      <c r="K52" s="5">
        <v>1060411.4316700001</v>
      </c>
      <c r="L52" s="5">
        <v>694556.65</v>
      </c>
      <c r="M52" s="5">
        <v>210549.48</v>
      </c>
      <c r="N52" s="10">
        <v>75733.659669999994</v>
      </c>
      <c r="O52" s="10">
        <v>88356.558000000005</v>
      </c>
      <c r="P52" s="2">
        <f t="shared" si="12"/>
        <v>3950796.9893399999</v>
      </c>
      <c r="Q52" s="2"/>
      <c r="R52" s="14">
        <v>7.1650000000000005E-2</v>
      </c>
      <c r="S52" s="3">
        <f t="shared" si="27"/>
        <v>11401.302667500002</v>
      </c>
      <c r="T52" s="3">
        <f t="shared" si="27"/>
        <v>10052.0471875</v>
      </c>
      <c r="U52" s="3">
        <f t="shared" si="27"/>
        <v>8053.2916224999999</v>
      </c>
      <c r="V52" s="3">
        <f t="shared" si="27"/>
        <v>5822.0174775000005</v>
      </c>
      <c r="W52" s="3">
        <f t="shared" si="27"/>
        <v>13680.339419</v>
      </c>
      <c r="X52" s="3">
        <f t="shared" si="27"/>
        <v>28789.811887500004</v>
      </c>
      <c r="Y52" s="3">
        <f t="shared" si="27"/>
        <v>52689.396635000005</v>
      </c>
      <c r="Z52" s="3">
        <f t="shared" si="27"/>
        <v>75978.479079155513</v>
      </c>
      <c r="AA52" s="3">
        <f t="shared" si="27"/>
        <v>49764.983972500006</v>
      </c>
      <c r="AB52" s="3">
        <f t="shared" si="27"/>
        <v>15085.870242000003</v>
      </c>
      <c r="AC52" s="24">
        <f t="shared" si="27"/>
        <v>5426.3167153554996</v>
      </c>
      <c r="AD52" s="24">
        <f t="shared" si="27"/>
        <v>6330.7473807000006</v>
      </c>
      <c r="AE52" s="3">
        <f t="shared" si="13"/>
        <v>283074.60428621102</v>
      </c>
    </row>
    <row r="53" spans="1:32" x14ac:dyDescent="0.3">
      <c r="B53" t="s">
        <v>20</v>
      </c>
      <c r="D53" s="2">
        <f t="shared" ref="D53:O53" si="28">S53/$R53</f>
        <v>0</v>
      </c>
      <c r="E53" s="2">
        <f t="shared" si="28"/>
        <v>0</v>
      </c>
      <c r="F53" s="2">
        <f t="shared" si="28"/>
        <v>0</v>
      </c>
      <c r="G53" s="2">
        <f t="shared" si="28"/>
        <v>0</v>
      </c>
      <c r="H53" s="2">
        <f t="shared" si="28"/>
        <v>0</v>
      </c>
      <c r="I53" s="2">
        <f t="shared" si="28"/>
        <v>0</v>
      </c>
      <c r="J53" s="2">
        <f t="shared" si="28"/>
        <v>0</v>
      </c>
      <c r="K53" s="2">
        <f t="shared" si="28"/>
        <v>0</v>
      </c>
      <c r="L53" s="2">
        <f t="shared" si="28"/>
        <v>0</v>
      </c>
      <c r="M53" s="2">
        <f t="shared" si="28"/>
        <v>0</v>
      </c>
      <c r="N53" s="19">
        <f t="shared" si="28"/>
        <v>0</v>
      </c>
      <c r="O53" s="19">
        <f t="shared" si="28"/>
        <v>0</v>
      </c>
      <c r="P53" s="2">
        <f t="shared" si="12"/>
        <v>0</v>
      </c>
      <c r="Q53" s="2"/>
      <c r="R53" s="13">
        <v>0.5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11">
        <v>0</v>
      </c>
      <c r="AD53" s="11">
        <v>0</v>
      </c>
      <c r="AE53" s="3">
        <f t="shared" si="13"/>
        <v>0</v>
      </c>
    </row>
    <row r="54" spans="1:32" x14ac:dyDescent="0.3">
      <c r="A54" t="s">
        <v>32</v>
      </c>
      <c r="D54" s="5">
        <v>1861083.0099200001</v>
      </c>
      <c r="E54" s="5">
        <v>1693958.8991</v>
      </c>
      <c r="F54" s="5">
        <v>1658692.3422399999</v>
      </c>
      <c r="G54" s="5">
        <v>1702038.9818299999</v>
      </c>
      <c r="H54" s="5">
        <v>1658525.44881</v>
      </c>
      <c r="I54" s="5">
        <v>1491020.4002499999</v>
      </c>
      <c r="J54" s="5">
        <v>1482995.6702399999</v>
      </c>
      <c r="K54" s="5">
        <v>1608458.8040900002</v>
      </c>
      <c r="L54" s="5">
        <v>1608870.3910300001</v>
      </c>
      <c r="M54" s="5">
        <v>1609962.09457</v>
      </c>
      <c r="N54" s="10">
        <v>1520002.9113700001</v>
      </c>
      <c r="O54" s="10">
        <v>1665746.7816300001</v>
      </c>
      <c r="P54" s="2">
        <f t="shared" si="12"/>
        <v>19561355.735080004</v>
      </c>
      <c r="Q54" s="2"/>
      <c r="R54" s="13"/>
      <c r="S54" s="4">
        <v>571213.46</v>
      </c>
      <c r="T54" s="4">
        <v>579896.38</v>
      </c>
      <c r="U54" s="4">
        <v>573245.28</v>
      </c>
      <c r="V54" s="4">
        <v>566450.61</v>
      </c>
      <c r="W54" s="4">
        <v>568926.13000000012</v>
      </c>
      <c r="X54" s="4">
        <v>535062.18000000005</v>
      </c>
      <c r="Y54" s="4">
        <v>535661.22</v>
      </c>
      <c r="Z54" s="4">
        <v>571060.89000000013</v>
      </c>
      <c r="AA54" s="4">
        <v>571431.15</v>
      </c>
      <c r="AB54" s="4">
        <v>574583.76</v>
      </c>
      <c r="AC54" s="11">
        <v>555285.81000000006</v>
      </c>
      <c r="AD54" s="11">
        <v>573620.31999999995</v>
      </c>
      <c r="AE54" s="3">
        <f t="shared" si="13"/>
        <v>6776437.1900000013</v>
      </c>
    </row>
    <row r="56" spans="1:32" x14ac:dyDescent="0.3">
      <c r="A56" t="s">
        <v>34</v>
      </c>
      <c r="B56" t="s">
        <v>26</v>
      </c>
      <c r="D56" s="5">
        <v>160764583</v>
      </c>
      <c r="E56" s="5">
        <v>128468208</v>
      </c>
      <c r="F56" s="5">
        <v>117448141</v>
      </c>
      <c r="G56" s="5">
        <v>100059247</v>
      </c>
      <c r="H56" s="5">
        <v>97415886</v>
      </c>
      <c r="I56" s="5">
        <v>91625501</v>
      </c>
      <c r="J56" s="5">
        <v>112837401</v>
      </c>
      <c r="K56" s="5">
        <v>116885343</v>
      </c>
      <c r="L56" s="5">
        <v>92455751</v>
      </c>
      <c r="M56" s="5">
        <v>98182541</v>
      </c>
      <c r="N56" s="10">
        <v>119213068</v>
      </c>
      <c r="O56" s="10">
        <f>148528721+59850</f>
        <v>148588571</v>
      </c>
      <c r="P56" s="2">
        <f t="shared" si="12"/>
        <v>1383944241</v>
      </c>
      <c r="Q56" s="2"/>
      <c r="S56" s="3">
        <f>SUM(S4:S6)/SUM(D4:D6)*D56</f>
        <v>14897768.138001554</v>
      </c>
      <c r="T56" s="3">
        <f>SUM(T4:T6)/SUM(E4:E6)*E56</f>
        <v>11679183.896228625</v>
      </c>
      <c r="U56" s="3">
        <f t="shared" ref="U56:AB56" si="29">SUM(U4:U6)/SUM(F4:F6)*F56</f>
        <v>10437633.498373624</v>
      </c>
      <c r="V56" s="3">
        <f t="shared" si="29"/>
        <v>8695420.4883487578</v>
      </c>
      <c r="W56" s="3">
        <f t="shared" si="29"/>
        <v>8326996.7968506934</v>
      </c>
      <c r="X56" s="3">
        <f t="shared" si="29"/>
        <v>7789229.8619227819</v>
      </c>
      <c r="Y56" s="3">
        <f t="shared" si="29"/>
        <v>9716806.8758140374</v>
      </c>
      <c r="Z56" s="3">
        <f t="shared" si="29"/>
        <v>10204794.048903231</v>
      </c>
      <c r="AA56" s="3">
        <f t="shared" si="29"/>
        <v>7992209.5518728169</v>
      </c>
      <c r="AB56" s="3">
        <f t="shared" si="29"/>
        <v>8348036.5021221954</v>
      </c>
      <c r="AC56" s="24">
        <f t="shared" ref="AC56" si="30">SUM(AC4:AC6)/SUM(N4:N6)*N56</f>
        <v>10348388.825431263</v>
      </c>
      <c r="AD56" s="24">
        <f t="shared" ref="AD56" si="31">SUM(AD4:AD6)/SUM(O4:O6)*O56</f>
        <v>13257000.926305644</v>
      </c>
      <c r="AE56" s="3">
        <f t="shared" ref="AE56:AE86" si="32">SUM(S56:AD56)</f>
        <v>121693469.4101752</v>
      </c>
      <c r="AF56" t="s">
        <v>30</v>
      </c>
    </row>
    <row r="57" spans="1:32" x14ac:dyDescent="0.3">
      <c r="B57" t="s">
        <v>27</v>
      </c>
      <c r="D57" s="5">
        <v>-158594608</v>
      </c>
      <c r="E57" s="5">
        <v>-160764583</v>
      </c>
      <c r="F57" s="5">
        <v>-128468208</v>
      </c>
      <c r="G57" s="5">
        <v>-117448141</v>
      </c>
      <c r="H57" s="5">
        <v>-100059247</v>
      </c>
      <c r="I57" s="5">
        <v>-97415886</v>
      </c>
      <c r="J57" s="5">
        <v>-91625501</v>
      </c>
      <c r="K57" s="5">
        <v>-112837401</v>
      </c>
      <c r="L57" s="5">
        <v>-116885343</v>
      </c>
      <c r="M57" s="5">
        <v>-92455751</v>
      </c>
      <c r="N57" s="10">
        <v>-98182541</v>
      </c>
      <c r="O57" s="10">
        <v>-119213068</v>
      </c>
      <c r="P57" s="2">
        <f t="shared" si="12"/>
        <v>-1393950278</v>
      </c>
      <c r="Q57" s="2"/>
      <c r="S57" s="3">
        <f>SUM(S4:S6)/SUM(D4:D6)*D57</f>
        <v>-14696680.412011186</v>
      </c>
      <c r="T57" s="3">
        <f>-S56</f>
        <v>-14897768.138001554</v>
      </c>
      <c r="U57" s="3">
        <f t="shared" ref="U57:AB57" si="33">-T56</f>
        <v>-11679183.896228625</v>
      </c>
      <c r="V57" s="3">
        <f t="shared" si="33"/>
        <v>-10437633.498373624</v>
      </c>
      <c r="W57" s="3">
        <f t="shared" si="33"/>
        <v>-8695420.4883487578</v>
      </c>
      <c r="X57" s="3">
        <f t="shared" si="33"/>
        <v>-8326996.7968506934</v>
      </c>
      <c r="Y57" s="3">
        <f t="shared" si="33"/>
        <v>-7789229.8619227819</v>
      </c>
      <c r="Z57" s="3">
        <f t="shared" si="33"/>
        <v>-9716806.8758140374</v>
      </c>
      <c r="AA57" s="3">
        <f t="shared" si="33"/>
        <v>-10204794.048903231</v>
      </c>
      <c r="AB57" s="3">
        <f t="shared" si="33"/>
        <v>-7992209.5518728169</v>
      </c>
      <c r="AC57" s="24">
        <f t="shared" ref="AC57" si="34">-AB56</f>
        <v>-8348036.5021221954</v>
      </c>
      <c r="AD57" s="24">
        <f t="shared" ref="AD57" si="35">-AC56</f>
        <v>-10348388.825431263</v>
      </c>
      <c r="AE57" s="3">
        <f t="shared" si="32"/>
        <v>-123133148.89588076</v>
      </c>
      <c r="AF57" t="s">
        <v>31</v>
      </c>
    </row>
    <row r="58" spans="1:32" x14ac:dyDescent="0.3">
      <c r="B58" t="s">
        <v>25</v>
      </c>
      <c r="D58" s="6">
        <f>D56+D57</f>
        <v>2169975</v>
      </c>
      <c r="E58" s="6">
        <f t="shared" ref="E58:O58" si="36">E56+E57</f>
        <v>-32296375</v>
      </c>
      <c r="F58" s="6">
        <f t="shared" si="36"/>
        <v>-11020067</v>
      </c>
      <c r="G58" s="6">
        <f t="shared" si="36"/>
        <v>-17388894</v>
      </c>
      <c r="H58" s="6">
        <f t="shared" si="36"/>
        <v>-2643361</v>
      </c>
      <c r="I58" s="6">
        <f t="shared" si="36"/>
        <v>-5790385</v>
      </c>
      <c r="J58" s="6">
        <f t="shared" si="36"/>
        <v>21211900</v>
      </c>
      <c r="K58" s="6">
        <f t="shared" si="36"/>
        <v>4047942</v>
      </c>
      <c r="L58" s="6">
        <f t="shared" si="36"/>
        <v>-24429592</v>
      </c>
      <c r="M58" s="6">
        <f t="shared" si="36"/>
        <v>5726790</v>
      </c>
      <c r="N58" s="20">
        <f t="shared" si="36"/>
        <v>21030527</v>
      </c>
      <c r="O58" s="20">
        <f t="shared" si="36"/>
        <v>29375503</v>
      </c>
      <c r="P58" s="2">
        <f t="shared" si="12"/>
        <v>-10006037</v>
      </c>
      <c r="Q58" s="2"/>
      <c r="R58" s="14">
        <f>ROUND(SUM(AE4:AE6)/SUM(P4:P6),5)</f>
        <v>8.8109999999999994E-2</v>
      </c>
      <c r="S58" s="3">
        <f t="shared" ref="S58:AD58" si="37">$R58*D58</f>
        <v>191196.49724999999</v>
      </c>
      <c r="T58" s="3">
        <f t="shared" si="37"/>
        <v>-2845633.6012499998</v>
      </c>
      <c r="U58" s="3">
        <f t="shared" si="37"/>
        <v>-970978.10336999991</v>
      </c>
      <c r="V58" s="3">
        <f t="shared" si="37"/>
        <v>-1532135.45034</v>
      </c>
      <c r="W58" s="3">
        <f t="shared" si="37"/>
        <v>-232906.53770999998</v>
      </c>
      <c r="X58" s="3">
        <f t="shared" si="37"/>
        <v>-510190.82234999997</v>
      </c>
      <c r="Y58" s="3">
        <f t="shared" si="37"/>
        <v>1868980.5089999998</v>
      </c>
      <c r="Z58" s="3">
        <f t="shared" si="37"/>
        <v>356664.16962</v>
      </c>
      <c r="AA58" s="3">
        <f t="shared" si="37"/>
        <v>-2152491.3511199998</v>
      </c>
      <c r="AB58" s="3">
        <f t="shared" si="37"/>
        <v>504587.46689999994</v>
      </c>
      <c r="AC58" s="24">
        <f t="shared" si="37"/>
        <v>1852999.7339699999</v>
      </c>
      <c r="AD58" s="24">
        <f t="shared" si="37"/>
        <v>2588275.5693299999</v>
      </c>
      <c r="AE58" s="3">
        <f t="shared" si="32"/>
        <v>-881631.92006999999</v>
      </c>
      <c r="AF58" t="s">
        <v>33</v>
      </c>
    </row>
    <row r="59" spans="1:32" x14ac:dyDescent="0.3">
      <c r="A59" t="s">
        <v>35</v>
      </c>
      <c r="B59" t="s">
        <v>26</v>
      </c>
      <c r="D59" s="5">
        <v>509741</v>
      </c>
      <c r="E59" s="5">
        <v>386952</v>
      </c>
      <c r="F59" s="5">
        <v>343324</v>
      </c>
      <c r="G59" s="5">
        <v>279417</v>
      </c>
      <c r="H59" s="5">
        <v>259853</v>
      </c>
      <c r="I59" s="5">
        <v>199806</v>
      </c>
      <c r="J59" s="5">
        <v>240153</v>
      </c>
      <c r="K59" s="5">
        <v>238611</v>
      </c>
      <c r="L59" s="5">
        <v>191760</v>
      </c>
      <c r="M59" s="5">
        <v>210951</v>
      </c>
      <c r="N59" s="10">
        <v>302230</v>
      </c>
      <c r="O59" s="10">
        <v>351593</v>
      </c>
      <c r="P59" s="2">
        <f t="shared" si="12"/>
        <v>3514391</v>
      </c>
      <c r="Q59" s="2"/>
      <c r="S59" s="3">
        <f>SUM(S8:S10)/SUM(D8:D10)*D59</f>
        <v>32306.123017089583</v>
      </c>
      <c r="T59" s="3">
        <f>SUM(T8:T10)/SUM(E8:E10)*E59</f>
        <v>23717.213224384919</v>
      </c>
      <c r="U59" s="3">
        <f t="shared" ref="U59:AB59" si="38">SUM(U8:U10)/SUM(F8:F10)*F59</f>
        <v>20317.912535078081</v>
      </c>
      <c r="V59" s="3">
        <f t="shared" si="38"/>
        <v>15948.099650121096</v>
      </c>
      <c r="W59" s="3">
        <f t="shared" si="38"/>
        <v>14215.244039136485</v>
      </c>
      <c r="X59" s="3">
        <f t="shared" si="38"/>
        <v>10592.427629053909</v>
      </c>
      <c r="Y59" s="3">
        <f t="shared" si="38"/>
        <v>12896.177070735515</v>
      </c>
      <c r="Z59" s="3">
        <f t="shared" si="38"/>
        <v>12937.589597304808</v>
      </c>
      <c r="AA59" s="3">
        <f t="shared" si="38"/>
        <v>10326.983989206883</v>
      </c>
      <c r="AB59" s="3">
        <f t="shared" si="38"/>
        <v>11285.07829077413</v>
      </c>
      <c r="AC59" s="24">
        <f t="shared" ref="AC59" si="39">SUM(AC8:AC10)/SUM(N8:N10)*N59</f>
        <v>17120.546437920399</v>
      </c>
      <c r="AD59" s="24">
        <f t="shared" ref="AD59" si="40">SUM(AD8:AD10)/SUM(O8:O10)*O59</f>
        <v>20845.968668434583</v>
      </c>
      <c r="AE59" s="3">
        <f t="shared" si="32"/>
        <v>202509.3641492404</v>
      </c>
      <c r="AF59" t="s">
        <v>30</v>
      </c>
    </row>
    <row r="60" spans="1:32" x14ac:dyDescent="0.3">
      <c r="B60" t="s">
        <v>27</v>
      </c>
      <c r="D60" s="5">
        <v>-463234</v>
      </c>
      <c r="E60" s="5">
        <v>-509741</v>
      </c>
      <c r="F60" s="5">
        <v>-386952</v>
      </c>
      <c r="G60" s="5">
        <v>-343324</v>
      </c>
      <c r="H60" s="5">
        <v>-279417</v>
      </c>
      <c r="I60" s="5">
        <v>-259853</v>
      </c>
      <c r="J60" s="5">
        <v>-199806</v>
      </c>
      <c r="K60" s="5">
        <v>-240153</v>
      </c>
      <c r="L60" s="5">
        <v>-238611</v>
      </c>
      <c r="M60" s="5">
        <v>-191760</v>
      </c>
      <c r="N60" s="10">
        <v>-210951</v>
      </c>
      <c r="O60" s="10">
        <v>-302230</v>
      </c>
      <c r="P60" s="2">
        <f t="shared" si="12"/>
        <v>-3626032</v>
      </c>
      <c r="Q60" s="2"/>
      <c r="S60" s="3">
        <f>SUM(S8:S10)/SUM(D8:D10)*D60</f>
        <v>-29358.624457711812</v>
      </c>
      <c r="T60" s="3">
        <f>-S59</f>
        <v>-32306.123017089583</v>
      </c>
      <c r="U60" s="3">
        <f t="shared" ref="U60:AB60" si="41">-T59</f>
        <v>-23717.213224384919</v>
      </c>
      <c r="V60" s="3">
        <f t="shared" si="41"/>
        <v>-20317.912535078081</v>
      </c>
      <c r="W60" s="3">
        <f t="shared" si="41"/>
        <v>-15948.099650121096</v>
      </c>
      <c r="X60" s="3">
        <f t="shared" si="41"/>
        <v>-14215.244039136485</v>
      </c>
      <c r="Y60" s="3">
        <f t="shared" si="41"/>
        <v>-10592.427629053909</v>
      </c>
      <c r="Z60" s="3">
        <f t="shared" si="41"/>
        <v>-12896.177070735515</v>
      </c>
      <c r="AA60" s="3">
        <f t="shared" si="41"/>
        <v>-12937.589597304808</v>
      </c>
      <c r="AB60" s="3">
        <f t="shared" si="41"/>
        <v>-10326.983989206883</v>
      </c>
      <c r="AC60" s="24">
        <f t="shared" ref="AC60" si="42">-AB59</f>
        <v>-11285.07829077413</v>
      </c>
      <c r="AD60" s="24">
        <f t="shared" ref="AD60" si="43">-AC59</f>
        <v>-17120.546437920399</v>
      </c>
      <c r="AE60" s="3">
        <f t="shared" si="32"/>
        <v>-211022.01993851762</v>
      </c>
      <c r="AF60" t="s">
        <v>31</v>
      </c>
    </row>
    <row r="61" spans="1:32" x14ac:dyDescent="0.3">
      <c r="B61" t="s">
        <v>25</v>
      </c>
      <c r="D61" s="6">
        <f>D59+D60</f>
        <v>46507</v>
      </c>
      <c r="E61" s="6">
        <f t="shared" ref="E61:O61" si="44">E59+E60</f>
        <v>-122789</v>
      </c>
      <c r="F61" s="6">
        <f t="shared" si="44"/>
        <v>-43628</v>
      </c>
      <c r="G61" s="6">
        <f t="shared" si="44"/>
        <v>-63907</v>
      </c>
      <c r="H61" s="6">
        <f t="shared" si="44"/>
        <v>-19564</v>
      </c>
      <c r="I61" s="6">
        <f t="shared" si="44"/>
        <v>-60047</v>
      </c>
      <c r="J61" s="6">
        <f t="shared" si="44"/>
        <v>40347</v>
      </c>
      <c r="K61" s="6">
        <f t="shared" si="44"/>
        <v>-1542</v>
      </c>
      <c r="L61" s="6">
        <f t="shared" si="44"/>
        <v>-46851</v>
      </c>
      <c r="M61" s="6">
        <f t="shared" si="44"/>
        <v>19191</v>
      </c>
      <c r="N61" s="20">
        <f t="shared" si="44"/>
        <v>91279</v>
      </c>
      <c r="O61" s="20">
        <f t="shared" si="44"/>
        <v>49363</v>
      </c>
      <c r="P61" s="2">
        <f t="shared" si="12"/>
        <v>-111641</v>
      </c>
      <c r="Q61" s="2"/>
      <c r="R61" s="14">
        <f>ROUND(SUM(AE8:AE10)/SUM(P8:P10),5)</f>
        <v>5.79E-2</v>
      </c>
      <c r="S61" s="3">
        <f t="shared" ref="S61:AD61" si="45">$R61*D61</f>
        <v>2692.7552999999998</v>
      </c>
      <c r="T61" s="3">
        <f t="shared" si="45"/>
        <v>-7109.4831000000004</v>
      </c>
      <c r="U61" s="3">
        <f t="shared" si="45"/>
        <v>-2526.0612000000001</v>
      </c>
      <c r="V61" s="3">
        <f t="shared" si="45"/>
        <v>-3700.2152999999998</v>
      </c>
      <c r="W61" s="3">
        <f t="shared" si="45"/>
        <v>-1132.7556</v>
      </c>
      <c r="X61" s="3">
        <f t="shared" si="45"/>
        <v>-3476.7213000000002</v>
      </c>
      <c r="Y61" s="3">
        <f t="shared" si="45"/>
        <v>2336.0913</v>
      </c>
      <c r="Z61" s="3">
        <f t="shared" si="45"/>
        <v>-89.281800000000004</v>
      </c>
      <c r="AA61" s="3">
        <f t="shared" si="45"/>
        <v>-2712.6729</v>
      </c>
      <c r="AB61" s="3">
        <f t="shared" si="45"/>
        <v>1111.1588999999999</v>
      </c>
      <c r="AC61" s="24">
        <f t="shared" si="45"/>
        <v>5285.0541000000003</v>
      </c>
      <c r="AD61" s="24">
        <f t="shared" si="45"/>
        <v>2858.1176999999998</v>
      </c>
      <c r="AE61" s="3">
        <f t="shared" si="32"/>
        <v>-6464.0139000000008</v>
      </c>
      <c r="AF61" t="s">
        <v>33</v>
      </c>
    </row>
    <row r="62" spans="1:32" x14ac:dyDescent="0.3">
      <c r="A62" t="s">
        <v>36</v>
      </c>
      <c r="B62" t="s">
        <v>26</v>
      </c>
      <c r="D62" s="5">
        <v>30113951</v>
      </c>
      <c r="E62" s="5">
        <v>25861321</v>
      </c>
      <c r="F62" s="5">
        <v>25437214</v>
      </c>
      <c r="G62" s="5">
        <v>23415149</v>
      </c>
      <c r="H62" s="5">
        <v>24599388</v>
      </c>
      <c r="I62" s="5">
        <v>25518130</v>
      </c>
      <c r="J62" s="5">
        <v>29332921</v>
      </c>
      <c r="K62" s="5">
        <v>29451425</v>
      </c>
      <c r="L62" s="5">
        <v>24189163</v>
      </c>
      <c r="M62" s="5">
        <v>26218176</v>
      </c>
      <c r="N62" s="10">
        <f>27771607+5101</f>
        <v>27776708</v>
      </c>
      <c r="O62" s="10">
        <v>30705832</v>
      </c>
      <c r="P62" s="2">
        <f t="shared" si="12"/>
        <v>322619378</v>
      </c>
      <c r="Q62" s="2"/>
      <c r="S62" s="3">
        <f>SUM(S12:S13)/SUM(D12:D13)*D62</f>
        <v>3192252.5793820741</v>
      </c>
      <c r="T62" s="3">
        <f>SUM(T12:T13)/SUM(E12:E13)*E62</f>
        <v>2768351.9399000085</v>
      </c>
      <c r="U62" s="3">
        <f t="shared" ref="U62:AB62" si="46">SUM(U12:U13)/SUM(F12:F13)*F62</f>
        <v>2749350.8543378818</v>
      </c>
      <c r="V62" s="3">
        <f t="shared" si="46"/>
        <v>2545232.2985022478</v>
      </c>
      <c r="W62" s="3">
        <f t="shared" si="46"/>
        <v>2681076.3360133921</v>
      </c>
      <c r="X62" s="3">
        <f t="shared" si="46"/>
        <v>2761322.407260004</v>
      </c>
      <c r="Y62" s="3">
        <f t="shared" si="46"/>
        <v>3151496.0727614681</v>
      </c>
      <c r="Z62" s="3">
        <f t="shared" si="46"/>
        <v>3138541.3345361636</v>
      </c>
      <c r="AA62" s="3">
        <f t="shared" si="46"/>
        <v>2590566.5417373758</v>
      </c>
      <c r="AB62" s="3">
        <f t="shared" si="46"/>
        <v>2845387.1524320301</v>
      </c>
      <c r="AC62" s="24">
        <f t="shared" ref="AC62" si="47">SUM(AC12:AC13)/SUM(N12:N13)*N62</f>
        <v>3009787.456311069</v>
      </c>
      <c r="AD62" s="24">
        <f t="shared" ref="AD62" si="48">SUM(AD12:AD13)/SUM(O12:O13)*O62</f>
        <v>3309948.0998579198</v>
      </c>
      <c r="AE62" s="3">
        <f t="shared" si="32"/>
        <v>34743313.073031634</v>
      </c>
      <c r="AF62" t="s">
        <v>30</v>
      </c>
    </row>
    <row r="63" spans="1:32" x14ac:dyDescent="0.3">
      <c r="B63" t="s">
        <v>27</v>
      </c>
      <c r="D63" s="5">
        <v>-33268651</v>
      </c>
      <c r="E63" s="5">
        <v>-30113951</v>
      </c>
      <c r="F63" s="5">
        <v>-25861321</v>
      </c>
      <c r="G63" s="5">
        <v>-25437214</v>
      </c>
      <c r="H63" s="5">
        <v>-23415149</v>
      </c>
      <c r="I63" s="5">
        <v>-24599388</v>
      </c>
      <c r="J63" s="5">
        <v>-25518130</v>
      </c>
      <c r="K63" s="5">
        <v>-29332921</v>
      </c>
      <c r="L63" s="5">
        <v>-29451425</v>
      </c>
      <c r="M63" s="5">
        <v>-24189163</v>
      </c>
      <c r="N63" s="10">
        <v>-26218176</v>
      </c>
      <c r="O63" s="10">
        <v>-27771607</v>
      </c>
      <c r="P63" s="2">
        <f t="shared" si="12"/>
        <v>-325177096</v>
      </c>
      <c r="Q63" s="2"/>
      <c r="S63" s="3">
        <f>SUM(S12:S13)/SUM(D12:D13)*D63</f>
        <v>-3526668.9836651464</v>
      </c>
      <c r="T63" s="3">
        <f>-S62</f>
        <v>-3192252.5793820741</v>
      </c>
      <c r="U63" s="3">
        <f t="shared" ref="U63:AB63" si="49">-T62</f>
        <v>-2768351.9399000085</v>
      </c>
      <c r="V63" s="3">
        <f t="shared" si="49"/>
        <v>-2749350.8543378818</v>
      </c>
      <c r="W63" s="3">
        <f t="shared" si="49"/>
        <v>-2545232.2985022478</v>
      </c>
      <c r="X63" s="3">
        <f t="shared" si="49"/>
        <v>-2681076.3360133921</v>
      </c>
      <c r="Y63" s="3">
        <f t="shared" si="49"/>
        <v>-2761322.407260004</v>
      </c>
      <c r="Z63" s="3">
        <f t="shared" si="49"/>
        <v>-3151496.0727614681</v>
      </c>
      <c r="AA63" s="3">
        <f t="shared" si="49"/>
        <v>-3138541.3345361636</v>
      </c>
      <c r="AB63" s="3">
        <f t="shared" si="49"/>
        <v>-2590566.5417373758</v>
      </c>
      <c r="AC63" s="24">
        <f t="shared" ref="AC63" si="50">-AB62</f>
        <v>-2845387.1524320301</v>
      </c>
      <c r="AD63" s="24">
        <f t="shared" ref="AD63" si="51">-AC62</f>
        <v>-3009787.456311069</v>
      </c>
      <c r="AE63" s="3">
        <f t="shared" si="32"/>
        <v>-34960033.956838869</v>
      </c>
      <c r="AF63" t="s">
        <v>31</v>
      </c>
    </row>
    <row r="64" spans="1:32" x14ac:dyDescent="0.3">
      <c r="B64" t="s">
        <v>25</v>
      </c>
      <c r="D64" s="6">
        <f>D62+D63</f>
        <v>-3154700</v>
      </c>
      <c r="E64" s="6">
        <f t="shared" ref="E64:O64" si="52">E62+E63</f>
        <v>-4252630</v>
      </c>
      <c r="F64" s="6">
        <f t="shared" si="52"/>
        <v>-424107</v>
      </c>
      <c r="G64" s="6">
        <f t="shared" si="52"/>
        <v>-2022065</v>
      </c>
      <c r="H64" s="6">
        <f t="shared" si="52"/>
        <v>1184239</v>
      </c>
      <c r="I64" s="6">
        <f t="shared" si="52"/>
        <v>918742</v>
      </c>
      <c r="J64" s="6">
        <f t="shared" si="52"/>
        <v>3814791</v>
      </c>
      <c r="K64" s="6">
        <f t="shared" si="52"/>
        <v>118504</v>
      </c>
      <c r="L64" s="6">
        <f t="shared" si="52"/>
        <v>-5262262</v>
      </c>
      <c r="M64" s="6">
        <f t="shared" si="52"/>
        <v>2029013</v>
      </c>
      <c r="N64" s="20">
        <f t="shared" si="52"/>
        <v>1558532</v>
      </c>
      <c r="O64" s="20">
        <f t="shared" si="52"/>
        <v>2934225</v>
      </c>
      <c r="P64" s="2">
        <f t="shared" si="12"/>
        <v>-2557718</v>
      </c>
      <c r="Q64" s="2"/>
      <c r="R64" s="14">
        <f>ROUND(SUM(AE12:AE13)/SUM(P12:P13),5)</f>
        <v>0.10765</v>
      </c>
      <c r="S64" s="3">
        <f t="shared" ref="S64:AD64" si="53">$R64*D64</f>
        <v>-339603.45499999996</v>
      </c>
      <c r="T64" s="3">
        <f t="shared" si="53"/>
        <v>-457795.61949999997</v>
      </c>
      <c r="U64" s="3">
        <f t="shared" si="53"/>
        <v>-45655.118549999999</v>
      </c>
      <c r="V64" s="3">
        <f t="shared" si="53"/>
        <v>-217675.29725</v>
      </c>
      <c r="W64" s="3">
        <f t="shared" si="53"/>
        <v>127483.32835</v>
      </c>
      <c r="X64" s="3">
        <f t="shared" si="53"/>
        <v>98902.576300000001</v>
      </c>
      <c r="Y64" s="3">
        <f t="shared" si="53"/>
        <v>410662.25114999997</v>
      </c>
      <c r="Z64" s="3">
        <f t="shared" si="53"/>
        <v>12756.955599999999</v>
      </c>
      <c r="AA64" s="3">
        <f t="shared" si="53"/>
        <v>-566482.50430000003</v>
      </c>
      <c r="AB64" s="3">
        <f t="shared" si="53"/>
        <v>218423.24945</v>
      </c>
      <c r="AC64" s="24">
        <f t="shared" si="53"/>
        <v>167775.96979999999</v>
      </c>
      <c r="AD64" s="24">
        <f t="shared" si="53"/>
        <v>315869.32124999998</v>
      </c>
      <c r="AE64" s="3">
        <f t="shared" si="32"/>
        <v>-275338.3427000001</v>
      </c>
      <c r="AF64" t="s">
        <v>33</v>
      </c>
    </row>
    <row r="65" spans="1:32" x14ac:dyDescent="0.3">
      <c r="A65" t="s">
        <v>37</v>
      </c>
      <c r="B65" t="s">
        <v>26</v>
      </c>
      <c r="D65" s="5">
        <v>3960298</v>
      </c>
      <c r="E65" s="5">
        <v>3418080</v>
      </c>
      <c r="F65" s="5">
        <v>3089919</v>
      </c>
      <c r="G65" s="5">
        <v>2682404</v>
      </c>
      <c r="H65" s="5">
        <v>2367547</v>
      </c>
      <c r="I65" s="5">
        <v>2226414</v>
      </c>
      <c r="J65" s="5">
        <v>2435833</v>
      </c>
      <c r="K65" s="5">
        <v>2386111</v>
      </c>
      <c r="L65" s="5">
        <v>2109361</v>
      </c>
      <c r="M65" s="5">
        <v>2561546</v>
      </c>
      <c r="N65" s="10">
        <v>2955141</v>
      </c>
      <c r="O65" s="10">
        <f>3711265-62530</f>
        <v>3648735</v>
      </c>
      <c r="P65" s="2">
        <f t="shared" si="12"/>
        <v>33841389</v>
      </c>
      <c r="Q65" s="2"/>
      <c r="S65" s="3">
        <f>SUM(S17:S18)/SUM(D17:D18)*D65</f>
        <v>443433.93599099986</v>
      </c>
      <c r="T65" s="3">
        <f>SUM(T17:T18)/SUM(E17:E18)*E65</f>
        <v>382426.78595472738</v>
      </c>
      <c r="U65" s="3">
        <f t="shared" ref="U65:AB65" si="54">SUM(U17:U18)/SUM(F17:F18)*F65</f>
        <v>348920.44923641655</v>
      </c>
      <c r="V65" s="3">
        <f t="shared" si="54"/>
        <v>301885.55187041336</v>
      </c>
      <c r="W65" s="3">
        <f t="shared" si="54"/>
        <v>272619.43312694313</v>
      </c>
      <c r="X65" s="3">
        <f t="shared" si="54"/>
        <v>253343.0430116927</v>
      </c>
      <c r="Y65" s="3">
        <f t="shared" si="54"/>
        <v>276196.69774733367</v>
      </c>
      <c r="Z65" s="3">
        <f t="shared" si="54"/>
        <v>268365.9361881697</v>
      </c>
      <c r="AA65" s="3">
        <f t="shared" si="54"/>
        <v>236576.43528367809</v>
      </c>
      <c r="AB65" s="3">
        <f t="shared" si="54"/>
        <v>288231.31626189407</v>
      </c>
      <c r="AC65" s="24">
        <f t="shared" ref="AC65" si="55">SUM(AC17:AC18)/SUM(N17:N18)*N65</f>
        <v>334489.61550634453</v>
      </c>
      <c r="AD65" s="24">
        <f t="shared" ref="AD65" si="56">SUM(AD17:AD18)/SUM(O17:O18)*O65</f>
        <v>411036.38631188183</v>
      </c>
      <c r="AE65" s="3">
        <f t="shared" si="32"/>
        <v>3817525.5864904951</v>
      </c>
      <c r="AF65" t="s">
        <v>30</v>
      </c>
    </row>
    <row r="66" spans="1:32" x14ac:dyDescent="0.3">
      <c r="B66" t="s">
        <v>27</v>
      </c>
      <c r="D66" s="5">
        <v>-3790100</v>
      </c>
      <c r="E66" s="5">
        <v>-3960298</v>
      </c>
      <c r="F66" s="5">
        <v>-3418080</v>
      </c>
      <c r="G66" s="5">
        <v>-3089919</v>
      </c>
      <c r="H66" s="5">
        <v>-2682404</v>
      </c>
      <c r="I66" s="5">
        <v>-2367547</v>
      </c>
      <c r="J66" s="5">
        <v>-2226414</v>
      </c>
      <c r="K66" s="5">
        <v>-2435833</v>
      </c>
      <c r="L66" s="5">
        <v>-2386111</v>
      </c>
      <c r="M66" s="5">
        <v>-2109361</v>
      </c>
      <c r="N66" s="10">
        <v>-2561546</v>
      </c>
      <c r="O66" s="10">
        <v>-2955141</v>
      </c>
      <c r="P66" s="2">
        <f t="shared" si="12"/>
        <v>-33982754</v>
      </c>
      <c r="Q66" s="2"/>
      <c r="S66" s="3">
        <f>SUM(S17:S18)/SUM(D17:D18)*D66</f>
        <v>-424376.89305185835</v>
      </c>
      <c r="T66" s="3">
        <f>-S65</f>
        <v>-443433.93599099986</v>
      </c>
      <c r="U66" s="3">
        <f t="shared" ref="U66:AB66" si="57">-T65</f>
        <v>-382426.78595472738</v>
      </c>
      <c r="V66" s="3">
        <f t="shared" si="57"/>
        <v>-348920.44923641655</v>
      </c>
      <c r="W66" s="3">
        <f t="shared" si="57"/>
        <v>-301885.55187041336</v>
      </c>
      <c r="X66" s="3">
        <f t="shared" si="57"/>
        <v>-272619.43312694313</v>
      </c>
      <c r="Y66" s="3">
        <f t="shared" si="57"/>
        <v>-253343.0430116927</v>
      </c>
      <c r="Z66" s="3">
        <f t="shared" si="57"/>
        <v>-276196.69774733367</v>
      </c>
      <c r="AA66" s="3">
        <f t="shared" si="57"/>
        <v>-268365.9361881697</v>
      </c>
      <c r="AB66" s="3">
        <f t="shared" si="57"/>
        <v>-236576.43528367809</v>
      </c>
      <c r="AC66" s="24">
        <f t="shared" ref="AC66" si="58">-AB65</f>
        <v>-288231.31626189407</v>
      </c>
      <c r="AD66" s="24">
        <f t="shared" ref="AD66" si="59">-AC65</f>
        <v>-334489.61550634453</v>
      </c>
      <c r="AE66" s="3">
        <f t="shared" si="32"/>
        <v>-3830866.0932304715</v>
      </c>
      <c r="AF66" t="s">
        <v>31</v>
      </c>
    </row>
    <row r="67" spans="1:32" x14ac:dyDescent="0.3">
      <c r="B67" t="s">
        <v>25</v>
      </c>
      <c r="D67" s="6">
        <f>D65+D66</f>
        <v>170198</v>
      </c>
      <c r="E67" s="6">
        <f t="shared" ref="E67:O67" si="60">E65+E66</f>
        <v>-542218</v>
      </c>
      <c r="F67" s="6">
        <f t="shared" si="60"/>
        <v>-328161</v>
      </c>
      <c r="G67" s="6">
        <f t="shared" si="60"/>
        <v>-407515</v>
      </c>
      <c r="H67" s="6">
        <f t="shared" si="60"/>
        <v>-314857</v>
      </c>
      <c r="I67" s="6">
        <f t="shared" si="60"/>
        <v>-141133</v>
      </c>
      <c r="J67" s="6">
        <f t="shared" si="60"/>
        <v>209419</v>
      </c>
      <c r="K67" s="6">
        <f t="shared" si="60"/>
        <v>-49722</v>
      </c>
      <c r="L67" s="6">
        <f t="shared" si="60"/>
        <v>-276750</v>
      </c>
      <c r="M67" s="6">
        <f t="shared" si="60"/>
        <v>452185</v>
      </c>
      <c r="N67" s="20">
        <f t="shared" si="60"/>
        <v>393595</v>
      </c>
      <c r="O67" s="20">
        <f t="shared" si="60"/>
        <v>693594</v>
      </c>
      <c r="P67" s="2">
        <f t="shared" si="12"/>
        <v>-141365</v>
      </c>
      <c r="Q67" s="2"/>
      <c r="R67" s="14">
        <f>ROUND(SUM(AE17:AE18)/SUM(P17:P18),5)</f>
        <v>0.11275</v>
      </c>
      <c r="S67" s="3">
        <f t="shared" ref="S67:AD67" si="61">$R67*D67</f>
        <v>19189.824499999999</v>
      </c>
      <c r="T67" s="3">
        <f t="shared" si="61"/>
        <v>-61135.0795</v>
      </c>
      <c r="U67" s="3">
        <f t="shared" si="61"/>
        <v>-37000.152750000001</v>
      </c>
      <c r="V67" s="3">
        <f t="shared" si="61"/>
        <v>-45947.316250000003</v>
      </c>
      <c r="W67" s="3">
        <f t="shared" si="61"/>
        <v>-35500.126750000003</v>
      </c>
      <c r="X67" s="3">
        <f t="shared" si="61"/>
        <v>-15912.74575</v>
      </c>
      <c r="Y67" s="3">
        <f t="shared" si="61"/>
        <v>23611.992249999999</v>
      </c>
      <c r="Z67" s="3">
        <f t="shared" si="61"/>
        <v>-5606.1554999999998</v>
      </c>
      <c r="AA67" s="3">
        <f t="shared" si="61"/>
        <v>-31203.5625</v>
      </c>
      <c r="AB67" s="3">
        <f t="shared" si="61"/>
        <v>50983.858749999999</v>
      </c>
      <c r="AC67" s="24">
        <f t="shared" si="61"/>
        <v>44377.83625</v>
      </c>
      <c r="AD67" s="24">
        <f t="shared" si="61"/>
        <v>78202.723500000007</v>
      </c>
      <c r="AE67" s="3">
        <f t="shared" si="32"/>
        <v>-15938.903750000012</v>
      </c>
      <c r="AF67" t="s">
        <v>33</v>
      </c>
    </row>
    <row r="68" spans="1:32" x14ac:dyDescent="0.3">
      <c r="A68" t="s">
        <v>38</v>
      </c>
      <c r="B68" t="s">
        <v>26</v>
      </c>
      <c r="D68" s="5">
        <v>62384500</v>
      </c>
      <c r="E68" s="5">
        <v>55076230</v>
      </c>
      <c r="F68" s="5">
        <v>56835786</v>
      </c>
      <c r="G68" s="5">
        <v>56190770</v>
      </c>
      <c r="H68" s="5">
        <v>62624498</v>
      </c>
      <c r="I68" s="5">
        <v>66906597</v>
      </c>
      <c r="J68" s="5">
        <v>74824680</v>
      </c>
      <c r="K68" s="5">
        <v>70560706</v>
      </c>
      <c r="L68" s="5">
        <v>55528239</v>
      </c>
      <c r="M68" s="5">
        <f>60904520+5092956</f>
        <v>65997476</v>
      </c>
      <c r="N68" s="10">
        <v>69042836</v>
      </c>
      <c r="O68" s="10">
        <v>72193864</v>
      </c>
      <c r="P68" s="2">
        <f t="shared" si="12"/>
        <v>768166182</v>
      </c>
      <c r="Q68" s="2"/>
      <c r="S68" s="3">
        <f>SUM(S22:S23)/SUM(D22:D23)*D68</f>
        <v>4633258.5287488531</v>
      </c>
      <c r="T68" s="3">
        <f>SUM(T22:T23)/SUM(E22:E23)*E68</f>
        <v>4099684.7922549942</v>
      </c>
      <c r="U68" s="3">
        <f t="shared" ref="U68:AB68" si="62">SUM(U22:U23)/SUM(F22:F23)*F68</f>
        <v>4231592.8995821215</v>
      </c>
      <c r="V68" s="3">
        <f t="shared" si="62"/>
        <v>4184486.1432525525</v>
      </c>
      <c r="W68" s="3">
        <f t="shared" si="62"/>
        <v>4662204.9662147174</v>
      </c>
      <c r="X68" s="3">
        <f t="shared" si="62"/>
        <v>4976870.8604831509</v>
      </c>
      <c r="Y68" s="3">
        <f t="shared" si="62"/>
        <v>5554912.233504069</v>
      </c>
      <c r="Z68" s="3">
        <f t="shared" si="62"/>
        <v>5240687.2277487889</v>
      </c>
      <c r="AA68" s="3">
        <f t="shared" si="62"/>
        <v>4124424.2008045455</v>
      </c>
      <c r="AB68" s="3">
        <f t="shared" si="62"/>
        <v>4916872.1456430983</v>
      </c>
      <c r="AC68" s="24">
        <f t="shared" ref="AC68" si="63">SUM(AC22:AC23)/SUM(N22:N23)*N68</f>
        <v>5143234.7810172122</v>
      </c>
      <c r="AD68" s="24">
        <f t="shared" ref="AD68" si="64">SUM(AD22:AD23)/SUM(O22:O23)*O68</f>
        <v>5366246.8924145736</v>
      </c>
      <c r="AE68" s="3">
        <f t="shared" si="32"/>
        <v>57134475.671668679</v>
      </c>
      <c r="AF68" t="s">
        <v>30</v>
      </c>
    </row>
    <row r="69" spans="1:32" x14ac:dyDescent="0.3">
      <c r="B69" t="s">
        <v>27</v>
      </c>
      <c r="D69" s="5">
        <v>-78918294</v>
      </c>
      <c r="E69" s="5">
        <v>-62384500</v>
      </c>
      <c r="F69" s="5">
        <v>-55076230</v>
      </c>
      <c r="G69" s="5">
        <v>-56835786</v>
      </c>
      <c r="H69" s="5">
        <v>-56190770</v>
      </c>
      <c r="I69" s="5">
        <v>-62624498</v>
      </c>
      <c r="J69" s="5">
        <v>-66906597</v>
      </c>
      <c r="K69" s="5">
        <v>-74824680</v>
      </c>
      <c r="L69" s="5">
        <v>-70560706</v>
      </c>
      <c r="M69" s="5">
        <v>-55528239</v>
      </c>
      <c r="N69" s="10">
        <f>-60904520-5092956</f>
        <v>-65997476</v>
      </c>
      <c r="O69" s="10">
        <v>-69042836</v>
      </c>
      <c r="P69" s="2">
        <f t="shared" ref="P69:P86" si="65">SUM(D69:O69)</f>
        <v>-774890612</v>
      </c>
      <c r="Q69" s="2"/>
      <c r="S69" s="3">
        <f>SUM(S22:S23)/SUM(D22:D23)*D69</f>
        <v>-5861213.2621053215</v>
      </c>
      <c r="T69" s="3">
        <f>-S68</f>
        <v>-4633258.5287488531</v>
      </c>
      <c r="U69" s="3">
        <f t="shared" ref="U69:AB69" si="66">-T68</f>
        <v>-4099684.7922549942</v>
      </c>
      <c r="V69" s="3">
        <f t="shared" si="66"/>
        <v>-4231592.8995821215</v>
      </c>
      <c r="W69" s="3">
        <f t="shared" si="66"/>
        <v>-4184486.1432525525</v>
      </c>
      <c r="X69" s="3">
        <f t="shared" si="66"/>
        <v>-4662204.9662147174</v>
      </c>
      <c r="Y69" s="3">
        <f t="shared" si="66"/>
        <v>-4976870.8604831509</v>
      </c>
      <c r="Z69" s="3">
        <f t="shared" si="66"/>
        <v>-5554912.233504069</v>
      </c>
      <c r="AA69" s="3">
        <f t="shared" si="66"/>
        <v>-5240687.2277487889</v>
      </c>
      <c r="AB69" s="3">
        <f t="shared" si="66"/>
        <v>-4124424.2008045455</v>
      </c>
      <c r="AC69" s="24">
        <f t="shared" ref="AC69" si="67">-AB68</f>
        <v>-4916872.1456430983</v>
      </c>
      <c r="AD69" s="24">
        <f t="shared" ref="AD69" si="68">-AC68</f>
        <v>-5143234.7810172122</v>
      </c>
      <c r="AE69" s="3">
        <f t="shared" si="32"/>
        <v>-57629442.041359425</v>
      </c>
      <c r="AF69" t="s">
        <v>31</v>
      </c>
    </row>
    <row r="70" spans="1:32" x14ac:dyDescent="0.3">
      <c r="B70" t="s">
        <v>25</v>
      </c>
      <c r="D70" s="6">
        <f>D68+D69</f>
        <v>-16533794</v>
      </c>
      <c r="E70" s="6">
        <f t="shared" ref="E70:O70" si="69">E68+E69</f>
        <v>-7308270</v>
      </c>
      <c r="F70" s="6">
        <f t="shared" si="69"/>
        <v>1759556</v>
      </c>
      <c r="G70" s="6">
        <f t="shared" si="69"/>
        <v>-645016</v>
      </c>
      <c r="H70" s="6">
        <f t="shared" si="69"/>
        <v>6433728</v>
      </c>
      <c r="I70" s="6">
        <f t="shared" si="69"/>
        <v>4282099</v>
      </c>
      <c r="J70" s="6">
        <f t="shared" si="69"/>
        <v>7918083</v>
      </c>
      <c r="K70" s="6">
        <f t="shared" si="69"/>
        <v>-4263974</v>
      </c>
      <c r="L70" s="6">
        <f t="shared" si="69"/>
        <v>-15032467</v>
      </c>
      <c r="M70" s="6">
        <f t="shared" si="69"/>
        <v>10469237</v>
      </c>
      <c r="N70" s="20">
        <f t="shared" si="69"/>
        <v>3045360</v>
      </c>
      <c r="O70" s="20">
        <f t="shared" si="69"/>
        <v>3151028</v>
      </c>
      <c r="P70" s="2">
        <f t="shared" si="65"/>
        <v>-6724430</v>
      </c>
      <c r="Q70" s="2"/>
      <c r="R70" s="14">
        <f>ROUND(SUM(AE22:AE23)/SUM(P22:P23),5)</f>
        <v>7.4380000000000002E-2</v>
      </c>
      <c r="S70" s="3">
        <f t="shared" ref="S70:AD70" si="70">$R70*D70</f>
        <v>-1229783.59772</v>
      </c>
      <c r="T70" s="3">
        <f t="shared" si="70"/>
        <v>-543589.1226</v>
      </c>
      <c r="U70" s="3">
        <f t="shared" si="70"/>
        <v>130875.77528</v>
      </c>
      <c r="V70" s="3">
        <f t="shared" si="70"/>
        <v>-47976.290079999999</v>
      </c>
      <c r="W70" s="3">
        <f t="shared" si="70"/>
        <v>478540.68864000001</v>
      </c>
      <c r="X70" s="3">
        <f t="shared" si="70"/>
        <v>318502.52361999999</v>
      </c>
      <c r="Y70" s="3">
        <f t="shared" si="70"/>
        <v>588947.01353999996</v>
      </c>
      <c r="Z70" s="3">
        <f t="shared" si="70"/>
        <v>-317154.38611999998</v>
      </c>
      <c r="AA70" s="3">
        <f t="shared" si="70"/>
        <v>-1118114.89546</v>
      </c>
      <c r="AB70" s="3">
        <f t="shared" si="70"/>
        <v>778701.84805999999</v>
      </c>
      <c r="AC70" s="24">
        <f t="shared" si="70"/>
        <v>226513.8768</v>
      </c>
      <c r="AD70" s="24">
        <f t="shared" si="70"/>
        <v>234373.46264000001</v>
      </c>
      <c r="AE70" s="3">
        <f t="shared" si="32"/>
        <v>-500163.10339999991</v>
      </c>
      <c r="AF70" t="s">
        <v>33</v>
      </c>
    </row>
    <row r="71" spans="1:32" x14ac:dyDescent="0.3">
      <c r="A71" t="s">
        <v>39</v>
      </c>
      <c r="B71" t="s">
        <v>26</v>
      </c>
      <c r="D71" s="5">
        <v>2156598</v>
      </c>
      <c r="E71" s="5">
        <v>1709040</v>
      </c>
      <c r="F71" s="5">
        <v>1591777</v>
      </c>
      <c r="G71" s="5">
        <v>1369144</v>
      </c>
      <c r="H71" s="5">
        <v>1559116</v>
      </c>
      <c r="I71" s="5">
        <v>1313013</v>
      </c>
      <c r="J71" s="5">
        <v>1509530</v>
      </c>
      <c r="K71" s="5">
        <v>1533928</v>
      </c>
      <c r="L71" s="5">
        <v>1287532</v>
      </c>
      <c r="M71" s="5">
        <v>1476656</v>
      </c>
      <c r="N71" s="10">
        <v>1578314</v>
      </c>
      <c r="O71" s="10">
        <v>1992363</v>
      </c>
      <c r="P71" s="2">
        <f t="shared" si="65"/>
        <v>19077011</v>
      </c>
      <c r="Q71" s="2"/>
      <c r="S71" s="3">
        <f>SUM(S28:S29)/SUM(D28:D29)*D71</f>
        <v>160217.57225177679</v>
      </c>
      <c r="T71" s="3">
        <f>SUM(T28:T29)/SUM(E28:E29)*E71</f>
        <v>126668.70366002193</v>
      </c>
      <c r="U71" s="3">
        <f t="shared" ref="U71:AB71" si="71">SUM(U28:U29)/SUM(F28:F29)*F71</f>
        <v>118456.66873764986</v>
      </c>
      <c r="V71" s="3">
        <f t="shared" si="71"/>
        <v>101919.07936</v>
      </c>
      <c r="W71" s="3">
        <f t="shared" si="71"/>
        <v>116060.59504000001</v>
      </c>
      <c r="X71" s="3">
        <f t="shared" si="71"/>
        <v>97740.687720000002</v>
      </c>
      <c r="Y71" s="3">
        <f t="shared" si="71"/>
        <v>112369.41320000001</v>
      </c>
      <c r="Z71" s="3">
        <f t="shared" si="71"/>
        <v>114163.74350469903</v>
      </c>
      <c r="AA71" s="3">
        <f t="shared" si="71"/>
        <v>95835.330456390308</v>
      </c>
      <c r="AB71" s="3">
        <f t="shared" si="71"/>
        <v>109922.27264000001</v>
      </c>
      <c r="AC71" s="24">
        <f t="shared" ref="AC71" si="72">SUM(AC28:AC29)/SUM(N28:N29)*N71</f>
        <v>117489.69416000001</v>
      </c>
      <c r="AD71" s="24">
        <f t="shared" ref="AD71" si="73">SUM(AD28:AD29)/SUM(O28:O29)*O71</f>
        <v>148311.50172</v>
      </c>
      <c r="AE71" s="3">
        <f t="shared" si="32"/>
        <v>1419155.2624505381</v>
      </c>
      <c r="AF71" t="s">
        <v>30</v>
      </c>
    </row>
    <row r="72" spans="1:32" x14ac:dyDescent="0.3">
      <c r="B72" t="s">
        <v>27</v>
      </c>
      <c r="D72" s="5">
        <v>-1895050</v>
      </c>
      <c r="E72" s="5">
        <v>-2156598</v>
      </c>
      <c r="F72" s="5">
        <v>-1709040</v>
      </c>
      <c r="G72" s="5">
        <v>-1591777</v>
      </c>
      <c r="H72" s="5">
        <v>-1369144</v>
      </c>
      <c r="I72" s="5">
        <v>-1559116</v>
      </c>
      <c r="J72" s="5">
        <v>-1313013</v>
      </c>
      <c r="K72" s="5">
        <v>-1509530</v>
      </c>
      <c r="L72" s="5">
        <v>-1533928</v>
      </c>
      <c r="M72" s="5">
        <v>-1287532</v>
      </c>
      <c r="N72" s="10">
        <v>-1476656</v>
      </c>
      <c r="O72" s="10">
        <v>-1578314</v>
      </c>
      <c r="P72" s="2">
        <f t="shared" si="65"/>
        <v>-18979698</v>
      </c>
      <c r="Q72" s="2"/>
      <c r="S72" s="3">
        <f>SUM(S28:S29)/SUM(D28:D29)*D72</f>
        <v>-140786.69751883735</v>
      </c>
      <c r="T72" s="3">
        <f>-S71</f>
        <v>-160217.57225177679</v>
      </c>
      <c r="U72" s="3">
        <f t="shared" ref="U72:AB72" si="74">-T71</f>
        <v>-126668.70366002193</v>
      </c>
      <c r="V72" s="3">
        <f t="shared" si="74"/>
        <v>-118456.66873764986</v>
      </c>
      <c r="W72" s="3">
        <f t="shared" si="74"/>
        <v>-101919.07936</v>
      </c>
      <c r="X72" s="3">
        <f t="shared" si="74"/>
        <v>-116060.59504000001</v>
      </c>
      <c r="Y72" s="3">
        <f t="shared" si="74"/>
        <v>-97740.687720000002</v>
      </c>
      <c r="Z72" s="3">
        <f t="shared" si="74"/>
        <v>-112369.41320000001</v>
      </c>
      <c r="AA72" s="3">
        <f t="shared" si="74"/>
        <v>-114163.74350469903</v>
      </c>
      <c r="AB72" s="3">
        <f t="shared" si="74"/>
        <v>-95835.330456390308</v>
      </c>
      <c r="AC72" s="24">
        <f t="shared" ref="AC72" si="75">-AB71</f>
        <v>-109922.27264000001</v>
      </c>
      <c r="AD72" s="24">
        <f t="shared" ref="AD72" si="76">-AC71</f>
        <v>-117489.69416000001</v>
      </c>
      <c r="AE72" s="3">
        <f t="shared" si="32"/>
        <v>-1411630.4582493755</v>
      </c>
      <c r="AF72" t="s">
        <v>31</v>
      </c>
    </row>
    <row r="73" spans="1:32" x14ac:dyDescent="0.3">
      <c r="B73" t="s">
        <v>25</v>
      </c>
      <c r="D73" s="6">
        <f>D71+D72</f>
        <v>261548</v>
      </c>
      <c r="E73" s="6">
        <f t="shared" ref="E73:O73" si="77">E71+E72</f>
        <v>-447558</v>
      </c>
      <c r="F73" s="6">
        <f t="shared" si="77"/>
        <v>-117263</v>
      </c>
      <c r="G73" s="6">
        <f t="shared" si="77"/>
        <v>-222633</v>
      </c>
      <c r="H73" s="6">
        <f t="shared" si="77"/>
        <v>189972</v>
      </c>
      <c r="I73" s="6">
        <f t="shared" si="77"/>
        <v>-246103</v>
      </c>
      <c r="J73" s="6">
        <f t="shared" si="77"/>
        <v>196517</v>
      </c>
      <c r="K73" s="6">
        <f t="shared" si="77"/>
        <v>24398</v>
      </c>
      <c r="L73" s="6">
        <f t="shared" si="77"/>
        <v>-246396</v>
      </c>
      <c r="M73" s="6">
        <f t="shared" si="77"/>
        <v>189124</v>
      </c>
      <c r="N73" s="20">
        <f t="shared" si="77"/>
        <v>101658</v>
      </c>
      <c r="O73" s="20">
        <f t="shared" si="77"/>
        <v>414049</v>
      </c>
      <c r="P73" s="2">
        <f t="shared" si="65"/>
        <v>97313</v>
      </c>
      <c r="Q73" s="2"/>
      <c r="R73" s="14">
        <f>ROUND(SUM(AE28:AE29)/SUM(P28:P29),5)</f>
        <v>7.4380000000000002E-2</v>
      </c>
      <c r="S73" s="3">
        <f t="shared" ref="S73:AD73" si="78">$R73*D73</f>
        <v>19453.94024</v>
      </c>
      <c r="T73" s="3">
        <f t="shared" si="78"/>
        <v>-33289.36404</v>
      </c>
      <c r="U73" s="3">
        <f t="shared" si="78"/>
        <v>-8722.0219400000005</v>
      </c>
      <c r="V73" s="3">
        <f t="shared" si="78"/>
        <v>-16559.44254</v>
      </c>
      <c r="W73" s="3">
        <f t="shared" si="78"/>
        <v>14130.11736</v>
      </c>
      <c r="X73" s="3">
        <f t="shared" si="78"/>
        <v>-18305.14114</v>
      </c>
      <c r="Y73" s="3">
        <f t="shared" si="78"/>
        <v>14616.93446</v>
      </c>
      <c r="Z73" s="3">
        <f t="shared" si="78"/>
        <v>1814.72324</v>
      </c>
      <c r="AA73" s="3">
        <f t="shared" si="78"/>
        <v>-18326.93448</v>
      </c>
      <c r="AB73" s="3">
        <f t="shared" si="78"/>
        <v>14067.04312</v>
      </c>
      <c r="AC73" s="24">
        <f t="shared" si="78"/>
        <v>7561.32204</v>
      </c>
      <c r="AD73" s="24">
        <f t="shared" si="78"/>
        <v>30796.964620000002</v>
      </c>
      <c r="AE73" s="3">
        <f t="shared" si="32"/>
        <v>7238.1409400000011</v>
      </c>
      <c r="AF73" t="s">
        <v>33</v>
      </c>
    </row>
    <row r="74" spans="1:32" x14ac:dyDescent="0.3">
      <c r="A74" t="s">
        <v>40</v>
      </c>
      <c r="B74" t="s">
        <v>26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2505893</v>
      </c>
      <c r="K74" s="5">
        <v>3264593</v>
      </c>
      <c r="L74" s="5">
        <v>0</v>
      </c>
      <c r="M74" s="5">
        <v>48677097</v>
      </c>
      <c r="N74" s="10">
        <v>5153310</v>
      </c>
      <c r="O74" s="10">
        <f>2136242-600</f>
        <v>2135642</v>
      </c>
      <c r="P74" s="2">
        <f t="shared" si="65"/>
        <v>61736535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79">SUM(U34:U36)/SUM(F34:F36)*F74</f>
        <v>0</v>
      </c>
      <c r="V74" s="3">
        <f t="shared" si="79"/>
        <v>0</v>
      </c>
      <c r="W74" s="3">
        <f t="shared" si="79"/>
        <v>0</v>
      </c>
      <c r="X74" s="3">
        <f t="shared" si="79"/>
        <v>0</v>
      </c>
      <c r="Y74" s="3">
        <f t="shared" si="79"/>
        <v>122560.29155292547</v>
      </c>
      <c r="Z74" s="3">
        <f t="shared" si="79"/>
        <v>159782.41267711524</v>
      </c>
      <c r="AA74" s="3">
        <f t="shared" si="79"/>
        <v>0</v>
      </c>
      <c r="AB74" s="3">
        <f t="shared" si="79"/>
        <v>2548864.5954517704</v>
      </c>
      <c r="AC74" s="24">
        <f t="shared" ref="AC74" si="80">SUM(AC34:AC36)/SUM(N34:N36)*N74</f>
        <v>245703.64043405678</v>
      </c>
      <c r="AD74" s="24">
        <f t="shared" ref="AD74" si="81">SUM(AD34:AD36)/SUM(O34:O36)*O74</f>
        <v>104825.8236956503</v>
      </c>
      <c r="AE74" s="3">
        <f t="shared" si="32"/>
        <v>3181736.7638115184</v>
      </c>
      <c r="AF74" t="s">
        <v>30</v>
      </c>
    </row>
    <row r="75" spans="1:32" x14ac:dyDescent="0.3">
      <c r="B75" t="s">
        <v>27</v>
      </c>
      <c r="D75" s="5">
        <v>-4573701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-2505893</v>
      </c>
      <c r="L75" s="5">
        <v>-3264593</v>
      </c>
      <c r="M75" s="5">
        <v>0</v>
      </c>
      <c r="N75" s="10">
        <v>-48677097</v>
      </c>
      <c r="O75" s="10">
        <v>-5153310</v>
      </c>
      <c r="P75" s="2">
        <f t="shared" si="65"/>
        <v>-64174594</v>
      </c>
      <c r="Q75" s="2"/>
      <c r="S75" s="3">
        <f>SUM(S34:S36)/SUM(D34:D36)*D75</f>
        <v>-224626.92431209414</v>
      </c>
      <c r="T75" s="3">
        <f>-S74</f>
        <v>0</v>
      </c>
      <c r="U75" s="3">
        <f t="shared" ref="U75:AB75" si="82">-T74</f>
        <v>0</v>
      </c>
      <c r="V75" s="3">
        <f t="shared" si="82"/>
        <v>0</v>
      </c>
      <c r="W75" s="3">
        <f t="shared" si="82"/>
        <v>0</v>
      </c>
      <c r="X75" s="3">
        <f t="shared" si="82"/>
        <v>0</v>
      </c>
      <c r="Y75" s="3">
        <f t="shared" si="82"/>
        <v>0</v>
      </c>
      <c r="Z75" s="3">
        <f t="shared" si="82"/>
        <v>-122560.29155292547</v>
      </c>
      <c r="AA75" s="3">
        <f t="shared" si="82"/>
        <v>-159782.41267711524</v>
      </c>
      <c r="AB75" s="3">
        <f t="shared" si="82"/>
        <v>0</v>
      </c>
      <c r="AC75" s="24">
        <f t="shared" ref="AC75" si="83">-AB74</f>
        <v>-2548864.5954517704</v>
      </c>
      <c r="AD75" s="24">
        <f t="shared" ref="AD75" si="84">-AC74</f>
        <v>-245703.64043405678</v>
      </c>
      <c r="AE75" s="3">
        <f t="shared" si="32"/>
        <v>-3301537.8644279623</v>
      </c>
      <c r="AF75" t="s">
        <v>31</v>
      </c>
    </row>
    <row r="76" spans="1:32" x14ac:dyDescent="0.3">
      <c r="B76" t="s">
        <v>25</v>
      </c>
      <c r="D76" s="6">
        <f t="shared" ref="D76" si="85">D74+D75</f>
        <v>-4573701</v>
      </c>
      <c r="E76" s="6">
        <f t="shared" ref="E76" si="86">E74+E75</f>
        <v>0</v>
      </c>
      <c r="F76" s="6">
        <f t="shared" ref="F76" si="87">F74+F75</f>
        <v>0</v>
      </c>
      <c r="G76" s="6">
        <f t="shared" ref="G76" si="88">G74+G75</f>
        <v>0</v>
      </c>
      <c r="H76" s="6">
        <f t="shared" ref="H76" si="89">H74+H75</f>
        <v>0</v>
      </c>
      <c r="I76" s="6">
        <f t="shared" ref="I76" si="90">I74+I75</f>
        <v>0</v>
      </c>
      <c r="J76" s="6">
        <f t="shared" ref="J76" si="91">J74+J75</f>
        <v>2505893</v>
      </c>
      <c r="K76" s="6">
        <f t="shared" ref="K76" si="92">K74+K75</f>
        <v>758700</v>
      </c>
      <c r="L76" s="6">
        <f t="shared" ref="L76" si="93">L74+L75</f>
        <v>-3264593</v>
      </c>
      <c r="M76" s="6">
        <f t="shared" ref="M76" si="94">M74+M75</f>
        <v>48677097</v>
      </c>
      <c r="N76" s="20">
        <f t="shared" ref="N76" si="95">N74+N75</f>
        <v>-43523787</v>
      </c>
      <c r="O76" s="20">
        <f t="shared" ref="O76" si="96">O74+O75</f>
        <v>-3017668</v>
      </c>
      <c r="P76" s="2">
        <f t="shared" si="65"/>
        <v>-2438059</v>
      </c>
      <c r="Q76" s="2"/>
      <c r="R76" s="14">
        <f>ROUND(SUM(AE34:AE36)/SUM(P34:P36),5)</f>
        <v>4.8939999999999997E-2</v>
      </c>
      <c r="S76" s="3">
        <f t="shared" ref="S76:AD76" si="97">$R76*D76</f>
        <v>-223836.92693999998</v>
      </c>
      <c r="T76" s="3">
        <f t="shared" si="97"/>
        <v>0</v>
      </c>
      <c r="U76" s="3">
        <f t="shared" si="97"/>
        <v>0</v>
      </c>
      <c r="V76" s="3">
        <f t="shared" si="97"/>
        <v>0</v>
      </c>
      <c r="W76" s="3">
        <f t="shared" si="97"/>
        <v>0</v>
      </c>
      <c r="X76" s="3">
        <f t="shared" si="97"/>
        <v>0</v>
      </c>
      <c r="Y76" s="3">
        <f t="shared" si="97"/>
        <v>122638.40341999999</v>
      </c>
      <c r="Z76" s="3">
        <f t="shared" si="97"/>
        <v>37130.777999999998</v>
      </c>
      <c r="AA76" s="3">
        <f t="shared" si="97"/>
        <v>-159769.18141999998</v>
      </c>
      <c r="AB76" s="3">
        <f t="shared" si="97"/>
        <v>2382257.1271799998</v>
      </c>
      <c r="AC76" s="24">
        <f t="shared" si="97"/>
        <v>-2130054.1357799997</v>
      </c>
      <c r="AD76" s="24">
        <f t="shared" si="97"/>
        <v>-147684.67191999999</v>
      </c>
      <c r="AE76" s="3">
        <f t="shared" si="32"/>
        <v>-119318.60745999997</v>
      </c>
      <c r="AF76" t="s">
        <v>33</v>
      </c>
    </row>
    <row r="77" spans="1:32" x14ac:dyDescent="0.3">
      <c r="A77" t="s">
        <v>41</v>
      </c>
      <c r="B77" t="s">
        <v>26</v>
      </c>
      <c r="D77" s="5">
        <v>1646857</v>
      </c>
      <c r="E77" s="5">
        <v>1741286</v>
      </c>
      <c r="F77" s="5">
        <v>2028735</v>
      </c>
      <c r="G77" s="5">
        <v>1955919</v>
      </c>
      <c r="H77" s="5">
        <v>2194312</v>
      </c>
      <c r="I77" s="5">
        <v>4167390</v>
      </c>
      <c r="J77" s="5">
        <v>7170269</v>
      </c>
      <c r="K77" s="5">
        <v>10192101</v>
      </c>
      <c r="L77" s="5">
        <v>11039902</v>
      </c>
      <c r="M77" s="5">
        <v>4158745</v>
      </c>
      <c r="N77" s="10">
        <v>2317099</v>
      </c>
      <c r="O77" s="10">
        <v>1679835</v>
      </c>
      <c r="P77" s="2">
        <f t="shared" si="65"/>
        <v>50292450</v>
      </c>
      <c r="Q77" s="2"/>
      <c r="S77" s="3">
        <f>SUM(S45:S47)/SUM(D45:D47)*D77</f>
        <v>142878.62806300813</v>
      </c>
      <c r="T77" s="3">
        <f>SUM(T45:T47)/SUM(E45:E47)*E77</f>
        <v>151745.07439236098</v>
      </c>
      <c r="U77" s="3">
        <f t="shared" ref="U77:AB77" si="98">SUM(U45:U47)/SUM(F45:F47)*F77</f>
        <v>174366.91962214225</v>
      </c>
      <c r="V77" s="3">
        <f t="shared" si="98"/>
        <v>169029.91623947982</v>
      </c>
      <c r="W77" s="3">
        <f t="shared" si="98"/>
        <v>192918.88517180496</v>
      </c>
      <c r="X77" s="3">
        <f t="shared" si="98"/>
        <v>355627.88770893851</v>
      </c>
      <c r="Y77" s="3">
        <f t="shared" si="98"/>
        <v>590301.66645043471</v>
      </c>
      <c r="Z77" s="3">
        <f t="shared" si="98"/>
        <v>818545.52208404278</v>
      </c>
      <c r="AA77" s="3">
        <f t="shared" si="98"/>
        <v>899812.50083493371</v>
      </c>
      <c r="AB77" s="3">
        <f t="shared" si="98"/>
        <v>354683.36074224795</v>
      </c>
      <c r="AC77" s="24">
        <f t="shared" ref="AC77" si="99">SUM(AC45:AC47)/SUM(N45:N47)*N77</f>
        <v>204092.47920475731</v>
      </c>
      <c r="AD77" s="24">
        <f t="shared" ref="AD77" si="100">SUM(AD45:AD47)/SUM(O45:O47)*O77</f>
        <v>145016.18576840285</v>
      </c>
      <c r="AE77" s="3">
        <f t="shared" si="32"/>
        <v>4199019.0262825536</v>
      </c>
      <c r="AF77" t="s">
        <v>30</v>
      </c>
    </row>
    <row r="78" spans="1:32" x14ac:dyDescent="0.3">
      <c r="B78" t="s">
        <v>27</v>
      </c>
      <c r="D78" s="5">
        <v>-2105611</v>
      </c>
      <c r="E78" s="5">
        <v>-1646857</v>
      </c>
      <c r="F78" s="5">
        <v>-1741286</v>
      </c>
      <c r="G78" s="5">
        <v>-2028735</v>
      </c>
      <c r="H78" s="5">
        <v>-1955919</v>
      </c>
      <c r="I78" s="5">
        <v>-2194312</v>
      </c>
      <c r="J78" s="5">
        <v>-4167390</v>
      </c>
      <c r="K78" s="5">
        <v>-7170269</v>
      </c>
      <c r="L78" s="5">
        <v>-10192101</v>
      </c>
      <c r="M78" s="5">
        <v>-11039902</v>
      </c>
      <c r="N78" s="10">
        <v>-4158745</v>
      </c>
      <c r="O78" s="10">
        <v>-2317099</v>
      </c>
      <c r="P78" s="2">
        <f t="shared" si="65"/>
        <v>-50718226</v>
      </c>
      <c r="Q78" s="2"/>
      <c r="S78" s="3">
        <f>SUM(S45:S47)/SUM(D45:D47)*D78</f>
        <v>-182679.37708882955</v>
      </c>
      <c r="T78" s="3">
        <f>-S77</f>
        <v>-142878.62806300813</v>
      </c>
      <c r="U78" s="3">
        <f t="shared" ref="U78:AB78" si="101">-T77</f>
        <v>-151745.07439236098</v>
      </c>
      <c r="V78" s="3">
        <f t="shared" si="101"/>
        <v>-174366.91962214225</v>
      </c>
      <c r="W78" s="3">
        <f t="shared" si="101"/>
        <v>-169029.91623947982</v>
      </c>
      <c r="X78" s="3">
        <f t="shared" si="101"/>
        <v>-192918.88517180496</v>
      </c>
      <c r="Y78" s="3">
        <f t="shared" si="101"/>
        <v>-355627.88770893851</v>
      </c>
      <c r="Z78" s="3">
        <f t="shared" si="101"/>
        <v>-590301.66645043471</v>
      </c>
      <c r="AA78" s="3">
        <f t="shared" si="101"/>
        <v>-818545.52208404278</v>
      </c>
      <c r="AB78" s="3">
        <f t="shared" si="101"/>
        <v>-899812.50083493371</v>
      </c>
      <c r="AC78" s="24">
        <f t="shared" ref="AC78" si="102">-AB77</f>
        <v>-354683.36074224795</v>
      </c>
      <c r="AD78" s="24">
        <f t="shared" ref="AD78" si="103">-AC77</f>
        <v>-204092.47920475731</v>
      </c>
      <c r="AE78" s="3">
        <f t="shared" si="32"/>
        <v>-4236682.2176029813</v>
      </c>
      <c r="AF78" t="s">
        <v>31</v>
      </c>
    </row>
    <row r="79" spans="1:32" x14ac:dyDescent="0.3">
      <c r="B79" t="s">
        <v>25</v>
      </c>
      <c r="D79" s="6">
        <f t="shared" ref="D79" si="104">D77+D78</f>
        <v>-458754</v>
      </c>
      <c r="E79" s="6">
        <f t="shared" ref="E79" si="105">E77+E78</f>
        <v>94429</v>
      </c>
      <c r="F79" s="6">
        <f t="shared" ref="F79" si="106">F77+F78</f>
        <v>287449</v>
      </c>
      <c r="G79" s="6">
        <f t="shared" ref="G79" si="107">G77+G78</f>
        <v>-72816</v>
      </c>
      <c r="H79" s="6">
        <f t="shared" ref="H79" si="108">H77+H78</f>
        <v>238393</v>
      </c>
      <c r="I79" s="6">
        <f t="shared" ref="I79" si="109">I77+I78</f>
        <v>1973078</v>
      </c>
      <c r="J79" s="6">
        <f t="shared" ref="J79" si="110">J77+J78</f>
        <v>3002879</v>
      </c>
      <c r="K79" s="6">
        <f t="shared" ref="K79" si="111">K77+K78</f>
        <v>3021832</v>
      </c>
      <c r="L79" s="6">
        <f t="shared" ref="L79" si="112">L77+L78</f>
        <v>847801</v>
      </c>
      <c r="M79" s="6">
        <f t="shared" ref="M79" si="113">M77+M78</f>
        <v>-6881157</v>
      </c>
      <c r="N79" s="20">
        <f t="shared" ref="N79" si="114">N77+N78</f>
        <v>-1841646</v>
      </c>
      <c r="O79" s="20">
        <f t="shared" ref="O79" si="115">O77+O78</f>
        <v>-637264</v>
      </c>
      <c r="P79" s="2">
        <f t="shared" si="65"/>
        <v>-425776</v>
      </c>
      <c r="Q79" s="2"/>
      <c r="R79" s="14">
        <f>ROUND(SUM(AE45:AE47)/SUM(P45:P47),5)</f>
        <v>8.3580000000000002E-2</v>
      </c>
      <c r="S79" s="3">
        <f t="shared" ref="S79:AD79" si="116">$R79*D79</f>
        <v>-38342.659319999999</v>
      </c>
      <c r="T79" s="3">
        <f t="shared" si="116"/>
        <v>7892.3758200000002</v>
      </c>
      <c r="U79" s="3">
        <f t="shared" si="116"/>
        <v>24024.987420000001</v>
      </c>
      <c r="V79" s="3">
        <f t="shared" si="116"/>
        <v>-6085.9612800000004</v>
      </c>
      <c r="W79" s="3">
        <f t="shared" si="116"/>
        <v>19924.88694</v>
      </c>
      <c r="X79" s="3">
        <f t="shared" si="116"/>
        <v>164909.85923999999</v>
      </c>
      <c r="Y79" s="3">
        <f t="shared" si="116"/>
        <v>250980.62682</v>
      </c>
      <c r="Z79" s="3">
        <f t="shared" si="116"/>
        <v>252564.71856000001</v>
      </c>
      <c r="AA79" s="3">
        <f t="shared" si="116"/>
        <v>70859.207580000002</v>
      </c>
      <c r="AB79" s="3">
        <f t="shared" si="116"/>
        <v>-575127.10206000006</v>
      </c>
      <c r="AC79" s="24">
        <f t="shared" si="116"/>
        <v>-153924.77267999999</v>
      </c>
      <c r="AD79" s="24">
        <f t="shared" si="116"/>
        <v>-53262.525119999998</v>
      </c>
      <c r="AE79" s="3">
        <f t="shared" si="32"/>
        <v>-35586.358080000085</v>
      </c>
      <c r="AF79" t="s">
        <v>33</v>
      </c>
    </row>
    <row r="80" spans="1:32" x14ac:dyDescent="0.3">
      <c r="A80" t="s">
        <v>42</v>
      </c>
      <c r="B80" t="s">
        <v>26</v>
      </c>
      <c r="D80" s="5">
        <v>156844</v>
      </c>
      <c r="E80" s="5">
        <v>161230</v>
      </c>
      <c r="F80" s="5">
        <v>156057</v>
      </c>
      <c r="G80" s="5">
        <v>111767</v>
      </c>
      <c r="H80" s="5">
        <v>173235</v>
      </c>
      <c r="I80" s="5">
        <v>256894</v>
      </c>
      <c r="J80" s="5">
        <v>686150</v>
      </c>
      <c r="K80" s="5">
        <v>784008</v>
      </c>
      <c r="L80" s="5">
        <v>493097</v>
      </c>
      <c r="M80" s="5">
        <v>241087</v>
      </c>
      <c r="N80" s="10">
        <v>134325</v>
      </c>
      <c r="O80" s="10">
        <v>156264</v>
      </c>
      <c r="P80" s="2">
        <f t="shared" si="65"/>
        <v>3510958</v>
      </c>
      <c r="Q80" s="2"/>
      <c r="S80" s="3">
        <f>SUM(S50:S52)/SUM(D50:D52)*D80</f>
        <v>13689.266256569241</v>
      </c>
      <c r="T80" s="3">
        <f>SUM(T50:T52)/SUM(E50:E52)*E80</f>
        <v>14105.133667572534</v>
      </c>
      <c r="U80" s="3">
        <f t="shared" ref="U80:AB80" si="117">SUM(U50:U52)/SUM(F50:F52)*F80</f>
        <v>13850.650651823389</v>
      </c>
      <c r="V80" s="3">
        <f t="shared" si="117"/>
        <v>10131.076308809152</v>
      </c>
      <c r="W80" s="3">
        <f t="shared" si="117"/>
        <v>15239.638619340614</v>
      </c>
      <c r="X80" s="3">
        <f t="shared" si="117"/>
        <v>22120.075711780632</v>
      </c>
      <c r="Y80" s="3">
        <f t="shared" si="117"/>
        <v>58695.138201033427</v>
      </c>
      <c r="Z80" s="3">
        <f t="shared" si="117"/>
        <v>65999.205850387079</v>
      </c>
      <c r="AA80" s="3">
        <f t="shared" si="117"/>
        <v>42118.778503196561</v>
      </c>
      <c r="AB80" s="3">
        <f t="shared" si="117"/>
        <v>21538.918332945374</v>
      </c>
      <c r="AC80" s="24">
        <f t="shared" ref="AC80" si="118">SUM(AC50:AC52)/SUM(N50:N52)*N80</f>
        <v>12311.987949834247</v>
      </c>
      <c r="AD80" s="24">
        <f t="shared" ref="AD80" si="119">SUM(AD50:AD52)/SUM(O50:O52)*O80</f>
        <v>14000.941928752716</v>
      </c>
      <c r="AE80" s="3">
        <f t="shared" si="32"/>
        <v>303800.81198204501</v>
      </c>
      <c r="AF80" t="s">
        <v>30</v>
      </c>
    </row>
    <row r="81" spans="1:34" x14ac:dyDescent="0.3">
      <c r="B81" t="s">
        <v>27</v>
      </c>
      <c r="D81" s="5">
        <v>-168449</v>
      </c>
      <c r="E81" s="5">
        <v>-156844</v>
      </c>
      <c r="F81" s="5">
        <v>-161230</v>
      </c>
      <c r="G81" s="5">
        <v>-156057</v>
      </c>
      <c r="H81" s="5">
        <v>-111767</v>
      </c>
      <c r="I81" s="5">
        <v>-173235</v>
      </c>
      <c r="J81" s="5">
        <v>-256894</v>
      </c>
      <c r="K81" s="5">
        <v>-686150</v>
      </c>
      <c r="L81" s="5">
        <v>-784008</v>
      </c>
      <c r="M81" s="5">
        <v>-493097</v>
      </c>
      <c r="N81" s="10">
        <v>-241087</v>
      </c>
      <c r="O81" s="10">
        <v>-134325</v>
      </c>
      <c r="P81" s="2">
        <f t="shared" si="65"/>
        <v>-3523143</v>
      </c>
      <c r="Q81" s="2"/>
      <c r="S81" s="3">
        <f>SUM(S50:S52)/SUM(D50:D52)*D81</f>
        <v>-14702.144880600037</v>
      </c>
      <c r="T81" s="3">
        <f>-S80</f>
        <v>-13689.266256569241</v>
      </c>
      <c r="U81" s="3">
        <f t="shared" ref="U81:AB81" si="120">-T80</f>
        <v>-14105.133667572534</v>
      </c>
      <c r="V81" s="3">
        <f t="shared" si="120"/>
        <v>-13850.650651823389</v>
      </c>
      <c r="W81" s="3">
        <f t="shared" si="120"/>
        <v>-10131.076308809152</v>
      </c>
      <c r="X81" s="3">
        <f t="shared" si="120"/>
        <v>-15239.638619340614</v>
      </c>
      <c r="Y81" s="3">
        <f t="shared" si="120"/>
        <v>-22120.075711780632</v>
      </c>
      <c r="Z81" s="3">
        <f t="shared" si="120"/>
        <v>-58695.138201033427</v>
      </c>
      <c r="AA81" s="3">
        <f t="shared" si="120"/>
        <v>-65999.205850387079</v>
      </c>
      <c r="AB81" s="3">
        <f t="shared" si="120"/>
        <v>-42118.778503196561</v>
      </c>
      <c r="AC81" s="24">
        <f t="shared" ref="AC81" si="121">-AB80</f>
        <v>-21538.918332945374</v>
      </c>
      <c r="AD81" s="24">
        <f t="shared" ref="AD81" si="122">-AC80</f>
        <v>-12311.987949834247</v>
      </c>
      <c r="AE81" s="3">
        <f t="shared" si="32"/>
        <v>-304502.01493389229</v>
      </c>
      <c r="AF81" t="s">
        <v>31</v>
      </c>
    </row>
    <row r="82" spans="1:34" x14ac:dyDescent="0.3">
      <c r="B82" t="s">
        <v>25</v>
      </c>
      <c r="D82" s="6">
        <f t="shared" ref="D82" si="123">D80+D81</f>
        <v>-11605</v>
      </c>
      <c r="E82" s="6">
        <f t="shared" ref="E82" si="124">E80+E81</f>
        <v>4386</v>
      </c>
      <c r="F82" s="6">
        <f t="shared" ref="F82" si="125">F80+F81</f>
        <v>-5173</v>
      </c>
      <c r="G82" s="6">
        <f t="shared" ref="G82" si="126">G80+G81</f>
        <v>-44290</v>
      </c>
      <c r="H82" s="6">
        <f t="shared" ref="H82" si="127">H80+H81</f>
        <v>61468</v>
      </c>
      <c r="I82" s="6">
        <f t="shared" ref="I82" si="128">I80+I81</f>
        <v>83659</v>
      </c>
      <c r="J82" s="6">
        <f t="shared" ref="J82" si="129">J80+J81</f>
        <v>429256</v>
      </c>
      <c r="K82" s="6">
        <f t="shared" ref="K82" si="130">K80+K81</f>
        <v>97858</v>
      </c>
      <c r="L82" s="6">
        <f t="shared" ref="L82" si="131">L80+L81</f>
        <v>-290911</v>
      </c>
      <c r="M82" s="6">
        <f t="shared" ref="M82" si="132">M80+M81</f>
        <v>-252010</v>
      </c>
      <c r="N82" s="20">
        <f t="shared" ref="N82" si="133">N80+N81</f>
        <v>-106762</v>
      </c>
      <c r="O82" s="20">
        <f t="shared" ref="O82" si="134">O80+O81</f>
        <v>21939</v>
      </c>
      <c r="P82" s="2">
        <f t="shared" si="65"/>
        <v>-12185</v>
      </c>
      <c r="Q82" s="2"/>
      <c r="R82" s="14">
        <f>ROUND(SUM(AE50:AE52)/SUM(P50:P52),5)</f>
        <v>8.6400000000000005E-2</v>
      </c>
      <c r="S82" s="3">
        <f t="shared" ref="S82:AD82" si="135">$R82*D82</f>
        <v>-1002.672</v>
      </c>
      <c r="T82" s="3">
        <f t="shared" si="135"/>
        <v>378.9504</v>
      </c>
      <c r="U82" s="3">
        <f t="shared" si="135"/>
        <v>-446.94720000000001</v>
      </c>
      <c r="V82" s="3">
        <f t="shared" si="135"/>
        <v>-3826.6560000000004</v>
      </c>
      <c r="W82" s="3">
        <f t="shared" si="135"/>
        <v>5310.8352000000004</v>
      </c>
      <c r="X82" s="3">
        <f t="shared" si="135"/>
        <v>7228.1376</v>
      </c>
      <c r="Y82" s="3">
        <f t="shared" si="135"/>
        <v>37087.718400000005</v>
      </c>
      <c r="Z82" s="3">
        <f t="shared" si="135"/>
        <v>8454.9312000000009</v>
      </c>
      <c r="AA82" s="3">
        <f t="shared" si="135"/>
        <v>-25134.7104</v>
      </c>
      <c r="AB82" s="3">
        <f t="shared" si="135"/>
        <v>-21773.664000000001</v>
      </c>
      <c r="AC82" s="24">
        <f t="shared" si="135"/>
        <v>-9224.2368000000006</v>
      </c>
      <c r="AD82" s="24">
        <f t="shared" si="135"/>
        <v>1895.5296000000001</v>
      </c>
      <c r="AE82" s="3">
        <f t="shared" si="32"/>
        <v>-1052.7839999999958</v>
      </c>
      <c r="AF82" t="s">
        <v>33</v>
      </c>
    </row>
    <row r="84" spans="1:34" x14ac:dyDescent="0.3">
      <c r="A84" t="s">
        <v>34</v>
      </c>
      <c r="B84" t="s">
        <v>28</v>
      </c>
      <c r="D84" s="5">
        <v>-34178869</v>
      </c>
      <c r="E84" s="5">
        <v>-10572314</v>
      </c>
      <c r="F84" s="5">
        <v>4007386</v>
      </c>
      <c r="G84" s="5">
        <v>-1614714</v>
      </c>
      <c r="H84" s="5">
        <v>-1951170</v>
      </c>
      <c r="I84" s="5">
        <v>-1815798</v>
      </c>
      <c r="J84" s="5">
        <v>-25155202</v>
      </c>
      <c r="K84" s="5">
        <v>-26818037</v>
      </c>
      <c r="L84" s="5">
        <v>-12115582</v>
      </c>
      <c r="M84" s="5">
        <v>-2996978</v>
      </c>
      <c r="N84" s="10">
        <v>5077726</v>
      </c>
      <c r="O84" s="10">
        <v>-5338880</v>
      </c>
      <c r="P84" s="2">
        <f t="shared" si="65"/>
        <v>-113472432</v>
      </c>
      <c r="Q84" s="2"/>
      <c r="R84" s="14">
        <f>ROUND((Q4*R4+Q5*R5+Q6*R6)/SUM(Q4:Q6),5)</f>
        <v>9.8210000000000006E-2</v>
      </c>
      <c r="S84" s="3">
        <f t="shared" ref="S84:AD86" si="136">$R84*D84</f>
        <v>-3356706.7244900004</v>
      </c>
      <c r="T84" s="3">
        <f t="shared" si="136"/>
        <v>-1038306.9579400001</v>
      </c>
      <c r="U84" s="3">
        <f t="shared" si="136"/>
        <v>393565.37906000001</v>
      </c>
      <c r="V84" s="3">
        <f t="shared" si="136"/>
        <v>-158581.06194000001</v>
      </c>
      <c r="W84" s="3">
        <f t="shared" si="136"/>
        <v>-191624.4057</v>
      </c>
      <c r="X84" s="3">
        <f t="shared" si="136"/>
        <v>-178329.52158</v>
      </c>
      <c r="Y84" s="3">
        <f t="shared" si="136"/>
        <v>-2470492.3884200002</v>
      </c>
      <c r="Z84" s="3">
        <f t="shared" si="136"/>
        <v>-2633799.41377</v>
      </c>
      <c r="AA84" s="3">
        <f t="shared" si="136"/>
        <v>-1189871.30822</v>
      </c>
      <c r="AB84" s="3">
        <f t="shared" si="136"/>
        <v>-294333.20938000001</v>
      </c>
      <c r="AC84" s="24">
        <f t="shared" si="136"/>
        <v>498683.47046000004</v>
      </c>
      <c r="AD84" s="24">
        <f t="shared" si="136"/>
        <v>-524331.40480000002</v>
      </c>
      <c r="AE84" s="3">
        <f t="shared" si="32"/>
        <v>-11144127.546720002</v>
      </c>
    </row>
    <row r="85" spans="1:34" x14ac:dyDescent="0.3">
      <c r="A85" t="s">
        <v>36</v>
      </c>
      <c r="B85" t="s">
        <v>28</v>
      </c>
      <c r="D85" s="5">
        <v>-3438794</v>
      </c>
      <c r="E85" s="5">
        <v>-1060507</v>
      </c>
      <c r="F85" s="5">
        <v>403112</v>
      </c>
      <c r="G85" s="5">
        <v>-117528</v>
      </c>
      <c r="H85" s="5">
        <v>-497688</v>
      </c>
      <c r="I85" s="5">
        <v>-690493</v>
      </c>
      <c r="J85" s="5">
        <v>-3432322</v>
      </c>
      <c r="K85" s="5">
        <v>-3672547</v>
      </c>
      <c r="L85" s="5">
        <v>-1655487</v>
      </c>
      <c r="M85" s="5">
        <v>-202305</v>
      </c>
      <c r="N85" s="10">
        <v>367600</v>
      </c>
      <c r="O85" s="10">
        <v>-537084</v>
      </c>
      <c r="P85" s="2">
        <f t="shared" si="65"/>
        <v>-14534043</v>
      </c>
      <c r="Q85" s="2"/>
      <c r="R85" s="14">
        <f>ROUND((Q12*R12+Q13*R13)/SUM(Q12:Q13),5)</f>
        <v>8.7720000000000006E-2</v>
      </c>
      <c r="S85" s="3">
        <f t="shared" si="136"/>
        <v>-301651.00968000002</v>
      </c>
      <c r="T85" s="3">
        <f t="shared" si="136"/>
        <v>-93027.674040000013</v>
      </c>
      <c r="U85" s="3">
        <f t="shared" si="136"/>
        <v>35360.984640000002</v>
      </c>
      <c r="V85" s="3">
        <f t="shared" si="136"/>
        <v>-10309.55616</v>
      </c>
      <c r="W85" s="3">
        <f t="shared" si="136"/>
        <v>-43657.191360000004</v>
      </c>
      <c r="X85" s="3">
        <f t="shared" si="136"/>
        <v>-60570.045960000003</v>
      </c>
      <c r="Y85" s="3">
        <f t="shared" si="136"/>
        <v>-301083.28584000003</v>
      </c>
      <c r="Z85" s="3">
        <f t="shared" si="136"/>
        <v>-322155.82284000004</v>
      </c>
      <c r="AA85" s="3">
        <f t="shared" si="136"/>
        <v>-145219.31964</v>
      </c>
      <c r="AB85" s="3">
        <f t="shared" si="136"/>
        <v>-17746.194600000003</v>
      </c>
      <c r="AC85" s="24">
        <f t="shared" si="136"/>
        <v>32245.872000000003</v>
      </c>
      <c r="AD85" s="24">
        <f t="shared" si="136"/>
        <v>-47113.008480000004</v>
      </c>
      <c r="AE85" s="3">
        <f t="shared" si="32"/>
        <v>-1274926.2519600003</v>
      </c>
    </row>
    <row r="86" spans="1:34" x14ac:dyDescent="0.3">
      <c r="A86" t="s">
        <v>43</v>
      </c>
      <c r="B86" t="s">
        <v>28</v>
      </c>
      <c r="D86" s="5">
        <v>-1798105</v>
      </c>
      <c r="E86" s="5">
        <v>-556577</v>
      </c>
      <c r="F86" s="5">
        <v>209935</v>
      </c>
      <c r="G86" s="5">
        <v>-12915</v>
      </c>
      <c r="H86" s="5">
        <v>-841080</v>
      </c>
      <c r="I86" s="5">
        <v>-1303970</v>
      </c>
      <c r="J86" s="5">
        <v>-3885210</v>
      </c>
      <c r="K86" s="5">
        <v>-4158777</v>
      </c>
      <c r="L86" s="5">
        <v>-1873398</v>
      </c>
      <c r="M86" s="5">
        <v>13349</v>
      </c>
      <c r="N86" s="10">
        <v>40265</v>
      </c>
      <c r="O86" s="10">
        <v>-277791</v>
      </c>
      <c r="P86" s="2">
        <f t="shared" si="65"/>
        <v>-14444274</v>
      </c>
      <c r="Q86" s="2"/>
      <c r="R86" s="14">
        <f>ROUND((Q22*R22+Q23*R23)/SUM(Q22:Q23),5)</f>
        <v>6.7659999999999998E-2</v>
      </c>
      <c r="S86" s="3">
        <f t="shared" si="136"/>
        <v>-121659.7843</v>
      </c>
      <c r="T86" s="3">
        <f t="shared" si="136"/>
        <v>-37657.999819999997</v>
      </c>
      <c r="U86" s="3">
        <f t="shared" si="136"/>
        <v>14204.2021</v>
      </c>
      <c r="V86" s="3">
        <f t="shared" si="136"/>
        <v>-873.82889999999998</v>
      </c>
      <c r="W86" s="3">
        <f t="shared" si="136"/>
        <v>-56907.472799999996</v>
      </c>
      <c r="X86" s="3">
        <f t="shared" si="136"/>
        <v>-88226.610199999996</v>
      </c>
      <c r="Y86" s="3">
        <f t="shared" si="136"/>
        <v>-262873.30859999999</v>
      </c>
      <c r="Z86" s="3">
        <f t="shared" si="136"/>
        <v>-281382.85181999998</v>
      </c>
      <c r="AA86" s="3">
        <f t="shared" si="136"/>
        <v>-126754.10867999999</v>
      </c>
      <c r="AB86" s="3">
        <f t="shared" si="136"/>
        <v>903.19333999999992</v>
      </c>
      <c r="AC86" s="24">
        <f t="shared" si="136"/>
        <v>2724.3298999999997</v>
      </c>
      <c r="AD86" s="24">
        <f t="shared" si="136"/>
        <v>-18795.339059999998</v>
      </c>
      <c r="AE86" s="3">
        <f t="shared" si="32"/>
        <v>-977299.57883999986</v>
      </c>
    </row>
    <row r="88" spans="1:34" x14ac:dyDescent="0.3">
      <c r="A88" t="s">
        <v>45</v>
      </c>
      <c r="C88" t="s">
        <v>53</v>
      </c>
    </row>
    <row r="89" spans="1:34" x14ac:dyDescent="0.3">
      <c r="A89" t="s">
        <v>46</v>
      </c>
      <c r="D89" s="2">
        <f>SUM(D4:D6,D8:D10)+D58+D61+D84</f>
        <v>296242106</v>
      </c>
      <c r="E89" s="2">
        <f t="shared" ref="E89:O89" si="137">SUM(E4:E6,E8:E10)+E58+E61+E84</f>
        <v>232273506</v>
      </c>
      <c r="F89" s="2">
        <f t="shared" si="137"/>
        <v>220785816</v>
      </c>
      <c r="G89" s="2">
        <f t="shared" si="137"/>
        <v>172512259.67000002</v>
      </c>
      <c r="H89" s="2">
        <f t="shared" si="137"/>
        <v>159722654.10999998</v>
      </c>
      <c r="I89" s="2">
        <f t="shared" si="137"/>
        <v>147329454.85999998</v>
      </c>
      <c r="J89" s="2">
        <f t="shared" si="137"/>
        <v>170591089.88</v>
      </c>
      <c r="K89" s="2">
        <f t="shared" si="137"/>
        <v>179354659.38</v>
      </c>
      <c r="L89" s="2">
        <f t="shared" si="137"/>
        <v>149062032.43000001</v>
      </c>
      <c r="M89" s="2">
        <f t="shared" si="137"/>
        <v>160832538.19799998</v>
      </c>
      <c r="N89" s="19">
        <f t="shared" si="137"/>
        <v>219701834.54899999</v>
      </c>
      <c r="O89" s="19">
        <f t="shared" si="137"/>
        <v>270412856.64499998</v>
      </c>
      <c r="P89" s="6">
        <f>SUM(D89:O89)</f>
        <v>2378820807.7220001</v>
      </c>
      <c r="S89" s="3">
        <f>SUM(S3:S10)+S58+S61+S84</f>
        <v>29130388.486021426</v>
      </c>
      <c r="T89" s="3">
        <f t="shared" ref="T89:AD89" si="138">SUM(T3:T10)+T58+T61+T84</f>
        <v>23017744.09975126</v>
      </c>
      <c r="U89" s="3">
        <f t="shared" si="138"/>
        <v>21561884.913875353</v>
      </c>
      <c r="V89" s="3">
        <f t="shared" si="138"/>
        <v>16846208.251450896</v>
      </c>
      <c r="W89" s="3">
        <f t="shared" si="138"/>
        <v>15509423.440277787</v>
      </c>
      <c r="X89" s="3">
        <f t="shared" si="138"/>
        <v>14379668.001421461</v>
      </c>
      <c r="Y89" s="3">
        <f t="shared" si="138"/>
        <v>16318305.034589376</v>
      </c>
      <c r="Z89" s="3">
        <f t="shared" si="138"/>
        <v>17268596.088044886</v>
      </c>
      <c r="AA89" s="3">
        <f t="shared" si="138"/>
        <v>14602836.845167924</v>
      </c>
      <c r="AB89" s="3">
        <f t="shared" si="138"/>
        <v>15565833.505514909</v>
      </c>
      <c r="AC89" s="24">
        <f t="shared" si="138"/>
        <v>21064044.800688129</v>
      </c>
      <c r="AD89" s="24">
        <f t="shared" si="138"/>
        <v>25954113.642946247</v>
      </c>
      <c r="AE89" s="3">
        <f>SUM(S89:AD89)</f>
        <v>231219047.10974964</v>
      </c>
      <c r="AF89" s="3">
        <f>AE89</f>
        <v>231219047.10974964</v>
      </c>
      <c r="AH89" t="s">
        <v>111</v>
      </c>
    </row>
    <row r="90" spans="1:34" x14ac:dyDescent="0.3">
      <c r="A90" t="s">
        <v>47</v>
      </c>
      <c r="D90" s="2">
        <f>SUM(D12:D13,D17:D18)+D64+D67+D85</f>
        <v>63216083</v>
      </c>
      <c r="E90" s="2">
        <f t="shared" ref="E90:O90" si="139">SUM(E12:E13,E17:E18)+E64+E67+E85</f>
        <v>56859833</v>
      </c>
      <c r="F90" s="2">
        <f t="shared" si="139"/>
        <v>55071317</v>
      </c>
      <c r="G90" s="2">
        <f t="shared" si="139"/>
        <v>47383951.329999998</v>
      </c>
      <c r="H90" s="2">
        <f t="shared" si="139"/>
        <v>45923293.5</v>
      </c>
      <c r="I90" s="2">
        <f t="shared" si="139"/>
        <v>47057832.530000001</v>
      </c>
      <c r="J90" s="2">
        <f t="shared" si="139"/>
        <v>49717706.119999997</v>
      </c>
      <c r="K90" s="2">
        <f t="shared" si="139"/>
        <v>51446548.619999997</v>
      </c>
      <c r="L90" s="2">
        <f t="shared" si="139"/>
        <v>45643351.57</v>
      </c>
      <c r="M90" s="2">
        <f t="shared" si="139"/>
        <v>48621698.178999998</v>
      </c>
      <c r="N90" s="19">
        <f t="shared" si="139"/>
        <v>52259036.358000003</v>
      </c>
      <c r="O90" s="19">
        <f t="shared" si="139"/>
        <v>60331041.366999999</v>
      </c>
      <c r="P90" s="6">
        <f t="shared" ref="P90:P94" si="140">SUM(D90:O90)</f>
        <v>623531692.574</v>
      </c>
      <c r="S90" s="3">
        <f>SUM(S11:S20)+S64+S67+S85</f>
        <v>7671703.202153434</v>
      </c>
      <c r="T90" s="3">
        <f t="shared" ref="T90:AD90" si="141">SUM(T11:T20)+T64+T67+T85</f>
        <v>6983832.1250759652</v>
      </c>
      <c r="U90" s="3">
        <f t="shared" si="141"/>
        <v>6811569.8952581957</v>
      </c>
      <c r="V90" s="3">
        <f t="shared" si="141"/>
        <v>5993960.6478941692</v>
      </c>
      <c r="W90" s="3">
        <f t="shared" si="141"/>
        <v>5857352.1562174689</v>
      </c>
      <c r="X90" s="3">
        <f t="shared" si="141"/>
        <v>5978556.1528825331</v>
      </c>
      <c r="Y90" s="3">
        <f t="shared" si="141"/>
        <v>6297868.8013888011</v>
      </c>
      <c r="Z90" s="3">
        <f t="shared" si="141"/>
        <v>6464675.5911206678</v>
      </c>
      <c r="AA90" s="3">
        <f t="shared" si="141"/>
        <v>5819455.071494</v>
      </c>
      <c r="AB90" s="3">
        <f t="shared" si="141"/>
        <v>6160815.0417034011</v>
      </c>
      <c r="AC90" s="24">
        <f t="shared" si="141"/>
        <v>6524235.2673128052</v>
      </c>
      <c r="AD90" s="24">
        <f t="shared" si="141"/>
        <v>7387233.4063940942</v>
      </c>
      <c r="AE90" s="3">
        <f t="shared" ref="AE90:AE94" si="142">SUM(S90:AD90)</f>
        <v>77951257.35889554</v>
      </c>
    </row>
    <row r="91" spans="1:34" x14ac:dyDescent="0.3">
      <c r="A91" t="s">
        <v>48</v>
      </c>
      <c r="D91" s="2">
        <f>SUM(D22:D23,D28:D29)+D70+D73+D86</f>
        <v>113891773</v>
      </c>
      <c r="E91" s="2">
        <f t="shared" ref="E91:O91" si="143">SUM(E22:E23,E28:E29)+E70+E73+E86</f>
        <v>113591637</v>
      </c>
      <c r="F91" s="2">
        <f t="shared" si="143"/>
        <v>115563341</v>
      </c>
      <c r="G91" s="2">
        <f t="shared" si="143"/>
        <v>109526954</v>
      </c>
      <c r="H91" s="2">
        <f t="shared" si="143"/>
        <v>114431957</v>
      </c>
      <c r="I91" s="2">
        <f t="shared" si="143"/>
        <v>118499570</v>
      </c>
      <c r="J91" s="2">
        <f t="shared" si="143"/>
        <v>122646780</v>
      </c>
      <c r="K91" s="2">
        <f t="shared" si="143"/>
        <v>116593608</v>
      </c>
      <c r="L91" s="2">
        <f t="shared" si="143"/>
        <v>106163742</v>
      </c>
      <c r="M91" s="2">
        <f t="shared" si="143"/>
        <v>119619733.88</v>
      </c>
      <c r="N91" s="19">
        <f t="shared" si="143"/>
        <v>118203514.65100001</v>
      </c>
      <c r="O91" s="19">
        <f t="shared" si="143"/>
        <v>126696319.84599999</v>
      </c>
      <c r="P91" s="6">
        <f t="shared" si="140"/>
        <v>1395428930.3770001</v>
      </c>
      <c r="S91" s="3">
        <f>SUM(S21:S32)+S70+S73+S86</f>
        <v>10756764.992530003</v>
      </c>
      <c r="T91" s="3">
        <f t="shared" ref="T91:AD91" si="144">SUM(T21:T32)+T70+T73+T86</f>
        <v>10739770.095830001</v>
      </c>
      <c r="U91" s="3">
        <f t="shared" si="144"/>
        <v>10839446.617999995</v>
      </c>
      <c r="V91" s="3">
        <f t="shared" si="144"/>
        <v>10370193.42114</v>
      </c>
      <c r="W91" s="3">
        <f t="shared" si="144"/>
        <v>10778386.936550001</v>
      </c>
      <c r="X91" s="3">
        <f t="shared" si="144"/>
        <v>11206001.800759997</v>
      </c>
      <c r="Y91" s="3">
        <f t="shared" si="144"/>
        <v>11604476.598179976</v>
      </c>
      <c r="Z91" s="3">
        <f t="shared" si="144"/>
        <v>11126122.222299995</v>
      </c>
      <c r="AA91" s="3">
        <f t="shared" si="144"/>
        <v>10310348.394299999</v>
      </c>
      <c r="AB91" s="3">
        <f t="shared" si="144"/>
        <v>11227725.023217628</v>
      </c>
      <c r="AC91" s="24">
        <f t="shared" si="144"/>
        <v>11034387.666475324</v>
      </c>
      <c r="AD91" s="24">
        <f t="shared" si="144"/>
        <v>11683178.751961119</v>
      </c>
      <c r="AE91" s="3">
        <f t="shared" si="142"/>
        <v>131676802.52124405</v>
      </c>
      <c r="AF91" s="3">
        <f>AE90+AE91+AE93</f>
        <v>221381434.62596753</v>
      </c>
      <c r="AH91" t="s">
        <v>112</v>
      </c>
    </row>
    <row r="92" spans="1:34" x14ac:dyDescent="0.3">
      <c r="A92" t="s">
        <v>49</v>
      </c>
      <c r="D92" s="2">
        <f>SUM(D34:D36)+D76</f>
        <v>95080944</v>
      </c>
      <c r="E92" s="2">
        <f t="shared" ref="E92:O92" si="145">SUM(E34:E36)+E76</f>
        <v>86125720</v>
      </c>
      <c r="F92" s="2">
        <f t="shared" si="145"/>
        <v>94521732</v>
      </c>
      <c r="G92" s="2">
        <f t="shared" si="145"/>
        <v>90146900</v>
      </c>
      <c r="H92" s="2">
        <f t="shared" si="145"/>
        <v>91586792</v>
      </c>
      <c r="I92" s="2">
        <f t="shared" si="145"/>
        <v>89551436</v>
      </c>
      <c r="J92" s="2">
        <f t="shared" si="145"/>
        <v>99845617</v>
      </c>
      <c r="K92" s="2">
        <f t="shared" si="145"/>
        <v>100340607</v>
      </c>
      <c r="L92" s="2">
        <f t="shared" si="145"/>
        <v>93037255</v>
      </c>
      <c r="M92" s="2">
        <f t="shared" si="145"/>
        <v>94094288.800000012</v>
      </c>
      <c r="N92" s="19">
        <f t="shared" si="145"/>
        <v>93487278.199999988</v>
      </c>
      <c r="O92" s="19">
        <f t="shared" si="145"/>
        <v>92847203</v>
      </c>
      <c r="P92" s="6">
        <f t="shared" si="140"/>
        <v>1120665773</v>
      </c>
      <c r="S92" s="3">
        <f>SUM(S33:S40)+S76</f>
        <v>5760555.4539599996</v>
      </c>
      <c r="T92" s="3">
        <f t="shared" ref="T92:AD92" si="146">SUM(T33:T40)+T76</f>
        <v>5269012.8405400002</v>
      </c>
      <c r="U92" s="3">
        <f t="shared" si="146"/>
        <v>5644104.903859999</v>
      </c>
      <c r="V92" s="3">
        <f t="shared" si="146"/>
        <v>5411365.1969999997</v>
      </c>
      <c r="W92" s="3">
        <f t="shared" si="146"/>
        <v>5524933.9214399997</v>
      </c>
      <c r="X92" s="3">
        <f t="shared" si="146"/>
        <v>5395263.2947999993</v>
      </c>
      <c r="Y92" s="3">
        <f t="shared" si="146"/>
        <v>5958222.6931699999</v>
      </c>
      <c r="Z92" s="3">
        <f t="shared" si="146"/>
        <v>6000923.8078299994</v>
      </c>
      <c r="AA92" s="3">
        <f t="shared" si="146"/>
        <v>5692723.5749399997</v>
      </c>
      <c r="AB92" s="3">
        <f t="shared" si="146"/>
        <v>5426243.7299460005</v>
      </c>
      <c r="AC92" s="24">
        <f t="shared" si="146"/>
        <v>5838710.7455519997</v>
      </c>
      <c r="AD92" s="24">
        <f t="shared" si="146"/>
        <v>5745470.4589480013</v>
      </c>
      <c r="AE92" s="3">
        <f t="shared" si="142"/>
        <v>67667530.621986002</v>
      </c>
    </row>
    <row r="93" spans="1:34" x14ac:dyDescent="0.3">
      <c r="A93" t="s">
        <v>50</v>
      </c>
      <c r="D93" s="2">
        <f>SUM(D42,D45:D47,D50:D52)+D79+D82</f>
        <v>3644065.0000000005</v>
      </c>
      <c r="E93" s="2">
        <f t="shared" ref="E93:O93" si="147">SUM(E42,E45:E47,E50:E52)+E79+E82</f>
        <v>4532695</v>
      </c>
      <c r="F93" s="2">
        <f t="shared" si="147"/>
        <v>4858792.0000000009</v>
      </c>
      <c r="G93" s="2">
        <f t="shared" si="147"/>
        <v>4334058</v>
      </c>
      <c r="H93" s="2">
        <f t="shared" si="147"/>
        <v>7613969</v>
      </c>
      <c r="I93" s="2">
        <f t="shared" si="147"/>
        <v>16967399</v>
      </c>
      <c r="J93" s="2">
        <f t="shared" si="147"/>
        <v>27286276.999999996</v>
      </c>
      <c r="K93" s="2">
        <f t="shared" si="147"/>
        <v>33714094.5</v>
      </c>
      <c r="L93" s="2">
        <f t="shared" si="147"/>
        <v>23700939</v>
      </c>
      <c r="M93" s="2">
        <f t="shared" si="147"/>
        <v>4555830.7880000006</v>
      </c>
      <c r="N93" s="19">
        <f t="shared" si="147"/>
        <v>2932137.743329999</v>
      </c>
      <c r="O93" s="19">
        <f t="shared" si="147"/>
        <v>2751298.5520000001</v>
      </c>
      <c r="P93" s="6">
        <f t="shared" si="140"/>
        <v>136891555.58333001</v>
      </c>
      <c r="S93" s="3">
        <f>SUM(S41:S53)+S79+S82</f>
        <v>366209.5810216</v>
      </c>
      <c r="T93" s="3">
        <f t="shared" ref="T93:AD93" si="148">SUM(T41:T53)+T79+T82</f>
        <v>442866.61114884081</v>
      </c>
      <c r="U93" s="3">
        <f t="shared" si="148"/>
        <v>467322.32321200002</v>
      </c>
      <c r="V93" s="3">
        <f t="shared" si="148"/>
        <v>423458.34921199997</v>
      </c>
      <c r="W93" s="3">
        <f t="shared" si="148"/>
        <v>687747.76992119988</v>
      </c>
      <c r="X93" s="3">
        <f t="shared" si="148"/>
        <v>1441641.4381211998</v>
      </c>
      <c r="Y93" s="3">
        <f t="shared" si="148"/>
        <v>2243337.732394</v>
      </c>
      <c r="Z93" s="3">
        <f t="shared" si="148"/>
        <v>2727534.5191952814</v>
      </c>
      <c r="AA93" s="3">
        <f t="shared" si="148"/>
        <v>1942074.4461439999</v>
      </c>
      <c r="AB93" s="3">
        <f t="shared" si="148"/>
        <v>411333.7408734099</v>
      </c>
      <c r="AC93" s="24">
        <f t="shared" si="148"/>
        <v>312318.87365621683</v>
      </c>
      <c r="AD93" s="24">
        <f t="shared" si="148"/>
        <v>287529.36092819006</v>
      </c>
      <c r="AE93" s="3">
        <f t="shared" si="142"/>
        <v>11753374.745827937</v>
      </c>
      <c r="AF93" s="3">
        <f>AE92+AE94</f>
        <v>74443967.811985999</v>
      </c>
      <c r="AH93" t="s">
        <v>113</v>
      </c>
    </row>
    <row r="94" spans="1:34" x14ac:dyDescent="0.3">
      <c r="A94" t="s">
        <v>51</v>
      </c>
      <c r="D94" s="2">
        <f>D54</f>
        <v>1861083.0099200001</v>
      </c>
      <c r="E94" s="2">
        <f t="shared" ref="E94:O94" si="149">E54</f>
        <v>1693958.8991</v>
      </c>
      <c r="F94" s="2">
        <f t="shared" si="149"/>
        <v>1658692.3422399999</v>
      </c>
      <c r="G94" s="2">
        <f t="shared" si="149"/>
        <v>1702038.9818299999</v>
      </c>
      <c r="H94" s="2">
        <f t="shared" si="149"/>
        <v>1658525.44881</v>
      </c>
      <c r="I94" s="2">
        <f t="shared" si="149"/>
        <v>1491020.4002499999</v>
      </c>
      <c r="J94" s="2">
        <f t="shared" si="149"/>
        <v>1482995.6702399999</v>
      </c>
      <c r="K94" s="2">
        <f t="shared" si="149"/>
        <v>1608458.8040900002</v>
      </c>
      <c r="L94" s="2">
        <f t="shared" si="149"/>
        <v>1608870.3910300001</v>
      </c>
      <c r="M94" s="2">
        <f t="shared" si="149"/>
        <v>1609962.09457</v>
      </c>
      <c r="N94" s="19">
        <f t="shared" si="149"/>
        <v>1520002.9113700001</v>
      </c>
      <c r="O94" s="19">
        <f t="shared" si="149"/>
        <v>1665746.7816300001</v>
      </c>
      <c r="P94" s="6">
        <f t="shared" si="140"/>
        <v>19561355.735080004</v>
      </c>
      <c r="S94" s="3">
        <f>S54</f>
        <v>571213.46</v>
      </c>
      <c r="T94" s="3">
        <f t="shared" ref="T94:AD94" si="150">T54</f>
        <v>579896.38</v>
      </c>
      <c r="U94" s="3">
        <f t="shared" si="150"/>
        <v>573245.28</v>
      </c>
      <c r="V94" s="3">
        <f t="shared" si="150"/>
        <v>566450.61</v>
      </c>
      <c r="W94" s="3">
        <f t="shared" si="150"/>
        <v>568926.13000000012</v>
      </c>
      <c r="X94" s="3">
        <f t="shared" si="150"/>
        <v>535062.18000000005</v>
      </c>
      <c r="Y94" s="3">
        <f t="shared" si="150"/>
        <v>535661.22</v>
      </c>
      <c r="Z94" s="3">
        <f t="shared" si="150"/>
        <v>571060.89000000013</v>
      </c>
      <c r="AA94" s="3">
        <f t="shared" si="150"/>
        <v>571431.15</v>
      </c>
      <c r="AB94" s="3">
        <f t="shared" si="150"/>
        <v>574583.76</v>
      </c>
      <c r="AC94" s="24">
        <f t="shared" si="150"/>
        <v>555285.81000000006</v>
      </c>
      <c r="AD94" s="24">
        <f t="shared" si="150"/>
        <v>573620.31999999995</v>
      </c>
      <c r="AE94" s="3">
        <f t="shared" si="142"/>
        <v>6776437.1900000013</v>
      </c>
    </row>
    <row r="95" spans="1:34" x14ac:dyDescent="0.3">
      <c r="A95" t="s">
        <v>52</v>
      </c>
      <c r="D95" s="8">
        <f>SUM(D89:D94)</f>
        <v>573936054.00992</v>
      </c>
      <c r="E95" s="8">
        <f t="shared" ref="E95:P95" si="151">SUM(E89:E94)</f>
        <v>495077349.89910001</v>
      </c>
      <c r="F95" s="8">
        <f t="shared" si="151"/>
        <v>492459690.34223998</v>
      </c>
      <c r="G95" s="8">
        <f t="shared" si="151"/>
        <v>425606161.98183</v>
      </c>
      <c r="H95" s="8">
        <f t="shared" si="151"/>
        <v>420937191.05881</v>
      </c>
      <c r="I95" s="8">
        <f t="shared" si="151"/>
        <v>420896712.79025</v>
      </c>
      <c r="J95" s="8">
        <f t="shared" si="151"/>
        <v>471570465.67023998</v>
      </c>
      <c r="K95" s="8">
        <f t="shared" si="151"/>
        <v>483057976.30409002</v>
      </c>
      <c r="L95" s="8">
        <f t="shared" si="151"/>
        <v>419216190.39103001</v>
      </c>
      <c r="M95" s="8">
        <f t="shared" si="151"/>
        <v>429334051.93956995</v>
      </c>
      <c r="N95" s="22">
        <f t="shared" si="151"/>
        <v>488103804.4127</v>
      </c>
      <c r="O95" s="22">
        <f t="shared" si="151"/>
        <v>554704466.19163001</v>
      </c>
      <c r="P95" s="8">
        <f t="shared" si="151"/>
        <v>5674900114.9914103</v>
      </c>
      <c r="Q95" s="32"/>
      <c r="S95" s="7">
        <f>SUM(S89:S94)</f>
        <v>54256835.175686464</v>
      </c>
      <c r="T95" s="7">
        <f t="shared" ref="T95:AD95" si="152">SUM(T89:T94)</f>
        <v>47033122.152346067</v>
      </c>
      <c r="U95" s="7">
        <f t="shared" si="152"/>
        <v>45897573.934205547</v>
      </c>
      <c r="V95" s="7">
        <f t="shared" si="152"/>
        <v>39611636.476697065</v>
      </c>
      <c r="W95" s="7">
        <f t="shared" si="152"/>
        <v>38926770.354406454</v>
      </c>
      <c r="X95" s="7">
        <f t="shared" si="152"/>
        <v>38936192.867985189</v>
      </c>
      <c r="Y95" s="7">
        <f t="shared" si="152"/>
        <v>42957872.079722159</v>
      </c>
      <c r="Z95" s="7">
        <f t="shared" si="152"/>
        <v>44158913.11849083</v>
      </c>
      <c r="AA95" s="7">
        <f t="shared" si="152"/>
        <v>38938869.482045926</v>
      </c>
      <c r="AB95" s="7">
        <f t="shared" si="152"/>
        <v>39366534.801255345</v>
      </c>
      <c r="AC95" s="25">
        <f t="shared" si="152"/>
        <v>45328983.163684472</v>
      </c>
      <c r="AD95" s="25">
        <f t="shared" si="152"/>
        <v>51631145.941177659</v>
      </c>
      <c r="AE95" s="7">
        <f>SUM(AE89:AE94)</f>
        <v>527044449.54770321</v>
      </c>
      <c r="AF95" s="3">
        <f>SUM(AF89:AF94)</f>
        <v>527044449.54770315</v>
      </c>
    </row>
    <row r="97" spans="1:31" x14ac:dyDescent="0.3">
      <c r="A97" t="s">
        <v>54</v>
      </c>
      <c r="C97" t="s">
        <v>55</v>
      </c>
      <c r="R97" s="12" t="s">
        <v>56</v>
      </c>
    </row>
    <row r="98" spans="1:31" x14ac:dyDescent="0.3">
      <c r="A98" t="s">
        <v>46</v>
      </c>
      <c r="D98" s="2">
        <f>D89/(D3+D7)</f>
        <v>1396.4857401453799</v>
      </c>
      <c r="E98" s="2">
        <f t="shared" ref="E98:M98" si="153">E89/(E3+E7)</f>
        <v>1095.3249142927205</v>
      </c>
      <c r="F98" s="2">
        <f t="shared" si="153"/>
        <v>1038.4154493034457</v>
      </c>
      <c r="G98" s="2">
        <f t="shared" si="153"/>
        <v>813.66798889716915</v>
      </c>
      <c r="H98" s="2">
        <f t="shared" si="153"/>
        <v>756.05493808518486</v>
      </c>
      <c r="I98" s="2">
        <f t="shared" si="153"/>
        <v>695.50797743473538</v>
      </c>
      <c r="J98" s="2">
        <f t="shared" si="153"/>
        <v>806.80995407658941</v>
      </c>
      <c r="K98" s="2">
        <f t="shared" si="153"/>
        <v>844.37557085085041</v>
      </c>
      <c r="L98" s="2">
        <f t="shared" si="153"/>
        <v>702.00025633538826</v>
      </c>
      <c r="M98" s="2">
        <f t="shared" si="153"/>
        <v>752.26399778295388</v>
      </c>
      <c r="N98" s="19">
        <f t="shared" ref="N98:O98" si="154">N89/(N3+N7)</f>
        <v>1027.3353777728939</v>
      </c>
      <c r="O98" s="19">
        <f t="shared" si="154"/>
        <v>1262.5672067729026</v>
      </c>
      <c r="P98" s="2">
        <f t="shared" ref="P98" si="155">P89/(P3+P7)</f>
        <v>932.89395295726922</v>
      </c>
      <c r="S98" s="3">
        <f>S89/(D3+D7)</f>
        <v>137.32069581501045</v>
      </c>
      <c r="T98" s="3">
        <f t="shared" ref="T98:AE98" si="156">T89/(E3+E7)</f>
        <v>108.54405660571473</v>
      </c>
      <c r="U98" s="3">
        <f t="shared" si="156"/>
        <v>101.41138056926202</v>
      </c>
      <c r="V98" s="3">
        <f t="shared" si="156"/>
        <v>79.456500162490428</v>
      </c>
      <c r="W98" s="3">
        <f t="shared" si="156"/>
        <v>73.414608868198059</v>
      </c>
      <c r="X98" s="3">
        <f t="shared" si="156"/>
        <v>67.883057175194551</v>
      </c>
      <c r="Y98" s="3">
        <f t="shared" si="156"/>
        <v>77.177365739477466</v>
      </c>
      <c r="Z98" s="3">
        <f t="shared" si="156"/>
        <v>81.298031119127003</v>
      </c>
      <c r="AA98" s="3">
        <f t="shared" si="156"/>
        <v>68.77133661347149</v>
      </c>
      <c r="AB98" s="3">
        <f t="shared" si="156"/>
        <v>72.806263414601204</v>
      </c>
      <c r="AC98" s="24">
        <f t="shared" si="156"/>
        <v>98.496393838321723</v>
      </c>
      <c r="AD98" s="24">
        <f t="shared" si="156"/>
        <v>121.18067599670482</v>
      </c>
      <c r="AE98" s="3">
        <f t="shared" si="156"/>
        <v>90.676376361357029</v>
      </c>
    </row>
    <row r="99" spans="1:31" x14ac:dyDescent="0.3">
      <c r="A99" t="s">
        <v>47</v>
      </c>
      <c r="D99" s="2">
        <f>D90/(D11+D16)</f>
        <v>2001.6491355835603</v>
      </c>
      <c r="E99" s="2">
        <f t="shared" ref="E99:M99" si="157">E90/(E11+E16)</f>
        <v>1805.647284852334</v>
      </c>
      <c r="F99" s="2">
        <f t="shared" si="157"/>
        <v>1739.5153668782968</v>
      </c>
      <c r="G99" s="2">
        <f t="shared" si="157"/>
        <v>1502.4399559261842</v>
      </c>
      <c r="H99" s="2">
        <f t="shared" si="157"/>
        <v>1462.897983562691</v>
      </c>
      <c r="I99" s="2">
        <f t="shared" si="157"/>
        <v>1481.8564217785615</v>
      </c>
      <c r="J99" s="2">
        <f t="shared" si="157"/>
        <v>1574.7404700367413</v>
      </c>
      <c r="K99" s="2">
        <f t="shared" si="157"/>
        <v>1618.0195188073972</v>
      </c>
      <c r="L99" s="2">
        <f t="shared" si="157"/>
        <v>1437.3595203904897</v>
      </c>
      <c r="M99" s="2">
        <f t="shared" si="157"/>
        <v>1524.6691181875194</v>
      </c>
      <c r="N99" s="19">
        <f t="shared" ref="N99:O99" si="158">N90/(N11+N16)</f>
        <v>1652.9300467484818</v>
      </c>
      <c r="O99" s="19">
        <f t="shared" si="158"/>
        <v>1888.4728258365417</v>
      </c>
      <c r="P99" s="2">
        <f t="shared" ref="P99" si="159">P90/(P11+P16)</f>
        <v>1640.9031023571488</v>
      </c>
      <c r="S99" s="3">
        <f>S90/(D11+D16)</f>
        <v>242.9137864021732</v>
      </c>
      <c r="T99" s="3">
        <f t="shared" ref="T99:AE99" si="160">T90/(E11+E16)</f>
        <v>221.77936249844285</v>
      </c>
      <c r="U99" s="3">
        <f t="shared" si="160"/>
        <v>215.15429720642459</v>
      </c>
      <c r="V99" s="3">
        <f t="shared" si="160"/>
        <v>190.05519208238218</v>
      </c>
      <c r="W99" s="3">
        <f t="shared" si="160"/>
        <v>186.58741578164719</v>
      </c>
      <c r="X99" s="3">
        <f t="shared" si="160"/>
        <v>188.26540347910736</v>
      </c>
      <c r="Y99" s="3">
        <f t="shared" si="160"/>
        <v>199.47639685128598</v>
      </c>
      <c r="Z99" s="3">
        <f t="shared" si="160"/>
        <v>203.31725975344909</v>
      </c>
      <c r="AA99" s="3">
        <f t="shared" si="160"/>
        <v>183.26106350162181</v>
      </c>
      <c r="AB99" s="3">
        <f t="shared" si="160"/>
        <v>193.18955916285358</v>
      </c>
      <c r="AC99" s="24">
        <f t="shared" si="160"/>
        <v>206.35865597522789</v>
      </c>
      <c r="AD99" s="24">
        <f t="shared" si="160"/>
        <v>231.23402530422558</v>
      </c>
      <c r="AE99" s="3">
        <f t="shared" si="160"/>
        <v>205.13866665674246</v>
      </c>
    </row>
    <row r="100" spans="1:31" x14ac:dyDescent="0.3">
      <c r="A100" t="s">
        <v>48</v>
      </c>
      <c r="D100" s="2">
        <f>D91/(D21+D27)</f>
        <v>60452.108811040336</v>
      </c>
      <c r="E100" s="2">
        <f t="shared" ref="E100:M100" si="161">E91/(E21+E27)</f>
        <v>59848.070073761854</v>
      </c>
      <c r="F100" s="2">
        <f t="shared" si="161"/>
        <v>61047.723718964604</v>
      </c>
      <c r="G100" s="2">
        <f t="shared" si="161"/>
        <v>57736.928835002633</v>
      </c>
      <c r="H100" s="2">
        <f t="shared" si="161"/>
        <v>60578.060878771837</v>
      </c>
      <c r="I100" s="2">
        <f t="shared" si="161"/>
        <v>62237.169117647056</v>
      </c>
      <c r="J100" s="2">
        <f t="shared" si="161"/>
        <v>64789.635499207609</v>
      </c>
      <c r="K100" s="2">
        <f t="shared" si="161"/>
        <v>61236.138655462186</v>
      </c>
      <c r="L100" s="2">
        <f t="shared" si="161"/>
        <v>55905.077409162717</v>
      </c>
      <c r="M100" s="2">
        <f t="shared" si="161"/>
        <v>63190.562007395667</v>
      </c>
      <c r="N100" s="19">
        <f t="shared" ref="N100:O100" si="162">N91/(N21+N27)</f>
        <v>62343.625870780597</v>
      </c>
      <c r="O100" s="19">
        <f t="shared" si="162"/>
        <v>66647.196131509729</v>
      </c>
      <c r="P100" s="2">
        <f t="shared" ref="P100" si="163">P91/(P21+P27)</f>
        <v>61334.839364291685</v>
      </c>
      <c r="S100" s="3">
        <f>S91/(D21+D27)</f>
        <v>5709.5355586677297</v>
      </c>
      <c r="T100" s="3">
        <f t="shared" ref="T100:AE100" si="164">T91/(E21+E27)</f>
        <v>5658.4668576554277</v>
      </c>
      <c r="U100" s="3">
        <f t="shared" si="164"/>
        <v>5726.0679440042231</v>
      </c>
      <c r="V100" s="3">
        <f t="shared" si="164"/>
        <v>5466.628055424354</v>
      </c>
      <c r="W100" s="3">
        <f t="shared" si="164"/>
        <v>5705.8692093965064</v>
      </c>
      <c r="X100" s="3">
        <f t="shared" si="164"/>
        <v>5885.5051474579814</v>
      </c>
      <c r="Y100" s="3">
        <f t="shared" si="164"/>
        <v>6130.2042251346938</v>
      </c>
      <c r="Z100" s="3">
        <f t="shared" si="164"/>
        <v>5843.5515873424347</v>
      </c>
      <c r="AA100" s="3">
        <f t="shared" si="164"/>
        <v>5429.3567110584509</v>
      </c>
      <c r="AB100" s="3">
        <f t="shared" si="164"/>
        <v>5931.1806778751334</v>
      </c>
      <c r="AC100" s="24">
        <f t="shared" si="164"/>
        <v>5819.8247186051285</v>
      </c>
      <c r="AD100" s="24">
        <f t="shared" si="164"/>
        <v>6145.8068132357284</v>
      </c>
      <c r="AE100" s="3">
        <f t="shared" si="164"/>
        <v>5787.7369135969429</v>
      </c>
    </row>
    <row r="101" spans="1:31" x14ac:dyDescent="0.3">
      <c r="A101" t="s">
        <v>49</v>
      </c>
      <c r="D101" s="2">
        <f>D92/(D33)</f>
        <v>4133954.086956522</v>
      </c>
      <c r="E101" s="2">
        <f t="shared" ref="E101:M101" si="165">E92/(E33)</f>
        <v>4101224.7619047621</v>
      </c>
      <c r="F101" s="2">
        <f t="shared" si="165"/>
        <v>4501034.8571428573</v>
      </c>
      <c r="G101" s="2">
        <f t="shared" si="165"/>
        <v>4292709.5238095243</v>
      </c>
      <c r="H101" s="2">
        <f t="shared" si="165"/>
        <v>4361275.8095238097</v>
      </c>
      <c r="I101" s="2">
        <f t="shared" si="165"/>
        <v>4477571.8</v>
      </c>
      <c r="J101" s="2">
        <f t="shared" si="165"/>
        <v>4754553.1904761903</v>
      </c>
      <c r="K101" s="2">
        <f t="shared" si="165"/>
        <v>4778124.1428571427</v>
      </c>
      <c r="L101" s="2">
        <f t="shared" si="165"/>
        <v>4228966.1363636367</v>
      </c>
      <c r="M101" s="2">
        <f t="shared" si="165"/>
        <v>4952330.9894736847</v>
      </c>
      <c r="N101" s="19">
        <f t="shared" ref="N101:O101" si="166">N92/(N33)</f>
        <v>3595664.5461538457</v>
      </c>
      <c r="O101" s="19">
        <f t="shared" si="166"/>
        <v>4036834.913043478</v>
      </c>
      <c r="P101" s="2">
        <f t="shared" ref="P101" si="167">P92/(P33)</f>
        <v>4326894.876447876</v>
      </c>
      <c r="S101" s="3">
        <f>S92/(D33)</f>
        <v>250458.93278086954</v>
      </c>
      <c r="T101" s="3">
        <f t="shared" ref="T101:AE101" si="168">T92/(E33)</f>
        <v>250905.37335904763</v>
      </c>
      <c r="U101" s="3">
        <f t="shared" si="168"/>
        <v>268766.90018380946</v>
      </c>
      <c r="V101" s="3">
        <f t="shared" si="168"/>
        <v>257684.05699999997</v>
      </c>
      <c r="W101" s="3">
        <f t="shared" si="168"/>
        <v>263092.09149714286</v>
      </c>
      <c r="X101" s="3">
        <f t="shared" si="168"/>
        <v>269763.16473999998</v>
      </c>
      <c r="Y101" s="3">
        <f t="shared" si="168"/>
        <v>283724.89015095239</v>
      </c>
      <c r="Z101" s="3">
        <f t="shared" si="168"/>
        <v>285758.27656333329</v>
      </c>
      <c r="AA101" s="3">
        <f t="shared" si="168"/>
        <v>258760.16249727271</v>
      </c>
      <c r="AB101" s="3">
        <f t="shared" si="168"/>
        <v>285591.7752603158</v>
      </c>
      <c r="AC101" s="24">
        <f t="shared" si="168"/>
        <v>224565.79790584615</v>
      </c>
      <c r="AD101" s="24">
        <f t="shared" si="168"/>
        <v>249803.0634325218</v>
      </c>
      <c r="AE101" s="3">
        <f t="shared" si="168"/>
        <v>261264.59699608496</v>
      </c>
    </row>
    <row r="102" spans="1:31" x14ac:dyDescent="0.3">
      <c r="A102" t="s">
        <v>50</v>
      </c>
      <c r="D102" s="2">
        <f>D93/(D41+D44+D49)</f>
        <v>1507.681009515929</v>
      </c>
      <c r="E102" s="2">
        <f t="shared" ref="E102:M102" si="169">E93/(E41+E44+E49)</f>
        <v>1887.8363182007497</v>
      </c>
      <c r="F102" s="2">
        <f t="shared" si="169"/>
        <v>1963.1482828282833</v>
      </c>
      <c r="G102" s="2">
        <f t="shared" si="169"/>
        <v>1789.4541701073492</v>
      </c>
      <c r="H102" s="2">
        <f t="shared" si="169"/>
        <v>3142.3726784977302</v>
      </c>
      <c r="I102" s="2">
        <f t="shared" si="169"/>
        <v>6942.470949263502</v>
      </c>
      <c r="J102" s="2">
        <f t="shared" si="169"/>
        <v>11270.663775299461</v>
      </c>
      <c r="K102" s="2">
        <f t="shared" si="169"/>
        <v>13550.681069131833</v>
      </c>
      <c r="L102" s="2">
        <f t="shared" si="169"/>
        <v>9673.8526530612253</v>
      </c>
      <c r="M102" s="2">
        <f t="shared" si="169"/>
        <v>1875.5993363524087</v>
      </c>
      <c r="N102" s="19">
        <f t="shared" ref="N102:O102" si="170">N93/(N41+N44+N49)</f>
        <v>1204.1633442833672</v>
      </c>
      <c r="O102" s="19">
        <f t="shared" si="170"/>
        <v>1158.9294658803708</v>
      </c>
      <c r="P102" s="2">
        <f t="shared" ref="P102" si="171">P93/(P41+P44+P49)</f>
        <v>4691.4409535395316</v>
      </c>
      <c r="S102" s="3">
        <f>S93/(D41+D44+D49)</f>
        <v>151.51410054679354</v>
      </c>
      <c r="T102" s="3">
        <f t="shared" ref="T102:AE102" si="172">T93/(E41+E44+E49)</f>
        <v>184.45090010364049</v>
      </c>
      <c r="U102" s="3">
        <f t="shared" si="172"/>
        <v>188.81710028767677</v>
      </c>
      <c r="V102" s="3">
        <f t="shared" si="172"/>
        <v>174.83829447233691</v>
      </c>
      <c r="W102" s="3">
        <f t="shared" si="172"/>
        <v>283.84142382220381</v>
      </c>
      <c r="X102" s="3">
        <f t="shared" si="172"/>
        <v>589.86965553240577</v>
      </c>
      <c r="Y102" s="3">
        <f t="shared" si="172"/>
        <v>926.61616373151594</v>
      </c>
      <c r="Z102" s="3">
        <f t="shared" si="172"/>
        <v>1096.2759321524443</v>
      </c>
      <c r="AA102" s="3">
        <f t="shared" si="172"/>
        <v>792.68344740571422</v>
      </c>
      <c r="AB102" s="3">
        <f t="shared" si="172"/>
        <v>169.3428328009098</v>
      </c>
      <c r="AC102" s="24">
        <f t="shared" si="172"/>
        <v>128.26237111138269</v>
      </c>
      <c r="AD102" s="24">
        <f t="shared" si="172"/>
        <v>121.11599028146169</v>
      </c>
      <c r="AE102" s="3">
        <f t="shared" si="172"/>
        <v>402.80252050542987</v>
      </c>
    </row>
    <row r="103" spans="1:31" x14ac:dyDescent="0.3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3"/>
      <c r="O103" s="23"/>
      <c r="S103" s="9"/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54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7"/>
  <sheetViews>
    <sheetView zoomScaleNormal="100" workbookViewId="0">
      <pane xSplit="2" ySplit="2" topLeftCell="H58" activePane="bottomRight" state="frozen"/>
      <selection pane="topRight" activeCell="C1" sqref="C1"/>
      <selection pane="bottomLeft" activeCell="A3" sqref="A3"/>
      <selection pane="bottomRight" activeCell="Q81" sqref="Q81:Q88"/>
    </sheetView>
  </sheetViews>
  <sheetFormatPr defaultRowHeight="14.4" x14ac:dyDescent="0.3"/>
  <cols>
    <col min="1" max="1" width="7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4.6640625" customWidth="1"/>
    <col min="18" max="18" width="13.1093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.33203125" customWidth="1"/>
    <col min="27" max="27" width="11.44140625" customWidth="1"/>
    <col min="28" max="28" width="11" customWidth="1"/>
    <col min="29" max="29" width="10.6640625" style="18" customWidth="1"/>
    <col min="30" max="30" width="11.77734375" style="18" customWidth="1"/>
    <col min="31" max="31" width="12.77734375" customWidth="1"/>
    <col min="32" max="32" width="18" customWidth="1"/>
    <col min="33" max="33" width="8.88671875" hidden="1" customWidth="1"/>
    <col min="34" max="34" width="13.88671875" customWidth="1"/>
    <col min="35" max="35" width="13.6640625" bestFit="1" customWidth="1"/>
  </cols>
  <sheetData>
    <row r="1" spans="1:31" x14ac:dyDescent="0.3">
      <c r="A1" t="s">
        <v>58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34</v>
      </c>
      <c r="B3" t="s">
        <v>14</v>
      </c>
      <c r="D3" s="5">
        <v>105837</v>
      </c>
      <c r="E3" s="5">
        <v>105929</v>
      </c>
      <c r="F3" s="5">
        <v>105939</v>
      </c>
      <c r="G3" s="5">
        <v>105734</v>
      </c>
      <c r="H3" s="5">
        <v>105611</v>
      </c>
      <c r="I3" s="5">
        <v>105458</v>
      </c>
      <c r="J3" s="5">
        <v>105691</v>
      </c>
      <c r="K3" s="5">
        <v>105760</v>
      </c>
      <c r="L3" s="5">
        <v>106357</v>
      </c>
      <c r="M3" s="5">
        <v>106676</v>
      </c>
      <c r="N3" s="10">
        <v>107018</v>
      </c>
      <c r="O3" s="10">
        <v>107242</v>
      </c>
      <c r="P3" s="2">
        <f>SUM(D3:O3)</f>
        <v>1273252</v>
      </c>
      <c r="Q3" s="2">
        <v>576</v>
      </c>
      <c r="R3" s="13">
        <v>6</v>
      </c>
      <c r="S3" s="3">
        <f t="shared" ref="S3:AD8" si="0">$R3*D3</f>
        <v>635022</v>
      </c>
      <c r="T3" s="3">
        <f t="shared" si="0"/>
        <v>635574</v>
      </c>
      <c r="U3" s="3">
        <f t="shared" si="0"/>
        <v>635634</v>
      </c>
      <c r="V3" s="3">
        <f t="shared" si="0"/>
        <v>634404</v>
      </c>
      <c r="W3" s="3">
        <f t="shared" si="0"/>
        <v>633666</v>
      </c>
      <c r="X3" s="3">
        <f t="shared" si="0"/>
        <v>632748</v>
      </c>
      <c r="Y3" s="3">
        <f t="shared" si="0"/>
        <v>634146</v>
      </c>
      <c r="Z3" s="3">
        <f t="shared" si="0"/>
        <v>634560</v>
      </c>
      <c r="AA3" s="3">
        <f t="shared" si="0"/>
        <v>638142</v>
      </c>
      <c r="AB3" s="3">
        <f t="shared" si="0"/>
        <v>640056</v>
      </c>
      <c r="AC3" s="24">
        <f t="shared" si="0"/>
        <v>642108</v>
      </c>
      <c r="AD3" s="24">
        <f t="shared" si="0"/>
        <v>643452</v>
      </c>
      <c r="AE3" s="3">
        <f>SUM(S3:AD3)</f>
        <v>7639512</v>
      </c>
    </row>
    <row r="4" spans="1:31" x14ac:dyDescent="0.3">
      <c r="B4" t="s">
        <v>15</v>
      </c>
      <c r="D4" s="5">
        <v>58118256</v>
      </c>
      <c r="E4" s="5">
        <v>56442766</v>
      </c>
      <c r="F4" s="5">
        <v>55352582</v>
      </c>
      <c r="G4" s="5">
        <v>53777289</v>
      </c>
      <c r="H4" s="5">
        <v>52064664</v>
      </c>
      <c r="I4" s="5">
        <v>50830962</v>
      </c>
      <c r="J4" s="5">
        <v>52295770</v>
      </c>
      <c r="K4" s="5">
        <v>53223588</v>
      </c>
      <c r="L4" s="5">
        <v>52632185</v>
      </c>
      <c r="M4" s="5">
        <v>52056906.531999998</v>
      </c>
      <c r="N4" s="10">
        <v>54600149.041000001</v>
      </c>
      <c r="O4" s="10">
        <v>57177463.316</v>
      </c>
      <c r="P4" s="2">
        <f t="shared" ref="P4:P60" si="1">SUM(D4:O4)</f>
        <v>648572580.88899994</v>
      </c>
      <c r="Q4" s="2">
        <f>IF(P4-P3*Q3&gt;0,P4-P3*Q3,0)</f>
        <v>0</v>
      </c>
      <c r="R4" s="14">
        <v>9.2429999999999998E-2</v>
      </c>
      <c r="S4" s="3">
        <f t="shared" si="0"/>
        <v>5371870.4020799994</v>
      </c>
      <c r="T4" s="3">
        <f t="shared" si="0"/>
        <v>5217004.8613799997</v>
      </c>
      <c r="U4" s="3">
        <f t="shared" si="0"/>
        <v>5116239.1542600002</v>
      </c>
      <c r="V4" s="3">
        <f t="shared" si="0"/>
        <v>4970634.8222700004</v>
      </c>
      <c r="W4" s="3">
        <f t="shared" si="0"/>
        <v>4812336.8935199995</v>
      </c>
      <c r="X4" s="3">
        <f t="shared" si="0"/>
        <v>4698305.8176600002</v>
      </c>
      <c r="Y4" s="3">
        <f t="shared" si="0"/>
        <v>4833698.0210999995</v>
      </c>
      <c r="Z4" s="3">
        <f t="shared" si="0"/>
        <v>4919456.2388399998</v>
      </c>
      <c r="AA4" s="3">
        <f t="shared" si="0"/>
        <v>4864792.8595500002</v>
      </c>
      <c r="AB4" s="3">
        <f t="shared" si="0"/>
        <v>4811619.8707527593</v>
      </c>
      <c r="AC4" s="24">
        <f t="shared" si="0"/>
        <v>5046691.7758596297</v>
      </c>
      <c r="AD4" s="24">
        <f t="shared" si="0"/>
        <v>5284912.9342978802</v>
      </c>
      <c r="AE4" s="3">
        <f t="shared" ref="AE4:AE49" si="2">SUM(S4:AD4)</f>
        <v>59947563.651570268</v>
      </c>
    </row>
    <row r="5" spans="1:31" x14ac:dyDescent="0.3">
      <c r="B5" t="s">
        <v>16</v>
      </c>
      <c r="D5" s="5">
        <v>100803431</v>
      </c>
      <c r="E5" s="5">
        <v>72813272</v>
      </c>
      <c r="F5" s="5">
        <v>56767828</v>
      </c>
      <c r="G5" s="5">
        <v>41455489</v>
      </c>
      <c r="H5" s="5">
        <v>30212291</v>
      </c>
      <c r="I5" s="5">
        <v>23676578</v>
      </c>
      <c r="J5" s="5">
        <v>34355754</v>
      </c>
      <c r="K5" s="5">
        <v>38696587</v>
      </c>
      <c r="L5" s="5">
        <v>29883521</v>
      </c>
      <c r="M5" s="5">
        <v>25663183.782000002</v>
      </c>
      <c r="N5" s="10">
        <v>42113303.346000001</v>
      </c>
      <c r="O5" s="10">
        <v>66257349.151000001</v>
      </c>
      <c r="P5" s="2">
        <f t="shared" si="1"/>
        <v>562698587.27900004</v>
      </c>
      <c r="Q5" s="2">
        <f>IF(P4-P3*Q3&lt;0,P5+P4-P3*Q3,P5)</f>
        <v>477878016.16799998</v>
      </c>
      <c r="R5" s="14">
        <v>0.10285</v>
      </c>
      <c r="S5" s="3">
        <f t="shared" si="0"/>
        <v>10367632.878349999</v>
      </c>
      <c r="T5" s="3">
        <f t="shared" si="0"/>
        <v>7488845.0252</v>
      </c>
      <c r="U5" s="3">
        <f t="shared" si="0"/>
        <v>5838571.1097999997</v>
      </c>
      <c r="V5" s="3">
        <f t="shared" si="0"/>
        <v>4263697.0436499994</v>
      </c>
      <c r="W5" s="3">
        <f t="shared" si="0"/>
        <v>3107334.1293500001</v>
      </c>
      <c r="X5" s="3">
        <f t="shared" si="0"/>
        <v>2435136.0472999997</v>
      </c>
      <c r="Y5" s="3">
        <f t="shared" si="0"/>
        <v>3533489.2988999998</v>
      </c>
      <c r="Z5" s="3">
        <f t="shared" si="0"/>
        <v>3979943.9729499999</v>
      </c>
      <c r="AA5" s="3">
        <f t="shared" si="0"/>
        <v>3073520.13485</v>
      </c>
      <c r="AB5" s="3">
        <f t="shared" si="0"/>
        <v>2639458.4519787002</v>
      </c>
      <c r="AC5" s="24">
        <f t="shared" si="0"/>
        <v>4331353.2491360996</v>
      </c>
      <c r="AD5" s="24">
        <f t="shared" si="0"/>
        <v>6814568.36018035</v>
      </c>
      <c r="AE5" s="3">
        <f t="shared" si="2"/>
        <v>57873549.701645136</v>
      </c>
    </row>
    <row r="6" spans="1:31" x14ac:dyDescent="0.3">
      <c r="A6" t="s">
        <v>36</v>
      </c>
      <c r="B6" t="s">
        <v>14</v>
      </c>
      <c r="D6" s="5">
        <v>15894</v>
      </c>
      <c r="E6" s="5">
        <v>15924</v>
      </c>
      <c r="F6" s="5">
        <v>15994</v>
      </c>
      <c r="G6" s="5">
        <v>15940</v>
      </c>
      <c r="H6" s="5">
        <v>15971</v>
      </c>
      <c r="I6" s="5">
        <v>16028</v>
      </c>
      <c r="J6" s="5">
        <v>16002</v>
      </c>
      <c r="K6" s="5">
        <v>16052</v>
      </c>
      <c r="L6" s="5">
        <v>16031</v>
      </c>
      <c r="M6" s="5">
        <v>16048</v>
      </c>
      <c r="N6" s="10">
        <v>16080</v>
      </c>
      <c r="O6" s="10">
        <v>16079</v>
      </c>
      <c r="P6" s="2">
        <f t="shared" si="1"/>
        <v>192043</v>
      </c>
      <c r="Q6" s="2">
        <v>1217</v>
      </c>
      <c r="R6" s="13">
        <v>13</v>
      </c>
      <c r="S6" s="3">
        <f t="shared" si="0"/>
        <v>206622</v>
      </c>
      <c r="T6" s="3">
        <f t="shared" si="0"/>
        <v>207012</v>
      </c>
      <c r="U6" s="3">
        <f t="shared" si="0"/>
        <v>207922</v>
      </c>
      <c r="V6" s="3">
        <f t="shared" si="0"/>
        <v>207220</v>
      </c>
      <c r="W6" s="3">
        <f t="shared" si="0"/>
        <v>207623</v>
      </c>
      <c r="X6" s="3">
        <f t="shared" si="0"/>
        <v>208364</v>
      </c>
      <c r="Y6" s="3">
        <f t="shared" si="0"/>
        <v>208026</v>
      </c>
      <c r="Z6" s="3">
        <f t="shared" si="0"/>
        <v>208676</v>
      </c>
      <c r="AA6" s="3">
        <f t="shared" si="0"/>
        <v>208403</v>
      </c>
      <c r="AB6" s="3">
        <f t="shared" si="0"/>
        <v>208624</v>
      </c>
      <c r="AC6" s="24">
        <f t="shared" si="0"/>
        <v>209040</v>
      </c>
      <c r="AD6" s="24">
        <f t="shared" si="0"/>
        <v>209027</v>
      </c>
      <c r="AE6" s="3">
        <f t="shared" si="2"/>
        <v>2496559</v>
      </c>
    </row>
    <row r="7" spans="1:31" x14ac:dyDescent="0.3">
      <c r="B7" t="s">
        <v>15</v>
      </c>
      <c r="D7" s="5">
        <v>24846800.000009999</v>
      </c>
      <c r="E7" s="5">
        <v>23086552</v>
      </c>
      <c r="F7" s="5">
        <v>22005058</v>
      </c>
      <c r="G7" s="5">
        <v>20423948.333330002</v>
      </c>
      <c r="H7" s="5">
        <v>19234151.666669998</v>
      </c>
      <c r="I7" s="5">
        <v>18663057.999979999</v>
      </c>
      <c r="J7" s="5">
        <v>19560322.333349999</v>
      </c>
      <c r="K7" s="5">
        <v>20485794.666669998</v>
      </c>
      <c r="L7" s="5">
        <v>19727247.999990001</v>
      </c>
      <c r="M7" s="5">
        <v>19042213.1734</v>
      </c>
      <c r="N7" s="10">
        <v>20496180.500459999</v>
      </c>
      <c r="O7" s="10">
        <v>22751027.563030001</v>
      </c>
      <c r="P7" s="2">
        <f t="shared" si="1"/>
        <v>250322354.23688999</v>
      </c>
      <c r="Q7" s="2">
        <f>IF(P7-P6*Q6&gt;0,P7-P6*Q6,0)</f>
        <v>16606023.236889988</v>
      </c>
      <c r="R7" s="14">
        <v>0.10595</v>
      </c>
      <c r="S7" s="3">
        <f t="shared" si="0"/>
        <v>2632518.4600010593</v>
      </c>
      <c r="T7" s="3">
        <f t="shared" si="0"/>
        <v>2446020.1844000001</v>
      </c>
      <c r="U7" s="3">
        <f t="shared" si="0"/>
        <v>2331435.8950999998</v>
      </c>
      <c r="V7" s="3">
        <f t="shared" si="0"/>
        <v>2163917.3259163136</v>
      </c>
      <c r="W7" s="3">
        <f t="shared" si="0"/>
        <v>2037858.3690836863</v>
      </c>
      <c r="X7" s="3">
        <f t="shared" si="0"/>
        <v>1977350.995097881</v>
      </c>
      <c r="Y7" s="3">
        <f t="shared" si="0"/>
        <v>2072416.1512184325</v>
      </c>
      <c r="Z7" s="3">
        <f t="shared" si="0"/>
        <v>2170469.9449336864</v>
      </c>
      <c r="AA7" s="3">
        <f t="shared" si="0"/>
        <v>2090101.9255989406</v>
      </c>
      <c r="AB7" s="3">
        <f t="shared" si="0"/>
        <v>2017522.4857217299</v>
      </c>
      <c r="AC7" s="24">
        <f t="shared" si="0"/>
        <v>2171570.3240237371</v>
      </c>
      <c r="AD7" s="24">
        <f t="shared" si="0"/>
        <v>2410471.3703030287</v>
      </c>
      <c r="AE7" s="3">
        <f t="shared" si="2"/>
        <v>26521653.431398496</v>
      </c>
    </row>
    <row r="8" spans="1:31" x14ac:dyDescent="0.3">
      <c r="B8" t="s">
        <v>16</v>
      </c>
      <c r="D8" s="5">
        <v>12942820.999980001</v>
      </c>
      <c r="E8" s="5">
        <v>10333350</v>
      </c>
      <c r="F8" s="5">
        <v>8499957</v>
      </c>
      <c r="G8" s="5">
        <v>6838702.6666700002</v>
      </c>
      <c r="H8" s="5">
        <v>6256913.3333299998</v>
      </c>
      <c r="I8" s="5">
        <v>6789733.0000200002</v>
      </c>
      <c r="J8" s="5">
        <v>8414344.6666499991</v>
      </c>
      <c r="K8" s="5">
        <v>9648264.3333299998</v>
      </c>
      <c r="L8" s="5">
        <v>8430611.0000100005</v>
      </c>
      <c r="M8" s="5">
        <v>6681888.6405999996</v>
      </c>
      <c r="N8" s="10">
        <v>7302727.6475400003</v>
      </c>
      <c r="O8" s="10">
        <v>9638322.6229699999</v>
      </c>
      <c r="P8" s="2">
        <f t="shared" si="1"/>
        <v>101777635.9111</v>
      </c>
      <c r="Q8" s="2">
        <f>IF(P7-P6*Q6&lt;0,P8+P7-P6*Q6,P8)</f>
        <v>101777635.9111</v>
      </c>
      <c r="R8" s="14">
        <v>7.7859999999999999E-2</v>
      </c>
      <c r="S8" s="3">
        <f t="shared" si="0"/>
        <v>1007728.0430584429</v>
      </c>
      <c r="T8" s="3">
        <f t="shared" si="0"/>
        <v>804554.63099999994</v>
      </c>
      <c r="U8" s="3">
        <f t="shared" si="0"/>
        <v>661806.65202000004</v>
      </c>
      <c r="V8" s="3">
        <f t="shared" si="0"/>
        <v>532461.38962692616</v>
      </c>
      <c r="W8" s="3">
        <f t="shared" si="0"/>
        <v>487163.27213307377</v>
      </c>
      <c r="X8" s="3">
        <f t="shared" si="0"/>
        <v>528648.61138155719</v>
      </c>
      <c r="Y8" s="3">
        <f t="shared" si="0"/>
        <v>655140.87574536889</v>
      </c>
      <c r="Z8" s="3">
        <f t="shared" si="0"/>
        <v>751213.86099307379</v>
      </c>
      <c r="AA8" s="3">
        <f t="shared" si="0"/>
        <v>656407.37246077869</v>
      </c>
      <c r="AB8" s="3">
        <f t="shared" si="0"/>
        <v>520251.84955711593</v>
      </c>
      <c r="AC8" s="24">
        <f t="shared" si="0"/>
        <v>568590.37463746441</v>
      </c>
      <c r="AD8" s="24">
        <f t="shared" si="0"/>
        <v>750439.79942444421</v>
      </c>
      <c r="AE8" s="3">
        <f t="shared" si="2"/>
        <v>7924406.7320382465</v>
      </c>
    </row>
    <row r="9" spans="1:31" x14ac:dyDescent="0.3">
      <c r="B9" t="s">
        <v>19</v>
      </c>
      <c r="D9" s="2">
        <f t="shared" ref="D9:O10" si="3">S9/$R9</f>
        <v>20995.383333333335</v>
      </c>
      <c r="E9" s="2">
        <f t="shared" si="3"/>
        <v>20725.971666666668</v>
      </c>
      <c r="F9" s="2">
        <f t="shared" si="3"/>
        <v>19075.348333333332</v>
      </c>
      <c r="G9" s="2">
        <f t="shared" si="3"/>
        <v>17155.211666666666</v>
      </c>
      <c r="H9" s="2">
        <f t="shared" si="3"/>
        <v>17426.293333333331</v>
      </c>
      <c r="I9" s="2">
        <f t="shared" si="3"/>
        <v>18455.671666666665</v>
      </c>
      <c r="J9" s="2">
        <f t="shared" si="3"/>
        <v>19089.398333333334</v>
      </c>
      <c r="K9" s="2">
        <f t="shared" si="3"/>
        <v>20306.256666666664</v>
      </c>
      <c r="L9" s="2">
        <f t="shared" si="3"/>
        <v>20751.228333333333</v>
      </c>
      <c r="M9" s="2">
        <f t="shared" si="3"/>
        <v>19791.048333333332</v>
      </c>
      <c r="N9" s="19">
        <f t="shared" si="3"/>
        <v>18550.37</v>
      </c>
      <c r="O9" s="19">
        <f t="shared" si="3"/>
        <v>19846.201666666668</v>
      </c>
      <c r="P9" s="2">
        <f t="shared" si="1"/>
        <v>232168.38333333333</v>
      </c>
      <c r="Q9" s="2"/>
      <c r="R9" s="13">
        <v>6</v>
      </c>
      <c r="S9" s="4">
        <v>125972.3</v>
      </c>
      <c r="T9" s="4">
        <v>124355.83</v>
      </c>
      <c r="U9" s="4">
        <v>114452.09</v>
      </c>
      <c r="V9" s="4">
        <v>102931.27</v>
      </c>
      <c r="W9" s="4">
        <v>104557.75999999999</v>
      </c>
      <c r="X9" s="4">
        <v>110734.03</v>
      </c>
      <c r="Y9" s="4">
        <v>114536.39</v>
      </c>
      <c r="Z9" s="4">
        <v>121837.54</v>
      </c>
      <c r="AA9" s="4">
        <v>124507.37</v>
      </c>
      <c r="AB9" s="4">
        <v>118746.29</v>
      </c>
      <c r="AC9" s="11">
        <v>111302.22</v>
      </c>
      <c r="AD9" s="11">
        <v>119077.21</v>
      </c>
      <c r="AE9" s="3">
        <f t="shared" si="2"/>
        <v>1393010.3</v>
      </c>
    </row>
    <row r="10" spans="1:31" x14ac:dyDescent="0.3">
      <c r="B10" t="s">
        <v>20</v>
      </c>
      <c r="D10" s="2">
        <f t="shared" si="3"/>
        <v>297.44</v>
      </c>
      <c r="E10" s="2">
        <f t="shared" si="3"/>
        <v>194.32</v>
      </c>
      <c r="F10" s="2">
        <f t="shared" si="3"/>
        <v>230.24</v>
      </c>
      <c r="G10" s="2">
        <f t="shared" si="3"/>
        <v>254.88</v>
      </c>
      <c r="H10" s="2">
        <f t="shared" si="3"/>
        <v>771.32</v>
      </c>
      <c r="I10" s="2">
        <f t="shared" si="3"/>
        <v>933.72</v>
      </c>
      <c r="J10" s="2">
        <f t="shared" si="3"/>
        <v>656.64</v>
      </c>
      <c r="K10" s="2">
        <f t="shared" si="3"/>
        <v>306.39999999999998</v>
      </c>
      <c r="L10" s="2">
        <f t="shared" si="3"/>
        <v>425.04</v>
      </c>
      <c r="M10" s="2">
        <f t="shared" si="3"/>
        <v>483.6</v>
      </c>
      <c r="N10" s="19">
        <f t="shared" si="3"/>
        <v>488.08</v>
      </c>
      <c r="O10" s="19">
        <f t="shared" si="3"/>
        <v>332.48</v>
      </c>
      <c r="P10" s="2">
        <f t="shared" si="1"/>
        <v>5374.16</v>
      </c>
      <c r="Q10" s="2"/>
      <c r="R10" s="13">
        <v>0.25</v>
      </c>
      <c r="S10" s="4">
        <v>74.36</v>
      </c>
      <c r="T10" s="4">
        <v>48.58</v>
      </c>
      <c r="U10" s="4">
        <v>57.56</v>
      </c>
      <c r="V10" s="4">
        <v>63.72</v>
      </c>
      <c r="W10" s="4">
        <v>192.83</v>
      </c>
      <c r="X10" s="4">
        <v>233.43</v>
      </c>
      <c r="Y10" s="4">
        <v>164.16</v>
      </c>
      <c r="Z10" s="4">
        <v>76.599999999999994</v>
      </c>
      <c r="AA10" s="4">
        <v>106.26</v>
      </c>
      <c r="AB10" s="4">
        <v>120.9</v>
      </c>
      <c r="AC10" s="11">
        <v>122.02</v>
      </c>
      <c r="AD10" s="11">
        <v>83.12</v>
      </c>
      <c r="AE10" s="3">
        <f t="shared" si="2"/>
        <v>1343.54</v>
      </c>
    </row>
    <row r="11" spans="1:31" x14ac:dyDescent="0.3">
      <c r="A11" t="s">
        <v>37</v>
      </c>
      <c r="B11" t="s">
        <v>14</v>
      </c>
      <c r="D11" s="5">
        <v>5218</v>
      </c>
      <c r="E11" s="5">
        <v>5207</v>
      </c>
      <c r="F11" s="5">
        <v>5205</v>
      </c>
      <c r="G11" s="5">
        <v>5197</v>
      </c>
      <c r="H11" s="5">
        <v>5189</v>
      </c>
      <c r="I11" s="5">
        <v>5239</v>
      </c>
      <c r="J11" s="5">
        <v>5252</v>
      </c>
      <c r="K11" s="5">
        <v>5292</v>
      </c>
      <c r="L11" s="5">
        <v>5305</v>
      </c>
      <c r="M11" s="5">
        <v>5324</v>
      </c>
      <c r="N11" s="10">
        <v>5324</v>
      </c>
      <c r="O11" s="10">
        <v>5363</v>
      </c>
      <c r="P11" s="2">
        <f t="shared" si="1"/>
        <v>63115</v>
      </c>
      <c r="Q11" s="2"/>
      <c r="R11" s="13">
        <v>13</v>
      </c>
      <c r="S11" s="3">
        <f t="shared" ref="S11:AD13" si="4">$R11*D11</f>
        <v>67834</v>
      </c>
      <c r="T11" s="3">
        <f t="shared" si="4"/>
        <v>67691</v>
      </c>
      <c r="U11" s="3">
        <f t="shared" si="4"/>
        <v>67665</v>
      </c>
      <c r="V11" s="3">
        <f t="shared" si="4"/>
        <v>67561</v>
      </c>
      <c r="W11" s="3">
        <f t="shared" si="4"/>
        <v>67457</v>
      </c>
      <c r="X11" s="3">
        <f t="shared" si="4"/>
        <v>68107</v>
      </c>
      <c r="Y11" s="3">
        <f t="shared" si="4"/>
        <v>68276</v>
      </c>
      <c r="Z11" s="3">
        <f t="shared" si="4"/>
        <v>68796</v>
      </c>
      <c r="AA11" s="3">
        <f t="shared" si="4"/>
        <v>68965</v>
      </c>
      <c r="AB11" s="3">
        <f t="shared" si="4"/>
        <v>69212</v>
      </c>
      <c r="AC11" s="24">
        <f t="shared" si="4"/>
        <v>69212</v>
      </c>
      <c r="AD11" s="24">
        <f t="shared" si="4"/>
        <v>69719</v>
      </c>
      <c r="AE11" s="3">
        <f t="shared" si="2"/>
        <v>820495</v>
      </c>
    </row>
    <row r="12" spans="1:31" x14ac:dyDescent="0.3">
      <c r="B12" t="s">
        <v>15</v>
      </c>
      <c r="D12" s="5">
        <v>3202024</v>
      </c>
      <c r="E12" s="5">
        <v>2729763</v>
      </c>
      <c r="F12" s="5">
        <v>2333126</v>
      </c>
      <c r="G12" s="5">
        <v>1943107.3333300001</v>
      </c>
      <c r="H12" s="5">
        <v>1654741</v>
      </c>
      <c r="I12" s="5">
        <v>1499569</v>
      </c>
      <c r="J12" s="5">
        <v>1602432</v>
      </c>
      <c r="K12" s="5">
        <v>1648251</v>
      </c>
      <c r="L12" s="5">
        <v>1606013</v>
      </c>
      <c r="M12" s="5">
        <v>1604454.6910000001</v>
      </c>
      <c r="N12" s="10">
        <v>1997573.254</v>
      </c>
      <c r="O12" s="10">
        <v>2553694.594</v>
      </c>
      <c r="P12" s="2">
        <f t="shared" si="1"/>
        <v>24374748.872329999</v>
      </c>
      <c r="Q12" s="2"/>
      <c r="R12" s="14">
        <v>0.10517</v>
      </c>
      <c r="S12" s="3">
        <f t="shared" si="4"/>
        <v>336756.86407999997</v>
      </c>
      <c r="T12" s="3">
        <f t="shared" si="4"/>
        <v>287089.17470999999</v>
      </c>
      <c r="U12" s="3">
        <f t="shared" si="4"/>
        <v>245374.86142</v>
      </c>
      <c r="V12" s="3">
        <f t="shared" si="4"/>
        <v>204356.59824631611</v>
      </c>
      <c r="W12" s="3">
        <f t="shared" si="4"/>
        <v>174029.11097000001</v>
      </c>
      <c r="X12" s="3">
        <f t="shared" si="4"/>
        <v>157709.67173</v>
      </c>
      <c r="Y12" s="3">
        <f t="shared" si="4"/>
        <v>168527.77343999999</v>
      </c>
      <c r="Z12" s="3">
        <f t="shared" si="4"/>
        <v>173346.55767000001</v>
      </c>
      <c r="AA12" s="3">
        <f t="shared" si="4"/>
        <v>168904.38720999999</v>
      </c>
      <c r="AB12" s="3">
        <f t="shared" si="4"/>
        <v>168740.49985247001</v>
      </c>
      <c r="AC12" s="24">
        <f t="shared" si="4"/>
        <v>210084.77912317999</v>
      </c>
      <c r="AD12" s="24">
        <f t="shared" si="4"/>
        <v>268572.06045098003</v>
      </c>
      <c r="AE12" s="3">
        <f t="shared" si="2"/>
        <v>2563492.3389029461</v>
      </c>
    </row>
    <row r="13" spans="1:31" x14ac:dyDescent="0.3">
      <c r="B13" t="s">
        <v>16</v>
      </c>
      <c r="D13" s="5">
        <v>480188</v>
      </c>
      <c r="E13" s="5">
        <v>398348</v>
      </c>
      <c r="F13" s="5">
        <v>271042</v>
      </c>
      <c r="G13" s="5">
        <v>200479.66667000001</v>
      </c>
      <c r="H13" s="5">
        <v>133380</v>
      </c>
      <c r="I13" s="5">
        <v>77260</v>
      </c>
      <c r="J13" s="5">
        <v>88823</v>
      </c>
      <c r="K13" s="5">
        <v>155127</v>
      </c>
      <c r="L13" s="5">
        <v>221016</v>
      </c>
      <c r="M13" s="5">
        <v>205232.13</v>
      </c>
      <c r="N13" s="10">
        <v>238998.52</v>
      </c>
      <c r="O13" s="10">
        <v>316086.83</v>
      </c>
      <c r="P13" s="2">
        <f t="shared" si="1"/>
        <v>2785981.1466700002</v>
      </c>
      <c r="Q13" s="2"/>
      <c r="R13" s="14">
        <v>7.7079999999999996E-2</v>
      </c>
      <c r="S13" s="3">
        <f t="shared" si="4"/>
        <v>37012.891039999995</v>
      </c>
      <c r="T13" s="3">
        <f t="shared" si="4"/>
        <v>30704.663839999997</v>
      </c>
      <c r="U13" s="3">
        <f t="shared" si="4"/>
        <v>20891.917359999999</v>
      </c>
      <c r="V13" s="3">
        <f t="shared" si="4"/>
        <v>15452.9727069236</v>
      </c>
      <c r="W13" s="3">
        <f t="shared" si="4"/>
        <v>10280.930399999999</v>
      </c>
      <c r="X13" s="3">
        <f t="shared" si="4"/>
        <v>5955.2007999999996</v>
      </c>
      <c r="Y13" s="3">
        <f t="shared" si="4"/>
        <v>6846.4768399999994</v>
      </c>
      <c r="Z13" s="3">
        <f t="shared" si="4"/>
        <v>11957.18916</v>
      </c>
      <c r="AA13" s="3">
        <f t="shared" si="4"/>
        <v>17035.913280000001</v>
      </c>
      <c r="AB13" s="3">
        <f t="shared" si="4"/>
        <v>15819.292580399999</v>
      </c>
      <c r="AC13" s="24">
        <f t="shared" si="4"/>
        <v>18422.005921599997</v>
      </c>
      <c r="AD13" s="24">
        <f t="shared" si="4"/>
        <v>24363.9728564</v>
      </c>
      <c r="AE13" s="3">
        <f t="shared" si="2"/>
        <v>214743.42678532365</v>
      </c>
    </row>
    <row r="14" spans="1:31" x14ac:dyDescent="0.3">
      <c r="B14" t="s">
        <v>19</v>
      </c>
      <c r="D14" s="2">
        <f t="shared" ref="D14:O15" si="5">S14/$R14</f>
        <v>678.83833333333337</v>
      </c>
      <c r="E14" s="2">
        <f t="shared" si="5"/>
        <v>628.29166666666663</v>
      </c>
      <c r="F14" s="2">
        <f t="shared" si="5"/>
        <v>547.26333333333332</v>
      </c>
      <c r="G14" s="2">
        <f t="shared" si="5"/>
        <v>452.06166666666667</v>
      </c>
      <c r="H14" s="2">
        <f t="shared" si="5"/>
        <v>377.09</v>
      </c>
      <c r="I14" s="2">
        <f t="shared" si="5"/>
        <v>195.32333333333335</v>
      </c>
      <c r="J14" s="2">
        <f t="shared" si="5"/>
        <v>122.80500000000001</v>
      </c>
      <c r="K14" s="2">
        <f t="shared" si="5"/>
        <v>184.04</v>
      </c>
      <c r="L14" s="2">
        <f t="shared" si="5"/>
        <v>219.75666666666666</v>
      </c>
      <c r="M14" s="2">
        <f t="shared" si="5"/>
        <v>313.77</v>
      </c>
      <c r="N14" s="19">
        <f t="shared" si="5"/>
        <v>444</v>
      </c>
      <c r="O14" s="19">
        <f t="shared" si="5"/>
        <v>490.13666666666671</v>
      </c>
      <c r="P14" s="2">
        <f t="shared" si="1"/>
        <v>4653.3766666666661</v>
      </c>
      <c r="Q14" s="2"/>
      <c r="R14" s="13">
        <v>6</v>
      </c>
      <c r="S14" s="4">
        <v>4073.03</v>
      </c>
      <c r="T14" s="4">
        <v>3769.75</v>
      </c>
      <c r="U14" s="4">
        <v>3283.58</v>
      </c>
      <c r="V14" s="4">
        <v>2712.37</v>
      </c>
      <c r="W14" s="4">
        <v>2262.54</v>
      </c>
      <c r="X14" s="4">
        <v>1171.94</v>
      </c>
      <c r="Y14" s="4">
        <v>736.83</v>
      </c>
      <c r="Z14" s="4">
        <v>1104.24</v>
      </c>
      <c r="AA14" s="4">
        <v>1318.54</v>
      </c>
      <c r="AB14" s="4">
        <v>1882.62</v>
      </c>
      <c r="AC14" s="11">
        <v>2664</v>
      </c>
      <c r="AD14" s="11">
        <v>2940.82</v>
      </c>
      <c r="AE14" s="3">
        <f t="shared" si="2"/>
        <v>27920.260000000002</v>
      </c>
    </row>
    <row r="15" spans="1:31" x14ac:dyDescent="0.3">
      <c r="B15" t="s">
        <v>20</v>
      </c>
      <c r="D15" s="2">
        <f t="shared" si="5"/>
        <v>0</v>
      </c>
      <c r="E15" s="2">
        <f t="shared" si="5"/>
        <v>0</v>
      </c>
      <c r="F15" s="2">
        <f t="shared" si="5"/>
        <v>0</v>
      </c>
      <c r="G15" s="2">
        <f t="shared" si="5"/>
        <v>0</v>
      </c>
      <c r="H15" s="2">
        <f t="shared" si="5"/>
        <v>0</v>
      </c>
      <c r="I15" s="2">
        <f t="shared" si="5"/>
        <v>0</v>
      </c>
      <c r="J15" s="2">
        <f t="shared" si="5"/>
        <v>0</v>
      </c>
      <c r="K15" s="2">
        <f t="shared" si="5"/>
        <v>0</v>
      </c>
      <c r="L15" s="2">
        <f t="shared" si="5"/>
        <v>0</v>
      </c>
      <c r="M15" s="2">
        <f t="shared" si="5"/>
        <v>0</v>
      </c>
      <c r="N15" s="19">
        <f t="shared" si="5"/>
        <v>0</v>
      </c>
      <c r="O15" s="19">
        <f t="shared" si="5"/>
        <v>0</v>
      </c>
      <c r="P15" s="2">
        <f t="shared" si="1"/>
        <v>0</v>
      </c>
      <c r="Q15" s="2"/>
      <c r="R15" s="13">
        <v>0.25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11">
        <v>0</v>
      </c>
      <c r="AD15" s="11">
        <v>0</v>
      </c>
      <c r="AE15" s="3">
        <f t="shared" si="2"/>
        <v>0</v>
      </c>
    </row>
    <row r="16" spans="1:31" x14ac:dyDescent="0.3">
      <c r="A16" t="s">
        <v>38</v>
      </c>
      <c r="B16" t="s">
        <v>14</v>
      </c>
      <c r="D16" s="5">
        <v>1122</v>
      </c>
      <c r="E16" s="5">
        <v>1105</v>
      </c>
      <c r="F16" s="5">
        <v>1126</v>
      </c>
      <c r="G16" s="5">
        <v>1117</v>
      </c>
      <c r="H16" s="5">
        <v>1119</v>
      </c>
      <c r="I16" s="5">
        <v>1118</v>
      </c>
      <c r="J16" s="5">
        <v>1109</v>
      </c>
      <c r="K16" s="5">
        <v>1120</v>
      </c>
      <c r="L16" s="5">
        <v>1108</v>
      </c>
      <c r="M16" s="5">
        <v>1116</v>
      </c>
      <c r="N16" s="10">
        <v>1090</v>
      </c>
      <c r="O16" s="10">
        <v>1095</v>
      </c>
      <c r="P16" s="2">
        <f t="shared" si="1"/>
        <v>13345</v>
      </c>
      <c r="Q16" s="2">
        <v>48140</v>
      </c>
      <c r="R16" s="13">
        <v>425</v>
      </c>
      <c r="S16" s="3">
        <f t="shared" ref="S16:AD18" si="6">$R16*D16</f>
        <v>476850</v>
      </c>
      <c r="T16" s="3">
        <f t="shared" si="6"/>
        <v>469625</v>
      </c>
      <c r="U16" s="3">
        <f t="shared" si="6"/>
        <v>478550</v>
      </c>
      <c r="V16" s="3">
        <f t="shared" si="6"/>
        <v>474725</v>
      </c>
      <c r="W16" s="3">
        <f t="shared" si="6"/>
        <v>475575</v>
      </c>
      <c r="X16" s="3">
        <f t="shared" si="6"/>
        <v>475150</v>
      </c>
      <c r="Y16" s="3">
        <f t="shared" si="6"/>
        <v>471325</v>
      </c>
      <c r="Z16" s="3">
        <f t="shared" si="6"/>
        <v>476000</v>
      </c>
      <c r="AA16" s="3">
        <f t="shared" si="6"/>
        <v>470900</v>
      </c>
      <c r="AB16" s="3">
        <f t="shared" si="6"/>
        <v>474300</v>
      </c>
      <c r="AC16" s="24">
        <f t="shared" si="6"/>
        <v>463250</v>
      </c>
      <c r="AD16" s="24">
        <f t="shared" si="6"/>
        <v>465375</v>
      </c>
      <c r="AE16" s="3">
        <f t="shared" si="2"/>
        <v>5671625</v>
      </c>
    </row>
    <row r="17" spans="1:34" x14ac:dyDescent="0.3">
      <c r="B17" t="s">
        <v>15</v>
      </c>
      <c r="D17" s="5">
        <v>55747040</v>
      </c>
      <c r="E17" s="5">
        <v>51063160</v>
      </c>
      <c r="F17" s="5">
        <v>50265404</v>
      </c>
      <c r="G17" s="5">
        <v>46864801</v>
      </c>
      <c r="H17" s="5">
        <v>46696834</v>
      </c>
      <c r="I17" s="5">
        <v>47743746</v>
      </c>
      <c r="J17" s="5">
        <v>49426435</v>
      </c>
      <c r="K17" s="5">
        <v>51244366</v>
      </c>
      <c r="L17" s="5">
        <v>49380307</v>
      </c>
      <c r="M17" s="5">
        <v>48606387.880000003</v>
      </c>
      <c r="N17" s="10">
        <v>47949157.273330003</v>
      </c>
      <c r="O17" s="10">
        <v>51429802.416000001</v>
      </c>
      <c r="P17" s="2">
        <f t="shared" si="1"/>
        <v>596417440.56932998</v>
      </c>
      <c r="Q17" s="2">
        <f>IF(P17-P16*Q16&gt;0,P17-P16*Q16,0)</f>
        <v>0</v>
      </c>
      <c r="R17" s="14">
        <v>6.9529999999999995E-2</v>
      </c>
      <c r="S17" s="3">
        <f t="shared" si="6"/>
        <v>3876091.6911999998</v>
      </c>
      <c r="T17" s="3">
        <f t="shared" si="6"/>
        <v>3550421.5147999995</v>
      </c>
      <c r="U17" s="3">
        <f t="shared" si="6"/>
        <v>3494953.5401199996</v>
      </c>
      <c r="V17" s="3">
        <f t="shared" si="6"/>
        <v>3258509.6135299997</v>
      </c>
      <c r="W17" s="3">
        <f t="shared" si="6"/>
        <v>3246830.8680199999</v>
      </c>
      <c r="X17" s="3">
        <f t="shared" si="6"/>
        <v>3319622.6593799996</v>
      </c>
      <c r="Y17" s="3">
        <f t="shared" si="6"/>
        <v>3436620.0255499999</v>
      </c>
      <c r="Z17" s="3">
        <f t="shared" si="6"/>
        <v>3563020.7679799995</v>
      </c>
      <c r="AA17" s="3">
        <f t="shared" si="6"/>
        <v>3433412.7457099999</v>
      </c>
      <c r="AB17" s="3">
        <f t="shared" si="6"/>
        <v>3379602.1492964001</v>
      </c>
      <c r="AC17" s="24">
        <f t="shared" si="6"/>
        <v>3333904.9052146347</v>
      </c>
      <c r="AD17" s="24">
        <f t="shared" si="6"/>
        <v>3575914.16198448</v>
      </c>
      <c r="AE17" s="3">
        <f t="shared" si="2"/>
        <v>41468904.642785519</v>
      </c>
    </row>
    <row r="18" spans="1:34" x14ac:dyDescent="0.3">
      <c r="B18" t="s">
        <v>16</v>
      </c>
      <c r="D18" s="5">
        <v>5107932</v>
      </c>
      <c r="E18" s="5">
        <v>4397026</v>
      </c>
      <c r="F18" s="5">
        <v>4119950</v>
      </c>
      <c r="G18" s="5">
        <v>3212370</v>
      </c>
      <c r="H18" s="5">
        <v>4427620</v>
      </c>
      <c r="I18" s="5">
        <v>3658328</v>
      </c>
      <c r="J18" s="5">
        <v>3724400</v>
      </c>
      <c r="K18" s="5">
        <v>4433472</v>
      </c>
      <c r="L18" s="5">
        <v>3806614</v>
      </c>
      <c r="M18" s="5">
        <v>4769730</v>
      </c>
      <c r="N18" s="10">
        <v>3940781.6666700002</v>
      </c>
      <c r="O18" s="10">
        <v>3541050</v>
      </c>
      <c r="P18" s="2">
        <f t="shared" si="1"/>
        <v>49139273.666670002</v>
      </c>
      <c r="Q18" s="2">
        <f>IF(P17-P16*Q16&lt;0,P18+P17-P16*Q16,P18)</f>
        <v>3128414.2359999418</v>
      </c>
      <c r="R18" s="14">
        <v>5.9769999999999997E-2</v>
      </c>
      <c r="S18" s="3">
        <f t="shared" si="6"/>
        <v>305301.09563999996</v>
      </c>
      <c r="T18" s="3">
        <f t="shared" si="6"/>
        <v>262810.24401999998</v>
      </c>
      <c r="U18" s="3">
        <f t="shared" si="6"/>
        <v>246249.41149999999</v>
      </c>
      <c r="V18" s="3">
        <f t="shared" si="6"/>
        <v>192003.35489999998</v>
      </c>
      <c r="W18" s="3">
        <f t="shared" si="6"/>
        <v>264638.84739999997</v>
      </c>
      <c r="X18" s="3">
        <f t="shared" si="6"/>
        <v>218658.26455999998</v>
      </c>
      <c r="Y18" s="3">
        <f t="shared" si="6"/>
        <v>222607.38799999998</v>
      </c>
      <c r="Z18" s="3">
        <f t="shared" si="6"/>
        <v>264988.62143999996</v>
      </c>
      <c r="AA18" s="3">
        <f t="shared" si="6"/>
        <v>227521.31878</v>
      </c>
      <c r="AB18" s="3">
        <f t="shared" si="6"/>
        <v>285086.76209999999</v>
      </c>
      <c r="AC18" s="24">
        <f t="shared" si="6"/>
        <v>235540.5202168659</v>
      </c>
      <c r="AD18" s="24">
        <f t="shared" si="6"/>
        <v>211648.55849999998</v>
      </c>
      <c r="AE18" s="3">
        <f t="shared" si="2"/>
        <v>2937054.3870568657</v>
      </c>
    </row>
    <row r="19" spans="1:34" x14ac:dyDescent="0.3">
      <c r="B19" t="s">
        <v>19</v>
      </c>
      <c r="D19" s="2">
        <f t="shared" ref="D19:O21" si="7">S19/$R19</f>
        <v>91589.163636363635</v>
      </c>
      <c r="E19" s="2">
        <f t="shared" si="7"/>
        <v>90979.450909090912</v>
      </c>
      <c r="F19" s="2">
        <f t="shared" si="7"/>
        <v>91429.314545454545</v>
      </c>
      <c r="G19" s="2">
        <f t="shared" si="7"/>
        <v>84595.803636363635</v>
      </c>
      <c r="H19" s="2">
        <f t="shared" si="7"/>
        <v>90912.790909090909</v>
      </c>
      <c r="I19" s="2">
        <f t="shared" si="7"/>
        <v>93982.183636363639</v>
      </c>
      <c r="J19" s="2">
        <f t="shared" si="7"/>
        <v>92833.770909090905</v>
      </c>
      <c r="K19" s="2">
        <f t="shared" si="7"/>
        <v>93731.247272727269</v>
      </c>
      <c r="L19" s="2">
        <f t="shared" si="7"/>
        <v>95344.538181818178</v>
      </c>
      <c r="M19" s="2">
        <f t="shared" si="7"/>
        <v>94458.065454545445</v>
      </c>
      <c r="N19" s="19">
        <f t="shared" si="7"/>
        <v>82640.256363636363</v>
      </c>
      <c r="O19" s="19">
        <f t="shared" si="7"/>
        <v>89381.4690909091</v>
      </c>
      <c r="P19" s="2">
        <f t="shared" si="1"/>
        <v>1091878.0545454544</v>
      </c>
      <c r="Q19" s="2"/>
      <c r="R19" s="13">
        <v>5.5</v>
      </c>
      <c r="S19" s="4">
        <v>503740.4</v>
      </c>
      <c r="T19" s="4">
        <v>500386.98</v>
      </c>
      <c r="U19" s="4">
        <v>502861.23</v>
      </c>
      <c r="V19" s="4">
        <v>465276.92</v>
      </c>
      <c r="W19" s="4">
        <v>500020.35</v>
      </c>
      <c r="X19" s="4">
        <v>516902.01</v>
      </c>
      <c r="Y19" s="4">
        <v>510585.74</v>
      </c>
      <c r="Z19" s="4">
        <v>515521.86</v>
      </c>
      <c r="AA19" s="4">
        <v>524394.96</v>
      </c>
      <c r="AB19" s="4">
        <v>519519.36</v>
      </c>
      <c r="AC19" s="11">
        <v>454521.41</v>
      </c>
      <c r="AD19" s="11">
        <v>491598.08000000002</v>
      </c>
      <c r="AE19" s="3">
        <f t="shared" si="2"/>
        <v>6005329.2999999998</v>
      </c>
    </row>
    <row r="20" spans="1:34" x14ac:dyDescent="0.3">
      <c r="B20" t="s">
        <v>20</v>
      </c>
      <c r="D20" s="2">
        <f t="shared" si="7"/>
        <v>4120.96</v>
      </c>
      <c r="E20" s="2">
        <f t="shared" si="7"/>
        <v>3450.56</v>
      </c>
      <c r="F20" s="2">
        <f t="shared" si="7"/>
        <v>4847.6000000000004</v>
      </c>
      <c r="G20" s="2">
        <f t="shared" si="7"/>
        <v>4676.72</v>
      </c>
      <c r="H20" s="2">
        <f t="shared" si="7"/>
        <v>5462.32</v>
      </c>
      <c r="I20" s="2">
        <f t="shared" si="7"/>
        <v>5395.2</v>
      </c>
      <c r="J20" s="2">
        <f t="shared" si="7"/>
        <v>5849.16</v>
      </c>
      <c r="K20" s="2">
        <f t="shared" si="7"/>
        <v>5578.36</v>
      </c>
      <c r="L20" s="2">
        <f t="shared" si="7"/>
        <v>5323.32</v>
      </c>
      <c r="M20" s="2">
        <f t="shared" si="7"/>
        <v>5302.88</v>
      </c>
      <c r="N20" s="19">
        <f t="shared" si="7"/>
        <v>4554.16</v>
      </c>
      <c r="O20" s="19">
        <f t="shared" si="7"/>
        <v>5344.28</v>
      </c>
      <c r="P20" s="2">
        <f t="shared" si="1"/>
        <v>59905.520000000004</v>
      </c>
      <c r="Q20" s="2"/>
      <c r="R20" s="13">
        <v>0.25</v>
      </c>
      <c r="S20" s="4">
        <v>1030.24</v>
      </c>
      <c r="T20" s="4">
        <v>862.64</v>
      </c>
      <c r="U20" s="4">
        <v>1211.9000000000001</v>
      </c>
      <c r="V20" s="4">
        <v>1169.18</v>
      </c>
      <c r="W20" s="4">
        <v>1365.58</v>
      </c>
      <c r="X20" s="4">
        <v>1348.8</v>
      </c>
      <c r="Y20" s="4">
        <v>1462.29</v>
      </c>
      <c r="Z20" s="4">
        <v>1394.59</v>
      </c>
      <c r="AA20" s="4">
        <v>1330.83</v>
      </c>
      <c r="AB20" s="4">
        <v>1325.72</v>
      </c>
      <c r="AC20" s="11">
        <v>1138.54</v>
      </c>
      <c r="AD20" s="11">
        <v>1336.07</v>
      </c>
      <c r="AE20" s="3">
        <f t="shared" si="2"/>
        <v>14976.380000000001</v>
      </c>
    </row>
    <row r="21" spans="1:34" x14ac:dyDescent="0.3">
      <c r="B21" t="s">
        <v>21</v>
      </c>
      <c r="D21" s="2">
        <f t="shared" si="7"/>
        <v>15443.499999999998</v>
      </c>
      <c r="E21" s="2">
        <f t="shared" si="7"/>
        <v>14355.099999999999</v>
      </c>
      <c r="F21" s="2">
        <f t="shared" si="7"/>
        <v>14783.199999999999</v>
      </c>
      <c r="G21" s="2">
        <f t="shared" si="7"/>
        <v>11874.699999999999</v>
      </c>
      <c r="H21" s="2">
        <f t="shared" si="7"/>
        <v>15578.800000000001</v>
      </c>
      <c r="I21" s="2">
        <f t="shared" si="7"/>
        <v>12836.099999999999</v>
      </c>
      <c r="J21" s="2">
        <f t="shared" si="7"/>
        <v>11205.8</v>
      </c>
      <c r="K21" s="2">
        <f t="shared" si="7"/>
        <v>11953.099999999999</v>
      </c>
      <c r="L21" s="2">
        <f t="shared" si="7"/>
        <v>12876.300000000001</v>
      </c>
      <c r="M21" s="2">
        <f t="shared" si="7"/>
        <v>12630.4</v>
      </c>
      <c r="N21" s="19">
        <f t="shared" si="7"/>
        <v>8641.2999999999993</v>
      </c>
      <c r="O21" s="19">
        <f t="shared" si="7"/>
        <v>11079.9</v>
      </c>
      <c r="P21" s="2">
        <f t="shared" si="1"/>
        <v>153258.19999999998</v>
      </c>
      <c r="Q21" s="2"/>
      <c r="R21" s="13">
        <v>-0.2</v>
      </c>
      <c r="S21" s="4">
        <v>-3088.7</v>
      </c>
      <c r="T21" s="4">
        <v>-2871.02</v>
      </c>
      <c r="U21" s="4">
        <v>-2956.64</v>
      </c>
      <c r="V21" s="4">
        <v>-2374.94</v>
      </c>
      <c r="W21" s="4">
        <v>-3115.76</v>
      </c>
      <c r="X21" s="4">
        <v>-2567.2199999999998</v>
      </c>
      <c r="Y21" s="4">
        <v>-2241.16</v>
      </c>
      <c r="Z21" s="4">
        <v>-2390.62</v>
      </c>
      <c r="AA21" s="4">
        <v>-2575.2600000000002</v>
      </c>
      <c r="AB21" s="4">
        <v>-2526.08</v>
      </c>
      <c r="AC21" s="11">
        <v>-1728.26</v>
      </c>
      <c r="AD21" s="11">
        <v>-2215.98</v>
      </c>
      <c r="AE21" s="3">
        <f t="shared" si="2"/>
        <v>-30651.64</v>
      </c>
    </row>
    <row r="22" spans="1:34" x14ac:dyDescent="0.3">
      <c r="A22" t="s">
        <v>39</v>
      </c>
      <c r="B22" t="s">
        <v>14</v>
      </c>
      <c r="D22" s="5">
        <v>18</v>
      </c>
      <c r="E22" s="5">
        <v>17</v>
      </c>
      <c r="F22" s="5">
        <v>18</v>
      </c>
      <c r="G22" s="5">
        <v>18</v>
      </c>
      <c r="H22" s="5">
        <v>18</v>
      </c>
      <c r="I22" s="5">
        <v>18</v>
      </c>
      <c r="J22" s="5">
        <v>18</v>
      </c>
      <c r="K22" s="5">
        <v>18</v>
      </c>
      <c r="L22" s="5">
        <v>18</v>
      </c>
      <c r="M22" s="5">
        <v>18</v>
      </c>
      <c r="N22" s="10">
        <v>18</v>
      </c>
      <c r="O22" s="10">
        <v>19</v>
      </c>
      <c r="P22" s="2">
        <f t="shared" si="1"/>
        <v>216</v>
      </c>
      <c r="Q22" s="2"/>
      <c r="R22" s="13">
        <v>425</v>
      </c>
      <c r="S22" s="3">
        <f t="shared" ref="S22:AD24" si="8">$R22*D22</f>
        <v>7650</v>
      </c>
      <c r="T22" s="3">
        <f t="shared" si="8"/>
        <v>7225</v>
      </c>
      <c r="U22" s="3">
        <f t="shared" si="8"/>
        <v>7650</v>
      </c>
      <c r="V22" s="3">
        <f t="shared" si="8"/>
        <v>7650</v>
      </c>
      <c r="W22" s="3">
        <f t="shared" si="8"/>
        <v>7650</v>
      </c>
      <c r="X22" s="3">
        <f t="shared" si="8"/>
        <v>7650</v>
      </c>
      <c r="Y22" s="3">
        <f t="shared" si="8"/>
        <v>7650</v>
      </c>
      <c r="Z22" s="3">
        <f t="shared" si="8"/>
        <v>7650</v>
      </c>
      <c r="AA22" s="3">
        <f t="shared" si="8"/>
        <v>7650</v>
      </c>
      <c r="AB22" s="3">
        <f t="shared" si="8"/>
        <v>7650</v>
      </c>
      <c r="AC22" s="24">
        <f t="shared" si="8"/>
        <v>7650</v>
      </c>
      <c r="AD22" s="24">
        <f t="shared" si="8"/>
        <v>8075</v>
      </c>
      <c r="AE22" s="3">
        <f t="shared" si="2"/>
        <v>91800</v>
      </c>
    </row>
    <row r="23" spans="1:34" x14ac:dyDescent="0.3">
      <c r="B23" t="s">
        <v>15</v>
      </c>
      <c r="D23" s="5">
        <v>929200</v>
      </c>
      <c r="E23" s="5">
        <v>815840</v>
      </c>
      <c r="F23" s="5">
        <v>702240</v>
      </c>
      <c r="G23" s="5">
        <v>582600</v>
      </c>
      <c r="H23" s="5">
        <v>524120</v>
      </c>
      <c r="I23" s="5">
        <v>492320</v>
      </c>
      <c r="J23" s="5">
        <v>534040</v>
      </c>
      <c r="K23" s="5">
        <v>582480</v>
      </c>
      <c r="L23" s="5">
        <v>548760</v>
      </c>
      <c r="M23" s="5">
        <v>509520</v>
      </c>
      <c r="N23" s="10">
        <v>576120</v>
      </c>
      <c r="O23" s="10">
        <v>717160</v>
      </c>
      <c r="P23" s="2">
        <f t="shared" si="1"/>
        <v>7514400</v>
      </c>
      <c r="Q23" s="2"/>
      <c r="R23" s="14">
        <v>6.8750000000000006E-2</v>
      </c>
      <c r="S23" s="3">
        <f t="shared" si="8"/>
        <v>63882.500000000007</v>
      </c>
      <c r="T23" s="3">
        <f t="shared" si="8"/>
        <v>56089.000000000007</v>
      </c>
      <c r="U23" s="3">
        <f t="shared" si="8"/>
        <v>48279.000000000007</v>
      </c>
      <c r="V23" s="3">
        <f t="shared" si="8"/>
        <v>40053.75</v>
      </c>
      <c r="W23" s="3">
        <f t="shared" si="8"/>
        <v>36033.25</v>
      </c>
      <c r="X23" s="3">
        <f t="shared" si="8"/>
        <v>33847</v>
      </c>
      <c r="Y23" s="3">
        <f t="shared" si="8"/>
        <v>36715.25</v>
      </c>
      <c r="Z23" s="3">
        <f t="shared" si="8"/>
        <v>40045.5</v>
      </c>
      <c r="AA23" s="3">
        <f t="shared" si="8"/>
        <v>37727.25</v>
      </c>
      <c r="AB23" s="3">
        <f t="shared" si="8"/>
        <v>35029.5</v>
      </c>
      <c r="AC23" s="24">
        <f t="shared" si="8"/>
        <v>39608.25</v>
      </c>
      <c r="AD23" s="24">
        <f t="shared" si="8"/>
        <v>49304.750000000007</v>
      </c>
      <c r="AE23" s="3">
        <f t="shared" si="2"/>
        <v>516615</v>
      </c>
    </row>
    <row r="24" spans="1:34" x14ac:dyDescent="0.3">
      <c r="B24" t="s">
        <v>16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0">
        <v>0</v>
      </c>
      <c r="O24" s="10">
        <v>0</v>
      </c>
      <c r="P24" s="2">
        <f t="shared" si="1"/>
        <v>0</v>
      </c>
      <c r="Q24" s="2"/>
      <c r="R24" s="14">
        <v>5.8990000000000001E-2</v>
      </c>
      <c r="S24" s="3">
        <f t="shared" si="8"/>
        <v>0</v>
      </c>
      <c r="T24" s="3">
        <f t="shared" si="8"/>
        <v>0</v>
      </c>
      <c r="U24" s="3">
        <f t="shared" si="8"/>
        <v>0</v>
      </c>
      <c r="V24" s="3">
        <f t="shared" si="8"/>
        <v>0</v>
      </c>
      <c r="W24" s="3">
        <f t="shared" si="8"/>
        <v>0</v>
      </c>
      <c r="X24" s="3">
        <f t="shared" si="8"/>
        <v>0</v>
      </c>
      <c r="Y24" s="3">
        <f t="shared" si="8"/>
        <v>0</v>
      </c>
      <c r="Z24" s="3">
        <f t="shared" si="8"/>
        <v>0</v>
      </c>
      <c r="AA24" s="3">
        <f t="shared" si="8"/>
        <v>0</v>
      </c>
      <c r="AB24" s="3">
        <f t="shared" si="8"/>
        <v>0</v>
      </c>
      <c r="AC24" s="24">
        <f t="shared" si="8"/>
        <v>0</v>
      </c>
      <c r="AD24" s="24">
        <f t="shared" si="8"/>
        <v>0</v>
      </c>
      <c r="AE24" s="3">
        <f t="shared" si="2"/>
        <v>0</v>
      </c>
    </row>
    <row r="25" spans="1:34" x14ac:dyDescent="0.3">
      <c r="B25" t="s">
        <v>19</v>
      </c>
      <c r="D25" s="2">
        <f t="shared" ref="D25:O27" si="9">S25/$R25</f>
        <v>1034.4727272727273</v>
      </c>
      <c r="E25" s="2">
        <f t="shared" si="9"/>
        <v>1036.6872727272728</v>
      </c>
      <c r="F25" s="2">
        <f t="shared" si="9"/>
        <v>931.63636363636363</v>
      </c>
      <c r="G25" s="2">
        <f t="shared" si="9"/>
        <v>664.74545454545455</v>
      </c>
      <c r="H25" s="2">
        <f t="shared" si="9"/>
        <v>487.9636363636364</v>
      </c>
      <c r="I25" s="2">
        <f t="shared" si="9"/>
        <v>476.12727272727267</v>
      </c>
      <c r="J25" s="2">
        <f t="shared" si="9"/>
        <v>528.43636363636369</v>
      </c>
      <c r="K25" s="2">
        <f t="shared" si="9"/>
        <v>573.87272727272727</v>
      </c>
      <c r="L25" s="2">
        <f t="shared" si="9"/>
        <v>590.67272727272723</v>
      </c>
      <c r="M25" s="2">
        <f t="shared" si="9"/>
        <v>398.88545454545454</v>
      </c>
      <c r="N25" s="19">
        <f t="shared" si="9"/>
        <v>483.34363636363634</v>
      </c>
      <c r="O25" s="19">
        <f t="shared" si="9"/>
        <v>772.0363636363636</v>
      </c>
      <c r="P25" s="2">
        <f t="shared" si="1"/>
        <v>7978.8799999999992</v>
      </c>
      <c r="Q25" s="2"/>
      <c r="R25" s="13">
        <v>5.5</v>
      </c>
      <c r="S25" s="4">
        <v>5689.6</v>
      </c>
      <c r="T25" s="4">
        <v>5701.78</v>
      </c>
      <c r="U25" s="4">
        <v>5124</v>
      </c>
      <c r="V25" s="4">
        <v>3656.1</v>
      </c>
      <c r="W25" s="4">
        <v>2683.8</v>
      </c>
      <c r="X25" s="4">
        <v>2618.6999999999998</v>
      </c>
      <c r="Y25" s="4">
        <v>2906.4</v>
      </c>
      <c r="Z25" s="4">
        <v>3156.3</v>
      </c>
      <c r="AA25" s="4">
        <v>3248.7</v>
      </c>
      <c r="AB25" s="4">
        <v>2193.87</v>
      </c>
      <c r="AC25" s="11">
        <v>2658.39</v>
      </c>
      <c r="AD25" s="11">
        <v>4246.2</v>
      </c>
      <c r="AE25" s="3">
        <f t="shared" si="2"/>
        <v>43883.839999999997</v>
      </c>
    </row>
    <row r="26" spans="1:34" x14ac:dyDescent="0.3">
      <c r="B26" t="s">
        <v>20</v>
      </c>
      <c r="D26" s="2">
        <f t="shared" si="9"/>
        <v>0</v>
      </c>
      <c r="E26" s="2">
        <f t="shared" si="9"/>
        <v>0</v>
      </c>
      <c r="F26" s="2">
        <f t="shared" si="9"/>
        <v>0</v>
      </c>
      <c r="G26" s="2">
        <f t="shared" si="9"/>
        <v>0</v>
      </c>
      <c r="H26" s="2">
        <f t="shared" si="9"/>
        <v>0</v>
      </c>
      <c r="I26" s="2">
        <f t="shared" si="9"/>
        <v>0</v>
      </c>
      <c r="J26" s="2">
        <f t="shared" si="9"/>
        <v>0</v>
      </c>
      <c r="K26" s="2">
        <f t="shared" si="9"/>
        <v>0</v>
      </c>
      <c r="L26" s="2">
        <f t="shared" si="9"/>
        <v>0</v>
      </c>
      <c r="M26" s="2">
        <f t="shared" si="9"/>
        <v>0</v>
      </c>
      <c r="N26" s="19">
        <f t="shared" si="9"/>
        <v>0</v>
      </c>
      <c r="O26" s="19">
        <f t="shared" si="9"/>
        <v>1.92</v>
      </c>
      <c r="P26" s="2">
        <f t="shared" si="1"/>
        <v>1.92</v>
      </c>
      <c r="Q26" s="2"/>
      <c r="R26" s="13">
        <v>0.25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11">
        <v>0</v>
      </c>
      <c r="AD26" s="11">
        <v>0.48</v>
      </c>
      <c r="AE26" s="3">
        <f t="shared" si="2"/>
        <v>0.48</v>
      </c>
    </row>
    <row r="27" spans="1:34" x14ac:dyDescent="0.3">
      <c r="B27" t="s">
        <v>21</v>
      </c>
      <c r="D27" s="2">
        <f t="shared" si="9"/>
        <v>0</v>
      </c>
      <c r="E27" s="2">
        <f t="shared" si="9"/>
        <v>0</v>
      </c>
      <c r="F27" s="2">
        <f t="shared" si="9"/>
        <v>0</v>
      </c>
      <c r="G27" s="2">
        <f t="shared" si="9"/>
        <v>0</v>
      </c>
      <c r="H27" s="2">
        <f t="shared" si="9"/>
        <v>0</v>
      </c>
      <c r="I27" s="2">
        <f t="shared" si="9"/>
        <v>0</v>
      </c>
      <c r="J27" s="2">
        <f t="shared" si="9"/>
        <v>0</v>
      </c>
      <c r="K27" s="2">
        <f t="shared" si="9"/>
        <v>0</v>
      </c>
      <c r="L27" s="2">
        <f t="shared" si="9"/>
        <v>0</v>
      </c>
      <c r="M27" s="2">
        <f t="shared" si="9"/>
        <v>0</v>
      </c>
      <c r="N27" s="19">
        <f t="shared" si="9"/>
        <v>0</v>
      </c>
      <c r="O27" s="19">
        <f t="shared" si="9"/>
        <v>0</v>
      </c>
      <c r="P27" s="2">
        <f t="shared" si="1"/>
        <v>0</v>
      </c>
      <c r="Q27" s="2"/>
      <c r="R27" s="13">
        <v>-0.2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11">
        <v>0</v>
      </c>
      <c r="AD27" s="11">
        <v>0</v>
      </c>
      <c r="AE27" s="3">
        <f t="shared" si="2"/>
        <v>0</v>
      </c>
    </row>
    <row r="28" spans="1:34" x14ac:dyDescent="0.3">
      <c r="A28" t="s">
        <v>40</v>
      </c>
      <c r="B28" t="s">
        <v>14</v>
      </c>
      <c r="D28" s="5">
        <v>12</v>
      </c>
      <c r="E28" s="5">
        <v>11</v>
      </c>
      <c r="F28" s="5">
        <v>11</v>
      </c>
      <c r="G28" s="5">
        <v>11</v>
      </c>
      <c r="H28" s="5">
        <v>10</v>
      </c>
      <c r="I28" s="5">
        <v>12</v>
      </c>
      <c r="J28" s="5">
        <v>10</v>
      </c>
      <c r="K28" s="5">
        <v>12</v>
      </c>
      <c r="L28" s="5">
        <v>11</v>
      </c>
      <c r="M28" s="5">
        <v>11</v>
      </c>
      <c r="N28" s="10">
        <v>12</v>
      </c>
      <c r="O28" s="10">
        <v>12</v>
      </c>
      <c r="P28" s="2">
        <f t="shared" si="1"/>
        <v>135</v>
      </c>
      <c r="Q28" s="2"/>
      <c r="R28" s="13">
        <v>14000</v>
      </c>
      <c r="S28" s="3">
        <f t="shared" ref="S28:AD30" si="10">$R28*D28</f>
        <v>168000</v>
      </c>
      <c r="T28" s="3">
        <f t="shared" si="10"/>
        <v>154000</v>
      </c>
      <c r="U28" s="3">
        <f t="shared" si="10"/>
        <v>154000</v>
      </c>
      <c r="V28" s="3">
        <f t="shared" si="10"/>
        <v>154000</v>
      </c>
      <c r="W28" s="3">
        <f t="shared" si="10"/>
        <v>140000</v>
      </c>
      <c r="X28" s="3">
        <f t="shared" si="10"/>
        <v>168000</v>
      </c>
      <c r="Y28" s="3">
        <f t="shared" si="10"/>
        <v>140000</v>
      </c>
      <c r="Z28" s="3">
        <f t="shared" si="10"/>
        <v>168000</v>
      </c>
      <c r="AA28" s="3">
        <f t="shared" si="10"/>
        <v>154000</v>
      </c>
      <c r="AB28" s="3">
        <f t="shared" si="10"/>
        <v>154000</v>
      </c>
      <c r="AC28" s="24">
        <f t="shared" si="10"/>
        <v>168000</v>
      </c>
      <c r="AD28" s="24">
        <f t="shared" si="10"/>
        <v>168000</v>
      </c>
      <c r="AE28" s="3">
        <f t="shared" si="2"/>
        <v>1890000</v>
      </c>
    </row>
    <row r="29" spans="1:34" x14ac:dyDescent="0.3">
      <c r="B29" t="s">
        <v>15</v>
      </c>
      <c r="D29" s="5">
        <v>6000000</v>
      </c>
      <c r="E29" s="5">
        <v>5500000</v>
      </c>
      <c r="F29" s="5">
        <v>5500000</v>
      </c>
      <c r="G29" s="5">
        <v>5500000</v>
      </c>
      <c r="H29" s="5">
        <v>5000000</v>
      </c>
      <c r="I29" s="5">
        <v>6000000</v>
      </c>
      <c r="J29" s="5">
        <v>5000000</v>
      </c>
      <c r="K29" s="5">
        <v>6000000</v>
      </c>
      <c r="L29" s="5">
        <v>5500000</v>
      </c>
      <c r="M29" s="5">
        <v>5500000</v>
      </c>
      <c r="N29" s="10">
        <v>6000000</v>
      </c>
      <c r="O29" s="10">
        <v>6000000</v>
      </c>
      <c r="P29" s="2">
        <f t="shared" si="1"/>
        <v>67500000</v>
      </c>
      <c r="Q29" s="2"/>
      <c r="R29" s="14">
        <v>5.4280000000000002E-2</v>
      </c>
      <c r="S29" s="3">
        <f t="shared" si="10"/>
        <v>325680</v>
      </c>
      <c r="T29" s="3">
        <f t="shared" si="10"/>
        <v>298540</v>
      </c>
      <c r="U29" s="3">
        <f t="shared" si="10"/>
        <v>298540</v>
      </c>
      <c r="V29" s="3">
        <f t="shared" si="10"/>
        <v>298540</v>
      </c>
      <c r="W29" s="3">
        <f t="shared" si="10"/>
        <v>271400</v>
      </c>
      <c r="X29" s="3">
        <f t="shared" si="10"/>
        <v>325680</v>
      </c>
      <c r="Y29" s="3">
        <f t="shared" si="10"/>
        <v>271400</v>
      </c>
      <c r="Z29" s="3">
        <f t="shared" si="10"/>
        <v>325680</v>
      </c>
      <c r="AA29" s="3">
        <f t="shared" si="10"/>
        <v>298540</v>
      </c>
      <c r="AB29" s="3">
        <f t="shared" si="10"/>
        <v>298540</v>
      </c>
      <c r="AC29" s="24">
        <f t="shared" si="10"/>
        <v>325680</v>
      </c>
      <c r="AD29" s="24">
        <f t="shared" si="10"/>
        <v>325680</v>
      </c>
      <c r="AE29" s="3">
        <f t="shared" si="2"/>
        <v>3663900</v>
      </c>
    </row>
    <row r="30" spans="1:34" x14ac:dyDescent="0.3">
      <c r="B30" t="s">
        <v>16</v>
      </c>
      <c r="D30" s="5">
        <v>26809485</v>
      </c>
      <c r="E30" s="5">
        <v>22890236</v>
      </c>
      <c r="F30" s="5">
        <v>24801225</v>
      </c>
      <c r="G30" s="5">
        <v>21891541</v>
      </c>
      <c r="H30" s="5">
        <v>20603342</v>
      </c>
      <c r="I30" s="5">
        <v>21848417</v>
      </c>
      <c r="J30" s="5">
        <v>20078312</v>
      </c>
      <c r="K30" s="5">
        <v>24390643</v>
      </c>
      <c r="L30" s="5">
        <v>20732642</v>
      </c>
      <c r="M30" s="5">
        <v>21557277.98</v>
      </c>
      <c r="N30" s="10">
        <v>21210200.399999999</v>
      </c>
      <c r="O30" s="10">
        <v>21968597.48</v>
      </c>
      <c r="P30" s="2">
        <f t="shared" si="1"/>
        <v>268781918.86000001</v>
      </c>
      <c r="Q30" s="2"/>
      <c r="R30" s="14">
        <v>4.5850000000000002E-2</v>
      </c>
      <c r="S30" s="3">
        <f t="shared" si="10"/>
        <v>1229214.8872500001</v>
      </c>
      <c r="T30" s="3">
        <f t="shared" si="10"/>
        <v>1049517.3206</v>
      </c>
      <c r="U30" s="3">
        <f t="shared" si="10"/>
        <v>1137136.16625</v>
      </c>
      <c r="V30" s="3">
        <f t="shared" si="10"/>
        <v>1003727.15485</v>
      </c>
      <c r="W30" s="3">
        <f t="shared" si="10"/>
        <v>944663.23070000007</v>
      </c>
      <c r="X30" s="3">
        <f t="shared" si="10"/>
        <v>1001749.91945</v>
      </c>
      <c r="Y30" s="3">
        <f t="shared" si="10"/>
        <v>920590.60519999999</v>
      </c>
      <c r="Z30" s="3">
        <f t="shared" si="10"/>
        <v>1118310.9815500001</v>
      </c>
      <c r="AA30" s="3">
        <f t="shared" si="10"/>
        <v>950591.63569999998</v>
      </c>
      <c r="AB30" s="3">
        <f t="shared" si="10"/>
        <v>988401.19538300007</v>
      </c>
      <c r="AC30" s="24">
        <f t="shared" si="10"/>
        <v>972487.68833999999</v>
      </c>
      <c r="AD30" s="24">
        <f t="shared" si="10"/>
        <v>1007260.194458</v>
      </c>
      <c r="AE30" s="3">
        <f t="shared" si="2"/>
        <v>12323650.979731001</v>
      </c>
    </row>
    <row r="31" spans="1:34" x14ac:dyDescent="0.3">
      <c r="B31" t="s">
        <v>19</v>
      </c>
      <c r="D31" s="2">
        <f t="shared" ref="D31:O33" si="11">S31/$R31</f>
        <v>28981.65</v>
      </c>
      <c r="E31" s="2">
        <f t="shared" si="11"/>
        <v>29217.25</v>
      </c>
      <c r="F31" s="2">
        <f t="shared" si="11"/>
        <v>28915.15</v>
      </c>
      <c r="G31" s="2">
        <f t="shared" si="11"/>
        <v>20880.05</v>
      </c>
      <c r="H31" s="2">
        <f t="shared" si="11"/>
        <v>27336.25</v>
      </c>
      <c r="I31" s="2">
        <f t="shared" si="11"/>
        <v>24169.9</v>
      </c>
      <c r="J31" s="2">
        <f t="shared" si="11"/>
        <v>22085.599999999999</v>
      </c>
      <c r="K31" s="2">
        <f t="shared" si="11"/>
        <v>28284.35</v>
      </c>
      <c r="L31" s="2">
        <f t="shared" si="11"/>
        <v>25376.400000000001</v>
      </c>
      <c r="M31" s="2">
        <f t="shared" si="11"/>
        <v>24215.718000000001</v>
      </c>
      <c r="N31" s="19">
        <f t="shared" si="11"/>
        <v>25365.984</v>
      </c>
      <c r="O31" s="19">
        <f t="shared" si="11"/>
        <v>24134.184000000001</v>
      </c>
      <c r="P31" s="2">
        <f t="shared" si="1"/>
        <v>308962.48600000003</v>
      </c>
      <c r="Q31" s="2"/>
      <c r="R31" s="13">
        <v>5</v>
      </c>
      <c r="S31" s="4">
        <v>144908.25</v>
      </c>
      <c r="T31" s="4">
        <v>146086.25</v>
      </c>
      <c r="U31" s="4">
        <v>144575.75</v>
      </c>
      <c r="V31" s="4">
        <v>104400.25</v>
      </c>
      <c r="W31" s="4">
        <v>136681.25</v>
      </c>
      <c r="X31" s="4">
        <v>120849.5</v>
      </c>
      <c r="Y31" s="4">
        <v>110428</v>
      </c>
      <c r="Z31" s="4">
        <v>141421.75</v>
      </c>
      <c r="AA31" s="4">
        <v>126882</v>
      </c>
      <c r="AB31" s="4">
        <v>121078.59</v>
      </c>
      <c r="AC31" s="11">
        <v>126829.92</v>
      </c>
      <c r="AD31" s="11">
        <v>120670.92</v>
      </c>
      <c r="AE31" s="3">
        <f t="shared" si="2"/>
        <v>1544812.43</v>
      </c>
    </row>
    <row r="32" spans="1:34" x14ac:dyDescent="0.3">
      <c r="B32" t="s">
        <v>22</v>
      </c>
      <c r="D32" s="2">
        <f t="shared" si="11"/>
        <v>54890</v>
      </c>
      <c r="E32" s="2">
        <f t="shared" si="11"/>
        <v>53350</v>
      </c>
      <c r="F32" s="2">
        <f t="shared" si="11"/>
        <v>52183.999999999993</v>
      </c>
      <c r="G32" s="2">
        <f t="shared" si="11"/>
        <v>47598.999999999993</v>
      </c>
      <c r="H32" s="2">
        <f t="shared" si="11"/>
        <v>45195</v>
      </c>
      <c r="I32" s="2">
        <f t="shared" si="11"/>
        <v>51721</v>
      </c>
      <c r="J32" s="2">
        <f t="shared" si="11"/>
        <v>44411</v>
      </c>
      <c r="K32" s="2">
        <f t="shared" si="11"/>
        <v>56768.999999999993</v>
      </c>
      <c r="L32" s="2">
        <f t="shared" si="11"/>
        <v>50810</v>
      </c>
      <c r="M32" s="2">
        <f t="shared" si="11"/>
        <v>41698.649999999994</v>
      </c>
      <c r="N32" s="19">
        <f t="shared" si="11"/>
        <v>59441.599999999999</v>
      </c>
      <c r="O32" s="19">
        <f t="shared" si="11"/>
        <v>51201.85</v>
      </c>
      <c r="P32" s="2">
        <f t="shared" si="1"/>
        <v>609271.1</v>
      </c>
      <c r="Q32" s="2"/>
      <c r="R32" s="13">
        <v>-0.2</v>
      </c>
      <c r="S32" s="4">
        <v>-10978</v>
      </c>
      <c r="T32" s="4">
        <v>-10670</v>
      </c>
      <c r="U32" s="4">
        <v>-10436.799999999999</v>
      </c>
      <c r="V32" s="4">
        <v>-9519.7999999999993</v>
      </c>
      <c r="W32" s="4">
        <v>-9039</v>
      </c>
      <c r="X32" s="4">
        <v>-10344.200000000001</v>
      </c>
      <c r="Y32" s="4">
        <v>-8882.2000000000007</v>
      </c>
      <c r="Z32" s="4">
        <v>-11353.8</v>
      </c>
      <c r="AA32" s="4">
        <v>-10162</v>
      </c>
      <c r="AB32" s="4">
        <v>-8339.73</v>
      </c>
      <c r="AC32" s="11">
        <v>-11888.32</v>
      </c>
      <c r="AD32" s="11">
        <v>-10240.370000000001</v>
      </c>
      <c r="AE32" s="3">
        <f t="shared" si="2"/>
        <v>-121854.22</v>
      </c>
      <c r="AH32" t="s">
        <v>115</v>
      </c>
    </row>
    <row r="33" spans="1:35" x14ac:dyDescent="0.3">
      <c r="B33" t="s">
        <v>22</v>
      </c>
      <c r="D33" s="2">
        <f t="shared" si="11"/>
        <v>7525</v>
      </c>
      <c r="E33" s="2">
        <f t="shared" si="11"/>
        <v>7322.9999999999991</v>
      </c>
      <c r="F33" s="2">
        <f t="shared" si="11"/>
        <v>7506</v>
      </c>
      <c r="G33" s="2">
        <f t="shared" si="11"/>
        <v>8037.9999999999991</v>
      </c>
      <c r="H33" s="2">
        <f t="shared" si="11"/>
        <v>7695</v>
      </c>
      <c r="I33" s="2">
        <f t="shared" si="11"/>
        <v>7553.9999999999991</v>
      </c>
      <c r="J33" s="2">
        <f t="shared" si="11"/>
        <v>7473.9999999999991</v>
      </c>
      <c r="K33" s="2">
        <f t="shared" si="11"/>
        <v>7323.9999999999991</v>
      </c>
      <c r="L33" s="2">
        <f t="shared" si="11"/>
        <v>7266</v>
      </c>
      <c r="M33" s="2">
        <f t="shared" si="11"/>
        <v>6485.4499999999989</v>
      </c>
      <c r="N33" s="19">
        <f t="shared" si="11"/>
        <v>7453.75</v>
      </c>
      <c r="O33" s="19">
        <f t="shared" si="11"/>
        <v>7426.5999999999995</v>
      </c>
      <c r="P33" s="2">
        <f t="shared" si="1"/>
        <v>89070.8</v>
      </c>
      <c r="Q33" s="2"/>
      <c r="R33" s="13">
        <v>-0.2</v>
      </c>
      <c r="S33" s="4">
        <v>-1505</v>
      </c>
      <c r="T33" s="4">
        <v>-1464.6</v>
      </c>
      <c r="U33" s="4">
        <v>-1501.2</v>
      </c>
      <c r="V33" s="4">
        <v>-1607.6</v>
      </c>
      <c r="W33" s="4">
        <v>-1539</v>
      </c>
      <c r="X33" s="4">
        <v>-1510.8</v>
      </c>
      <c r="Y33" s="4">
        <v>-1494.8</v>
      </c>
      <c r="Z33" s="4">
        <v>-1464.8</v>
      </c>
      <c r="AA33" s="4">
        <v>-1453.2</v>
      </c>
      <c r="AB33" s="4">
        <v>-1297.0899999999999</v>
      </c>
      <c r="AC33" s="11">
        <v>-1490.75</v>
      </c>
      <c r="AD33" s="11">
        <v>-1485.32</v>
      </c>
      <c r="AE33" s="3">
        <f t="shared" si="2"/>
        <v>-17814.16</v>
      </c>
      <c r="AH33" t="s">
        <v>116</v>
      </c>
    </row>
    <row r="34" spans="1:35" x14ac:dyDescent="0.3">
      <c r="A34" t="s">
        <v>59</v>
      </c>
      <c r="B34" t="s">
        <v>14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  <c r="N34" s="10">
        <v>1</v>
      </c>
      <c r="O34" s="10">
        <v>1</v>
      </c>
      <c r="P34" s="2">
        <f t="shared" si="1"/>
        <v>12</v>
      </c>
      <c r="Q34" s="2"/>
      <c r="R34" s="13">
        <v>14000</v>
      </c>
      <c r="S34" s="3">
        <f t="shared" ref="S34:AD35" si="12">$R34*D34</f>
        <v>14000</v>
      </c>
      <c r="T34" s="3">
        <f t="shared" si="12"/>
        <v>14000</v>
      </c>
      <c r="U34" s="3">
        <f t="shared" si="12"/>
        <v>14000</v>
      </c>
      <c r="V34" s="3">
        <f t="shared" si="12"/>
        <v>14000</v>
      </c>
      <c r="W34" s="3">
        <f t="shared" si="12"/>
        <v>14000</v>
      </c>
      <c r="X34" s="3">
        <f t="shared" si="12"/>
        <v>14000</v>
      </c>
      <c r="Y34" s="3">
        <f t="shared" si="12"/>
        <v>14000</v>
      </c>
      <c r="Z34" s="3">
        <f t="shared" si="12"/>
        <v>14000</v>
      </c>
      <c r="AA34" s="3">
        <f t="shared" si="12"/>
        <v>14000</v>
      </c>
      <c r="AB34" s="3">
        <f t="shared" si="12"/>
        <v>14000</v>
      </c>
      <c r="AC34" s="24">
        <f t="shared" si="12"/>
        <v>14000</v>
      </c>
      <c r="AD34" s="24">
        <f t="shared" si="12"/>
        <v>14000</v>
      </c>
      <c r="AE34" s="3">
        <f t="shared" si="2"/>
        <v>168000</v>
      </c>
      <c r="AH34" s="35">
        <v>13500</v>
      </c>
      <c r="AI34">
        <v>1</v>
      </c>
    </row>
    <row r="35" spans="1:35" x14ac:dyDescent="0.3">
      <c r="B35" t="s">
        <v>15</v>
      </c>
      <c r="D35" s="10">
        <v>30746180</v>
      </c>
      <c r="E35" s="10">
        <v>28236920</v>
      </c>
      <c r="F35" s="10">
        <v>34548090</v>
      </c>
      <c r="G35" s="10">
        <v>31358080</v>
      </c>
      <c r="H35" s="10">
        <v>40503800</v>
      </c>
      <c r="I35" s="10">
        <v>35849850</v>
      </c>
      <c r="J35" s="10">
        <v>36514220</v>
      </c>
      <c r="K35" s="10">
        <v>36848440</v>
      </c>
      <c r="L35" s="10">
        <v>35722940</v>
      </c>
      <c r="M35" s="10">
        <v>48836220</v>
      </c>
      <c r="N35" s="10">
        <v>49925160</v>
      </c>
      <c r="O35" s="10">
        <v>39457050</v>
      </c>
      <c r="P35" s="2">
        <f t="shared" si="1"/>
        <v>448546950</v>
      </c>
      <c r="Q35" s="2"/>
      <c r="R35" s="14">
        <v>4.3650000000000001E-2</v>
      </c>
      <c r="S35" s="3">
        <f t="shared" si="12"/>
        <v>1342070.757</v>
      </c>
      <c r="T35" s="3">
        <f t="shared" si="12"/>
        <v>1232541.558</v>
      </c>
      <c r="U35" s="3">
        <f t="shared" si="12"/>
        <v>1508024.1285000001</v>
      </c>
      <c r="V35" s="3">
        <f t="shared" si="12"/>
        <v>1368780.192</v>
      </c>
      <c r="W35" s="3">
        <f t="shared" si="12"/>
        <v>1767990.87</v>
      </c>
      <c r="X35" s="3">
        <f t="shared" si="12"/>
        <v>1564845.9525000001</v>
      </c>
      <c r="Y35" s="3">
        <f t="shared" si="12"/>
        <v>1593845.703</v>
      </c>
      <c r="Z35" s="3">
        <f t="shared" si="12"/>
        <v>1608434.406</v>
      </c>
      <c r="AA35" s="3">
        <f t="shared" si="12"/>
        <v>1559306.331</v>
      </c>
      <c r="AB35" s="3">
        <f t="shared" si="12"/>
        <v>2131701.003</v>
      </c>
      <c r="AC35" s="24">
        <f t="shared" si="12"/>
        <v>2179233.2340000002</v>
      </c>
      <c r="AD35" s="24">
        <f t="shared" si="12"/>
        <v>1722300.2325000002</v>
      </c>
      <c r="AE35" s="3">
        <f t="shared" si="2"/>
        <v>19579074.367500003</v>
      </c>
      <c r="AH35" s="35">
        <v>1625986.69</v>
      </c>
      <c r="AI35" s="2">
        <v>39457050</v>
      </c>
    </row>
    <row r="36" spans="1:35" x14ac:dyDescent="0.3">
      <c r="B36" t="s">
        <v>19</v>
      </c>
      <c r="D36" s="2">
        <f t="shared" ref="D36:D38" si="13">S36/$R36</f>
        <v>49400</v>
      </c>
      <c r="E36" s="2">
        <f t="shared" ref="E36:E38" si="14">T36/$R36</f>
        <v>49400</v>
      </c>
      <c r="F36" s="2">
        <f t="shared" ref="F36:F38" si="15">U36/$R36</f>
        <v>49400</v>
      </c>
      <c r="G36" s="2">
        <f t="shared" ref="G36:G38" si="16">V36/$R36</f>
        <v>49400</v>
      </c>
      <c r="H36" s="2">
        <f t="shared" ref="H36:H38" si="17">W36/$R36</f>
        <v>49400</v>
      </c>
      <c r="I36" s="2">
        <f t="shared" ref="I36:I38" si="18">X36/$R36</f>
        <v>49400</v>
      </c>
      <c r="J36" s="2">
        <f t="shared" ref="J36:J38" si="19">Y36/$R36</f>
        <v>49400</v>
      </c>
      <c r="K36" s="2">
        <f t="shared" ref="K36:K38" si="20">Z36/$R36</f>
        <v>49400</v>
      </c>
      <c r="L36" s="2">
        <f t="shared" ref="L36:L38" si="21">AA36/$R36</f>
        <v>49400</v>
      </c>
      <c r="M36" s="2">
        <f t="shared" ref="M36:M38" si="22">AB36/$R36</f>
        <v>49400</v>
      </c>
      <c r="N36" s="19">
        <f t="shared" ref="N36:N38" si="23">AC36/$R36</f>
        <v>49400</v>
      </c>
      <c r="O36" s="19">
        <f t="shared" ref="O36:O38" si="24">AD36/$R36</f>
        <v>49400</v>
      </c>
      <c r="P36" s="2">
        <f t="shared" si="1"/>
        <v>592800</v>
      </c>
      <c r="Q36" s="2"/>
      <c r="R36" s="13">
        <v>5</v>
      </c>
      <c r="S36" s="4">
        <v>247000</v>
      </c>
      <c r="T36" s="4">
        <v>247000</v>
      </c>
      <c r="U36" s="4">
        <v>247000</v>
      </c>
      <c r="V36" s="4">
        <v>247000</v>
      </c>
      <c r="W36" s="4">
        <v>247000</v>
      </c>
      <c r="X36" s="4">
        <v>247000</v>
      </c>
      <c r="Y36" s="4">
        <f>494000-X36</f>
        <v>247000</v>
      </c>
      <c r="Z36" s="4">
        <v>247000</v>
      </c>
      <c r="AA36" s="4">
        <v>247000</v>
      </c>
      <c r="AB36" s="4">
        <v>247000</v>
      </c>
      <c r="AC36" s="11">
        <v>247000</v>
      </c>
      <c r="AD36" s="11">
        <f>0+247000</f>
        <v>247000</v>
      </c>
      <c r="AE36" s="3">
        <f t="shared" si="2"/>
        <v>2964000</v>
      </c>
      <c r="AH36" s="35">
        <v>247000</v>
      </c>
      <c r="AI36" s="36">
        <v>55000</v>
      </c>
    </row>
    <row r="37" spans="1:35" x14ac:dyDescent="0.3">
      <c r="B37" t="s">
        <v>62</v>
      </c>
      <c r="D37" s="2">
        <f t="shared" si="13"/>
        <v>21357</v>
      </c>
      <c r="E37" s="2">
        <f t="shared" si="14"/>
        <v>27954</v>
      </c>
      <c r="F37" s="2">
        <f t="shared" si="15"/>
        <v>33084</v>
      </c>
      <c r="G37" s="2">
        <f t="shared" si="16"/>
        <v>2826</v>
      </c>
      <c r="H37" s="2">
        <f t="shared" si="17"/>
        <v>27090</v>
      </c>
      <c r="I37" s="2">
        <f t="shared" si="18"/>
        <v>28989</v>
      </c>
      <c r="J37" s="2">
        <f t="shared" si="19"/>
        <v>28989</v>
      </c>
      <c r="K37" s="2">
        <f t="shared" si="20"/>
        <v>50112</v>
      </c>
      <c r="L37" s="2">
        <f t="shared" si="21"/>
        <v>18756</v>
      </c>
      <c r="M37" s="2">
        <f t="shared" si="22"/>
        <v>28413</v>
      </c>
      <c r="N37" s="19">
        <f t="shared" si="23"/>
        <v>32193</v>
      </c>
      <c r="O37" s="19">
        <f t="shared" si="24"/>
        <v>53523</v>
      </c>
      <c r="P37" s="2">
        <f t="shared" si="1"/>
        <v>353286</v>
      </c>
      <c r="Q37" s="2"/>
      <c r="R37" s="13">
        <v>2.5</v>
      </c>
      <c r="S37" s="4">
        <v>53392.5</v>
      </c>
      <c r="T37" s="4">
        <v>69885</v>
      </c>
      <c r="U37" s="4">
        <v>82710</v>
      </c>
      <c r="V37" s="4">
        <v>7065</v>
      </c>
      <c r="W37" s="4">
        <v>67725</v>
      </c>
      <c r="X37" s="11">
        <v>72472.5</v>
      </c>
      <c r="Y37" s="4">
        <f>144945-X37</f>
        <v>72472.5</v>
      </c>
      <c r="Z37" s="4">
        <v>125280</v>
      </c>
      <c r="AA37" s="4">
        <v>46890</v>
      </c>
      <c r="AB37" s="4">
        <v>71032.5</v>
      </c>
      <c r="AC37" s="11">
        <v>80482.5</v>
      </c>
      <c r="AD37" s="11">
        <f>-4770+138577.5</f>
        <v>133807.5</v>
      </c>
      <c r="AE37" s="3">
        <f t="shared" si="2"/>
        <v>883215</v>
      </c>
      <c r="AH37" s="35">
        <v>138577.5</v>
      </c>
      <c r="AI37" s="36">
        <f>AH37/2.25</f>
        <v>61590</v>
      </c>
    </row>
    <row r="38" spans="1:35" x14ac:dyDescent="0.3">
      <c r="B38" t="s">
        <v>21</v>
      </c>
      <c r="D38" s="2">
        <f t="shared" si="13"/>
        <v>78730</v>
      </c>
      <c r="E38" s="2">
        <f t="shared" si="14"/>
        <v>86060</v>
      </c>
      <c r="F38" s="2">
        <f t="shared" si="15"/>
        <v>91760</v>
      </c>
      <c r="G38" s="2">
        <f t="shared" si="16"/>
        <v>58140</v>
      </c>
      <c r="H38" s="2">
        <f t="shared" si="17"/>
        <v>85100</v>
      </c>
      <c r="I38" s="2">
        <f t="shared" si="18"/>
        <v>87110</v>
      </c>
      <c r="J38" s="2">
        <f t="shared" si="19"/>
        <v>87310</v>
      </c>
      <c r="K38" s="2">
        <f t="shared" si="20"/>
        <v>110680</v>
      </c>
      <c r="L38" s="2">
        <f t="shared" si="21"/>
        <v>75840</v>
      </c>
      <c r="M38" s="2">
        <f t="shared" si="22"/>
        <v>86570</v>
      </c>
      <c r="N38" s="19">
        <f t="shared" si="23"/>
        <v>90770</v>
      </c>
      <c r="O38" s="19">
        <f t="shared" si="24"/>
        <v>114470</v>
      </c>
      <c r="P38" s="2">
        <f t="shared" si="1"/>
        <v>1052540</v>
      </c>
      <c r="Q38" s="2"/>
      <c r="R38" s="13">
        <v>-0.2</v>
      </c>
      <c r="S38" s="4">
        <v>-15746</v>
      </c>
      <c r="T38" s="4">
        <v>-17212</v>
      </c>
      <c r="U38" s="4">
        <v>-18352</v>
      </c>
      <c r="V38" s="4">
        <v>-11628</v>
      </c>
      <c r="W38" s="4">
        <v>-17020</v>
      </c>
      <c r="X38" s="4">
        <v>-17422</v>
      </c>
      <c r="Y38" s="4">
        <f>-34884-X38</f>
        <v>-17462</v>
      </c>
      <c r="Z38" s="4">
        <v>-22136</v>
      </c>
      <c r="AA38" s="4">
        <v>-15168</v>
      </c>
      <c r="AB38" s="4">
        <v>-17314</v>
      </c>
      <c r="AC38" s="11">
        <v>-18154</v>
      </c>
      <c r="AD38" s="11">
        <f>424-23318</f>
        <v>-22894</v>
      </c>
      <c r="AE38" s="3">
        <f t="shared" si="2"/>
        <v>-210508</v>
      </c>
      <c r="AH38" s="35">
        <v>-23318</v>
      </c>
      <c r="AI38" s="36">
        <f>AH38/-0.2</f>
        <v>116590</v>
      </c>
    </row>
    <row r="39" spans="1:35" x14ac:dyDescent="0.3">
      <c r="A39" t="s">
        <v>41</v>
      </c>
      <c r="B39" t="s">
        <v>14</v>
      </c>
      <c r="D39" s="5">
        <v>741</v>
      </c>
      <c r="E39" s="5">
        <v>749</v>
      </c>
      <c r="F39" s="5">
        <v>742</v>
      </c>
      <c r="G39" s="5">
        <v>749</v>
      </c>
      <c r="H39" s="5">
        <v>735</v>
      </c>
      <c r="I39" s="5">
        <v>767</v>
      </c>
      <c r="J39" s="5">
        <v>750</v>
      </c>
      <c r="K39" s="5">
        <v>758</v>
      </c>
      <c r="L39" s="5">
        <v>756</v>
      </c>
      <c r="M39" s="5">
        <v>751</v>
      </c>
      <c r="N39" s="10">
        <v>724</v>
      </c>
      <c r="O39" s="10">
        <v>762</v>
      </c>
      <c r="P39" s="2">
        <f t="shared" si="1"/>
        <v>8984</v>
      </c>
      <c r="Q39" s="2"/>
      <c r="R39" s="13">
        <v>11</v>
      </c>
      <c r="S39" s="3">
        <f t="shared" ref="S39:AD42" si="25">$R39*D39</f>
        <v>8151</v>
      </c>
      <c r="T39" s="3">
        <f t="shared" si="25"/>
        <v>8239</v>
      </c>
      <c r="U39" s="3">
        <f t="shared" si="25"/>
        <v>8162</v>
      </c>
      <c r="V39" s="3">
        <f t="shared" si="25"/>
        <v>8239</v>
      </c>
      <c r="W39" s="3">
        <f t="shared" si="25"/>
        <v>8085</v>
      </c>
      <c r="X39" s="3">
        <f t="shared" si="25"/>
        <v>8437</v>
      </c>
      <c r="Y39" s="3">
        <f t="shared" si="25"/>
        <v>8250</v>
      </c>
      <c r="Z39" s="3">
        <f t="shared" si="25"/>
        <v>8338</v>
      </c>
      <c r="AA39" s="3">
        <f t="shared" si="25"/>
        <v>8316</v>
      </c>
      <c r="AB39" s="3">
        <f t="shared" si="25"/>
        <v>8261</v>
      </c>
      <c r="AC39" s="24">
        <f t="shared" si="25"/>
        <v>7964</v>
      </c>
      <c r="AD39" s="24">
        <f t="shared" si="25"/>
        <v>8382</v>
      </c>
      <c r="AE39" s="3">
        <f t="shared" si="2"/>
        <v>98824</v>
      </c>
    </row>
    <row r="40" spans="1:35" x14ac:dyDescent="0.3">
      <c r="B40" t="s">
        <v>15</v>
      </c>
      <c r="D40" s="5">
        <v>1270870.31675</v>
      </c>
      <c r="E40" s="5">
        <v>1331319.9667400001</v>
      </c>
      <c r="F40" s="5">
        <v>1337892.32167</v>
      </c>
      <c r="G40" s="5">
        <v>1250261.6033399999</v>
      </c>
      <c r="H40" s="5">
        <v>1341413.72667</v>
      </c>
      <c r="I40" s="5">
        <v>1766296.2</v>
      </c>
      <c r="J40" s="5">
        <v>2124115.8333299998</v>
      </c>
      <c r="K40" s="5">
        <v>2181800.8333299998</v>
      </c>
      <c r="L40" s="5">
        <v>2106102.9</v>
      </c>
      <c r="M40" s="5">
        <v>1913905.3411699999</v>
      </c>
      <c r="N40" s="10">
        <v>1439211.3858099999</v>
      </c>
      <c r="O40" s="10">
        <v>1329788.38735</v>
      </c>
      <c r="P40" s="2">
        <f t="shared" si="1"/>
        <v>19392978.816160001</v>
      </c>
      <c r="Q40" s="2"/>
      <c r="R40" s="14">
        <v>0.10507</v>
      </c>
      <c r="S40" s="3">
        <f t="shared" si="25"/>
        <v>133530.34418092249</v>
      </c>
      <c r="T40" s="3">
        <f t="shared" si="25"/>
        <v>139881.7889053718</v>
      </c>
      <c r="U40" s="3">
        <f t="shared" si="25"/>
        <v>140572.34623786691</v>
      </c>
      <c r="V40" s="3">
        <f t="shared" si="25"/>
        <v>131364.98666293378</v>
      </c>
      <c r="W40" s="3">
        <f t="shared" si="25"/>
        <v>140942.34026121689</v>
      </c>
      <c r="X40" s="3">
        <f t="shared" si="25"/>
        <v>185584.74173399998</v>
      </c>
      <c r="Y40" s="3">
        <f t="shared" si="25"/>
        <v>223180.85060798307</v>
      </c>
      <c r="Z40" s="3">
        <f t="shared" si="25"/>
        <v>229241.81355798309</v>
      </c>
      <c r="AA40" s="3">
        <f t="shared" si="25"/>
        <v>221288.231703</v>
      </c>
      <c r="AB40" s="3">
        <f t="shared" si="25"/>
        <v>201094.0341967319</v>
      </c>
      <c r="AC40" s="24">
        <f t="shared" si="25"/>
        <v>151217.94030705668</v>
      </c>
      <c r="AD40" s="24">
        <f t="shared" si="25"/>
        <v>139720.8658588645</v>
      </c>
      <c r="AE40" s="3">
        <f t="shared" si="2"/>
        <v>2037620.2842139311</v>
      </c>
      <c r="AH40" s="3"/>
    </row>
    <row r="41" spans="1:35" x14ac:dyDescent="0.3">
      <c r="B41" t="s">
        <v>16</v>
      </c>
      <c r="D41" s="5">
        <v>357621.99997</v>
      </c>
      <c r="E41" s="5">
        <v>385122.98330999998</v>
      </c>
      <c r="F41" s="5">
        <v>375025.52833</v>
      </c>
      <c r="G41" s="5">
        <v>365038.71665999998</v>
      </c>
      <c r="H41" s="5">
        <v>351179.30833000003</v>
      </c>
      <c r="I41" s="5">
        <v>428095.35</v>
      </c>
      <c r="J41" s="5">
        <v>573315.71666999999</v>
      </c>
      <c r="K41" s="5">
        <v>632727.61667000002</v>
      </c>
      <c r="L41" s="5">
        <v>608198.25</v>
      </c>
      <c r="M41" s="5">
        <v>442782.32549000002</v>
      </c>
      <c r="N41" s="10">
        <v>324767.24501999997</v>
      </c>
      <c r="O41" s="10">
        <v>349698.38098999998</v>
      </c>
      <c r="P41" s="2">
        <f t="shared" si="1"/>
        <v>5193573.4214399997</v>
      </c>
      <c r="Q41" s="2"/>
      <c r="R41" s="14">
        <v>0.10507</v>
      </c>
      <c r="S41" s="3">
        <f t="shared" si="25"/>
        <v>37575.343536847897</v>
      </c>
      <c r="T41" s="3">
        <f t="shared" si="25"/>
        <v>40464.871856381695</v>
      </c>
      <c r="U41" s="3">
        <f t="shared" si="25"/>
        <v>39403.932261633097</v>
      </c>
      <c r="V41" s="3">
        <f t="shared" si="25"/>
        <v>38354.617959466195</v>
      </c>
      <c r="W41" s="3">
        <f t="shared" si="25"/>
        <v>36898.4099262331</v>
      </c>
      <c r="X41" s="3">
        <f t="shared" si="25"/>
        <v>44979.978424499997</v>
      </c>
      <c r="Y41" s="3">
        <f t="shared" si="25"/>
        <v>60238.2823505169</v>
      </c>
      <c r="Z41" s="3">
        <f t="shared" si="25"/>
        <v>66480.690683516907</v>
      </c>
      <c r="AA41" s="3">
        <f t="shared" si="25"/>
        <v>63903.390127499995</v>
      </c>
      <c r="AB41" s="3">
        <f t="shared" si="25"/>
        <v>46523.138939234297</v>
      </c>
      <c r="AC41" s="24">
        <f t="shared" si="25"/>
        <v>34123.294434251395</v>
      </c>
      <c r="AD41" s="24">
        <f t="shared" si="25"/>
        <v>36742.808890619293</v>
      </c>
      <c r="AE41" s="3">
        <f t="shared" si="2"/>
        <v>545688.75939070084</v>
      </c>
    </row>
    <row r="42" spans="1:35" x14ac:dyDescent="0.3">
      <c r="B42" t="s">
        <v>17</v>
      </c>
      <c r="D42" s="5">
        <v>1907321.68328</v>
      </c>
      <c r="E42" s="5">
        <v>2088679.0499499999</v>
      </c>
      <c r="F42" s="5">
        <v>1928032.15</v>
      </c>
      <c r="G42" s="5">
        <v>1623026.68</v>
      </c>
      <c r="H42" s="5">
        <v>1631208.9650000001</v>
      </c>
      <c r="I42" s="5">
        <v>2458490.4500000002</v>
      </c>
      <c r="J42" s="5">
        <v>4169003.45</v>
      </c>
      <c r="K42" s="5">
        <v>5996486.5499999998</v>
      </c>
      <c r="L42" s="5">
        <v>5520763.8499999996</v>
      </c>
      <c r="M42" s="5">
        <v>3434137.7133399998</v>
      </c>
      <c r="N42" s="10">
        <v>1601132.98917</v>
      </c>
      <c r="O42" s="10">
        <v>1586005.29966</v>
      </c>
      <c r="P42" s="2">
        <f t="shared" si="1"/>
        <v>33944288.830399998</v>
      </c>
      <c r="Q42" s="2"/>
      <c r="R42" s="14">
        <v>9.0069999999999997E-2</v>
      </c>
      <c r="S42" s="3">
        <f t="shared" si="25"/>
        <v>171792.46401302959</v>
      </c>
      <c r="T42" s="3">
        <f t="shared" si="25"/>
        <v>188127.32202899648</v>
      </c>
      <c r="U42" s="3">
        <f t="shared" si="25"/>
        <v>173657.85575049999</v>
      </c>
      <c r="V42" s="3">
        <f t="shared" si="25"/>
        <v>146186.0130676</v>
      </c>
      <c r="W42" s="3">
        <f t="shared" si="25"/>
        <v>146922.99147755001</v>
      </c>
      <c r="X42" s="3">
        <f t="shared" si="25"/>
        <v>221436.23483150001</v>
      </c>
      <c r="Y42" s="3">
        <f t="shared" si="25"/>
        <v>375502.14074150001</v>
      </c>
      <c r="Z42" s="3">
        <f t="shared" si="25"/>
        <v>540103.54355850001</v>
      </c>
      <c r="AA42" s="3">
        <f t="shared" si="25"/>
        <v>497255.19996949995</v>
      </c>
      <c r="AB42" s="3">
        <f t="shared" si="25"/>
        <v>309312.78384053375</v>
      </c>
      <c r="AC42" s="24">
        <f t="shared" si="25"/>
        <v>144214.04833454191</v>
      </c>
      <c r="AD42" s="24">
        <f t="shared" si="25"/>
        <v>142851.4973403762</v>
      </c>
      <c r="AE42" s="3">
        <f t="shared" si="2"/>
        <v>3057362.0949541274</v>
      </c>
    </row>
    <row r="43" spans="1:35" x14ac:dyDescent="0.3">
      <c r="B43" t="s">
        <v>20</v>
      </c>
      <c r="D43" s="2">
        <f t="shared" ref="D43:O43" si="26">S43/$R43</f>
        <v>329.68</v>
      </c>
      <c r="E43" s="2">
        <f t="shared" si="26"/>
        <v>157.68</v>
      </c>
      <c r="F43" s="2">
        <f t="shared" si="26"/>
        <v>308.32</v>
      </c>
      <c r="G43" s="2">
        <f t="shared" si="26"/>
        <v>321.76</v>
      </c>
      <c r="H43" s="2">
        <f t="shared" si="26"/>
        <v>294.04000000000002</v>
      </c>
      <c r="I43" s="2">
        <f t="shared" si="26"/>
        <v>202.88</v>
      </c>
      <c r="J43" s="2">
        <f t="shared" si="26"/>
        <v>212</v>
      </c>
      <c r="K43" s="2">
        <f t="shared" si="26"/>
        <v>340.64</v>
      </c>
      <c r="L43" s="2">
        <f t="shared" si="26"/>
        <v>342.24</v>
      </c>
      <c r="M43" s="2">
        <f t="shared" si="26"/>
        <v>821.04</v>
      </c>
      <c r="N43" s="19">
        <f t="shared" si="26"/>
        <v>169.8</v>
      </c>
      <c r="O43" s="19">
        <f t="shared" si="26"/>
        <v>176.48</v>
      </c>
      <c r="P43" s="2">
        <f t="shared" si="1"/>
        <v>3676.56</v>
      </c>
      <c r="Q43" s="2"/>
      <c r="R43" s="13">
        <v>0.25</v>
      </c>
      <c r="S43" s="4">
        <v>82.42</v>
      </c>
      <c r="T43" s="4">
        <v>39.42</v>
      </c>
      <c r="U43" s="4">
        <v>77.08</v>
      </c>
      <c r="V43" s="4">
        <v>80.44</v>
      </c>
      <c r="W43" s="4">
        <v>73.510000000000005</v>
      </c>
      <c r="X43" s="4">
        <v>50.72</v>
      </c>
      <c r="Y43" s="4">
        <v>53</v>
      </c>
      <c r="Z43" s="4">
        <v>85.16</v>
      </c>
      <c r="AA43" s="4">
        <v>85.56</v>
      </c>
      <c r="AB43" s="4">
        <v>205.26</v>
      </c>
      <c r="AC43" s="11">
        <v>42.45</v>
      </c>
      <c r="AD43" s="11">
        <v>44.12</v>
      </c>
      <c r="AE43" s="3">
        <f t="shared" si="2"/>
        <v>919.14</v>
      </c>
    </row>
    <row r="44" spans="1:35" x14ac:dyDescent="0.3">
      <c r="A44" t="s">
        <v>42</v>
      </c>
      <c r="B44" t="s">
        <v>14</v>
      </c>
      <c r="D44" s="5">
        <v>662</v>
      </c>
      <c r="E44" s="5">
        <v>666</v>
      </c>
      <c r="F44" s="5">
        <v>661</v>
      </c>
      <c r="G44" s="5">
        <v>664</v>
      </c>
      <c r="H44" s="5">
        <v>664</v>
      </c>
      <c r="I44" s="5">
        <v>665</v>
      </c>
      <c r="J44" s="5">
        <v>652</v>
      </c>
      <c r="K44" s="5">
        <v>656</v>
      </c>
      <c r="L44" s="5">
        <v>658</v>
      </c>
      <c r="M44" s="5">
        <v>657</v>
      </c>
      <c r="N44" s="10">
        <v>657</v>
      </c>
      <c r="O44" s="10">
        <v>652</v>
      </c>
      <c r="P44" s="2">
        <f t="shared" si="1"/>
        <v>7914</v>
      </c>
      <c r="Q44" s="2"/>
      <c r="R44" s="13">
        <v>11</v>
      </c>
      <c r="S44" s="3">
        <f t="shared" ref="S44:AD47" si="27">$R44*D44</f>
        <v>7282</v>
      </c>
      <c r="T44" s="3">
        <f t="shared" si="27"/>
        <v>7326</v>
      </c>
      <c r="U44" s="3">
        <f t="shared" si="27"/>
        <v>7271</v>
      </c>
      <c r="V44" s="3">
        <f t="shared" si="27"/>
        <v>7304</v>
      </c>
      <c r="W44" s="3">
        <f t="shared" si="27"/>
        <v>7304</v>
      </c>
      <c r="X44" s="3">
        <f t="shared" si="27"/>
        <v>7315</v>
      </c>
      <c r="Y44" s="3">
        <f t="shared" si="27"/>
        <v>7172</v>
      </c>
      <c r="Z44" s="3">
        <f t="shared" si="27"/>
        <v>7216</v>
      </c>
      <c r="AA44" s="3">
        <f t="shared" si="27"/>
        <v>7238</v>
      </c>
      <c r="AB44" s="3">
        <f t="shared" si="27"/>
        <v>7227</v>
      </c>
      <c r="AC44" s="24">
        <f t="shared" si="27"/>
        <v>7227</v>
      </c>
      <c r="AD44" s="24">
        <f t="shared" si="27"/>
        <v>7172</v>
      </c>
      <c r="AE44" s="3">
        <f t="shared" si="2"/>
        <v>87054</v>
      </c>
    </row>
    <row r="45" spans="1:35" x14ac:dyDescent="0.3">
      <c r="B45" t="s">
        <v>15</v>
      </c>
      <c r="D45" s="5">
        <v>120110.96670999999</v>
      </c>
      <c r="E45" s="5">
        <v>109886.74338</v>
      </c>
      <c r="F45" s="5">
        <v>101437.86667</v>
      </c>
      <c r="G45" s="5">
        <v>93490.95</v>
      </c>
      <c r="H45" s="5">
        <v>99047.44</v>
      </c>
      <c r="I45" s="5">
        <v>185441.2</v>
      </c>
      <c r="J45" s="5">
        <v>321858.65000000002</v>
      </c>
      <c r="K45" s="5">
        <v>363069.77665999997</v>
      </c>
      <c r="L45" s="5">
        <v>290333.01666000002</v>
      </c>
      <c r="M45" s="5">
        <v>123446.765</v>
      </c>
      <c r="N45" s="10">
        <v>90425.18333</v>
      </c>
      <c r="O45" s="10">
        <v>97619.874500000005</v>
      </c>
      <c r="P45" s="2">
        <f t="shared" si="1"/>
        <v>1996168.4329099997</v>
      </c>
      <c r="Q45" s="2"/>
      <c r="R45" s="14">
        <v>0.10428999999999999</v>
      </c>
      <c r="S45" s="3">
        <f t="shared" si="27"/>
        <v>12526.372718185899</v>
      </c>
      <c r="T45" s="3">
        <f t="shared" si="27"/>
        <v>11460.088467100199</v>
      </c>
      <c r="U45" s="3">
        <f t="shared" si="27"/>
        <v>10578.9551150143</v>
      </c>
      <c r="V45" s="3">
        <f t="shared" si="27"/>
        <v>9750.1711754999997</v>
      </c>
      <c r="W45" s="3">
        <f t="shared" si="27"/>
        <v>10329.657517599999</v>
      </c>
      <c r="X45" s="3">
        <f t="shared" si="27"/>
        <v>19339.662747999999</v>
      </c>
      <c r="Y45" s="3">
        <f t="shared" si="27"/>
        <v>33566.638608499998</v>
      </c>
      <c r="Z45" s="3">
        <f t="shared" si="27"/>
        <v>37864.547007871392</v>
      </c>
      <c r="AA45" s="3">
        <f t="shared" si="27"/>
        <v>30278.830307471402</v>
      </c>
      <c r="AB45" s="3">
        <f t="shared" si="27"/>
        <v>12874.263121849999</v>
      </c>
      <c r="AC45" s="24">
        <f t="shared" si="27"/>
        <v>9430.4423694856996</v>
      </c>
      <c r="AD45" s="24">
        <f t="shared" si="27"/>
        <v>10180.776711605</v>
      </c>
      <c r="AE45" s="3">
        <f t="shared" si="2"/>
        <v>208180.40586818388</v>
      </c>
    </row>
    <row r="46" spans="1:35" x14ac:dyDescent="0.3">
      <c r="B46" t="s">
        <v>16</v>
      </c>
      <c r="D46" s="5">
        <v>65307.649980000002</v>
      </c>
      <c r="E46" s="5">
        <v>57001.90496</v>
      </c>
      <c r="F46" s="5">
        <v>47845.483330000003</v>
      </c>
      <c r="G46" s="5">
        <v>36212.800000000003</v>
      </c>
      <c r="H46" s="5">
        <v>35960.26</v>
      </c>
      <c r="I46" s="5">
        <v>64447.65</v>
      </c>
      <c r="J46" s="5">
        <v>123550.7</v>
      </c>
      <c r="K46" s="5">
        <v>136588.60334</v>
      </c>
      <c r="L46" s="5">
        <v>106582.38334</v>
      </c>
      <c r="M46" s="5">
        <v>43898.025000000001</v>
      </c>
      <c r="N46" s="10">
        <v>30526.876670000001</v>
      </c>
      <c r="O46" s="10">
        <v>41969.405500000001</v>
      </c>
      <c r="P46" s="2">
        <f t="shared" si="1"/>
        <v>789891.74212000018</v>
      </c>
      <c r="Q46" s="2"/>
      <c r="R46" s="14">
        <v>0.10428999999999999</v>
      </c>
      <c r="S46" s="3">
        <f t="shared" si="27"/>
        <v>6810.9348164142002</v>
      </c>
      <c r="T46" s="3">
        <f t="shared" si="27"/>
        <v>5944.7286682783997</v>
      </c>
      <c r="U46" s="3">
        <f t="shared" si="27"/>
        <v>4989.8054564857002</v>
      </c>
      <c r="V46" s="3">
        <f t="shared" si="27"/>
        <v>3776.632912</v>
      </c>
      <c r="W46" s="3">
        <f t="shared" si="27"/>
        <v>3750.2955154000001</v>
      </c>
      <c r="X46" s="3">
        <f t="shared" si="27"/>
        <v>6721.2454184999997</v>
      </c>
      <c r="Y46" s="3">
        <f t="shared" si="27"/>
        <v>12885.102502999998</v>
      </c>
      <c r="Z46" s="3">
        <f t="shared" si="27"/>
        <v>14244.8254423286</v>
      </c>
      <c r="AA46" s="3">
        <f t="shared" si="27"/>
        <v>11115.476758528599</v>
      </c>
      <c r="AB46" s="3">
        <f t="shared" si="27"/>
        <v>4578.1250272500001</v>
      </c>
      <c r="AC46" s="24">
        <f t="shared" si="27"/>
        <v>3183.6479679142999</v>
      </c>
      <c r="AD46" s="24">
        <f t="shared" si="27"/>
        <v>4376.9892995949995</v>
      </c>
      <c r="AE46" s="3">
        <f t="shared" si="2"/>
        <v>82377.809785694786</v>
      </c>
    </row>
    <row r="47" spans="1:35" x14ac:dyDescent="0.3">
      <c r="B47" t="s">
        <v>17</v>
      </c>
      <c r="D47" s="5">
        <v>107496.38331</v>
      </c>
      <c r="E47" s="5">
        <v>81964.35166</v>
      </c>
      <c r="F47" s="5">
        <v>57632.65</v>
      </c>
      <c r="G47" s="5">
        <v>35246.25</v>
      </c>
      <c r="H47" s="5">
        <v>26124.3</v>
      </c>
      <c r="I47" s="5">
        <v>110876.15</v>
      </c>
      <c r="J47" s="5">
        <v>576494.65</v>
      </c>
      <c r="K47" s="5">
        <v>744949.62</v>
      </c>
      <c r="L47" s="5">
        <v>251178.6</v>
      </c>
      <c r="M47" s="5">
        <v>25082.78</v>
      </c>
      <c r="N47" s="10">
        <v>25703.91</v>
      </c>
      <c r="O47" s="10">
        <v>50613.93</v>
      </c>
      <c r="P47" s="2">
        <f t="shared" si="1"/>
        <v>2093363.57497</v>
      </c>
      <c r="Q47" s="2"/>
      <c r="R47" s="14">
        <v>8.9289999999999994E-2</v>
      </c>
      <c r="S47" s="3">
        <f t="shared" si="27"/>
        <v>9598.3520657498993</v>
      </c>
      <c r="T47" s="3">
        <f t="shared" si="27"/>
        <v>7318.5969597213998</v>
      </c>
      <c r="U47" s="3">
        <f t="shared" si="27"/>
        <v>5146.0193184999998</v>
      </c>
      <c r="V47" s="3">
        <f t="shared" si="27"/>
        <v>3147.1376624999998</v>
      </c>
      <c r="W47" s="3">
        <f t="shared" si="27"/>
        <v>2332.638747</v>
      </c>
      <c r="X47" s="3">
        <f t="shared" si="27"/>
        <v>9900.1314334999988</v>
      </c>
      <c r="Y47" s="3">
        <f t="shared" si="27"/>
        <v>51475.207298499998</v>
      </c>
      <c r="Z47" s="3">
        <f t="shared" si="27"/>
        <v>66516.551569799994</v>
      </c>
      <c r="AA47" s="3">
        <f t="shared" si="27"/>
        <v>22427.737193999998</v>
      </c>
      <c r="AB47" s="3">
        <f t="shared" si="27"/>
        <v>2239.6414261999998</v>
      </c>
      <c r="AC47" s="24">
        <f t="shared" si="27"/>
        <v>2295.1021238999997</v>
      </c>
      <c r="AD47" s="24">
        <f t="shared" si="27"/>
        <v>4519.3178097</v>
      </c>
      <c r="AE47" s="3">
        <f t="shared" si="2"/>
        <v>186916.43360907125</v>
      </c>
    </row>
    <row r="48" spans="1:35" x14ac:dyDescent="0.3">
      <c r="B48" t="s">
        <v>20</v>
      </c>
      <c r="D48" s="2">
        <f t="shared" ref="D48:O48" si="28">S48/$R48</f>
        <v>0</v>
      </c>
      <c r="E48" s="2">
        <f t="shared" si="28"/>
        <v>0</v>
      </c>
      <c r="F48" s="2">
        <f t="shared" si="28"/>
        <v>0</v>
      </c>
      <c r="G48" s="2">
        <f t="shared" si="28"/>
        <v>0</v>
      </c>
      <c r="H48" s="2">
        <f t="shared" si="28"/>
        <v>0</v>
      </c>
      <c r="I48" s="2">
        <f t="shared" si="28"/>
        <v>0</v>
      </c>
      <c r="J48" s="2">
        <f t="shared" si="28"/>
        <v>0</v>
      </c>
      <c r="K48" s="2">
        <f t="shared" si="28"/>
        <v>0</v>
      </c>
      <c r="L48" s="2">
        <f t="shared" si="28"/>
        <v>0</v>
      </c>
      <c r="M48" s="2">
        <f t="shared" si="28"/>
        <v>0</v>
      </c>
      <c r="N48" s="19">
        <f t="shared" si="28"/>
        <v>0</v>
      </c>
      <c r="O48" s="19">
        <f t="shared" si="28"/>
        <v>0</v>
      </c>
      <c r="P48" s="2">
        <f t="shared" si="1"/>
        <v>0</v>
      </c>
      <c r="Q48" s="2"/>
      <c r="R48" s="13">
        <v>0.25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11">
        <v>0</v>
      </c>
      <c r="AD48" s="11">
        <v>0</v>
      </c>
      <c r="AE48" s="3">
        <f t="shared" si="2"/>
        <v>0</v>
      </c>
    </row>
    <row r="49" spans="1:32" x14ac:dyDescent="0.3">
      <c r="A49" t="s">
        <v>32</v>
      </c>
      <c r="D49" s="5">
        <v>1133746.5856000001</v>
      </c>
      <c r="E49" s="5">
        <v>1035567.60075</v>
      </c>
      <c r="F49" s="5">
        <v>1026604.6412900001</v>
      </c>
      <c r="G49" s="5">
        <v>1044676.3414100001</v>
      </c>
      <c r="H49" s="5">
        <v>1039567.4132199999</v>
      </c>
      <c r="I49" s="5">
        <v>1036339.45091</v>
      </c>
      <c r="J49" s="5">
        <v>1073266.5506399998</v>
      </c>
      <c r="K49" s="5">
        <v>1000962.72603</v>
      </c>
      <c r="L49" s="5">
        <v>927203.37058999995</v>
      </c>
      <c r="M49" s="5">
        <v>1077151.07384</v>
      </c>
      <c r="N49" s="10">
        <v>993627.72713999997</v>
      </c>
      <c r="O49" s="10">
        <v>1047305.5267100001</v>
      </c>
      <c r="P49" s="2">
        <f t="shared" si="1"/>
        <v>12436019.008129999</v>
      </c>
      <c r="Q49" s="2"/>
      <c r="R49" s="13"/>
      <c r="S49" s="4">
        <v>302237.24</v>
      </c>
      <c r="T49" s="4">
        <v>308291.89</v>
      </c>
      <c r="U49" s="4">
        <v>307462.62</v>
      </c>
      <c r="V49" s="4">
        <v>303517.71999999997</v>
      </c>
      <c r="W49" s="4">
        <v>305250.77</v>
      </c>
      <c r="X49" s="4">
        <v>306758.16000000003</v>
      </c>
      <c r="Y49" s="4">
        <v>306345.23</v>
      </c>
      <c r="Z49" s="4">
        <v>306059.17000000004</v>
      </c>
      <c r="AA49" s="4">
        <v>272129.44</v>
      </c>
      <c r="AB49" s="4">
        <v>341216.33000000007</v>
      </c>
      <c r="AC49" s="11">
        <v>304884.21999999997</v>
      </c>
      <c r="AD49" s="11">
        <v>309140.86999999994</v>
      </c>
      <c r="AE49" s="3">
        <f t="shared" si="2"/>
        <v>3673293.66</v>
      </c>
    </row>
    <row r="51" spans="1:32" x14ac:dyDescent="0.3">
      <c r="A51" t="s">
        <v>34</v>
      </c>
      <c r="B51" t="s">
        <v>26</v>
      </c>
      <c r="D51" s="5">
        <v>78068850</v>
      </c>
      <c r="E51" s="5">
        <v>60525810</v>
      </c>
      <c r="F51" s="5">
        <v>57928182</v>
      </c>
      <c r="G51" s="5">
        <v>49903886</v>
      </c>
      <c r="H51" s="5">
        <v>48881178</v>
      </c>
      <c r="I51" s="5">
        <v>44128668</v>
      </c>
      <c r="J51" s="5">
        <v>56161394</v>
      </c>
      <c r="K51" s="5">
        <v>53278446</v>
      </c>
      <c r="L51" s="5">
        <v>41173628</v>
      </c>
      <c r="M51" s="5">
        <v>48398149</v>
      </c>
      <c r="N51" s="10">
        <v>59707277</v>
      </c>
      <c r="O51" s="10">
        <v>74576888</v>
      </c>
      <c r="P51" s="2">
        <f t="shared" si="1"/>
        <v>672732356</v>
      </c>
      <c r="Q51" s="2"/>
      <c r="S51" s="3">
        <f t="shared" ref="S51:AD51" si="29">SUM(S4:S5)/SUM(D4:D5)*D51</f>
        <v>7731889.4851298518</v>
      </c>
      <c r="T51" s="3">
        <f t="shared" si="29"/>
        <v>5949678.3904490601</v>
      </c>
      <c r="U51" s="3">
        <f t="shared" si="29"/>
        <v>5659917.2510333816</v>
      </c>
      <c r="V51" s="3">
        <f t="shared" si="29"/>
        <v>4838975.1344126379</v>
      </c>
      <c r="W51" s="3">
        <f t="shared" si="29"/>
        <v>4705118.8145009801</v>
      </c>
      <c r="X51" s="3">
        <f t="shared" si="29"/>
        <v>4224931.9700545836</v>
      </c>
      <c r="Y51" s="3">
        <f t="shared" si="29"/>
        <v>5423019.4930019239</v>
      </c>
      <c r="Z51" s="3">
        <f t="shared" si="29"/>
        <v>5158238.8046611315</v>
      </c>
      <c r="AA51" s="3">
        <f t="shared" si="29"/>
        <v>3961053.74386534</v>
      </c>
      <c r="AB51" s="3">
        <f t="shared" si="29"/>
        <v>4639963.713594242</v>
      </c>
      <c r="AC51" s="24">
        <f t="shared" si="29"/>
        <v>5789655.0914685102</v>
      </c>
      <c r="AD51" s="24">
        <f t="shared" si="29"/>
        <v>7310268.8238590453</v>
      </c>
      <c r="AE51" s="3">
        <f t="shared" ref="AE51:AE78" si="30">SUM(S51:AD51)</f>
        <v>65392710.716030695</v>
      </c>
      <c r="AF51" t="s">
        <v>30</v>
      </c>
    </row>
    <row r="52" spans="1:32" x14ac:dyDescent="0.3">
      <c r="B52" t="s">
        <v>27</v>
      </c>
      <c r="D52" s="5">
        <v>-80729119</v>
      </c>
      <c r="E52" s="5">
        <v>-78068850</v>
      </c>
      <c r="F52" s="5">
        <v>-60525810</v>
      </c>
      <c r="G52" s="5">
        <v>-57928182</v>
      </c>
      <c r="H52" s="5">
        <v>-49903886</v>
      </c>
      <c r="I52" s="5">
        <v>-48881178</v>
      </c>
      <c r="J52" s="5">
        <v>-44128668</v>
      </c>
      <c r="K52" s="5">
        <v>-56161394</v>
      </c>
      <c r="L52" s="5">
        <v>-53278446</v>
      </c>
      <c r="M52" s="5">
        <v>-41173628</v>
      </c>
      <c r="N52" s="10">
        <v>-48398149</v>
      </c>
      <c r="O52" s="10">
        <v>-59707277</v>
      </c>
      <c r="P52" s="2">
        <f t="shared" si="1"/>
        <v>-678884587</v>
      </c>
      <c r="Q52" s="2"/>
      <c r="S52" s="3">
        <f>SUM(S4:S5)/SUM(D4:D5)*D52</f>
        <v>-7995360.842895681</v>
      </c>
      <c r="T52" s="3">
        <f>-S51</f>
        <v>-7731889.4851298518</v>
      </c>
      <c r="U52" s="3">
        <f t="shared" ref="U52:AD52" si="31">-T51</f>
        <v>-5949678.3904490601</v>
      </c>
      <c r="V52" s="3">
        <f t="shared" si="31"/>
        <v>-5659917.2510333816</v>
      </c>
      <c r="W52" s="3">
        <f t="shared" si="31"/>
        <v>-4838975.1344126379</v>
      </c>
      <c r="X52" s="3">
        <f t="shared" si="31"/>
        <v>-4705118.8145009801</v>
      </c>
      <c r="Y52" s="3">
        <f t="shared" si="31"/>
        <v>-4224931.9700545836</v>
      </c>
      <c r="Z52" s="3">
        <f t="shared" si="31"/>
        <v>-5423019.4930019239</v>
      </c>
      <c r="AA52" s="3">
        <f t="shared" si="31"/>
        <v>-5158238.8046611315</v>
      </c>
      <c r="AB52" s="3">
        <f t="shared" si="31"/>
        <v>-3961053.74386534</v>
      </c>
      <c r="AC52" s="24">
        <f t="shared" si="31"/>
        <v>-4639963.713594242</v>
      </c>
      <c r="AD52" s="24">
        <f t="shared" si="31"/>
        <v>-5789655.0914685102</v>
      </c>
      <c r="AE52" s="3">
        <f t="shared" si="30"/>
        <v>-66077802.73506733</v>
      </c>
      <c r="AF52" t="s">
        <v>31</v>
      </c>
    </row>
    <row r="53" spans="1:32" x14ac:dyDescent="0.3">
      <c r="B53" t="s">
        <v>25</v>
      </c>
      <c r="D53" s="6">
        <f>D51+D52</f>
        <v>-2660269</v>
      </c>
      <c r="E53" s="6">
        <f t="shared" ref="E53:O53" si="32">E51+E52</f>
        <v>-17543040</v>
      </c>
      <c r="F53" s="6">
        <f t="shared" si="32"/>
        <v>-2597628</v>
      </c>
      <c r="G53" s="6">
        <f t="shared" si="32"/>
        <v>-8024296</v>
      </c>
      <c r="H53" s="6">
        <f t="shared" si="32"/>
        <v>-1022708</v>
      </c>
      <c r="I53" s="6">
        <f t="shared" si="32"/>
        <v>-4752510</v>
      </c>
      <c r="J53" s="6">
        <f t="shared" si="32"/>
        <v>12032726</v>
      </c>
      <c r="K53" s="6">
        <f t="shared" si="32"/>
        <v>-2882948</v>
      </c>
      <c r="L53" s="6">
        <f t="shared" si="32"/>
        <v>-12104818</v>
      </c>
      <c r="M53" s="6">
        <f t="shared" si="32"/>
        <v>7224521</v>
      </c>
      <c r="N53" s="20">
        <f t="shared" si="32"/>
        <v>11309128</v>
      </c>
      <c r="O53" s="20">
        <f t="shared" si="32"/>
        <v>14869611</v>
      </c>
      <c r="P53" s="2">
        <f t="shared" si="1"/>
        <v>-6152231</v>
      </c>
      <c r="Q53" s="2"/>
      <c r="R53" s="14">
        <f>ROUND(SUM(AE4:AE5)/SUM(P4:P5),5)</f>
        <v>9.7269999999999995E-2</v>
      </c>
      <c r="S53" s="3">
        <f t="shared" ref="S53:AD53" si="33">$R53*D53</f>
        <v>-258764.36562999999</v>
      </c>
      <c r="T53" s="3">
        <f t="shared" si="33"/>
        <v>-1706411.5007999998</v>
      </c>
      <c r="U53" s="3">
        <f t="shared" si="33"/>
        <v>-252671.27555999998</v>
      </c>
      <c r="V53" s="3">
        <f t="shared" si="33"/>
        <v>-780523.27191999997</v>
      </c>
      <c r="W53" s="3">
        <f t="shared" si="33"/>
        <v>-99478.807159999997</v>
      </c>
      <c r="X53" s="3">
        <f t="shared" si="33"/>
        <v>-462276.64769999997</v>
      </c>
      <c r="Y53" s="3">
        <f t="shared" si="33"/>
        <v>1170423.2580199998</v>
      </c>
      <c r="Z53" s="3">
        <f t="shared" si="33"/>
        <v>-280424.35196</v>
      </c>
      <c r="AA53" s="3">
        <f t="shared" si="33"/>
        <v>-1177435.64686</v>
      </c>
      <c r="AB53" s="3">
        <f t="shared" si="33"/>
        <v>702729.15766999999</v>
      </c>
      <c r="AC53" s="24">
        <f t="shared" si="33"/>
        <v>1100038.88056</v>
      </c>
      <c r="AD53" s="24">
        <f t="shared" si="33"/>
        <v>1446367.0619699999</v>
      </c>
      <c r="AE53" s="3">
        <f t="shared" si="30"/>
        <v>-598427.50937000033</v>
      </c>
      <c r="AF53" t="s">
        <v>33</v>
      </c>
    </row>
    <row r="54" spans="1:32" x14ac:dyDescent="0.3">
      <c r="A54" t="s">
        <v>36</v>
      </c>
      <c r="B54" t="s">
        <v>26</v>
      </c>
      <c r="D54" s="5">
        <v>18507532</v>
      </c>
      <c r="E54" s="5">
        <v>15607081</v>
      </c>
      <c r="F54" s="5">
        <v>15730497</v>
      </c>
      <c r="G54" s="5">
        <v>14250270</v>
      </c>
      <c r="H54" s="5">
        <v>15100328</v>
      </c>
      <c r="I54" s="5">
        <v>15042566</v>
      </c>
      <c r="J54" s="5">
        <v>18080058</v>
      </c>
      <c r="K54" s="5">
        <v>17418609</v>
      </c>
      <c r="L54" s="5">
        <v>14025880</v>
      </c>
      <c r="M54" s="5">
        <v>16002128</v>
      </c>
      <c r="N54" s="10">
        <v>17092803</v>
      </c>
      <c r="O54" s="10">
        <v>19532972</v>
      </c>
      <c r="P54" s="2">
        <f t="shared" si="1"/>
        <v>196390724</v>
      </c>
      <c r="Q54" s="2"/>
      <c r="S54" s="3">
        <f t="shared" ref="S54:AD54" si="34">SUM(S7:S8)/SUM(D7:D8)*D54</f>
        <v>1782816.9973781866</v>
      </c>
      <c r="T54" s="3">
        <f t="shared" si="34"/>
        <v>1518017.1515915233</v>
      </c>
      <c r="U54" s="3">
        <f t="shared" si="34"/>
        <v>1543523.02097683</v>
      </c>
      <c r="V54" s="3">
        <f t="shared" si="34"/>
        <v>1409405.296599526</v>
      </c>
      <c r="W54" s="3">
        <f t="shared" si="34"/>
        <v>1495765.4766276495</v>
      </c>
      <c r="X54" s="3">
        <f t="shared" si="34"/>
        <v>1481042.470998209</v>
      </c>
      <c r="Y54" s="3">
        <f t="shared" si="34"/>
        <v>1762823.1015515961</v>
      </c>
      <c r="Z54" s="3">
        <f t="shared" si="34"/>
        <v>1688842.1117470474</v>
      </c>
      <c r="AA54" s="3">
        <f t="shared" si="34"/>
        <v>1368080.216378307</v>
      </c>
      <c r="AB54" s="3">
        <f t="shared" si="34"/>
        <v>1578666.9653960734</v>
      </c>
      <c r="AC54" s="24">
        <f t="shared" si="34"/>
        <v>1684851.3172244139</v>
      </c>
      <c r="AD54" s="24">
        <f t="shared" si="34"/>
        <v>1906243.5343164552</v>
      </c>
      <c r="AE54" s="3">
        <f t="shared" si="30"/>
        <v>19220077.660785817</v>
      </c>
      <c r="AF54" t="s">
        <v>30</v>
      </c>
    </row>
    <row r="55" spans="1:32" x14ac:dyDescent="0.3">
      <c r="B55" t="s">
        <v>27</v>
      </c>
      <c r="D55" s="5">
        <v>-20508650</v>
      </c>
      <c r="E55" s="5">
        <v>-18507532</v>
      </c>
      <c r="F55" s="5">
        <v>-15607081</v>
      </c>
      <c r="G55" s="5">
        <v>-15730497</v>
      </c>
      <c r="H55" s="5">
        <v>-14250270</v>
      </c>
      <c r="I55" s="5">
        <v>-15100328</v>
      </c>
      <c r="J55" s="5">
        <v>-15042566</v>
      </c>
      <c r="K55" s="5">
        <v>-18080058</v>
      </c>
      <c r="L55" s="5">
        <v>-17418609</v>
      </c>
      <c r="M55" s="5">
        <v>-14025880</v>
      </c>
      <c r="N55" s="10">
        <v>-16002128</v>
      </c>
      <c r="O55" s="10">
        <v>-17092803</v>
      </c>
      <c r="P55" s="2">
        <f t="shared" si="1"/>
        <v>-197366402</v>
      </c>
      <c r="Q55" s="2"/>
      <c r="S55" s="3">
        <f>SUM(S7:S8)/SUM(D7:D8)*D55</f>
        <v>-1975583.228130047</v>
      </c>
      <c r="T55" s="3">
        <f>-S54</f>
        <v>-1782816.9973781866</v>
      </c>
      <c r="U55" s="3">
        <f t="shared" ref="U55:AD55" si="35">-T54</f>
        <v>-1518017.1515915233</v>
      </c>
      <c r="V55" s="3">
        <f t="shared" si="35"/>
        <v>-1543523.02097683</v>
      </c>
      <c r="W55" s="3">
        <f t="shared" si="35"/>
        <v>-1409405.296599526</v>
      </c>
      <c r="X55" s="3">
        <f t="shared" si="35"/>
        <v>-1495765.4766276495</v>
      </c>
      <c r="Y55" s="3">
        <f t="shared" si="35"/>
        <v>-1481042.470998209</v>
      </c>
      <c r="Z55" s="3">
        <f t="shared" si="35"/>
        <v>-1762823.1015515961</v>
      </c>
      <c r="AA55" s="3">
        <f t="shared" si="35"/>
        <v>-1688842.1117470474</v>
      </c>
      <c r="AB55" s="3">
        <f t="shared" si="35"/>
        <v>-1368080.216378307</v>
      </c>
      <c r="AC55" s="24">
        <f t="shared" si="35"/>
        <v>-1578666.9653960734</v>
      </c>
      <c r="AD55" s="24">
        <f t="shared" si="35"/>
        <v>-1684851.3172244139</v>
      </c>
      <c r="AE55" s="3">
        <f t="shared" si="30"/>
        <v>-19289417.354599409</v>
      </c>
      <c r="AF55" t="s">
        <v>31</v>
      </c>
    </row>
    <row r="56" spans="1:32" x14ac:dyDescent="0.3">
      <c r="B56" t="s">
        <v>25</v>
      </c>
      <c r="D56" s="6">
        <f>D54+D55</f>
        <v>-2001118</v>
      </c>
      <c r="E56" s="6">
        <f t="shared" ref="E56:O56" si="36">E54+E55</f>
        <v>-2900451</v>
      </c>
      <c r="F56" s="6">
        <f t="shared" si="36"/>
        <v>123416</v>
      </c>
      <c r="G56" s="6">
        <f t="shared" si="36"/>
        <v>-1480227</v>
      </c>
      <c r="H56" s="6">
        <f t="shared" si="36"/>
        <v>850058</v>
      </c>
      <c r="I56" s="6">
        <f t="shared" si="36"/>
        <v>-57762</v>
      </c>
      <c r="J56" s="6">
        <f t="shared" si="36"/>
        <v>3037492</v>
      </c>
      <c r="K56" s="6">
        <f t="shared" si="36"/>
        <v>-661449</v>
      </c>
      <c r="L56" s="6">
        <f t="shared" si="36"/>
        <v>-3392729</v>
      </c>
      <c r="M56" s="6">
        <f t="shared" si="36"/>
        <v>1976248</v>
      </c>
      <c r="N56" s="20">
        <f t="shared" si="36"/>
        <v>1090675</v>
      </c>
      <c r="O56" s="20">
        <f t="shared" si="36"/>
        <v>2440169</v>
      </c>
      <c r="P56" s="2">
        <f t="shared" si="1"/>
        <v>-975678</v>
      </c>
      <c r="Q56" s="2"/>
      <c r="R56" s="14">
        <f>ROUND(SUM(AE7:AE8)/SUM(P7:P8),5)</f>
        <v>9.783E-2</v>
      </c>
      <c r="S56" s="3">
        <f t="shared" ref="S56:AD56" si="37">$R56*D56</f>
        <v>-195769.37393999999</v>
      </c>
      <c r="T56" s="3">
        <f t="shared" si="37"/>
        <v>-283751.12132999999</v>
      </c>
      <c r="U56" s="3">
        <f t="shared" si="37"/>
        <v>12073.78728</v>
      </c>
      <c r="V56" s="3">
        <f t="shared" si="37"/>
        <v>-144810.60741</v>
      </c>
      <c r="W56" s="3">
        <f t="shared" si="37"/>
        <v>83161.174140000003</v>
      </c>
      <c r="X56" s="3">
        <f t="shared" si="37"/>
        <v>-5650.85646</v>
      </c>
      <c r="Y56" s="3">
        <f t="shared" si="37"/>
        <v>297157.84236000001</v>
      </c>
      <c r="Z56" s="3">
        <f t="shared" si="37"/>
        <v>-64709.555670000002</v>
      </c>
      <c r="AA56" s="3">
        <f t="shared" si="37"/>
        <v>-331910.67807000002</v>
      </c>
      <c r="AB56" s="3">
        <f t="shared" si="37"/>
        <v>193336.34184000001</v>
      </c>
      <c r="AC56" s="24">
        <f t="shared" si="37"/>
        <v>106700.73525</v>
      </c>
      <c r="AD56" s="24">
        <f t="shared" si="37"/>
        <v>238721.73327</v>
      </c>
      <c r="AE56" s="3">
        <f t="shared" si="30"/>
        <v>-95450.578739999997</v>
      </c>
      <c r="AF56" t="s">
        <v>33</v>
      </c>
    </row>
    <row r="57" spans="1:32" x14ac:dyDescent="0.3">
      <c r="A57" t="s">
        <v>37</v>
      </c>
      <c r="B57" t="s">
        <v>26</v>
      </c>
      <c r="D57" s="5">
        <v>1803700</v>
      </c>
      <c r="E57" s="5">
        <v>1451072</v>
      </c>
      <c r="F57" s="5">
        <v>1342086</v>
      </c>
      <c r="G57" s="5">
        <v>1117668</v>
      </c>
      <c r="H57" s="5">
        <v>1068283</v>
      </c>
      <c r="I57" s="5">
        <v>941944</v>
      </c>
      <c r="J57" s="5">
        <v>1097840</v>
      </c>
      <c r="K57" s="5">
        <v>1056706</v>
      </c>
      <c r="L57" s="5">
        <v>904012</v>
      </c>
      <c r="M57" s="5">
        <v>1115026</v>
      </c>
      <c r="N57" s="10">
        <v>1376827</v>
      </c>
      <c r="O57" s="10">
        <v>1718902</v>
      </c>
      <c r="P57" s="2">
        <f t="shared" si="1"/>
        <v>14994066</v>
      </c>
      <c r="Q57" s="2"/>
      <c r="S57" s="3">
        <f t="shared" ref="S57:AD57" si="38">SUM(S12:S13)/SUM(D12:D13)*D57</f>
        <v>183087.91218700717</v>
      </c>
      <c r="T57" s="3">
        <f t="shared" si="38"/>
        <v>147418.59892197736</v>
      </c>
      <c r="U57" s="3">
        <f t="shared" si="38"/>
        <v>137223.4495108361</v>
      </c>
      <c r="V57" s="3">
        <f t="shared" si="38"/>
        <v>114608.88853504222</v>
      </c>
      <c r="W57" s="3">
        <f t="shared" si="38"/>
        <v>110112.95316416939</v>
      </c>
      <c r="X57" s="3">
        <f t="shared" si="38"/>
        <v>97767.826879387881</v>
      </c>
      <c r="Y57" s="3">
        <f t="shared" si="38"/>
        <v>113840.23516701808</v>
      </c>
      <c r="Z57" s="3">
        <f t="shared" si="38"/>
        <v>108580.44242401871</v>
      </c>
      <c r="AA57" s="3">
        <f t="shared" si="38"/>
        <v>92003.062308570836</v>
      </c>
      <c r="AB57" s="3">
        <f t="shared" si="38"/>
        <v>113715.23775784479</v>
      </c>
      <c r="AC57" s="24">
        <f t="shared" si="38"/>
        <v>140668.10418973363</v>
      </c>
      <c r="AD57" s="24">
        <f t="shared" si="38"/>
        <v>175458.77512242275</v>
      </c>
      <c r="AE57" s="3">
        <f t="shared" si="30"/>
        <v>1534485.4861680288</v>
      </c>
      <c r="AF57" t="s">
        <v>30</v>
      </c>
    </row>
    <row r="58" spans="1:32" x14ac:dyDescent="0.3">
      <c r="B58" t="s">
        <v>27</v>
      </c>
      <c r="D58" s="5">
        <v>-1810825</v>
      </c>
      <c r="E58" s="5">
        <v>-1803700</v>
      </c>
      <c r="F58" s="5">
        <v>-1451072</v>
      </c>
      <c r="G58" s="5">
        <v>-1342086</v>
      </c>
      <c r="H58" s="5">
        <v>-1117668</v>
      </c>
      <c r="I58" s="5">
        <v>-1068283</v>
      </c>
      <c r="J58" s="5">
        <v>-941944</v>
      </c>
      <c r="K58" s="5">
        <v>-1097840</v>
      </c>
      <c r="L58" s="5">
        <v>-1056706</v>
      </c>
      <c r="M58" s="5">
        <v>-904012</v>
      </c>
      <c r="N58" s="10">
        <v>-1115026</v>
      </c>
      <c r="O58" s="10">
        <v>-1376827</v>
      </c>
      <c r="P58" s="2">
        <f t="shared" si="1"/>
        <v>-15085989</v>
      </c>
      <c r="Q58" s="2"/>
      <c r="S58" s="3">
        <f>SUM(S12:S13)/SUM(D12:D13)*D58</f>
        <v>-183811.14852028454</v>
      </c>
      <c r="T58" s="3">
        <f>-S57</f>
        <v>-183087.91218700717</v>
      </c>
      <c r="U58" s="3">
        <f t="shared" ref="U58:AD58" si="39">-T57</f>
        <v>-147418.59892197736</v>
      </c>
      <c r="V58" s="3">
        <f t="shared" si="39"/>
        <v>-137223.4495108361</v>
      </c>
      <c r="W58" s="3">
        <f t="shared" si="39"/>
        <v>-114608.88853504222</v>
      </c>
      <c r="X58" s="3">
        <f t="shared" si="39"/>
        <v>-110112.95316416939</v>
      </c>
      <c r="Y58" s="3">
        <f t="shared" si="39"/>
        <v>-97767.826879387881</v>
      </c>
      <c r="Z58" s="3">
        <f t="shared" si="39"/>
        <v>-113840.23516701808</v>
      </c>
      <c r="AA58" s="3">
        <f t="shared" si="39"/>
        <v>-108580.44242401871</v>
      </c>
      <c r="AB58" s="3">
        <f t="shared" si="39"/>
        <v>-92003.062308570836</v>
      </c>
      <c r="AC58" s="24">
        <f t="shared" si="39"/>
        <v>-113715.23775784479</v>
      </c>
      <c r="AD58" s="24">
        <f t="shared" si="39"/>
        <v>-140668.10418973363</v>
      </c>
      <c r="AE58" s="3">
        <f t="shared" si="30"/>
        <v>-1542837.8595658904</v>
      </c>
      <c r="AF58" t="s">
        <v>31</v>
      </c>
    </row>
    <row r="59" spans="1:32" x14ac:dyDescent="0.3">
      <c r="B59" t="s">
        <v>25</v>
      </c>
      <c r="D59" s="6">
        <f>D57+D58</f>
        <v>-7125</v>
      </c>
      <c r="E59" s="6">
        <f t="shared" ref="E59:O59" si="40">E57+E58</f>
        <v>-352628</v>
      </c>
      <c r="F59" s="6">
        <f t="shared" si="40"/>
        <v>-108986</v>
      </c>
      <c r="G59" s="6">
        <f t="shared" si="40"/>
        <v>-224418</v>
      </c>
      <c r="H59" s="6">
        <f t="shared" si="40"/>
        <v>-49385</v>
      </c>
      <c r="I59" s="6">
        <f t="shared" si="40"/>
        <v>-126339</v>
      </c>
      <c r="J59" s="6">
        <f t="shared" si="40"/>
        <v>155896</v>
      </c>
      <c r="K59" s="6">
        <f t="shared" si="40"/>
        <v>-41134</v>
      </c>
      <c r="L59" s="6">
        <f t="shared" si="40"/>
        <v>-152694</v>
      </c>
      <c r="M59" s="6">
        <f t="shared" si="40"/>
        <v>211014</v>
      </c>
      <c r="N59" s="20">
        <f t="shared" si="40"/>
        <v>261801</v>
      </c>
      <c r="O59" s="20">
        <f t="shared" si="40"/>
        <v>342075</v>
      </c>
      <c r="P59" s="2">
        <f t="shared" si="1"/>
        <v>-91923</v>
      </c>
      <c r="Q59" s="2"/>
      <c r="R59" s="14">
        <f>ROUND(SUM(AE12:AE13)/SUM(P12:P13),5)</f>
        <v>0.10229000000000001</v>
      </c>
      <c r="S59" s="3">
        <f t="shared" ref="S59:AD59" si="41">$R59*D59</f>
        <v>-728.81625000000008</v>
      </c>
      <c r="T59" s="3">
        <f t="shared" si="41"/>
        <v>-36070.318120000004</v>
      </c>
      <c r="U59" s="3">
        <f t="shared" si="41"/>
        <v>-11148.177940000001</v>
      </c>
      <c r="V59" s="3">
        <f t="shared" si="41"/>
        <v>-22955.717220000002</v>
      </c>
      <c r="W59" s="3">
        <f t="shared" si="41"/>
        <v>-5051.5916500000003</v>
      </c>
      <c r="X59" s="3">
        <f t="shared" si="41"/>
        <v>-12923.216310000002</v>
      </c>
      <c r="Y59" s="3">
        <f t="shared" si="41"/>
        <v>15946.601840000001</v>
      </c>
      <c r="Z59" s="3">
        <f t="shared" si="41"/>
        <v>-4207.5968600000006</v>
      </c>
      <c r="AA59" s="3">
        <f t="shared" si="41"/>
        <v>-15619.06926</v>
      </c>
      <c r="AB59" s="3">
        <f t="shared" si="41"/>
        <v>21584.622060000002</v>
      </c>
      <c r="AC59" s="24">
        <f t="shared" si="41"/>
        <v>26779.62429</v>
      </c>
      <c r="AD59" s="24">
        <f t="shared" si="41"/>
        <v>34990.851750000002</v>
      </c>
      <c r="AE59" s="3">
        <f t="shared" si="30"/>
        <v>-9402.8036700000303</v>
      </c>
      <c r="AF59" t="s">
        <v>33</v>
      </c>
    </row>
    <row r="60" spans="1:32" x14ac:dyDescent="0.3">
      <c r="A60" t="s">
        <v>38</v>
      </c>
      <c r="B60" t="s">
        <v>26</v>
      </c>
      <c r="D60" s="5">
        <v>29839475</v>
      </c>
      <c r="E60" s="5">
        <v>25925813</v>
      </c>
      <c r="F60" s="5">
        <v>28027752</v>
      </c>
      <c r="G60" s="5">
        <v>26181378</v>
      </c>
      <c r="H60" s="5">
        <v>30316146</v>
      </c>
      <c r="I60" s="5">
        <f>26859687+3539427</f>
        <v>30399114</v>
      </c>
      <c r="J60" s="5">
        <v>34376125</v>
      </c>
      <c r="K60" s="5">
        <v>32212496</v>
      </c>
      <c r="L60" s="5">
        <v>26490285</v>
      </c>
      <c r="M60" s="5">
        <v>33179553</v>
      </c>
      <c r="N60" s="10">
        <v>31969250</v>
      </c>
      <c r="O60" s="10">
        <v>33127921</v>
      </c>
      <c r="P60" s="2">
        <f t="shared" si="1"/>
        <v>362045308</v>
      </c>
      <c r="Q60" s="2"/>
      <c r="S60" s="3">
        <f t="shared" ref="S60:AD60" si="42">SUM(S17:S18)/SUM(D17:D18)*D60</f>
        <v>2050293.6970884234</v>
      </c>
      <c r="T60" s="3">
        <f t="shared" si="42"/>
        <v>1782560.4390296927</v>
      </c>
      <c r="U60" s="3">
        <f t="shared" si="42"/>
        <v>1928046.8140314643</v>
      </c>
      <c r="V60" s="3">
        <f t="shared" si="42"/>
        <v>1803999.3577186677</v>
      </c>
      <c r="W60" s="3">
        <f t="shared" si="42"/>
        <v>2082256.537492824</v>
      </c>
      <c r="X60" s="3">
        <f t="shared" si="42"/>
        <v>2092534.3434756615</v>
      </c>
      <c r="Y60" s="3">
        <f t="shared" si="42"/>
        <v>2366661.9531305856</v>
      </c>
      <c r="Z60" s="3">
        <f t="shared" si="42"/>
        <v>2214700.5267096427</v>
      </c>
      <c r="AA60" s="3">
        <f t="shared" si="42"/>
        <v>1823365.3107038941</v>
      </c>
      <c r="AB60" s="3">
        <f t="shared" si="42"/>
        <v>2278036.4101704345</v>
      </c>
      <c r="AC60" s="24">
        <f t="shared" si="42"/>
        <v>2199125.6011868417</v>
      </c>
      <c r="AD60" s="24">
        <f t="shared" si="42"/>
        <v>2282556.5380942505</v>
      </c>
      <c r="AE60" s="3">
        <f t="shared" si="30"/>
        <v>24904137.528832383</v>
      </c>
      <c r="AF60" t="s">
        <v>30</v>
      </c>
    </row>
    <row r="61" spans="1:32" x14ac:dyDescent="0.3">
      <c r="B61" t="s">
        <v>27</v>
      </c>
      <c r="D61" s="5">
        <v>-36469180</v>
      </c>
      <c r="E61" s="5">
        <v>-29839475</v>
      </c>
      <c r="F61" s="5">
        <v>-25925813</v>
      </c>
      <c r="G61" s="5">
        <v>-28027752</v>
      </c>
      <c r="H61" s="5">
        <v>-26181378</v>
      </c>
      <c r="I61" s="5">
        <v>-30316146</v>
      </c>
      <c r="J61" s="5">
        <f>-26859687-3539427</f>
        <v>-30399114</v>
      </c>
      <c r="K61" s="5">
        <v>-34376125</v>
      </c>
      <c r="L61" s="5">
        <v>-32212496</v>
      </c>
      <c r="M61" s="5">
        <v>-26490285</v>
      </c>
      <c r="N61" s="10">
        <v>-33179553</v>
      </c>
      <c r="O61" s="10">
        <v>-31969250</v>
      </c>
      <c r="P61" s="2">
        <f t="shared" ref="P61:P78" si="43">SUM(D61:O61)</f>
        <v>-365386567</v>
      </c>
      <c r="Q61" s="2"/>
      <c r="S61" s="3">
        <f>SUM(S17:S18)/SUM(D17:D18)*D61</f>
        <v>-2505825.919925977</v>
      </c>
      <c r="T61" s="3">
        <f>-S60</f>
        <v>-2050293.6970884234</v>
      </c>
      <c r="U61" s="3">
        <f t="shared" ref="U61:AD61" si="44">-T60</f>
        <v>-1782560.4390296927</v>
      </c>
      <c r="V61" s="3">
        <f t="shared" si="44"/>
        <v>-1928046.8140314643</v>
      </c>
      <c r="W61" s="3">
        <f t="shared" si="44"/>
        <v>-1803999.3577186677</v>
      </c>
      <c r="X61" s="3">
        <f t="shared" si="44"/>
        <v>-2082256.537492824</v>
      </c>
      <c r="Y61" s="3">
        <f t="shared" si="44"/>
        <v>-2092534.3434756615</v>
      </c>
      <c r="Z61" s="3">
        <f t="shared" si="44"/>
        <v>-2366661.9531305856</v>
      </c>
      <c r="AA61" s="3">
        <f t="shared" si="44"/>
        <v>-2214700.5267096427</v>
      </c>
      <c r="AB61" s="3">
        <f t="shared" si="44"/>
        <v>-1823365.3107038941</v>
      </c>
      <c r="AC61" s="24">
        <f t="shared" si="44"/>
        <v>-2278036.4101704345</v>
      </c>
      <c r="AD61" s="24">
        <f t="shared" si="44"/>
        <v>-2199125.6011868417</v>
      </c>
      <c r="AE61" s="3">
        <f t="shared" si="30"/>
        <v>-25127406.910664111</v>
      </c>
      <c r="AF61" t="s">
        <v>31</v>
      </c>
    </row>
    <row r="62" spans="1:32" x14ac:dyDescent="0.3">
      <c r="B62" t="s">
        <v>25</v>
      </c>
      <c r="D62" s="6">
        <f>D60+D61</f>
        <v>-6629705</v>
      </c>
      <c r="E62" s="6">
        <f t="shared" ref="E62:O62" si="45">E60+E61</f>
        <v>-3913662</v>
      </c>
      <c r="F62" s="6">
        <f t="shared" si="45"/>
        <v>2101939</v>
      </c>
      <c r="G62" s="6">
        <f t="shared" si="45"/>
        <v>-1846374</v>
      </c>
      <c r="H62" s="6">
        <f t="shared" si="45"/>
        <v>4134768</v>
      </c>
      <c r="I62" s="6">
        <f t="shared" si="45"/>
        <v>82968</v>
      </c>
      <c r="J62" s="6">
        <f t="shared" si="45"/>
        <v>3977011</v>
      </c>
      <c r="K62" s="6">
        <f t="shared" si="45"/>
        <v>-2163629</v>
      </c>
      <c r="L62" s="6">
        <f t="shared" si="45"/>
        <v>-5722211</v>
      </c>
      <c r="M62" s="6">
        <f t="shared" si="45"/>
        <v>6689268</v>
      </c>
      <c r="N62" s="20">
        <f t="shared" si="45"/>
        <v>-1210303</v>
      </c>
      <c r="O62" s="20">
        <f t="shared" si="45"/>
        <v>1158671</v>
      </c>
      <c r="P62" s="2">
        <f t="shared" si="43"/>
        <v>-3341259</v>
      </c>
      <c r="Q62" s="2"/>
      <c r="R62" s="14">
        <f>ROUND(SUM(AE17:AE18)/SUM(P17:P18),5)</f>
        <v>6.8790000000000004E-2</v>
      </c>
      <c r="S62" s="3">
        <f t="shared" ref="S62:AD62" si="46">$R62*D62</f>
        <v>-456057.40695000003</v>
      </c>
      <c r="T62" s="3">
        <f t="shared" si="46"/>
        <v>-269220.80898000003</v>
      </c>
      <c r="U62" s="3">
        <f t="shared" si="46"/>
        <v>144592.38381</v>
      </c>
      <c r="V62" s="3">
        <f t="shared" si="46"/>
        <v>-127012.06746000001</v>
      </c>
      <c r="W62" s="3">
        <f t="shared" si="46"/>
        <v>284430.69072000001</v>
      </c>
      <c r="X62" s="3">
        <f t="shared" si="46"/>
        <v>5707.3687200000004</v>
      </c>
      <c r="Y62" s="3">
        <f t="shared" si="46"/>
        <v>273578.58669000003</v>
      </c>
      <c r="Z62" s="3">
        <f t="shared" si="46"/>
        <v>-148836.03891</v>
      </c>
      <c r="AA62" s="3">
        <f t="shared" si="46"/>
        <v>-393630.89469000004</v>
      </c>
      <c r="AB62" s="3">
        <f t="shared" si="46"/>
        <v>460154.74572000001</v>
      </c>
      <c r="AC62" s="24">
        <f t="shared" si="46"/>
        <v>-83256.743370000011</v>
      </c>
      <c r="AD62" s="24">
        <f t="shared" si="46"/>
        <v>79704.978090000004</v>
      </c>
      <c r="AE62" s="3">
        <f t="shared" si="30"/>
        <v>-229845.20661000011</v>
      </c>
      <c r="AF62" t="s">
        <v>33</v>
      </c>
    </row>
    <row r="63" spans="1:32" x14ac:dyDescent="0.3">
      <c r="A63" t="s">
        <v>39</v>
      </c>
      <c r="B63" t="s">
        <v>26</v>
      </c>
      <c r="D63" s="5">
        <v>470530</v>
      </c>
      <c r="E63" s="5">
        <v>386952</v>
      </c>
      <c r="F63" s="5">
        <v>374536</v>
      </c>
      <c r="G63" s="5">
        <v>307359</v>
      </c>
      <c r="H63" s="5">
        <v>317598</v>
      </c>
      <c r="I63" s="5">
        <v>285438</v>
      </c>
      <c r="J63" s="5">
        <v>343075</v>
      </c>
      <c r="K63" s="5">
        <v>340873</v>
      </c>
      <c r="L63" s="5">
        <v>273943</v>
      </c>
      <c r="M63" s="5">
        <v>331494</v>
      </c>
      <c r="N63" s="10">
        <v>369393</v>
      </c>
      <c r="O63" s="10">
        <v>429725</v>
      </c>
      <c r="P63" s="2">
        <f t="shared" si="43"/>
        <v>4230916</v>
      </c>
      <c r="Q63" s="2"/>
      <c r="S63" s="3">
        <f t="shared" ref="S63:AD63" si="47">SUM(S23:S24)/SUM(D23:D24)*D63</f>
        <v>32348.937500000004</v>
      </c>
      <c r="T63" s="3">
        <f t="shared" si="47"/>
        <v>26602.95</v>
      </c>
      <c r="U63" s="3">
        <f t="shared" si="47"/>
        <v>25749.350000000002</v>
      </c>
      <c r="V63" s="3">
        <f t="shared" si="47"/>
        <v>21130.931250000001</v>
      </c>
      <c r="W63" s="3">
        <f t="shared" si="47"/>
        <v>21834.862500000003</v>
      </c>
      <c r="X63" s="3">
        <f t="shared" si="47"/>
        <v>19623.862500000003</v>
      </c>
      <c r="Y63" s="3">
        <f t="shared" si="47"/>
        <v>23586.406250000004</v>
      </c>
      <c r="Z63" s="3">
        <f t="shared" si="47"/>
        <v>23435.018750000003</v>
      </c>
      <c r="AA63" s="3">
        <f t="shared" si="47"/>
        <v>18833.581250000003</v>
      </c>
      <c r="AB63" s="3">
        <f t="shared" si="47"/>
        <v>22790.212500000001</v>
      </c>
      <c r="AC63" s="24">
        <f t="shared" si="47"/>
        <v>25395.768750000003</v>
      </c>
      <c r="AD63" s="24">
        <f t="shared" si="47"/>
        <v>29543.593750000004</v>
      </c>
      <c r="AE63" s="3">
        <f t="shared" si="30"/>
        <v>290875.47500000003</v>
      </c>
      <c r="AF63" t="s">
        <v>30</v>
      </c>
    </row>
    <row r="64" spans="1:32" x14ac:dyDescent="0.3">
      <c r="B64" t="s">
        <v>27</v>
      </c>
      <c r="D64" s="5">
        <v>-463234</v>
      </c>
      <c r="E64" s="5">
        <v>-470530</v>
      </c>
      <c r="F64" s="5">
        <v>-386952</v>
      </c>
      <c r="G64" s="5">
        <v>-374536</v>
      </c>
      <c r="H64" s="5">
        <v>-307359</v>
      </c>
      <c r="I64" s="5">
        <v>-317598</v>
      </c>
      <c r="J64" s="5">
        <v>-285438</v>
      </c>
      <c r="K64" s="5">
        <v>-343075</v>
      </c>
      <c r="L64" s="5">
        <v>-340873</v>
      </c>
      <c r="M64" s="5">
        <v>-273943</v>
      </c>
      <c r="N64" s="10">
        <v>-331494</v>
      </c>
      <c r="O64" s="10">
        <v>-369393</v>
      </c>
      <c r="P64" s="2">
        <f t="shared" si="43"/>
        <v>-4264425</v>
      </c>
      <c r="Q64" s="2"/>
      <c r="S64" s="3">
        <f>SUM(S23:S24)/SUM(D23:D24)*D64</f>
        <v>-31847.337500000001</v>
      </c>
      <c r="T64" s="3">
        <f>-S63</f>
        <v>-32348.937500000004</v>
      </c>
      <c r="U64" s="3">
        <f t="shared" ref="U64:AD64" si="48">-T63</f>
        <v>-26602.95</v>
      </c>
      <c r="V64" s="3">
        <f t="shared" si="48"/>
        <v>-25749.350000000002</v>
      </c>
      <c r="W64" s="3">
        <f t="shared" si="48"/>
        <v>-21130.931250000001</v>
      </c>
      <c r="X64" s="3">
        <f t="shared" si="48"/>
        <v>-21834.862500000003</v>
      </c>
      <c r="Y64" s="3">
        <f t="shared" si="48"/>
        <v>-19623.862500000003</v>
      </c>
      <c r="Z64" s="3">
        <f t="shared" si="48"/>
        <v>-23586.406250000004</v>
      </c>
      <c r="AA64" s="3">
        <f t="shared" si="48"/>
        <v>-23435.018750000003</v>
      </c>
      <c r="AB64" s="3">
        <f t="shared" si="48"/>
        <v>-18833.581250000003</v>
      </c>
      <c r="AC64" s="24">
        <f t="shared" si="48"/>
        <v>-22790.212500000001</v>
      </c>
      <c r="AD64" s="24">
        <f t="shared" si="48"/>
        <v>-25395.768750000003</v>
      </c>
      <c r="AE64" s="3">
        <f t="shared" si="30"/>
        <v>-293179.21875</v>
      </c>
      <c r="AF64" t="s">
        <v>31</v>
      </c>
    </row>
    <row r="65" spans="1:32" x14ac:dyDescent="0.3">
      <c r="B65" t="s">
        <v>25</v>
      </c>
      <c r="D65" s="6">
        <f>D63+D64</f>
        <v>7296</v>
      </c>
      <c r="E65" s="6">
        <f t="shared" ref="E65:O65" si="49">E63+E64</f>
        <v>-83578</v>
      </c>
      <c r="F65" s="6">
        <f t="shared" si="49"/>
        <v>-12416</v>
      </c>
      <c r="G65" s="6">
        <f t="shared" si="49"/>
        <v>-67177</v>
      </c>
      <c r="H65" s="6">
        <f t="shared" si="49"/>
        <v>10239</v>
      </c>
      <c r="I65" s="6">
        <f t="shared" si="49"/>
        <v>-32160</v>
      </c>
      <c r="J65" s="6">
        <f t="shared" si="49"/>
        <v>57637</v>
      </c>
      <c r="K65" s="6">
        <f t="shared" si="49"/>
        <v>-2202</v>
      </c>
      <c r="L65" s="6">
        <f t="shared" si="49"/>
        <v>-66930</v>
      </c>
      <c r="M65" s="6">
        <f t="shared" si="49"/>
        <v>57551</v>
      </c>
      <c r="N65" s="20">
        <f t="shared" si="49"/>
        <v>37899</v>
      </c>
      <c r="O65" s="20">
        <f t="shared" si="49"/>
        <v>60332</v>
      </c>
      <c r="P65" s="2">
        <f t="shared" si="43"/>
        <v>-33509</v>
      </c>
      <c r="Q65" s="2"/>
      <c r="R65" s="14">
        <f>ROUND(SUM(AE23:AE24)/SUM(P23:P24),5)</f>
        <v>6.8750000000000006E-2</v>
      </c>
      <c r="S65" s="3">
        <f t="shared" ref="S65:AD65" si="50">$R65*D65</f>
        <v>501.6</v>
      </c>
      <c r="T65" s="3">
        <f t="shared" si="50"/>
        <v>-5745.9875000000002</v>
      </c>
      <c r="U65" s="3">
        <f t="shared" si="50"/>
        <v>-853.6</v>
      </c>
      <c r="V65" s="3">
        <f t="shared" si="50"/>
        <v>-4618.4187500000007</v>
      </c>
      <c r="W65" s="3">
        <f t="shared" si="50"/>
        <v>703.93125000000009</v>
      </c>
      <c r="X65" s="3">
        <f t="shared" si="50"/>
        <v>-2211</v>
      </c>
      <c r="Y65" s="3">
        <f t="shared" si="50"/>
        <v>3962.5437500000003</v>
      </c>
      <c r="Z65" s="3">
        <f t="shared" si="50"/>
        <v>-151.38750000000002</v>
      </c>
      <c r="AA65" s="3">
        <f t="shared" si="50"/>
        <v>-4601.4375</v>
      </c>
      <c r="AB65" s="3">
        <f t="shared" si="50"/>
        <v>3956.6312500000004</v>
      </c>
      <c r="AC65" s="24">
        <f t="shared" si="50"/>
        <v>2605.5562500000001</v>
      </c>
      <c r="AD65" s="24">
        <f t="shared" si="50"/>
        <v>4147.8250000000007</v>
      </c>
      <c r="AE65" s="3">
        <f t="shared" si="30"/>
        <v>-2303.7437499999996</v>
      </c>
      <c r="AF65" t="s">
        <v>33</v>
      </c>
    </row>
    <row r="66" spans="1:32" x14ac:dyDescent="0.3">
      <c r="A66" t="s">
        <v>40</v>
      </c>
      <c r="B66" t="s">
        <v>26</v>
      </c>
      <c r="D66" s="5"/>
      <c r="E66" s="5"/>
      <c r="F66" s="5"/>
      <c r="G66" s="5"/>
      <c r="H66" s="5">
        <v>1434321</v>
      </c>
      <c r="I66" s="5">
        <v>2425058</v>
      </c>
      <c r="J66" s="5">
        <v>2018666</v>
      </c>
      <c r="K66" s="5">
        <v>0</v>
      </c>
      <c r="L66" s="5"/>
      <c r="M66" s="5"/>
      <c r="N66" s="10">
        <v>0</v>
      </c>
      <c r="O66" s="10">
        <v>0</v>
      </c>
      <c r="P66" s="2">
        <f t="shared" si="43"/>
        <v>5878045</v>
      </c>
      <c r="Q66" s="2"/>
      <c r="S66" s="3">
        <f t="shared" ref="S66:AD66" si="51">SUM(S29:S30)/SUM(D29:D30)*D66</f>
        <v>0</v>
      </c>
      <c r="T66" s="3">
        <f t="shared" si="51"/>
        <v>0</v>
      </c>
      <c r="U66" s="3">
        <f t="shared" si="51"/>
        <v>0</v>
      </c>
      <c r="V66" s="3">
        <f t="shared" si="51"/>
        <v>0</v>
      </c>
      <c r="W66" s="3">
        <f t="shared" si="51"/>
        <v>68124.89670765851</v>
      </c>
      <c r="X66" s="3">
        <f t="shared" si="51"/>
        <v>115593.4481159765</v>
      </c>
      <c r="Y66" s="3">
        <f t="shared" si="51"/>
        <v>95948.678963586688</v>
      </c>
      <c r="Z66" s="3">
        <f t="shared" si="51"/>
        <v>0</v>
      </c>
      <c r="AA66" s="3">
        <f t="shared" si="51"/>
        <v>0</v>
      </c>
      <c r="AB66" s="3">
        <f t="shared" si="51"/>
        <v>0</v>
      </c>
      <c r="AC66" s="24">
        <f t="shared" si="51"/>
        <v>0</v>
      </c>
      <c r="AD66" s="24">
        <f t="shared" si="51"/>
        <v>0</v>
      </c>
      <c r="AE66" s="3">
        <f t="shared" si="30"/>
        <v>279667.0237872217</v>
      </c>
      <c r="AF66" t="s">
        <v>30</v>
      </c>
    </row>
    <row r="67" spans="1:32" x14ac:dyDescent="0.3">
      <c r="B67" t="s">
        <v>27</v>
      </c>
      <c r="D67" s="5">
        <v>-1278760</v>
      </c>
      <c r="E67" s="5"/>
      <c r="F67" s="5"/>
      <c r="G67" s="5"/>
      <c r="H67" s="5"/>
      <c r="I67" s="5">
        <v>-1434321</v>
      </c>
      <c r="J67" s="5">
        <v>-2425058</v>
      </c>
      <c r="K67" s="5">
        <v>-2018666</v>
      </c>
      <c r="L67" s="5"/>
      <c r="M67" s="5"/>
      <c r="N67" s="10">
        <v>0</v>
      </c>
      <c r="O67" s="10">
        <v>0</v>
      </c>
      <c r="P67" s="2">
        <f t="shared" si="43"/>
        <v>-7156805</v>
      </c>
      <c r="Q67" s="2"/>
      <c r="S67" s="3">
        <f>SUM(S29:S30)/SUM(D29:D30)*D67</f>
        <v>-60602.517412870402</v>
      </c>
      <c r="T67" s="3">
        <f>-S66</f>
        <v>0</v>
      </c>
      <c r="U67" s="3">
        <f t="shared" ref="U67:AD67" si="52">-T66</f>
        <v>0</v>
      </c>
      <c r="V67" s="3">
        <f t="shared" si="52"/>
        <v>0</v>
      </c>
      <c r="W67" s="3">
        <f t="shared" si="52"/>
        <v>0</v>
      </c>
      <c r="X67" s="3">
        <f t="shared" si="52"/>
        <v>-68124.89670765851</v>
      </c>
      <c r="Y67" s="3">
        <f t="shared" si="52"/>
        <v>-115593.4481159765</v>
      </c>
      <c r="Z67" s="3">
        <f t="shared" si="52"/>
        <v>-95948.678963586688</v>
      </c>
      <c r="AA67" s="3">
        <f t="shared" si="52"/>
        <v>0</v>
      </c>
      <c r="AB67" s="3">
        <f t="shared" si="52"/>
        <v>0</v>
      </c>
      <c r="AC67" s="24">
        <f t="shared" si="52"/>
        <v>0</v>
      </c>
      <c r="AD67" s="24">
        <f t="shared" si="52"/>
        <v>0</v>
      </c>
      <c r="AE67" s="3">
        <f t="shared" si="30"/>
        <v>-340269.54120009206</v>
      </c>
      <c r="AF67" t="s">
        <v>31</v>
      </c>
    </row>
    <row r="68" spans="1:32" x14ac:dyDescent="0.3">
      <c r="B68" t="s">
        <v>25</v>
      </c>
      <c r="D68" s="6">
        <f t="shared" ref="D68:O68" si="53">D66+D67</f>
        <v>-1278760</v>
      </c>
      <c r="E68" s="6">
        <f t="shared" si="53"/>
        <v>0</v>
      </c>
      <c r="F68" s="6">
        <f t="shared" si="53"/>
        <v>0</v>
      </c>
      <c r="G68" s="6">
        <f t="shared" si="53"/>
        <v>0</v>
      </c>
      <c r="H68" s="6">
        <f t="shared" si="53"/>
        <v>1434321</v>
      </c>
      <c r="I68" s="6">
        <f t="shared" si="53"/>
        <v>990737</v>
      </c>
      <c r="J68" s="6">
        <f t="shared" si="53"/>
        <v>-406392</v>
      </c>
      <c r="K68" s="6">
        <f t="shared" si="53"/>
        <v>-2018666</v>
      </c>
      <c r="L68" s="6">
        <f t="shared" si="53"/>
        <v>0</v>
      </c>
      <c r="M68" s="6">
        <f t="shared" si="53"/>
        <v>0</v>
      </c>
      <c r="N68" s="20">
        <f t="shared" si="53"/>
        <v>0</v>
      </c>
      <c r="O68" s="20">
        <f t="shared" si="53"/>
        <v>0</v>
      </c>
      <c r="P68" s="2">
        <f t="shared" si="43"/>
        <v>-1278760</v>
      </c>
      <c r="Q68" s="2"/>
      <c r="R68" s="14">
        <f>ROUND(SUM(AE29:AE30)/SUM(P29:P30),5)</f>
        <v>4.7539999999999999E-2</v>
      </c>
      <c r="S68" s="3">
        <f t="shared" ref="S68:AD68" si="54">$R68*D68</f>
        <v>-60792.250399999997</v>
      </c>
      <c r="T68" s="3">
        <f t="shared" si="54"/>
        <v>0</v>
      </c>
      <c r="U68" s="3">
        <f t="shared" si="54"/>
        <v>0</v>
      </c>
      <c r="V68" s="3">
        <f t="shared" si="54"/>
        <v>0</v>
      </c>
      <c r="W68" s="3">
        <f t="shared" si="54"/>
        <v>68187.620339999994</v>
      </c>
      <c r="X68" s="3">
        <f t="shared" si="54"/>
        <v>47099.636979999996</v>
      </c>
      <c r="Y68" s="3">
        <f t="shared" si="54"/>
        <v>-19319.875680000001</v>
      </c>
      <c r="Z68" s="3">
        <f t="shared" si="54"/>
        <v>-95967.381639999992</v>
      </c>
      <c r="AA68" s="3">
        <f t="shared" si="54"/>
        <v>0</v>
      </c>
      <c r="AB68" s="3">
        <f t="shared" si="54"/>
        <v>0</v>
      </c>
      <c r="AC68" s="24">
        <f t="shared" si="54"/>
        <v>0</v>
      </c>
      <c r="AD68" s="24">
        <f t="shared" si="54"/>
        <v>0</v>
      </c>
      <c r="AE68" s="3">
        <f t="shared" si="30"/>
        <v>-60792.250400000004</v>
      </c>
      <c r="AF68" t="s">
        <v>33</v>
      </c>
    </row>
    <row r="69" spans="1:32" x14ac:dyDescent="0.3">
      <c r="A69" t="s">
        <v>41</v>
      </c>
      <c r="B69" t="s">
        <v>26</v>
      </c>
      <c r="D69" s="5">
        <v>1568435</v>
      </c>
      <c r="E69" s="5">
        <v>1644548</v>
      </c>
      <c r="F69" s="5">
        <v>1685410</v>
      </c>
      <c r="G69" s="5">
        <v>1508852</v>
      </c>
      <c r="H69" s="5">
        <v>1761224</v>
      </c>
      <c r="I69" s="5">
        <v>2312046</v>
      </c>
      <c r="J69" s="5">
        <v>3773826</v>
      </c>
      <c r="K69" s="5">
        <v>4329086</v>
      </c>
      <c r="L69" s="5">
        <v>3616047</v>
      </c>
      <c r="M69" s="5">
        <v>3194399</v>
      </c>
      <c r="N69" s="10">
        <v>1880544</v>
      </c>
      <c r="O69" s="10">
        <v>1836099</v>
      </c>
      <c r="P69" s="2">
        <f t="shared" si="43"/>
        <v>29110516</v>
      </c>
      <c r="Q69" s="2"/>
      <c r="S69" s="3">
        <f t="shared" ref="S69:AD69" si="55">SUM(S40:S42)/SUM(D40:D42)*D69</f>
        <v>152104.56845577774</v>
      </c>
      <c r="T69" s="3">
        <f t="shared" si="55"/>
        <v>159251.96391878166</v>
      </c>
      <c r="U69" s="3">
        <f t="shared" si="55"/>
        <v>163698.62431681086</v>
      </c>
      <c r="V69" s="3">
        <f t="shared" si="55"/>
        <v>147191.68974065679</v>
      </c>
      <c r="W69" s="3">
        <f t="shared" si="55"/>
        <v>172086.57319244585</v>
      </c>
      <c r="X69" s="3">
        <f t="shared" si="55"/>
        <v>224602.08532707463</v>
      </c>
      <c r="Y69" s="3">
        <f t="shared" si="55"/>
        <v>362146.32988474751</v>
      </c>
      <c r="Z69" s="3">
        <f t="shared" si="55"/>
        <v>410663.56622549286</v>
      </c>
      <c r="AA69" s="3">
        <f t="shared" si="55"/>
        <v>343575.24593059364</v>
      </c>
      <c r="AB69" s="3">
        <f t="shared" si="55"/>
        <v>307219.8487939511</v>
      </c>
      <c r="AC69" s="24">
        <f t="shared" si="55"/>
        <v>184167.20758183685</v>
      </c>
      <c r="AD69" s="24">
        <f t="shared" si="55"/>
        <v>179542.39543386936</v>
      </c>
      <c r="AE69" s="3">
        <f t="shared" si="30"/>
        <v>2806250.0988020385</v>
      </c>
      <c r="AF69" t="s">
        <v>30</v>
      </c>
    </row>
    <row r="70" spans="1:32" x14ac:dyDescent="0.3">
      <c r="B70" t="s">
        <v>27</v>
      </c>
      <c r="D70" s="5">
        <v>-1810826</v>
      </c>
      <c r="E70" s="5">
        <v>-1568435</v>
      </c>
      <c r="F70" s="5">
        <v>-1644548</v>
      </c>
      <c r="G70" s="5">
        <v>-1685410</v>
      </c>
      <c r="H70" s="5">
        <v>-1508852</v>
      </c>
      <c r="I70" s="5">
        <v>-1761224</v>
      </c>
      <c r="J70" s="5">
        <v>-2312046</v>
      </c>
      <c r="K70" s="5">
        <v>-3773826</v>
      </c>
      <c r="L70" s="5">
        <v>-4329086</v>
      </c>
      <c r="M70" s="5">
        <v>-3616047</v>
      </c>
      <c r="N70" s="10">
        <v>-3194399</v>
      </c>
      <c r="O70" s="10">
        <v>-1880544</v>
      </c>
      <c r="P70" s="2">
        <f t="shared" si="43"/>
        <v>-29085243</v>
      </c>
      <c r="Q70" s="2"/>
      <c r="S70" s="3">
        <f>SUM(S40:S42)/SUM(D40:D42)*D70</f>
        <v>-175611.29870125456</v>
      </c>
      <c r="T70" s="3">
        <f>-S69</f>
        <v>-152104.56845577774</v>
      </c>
      <c r="U70" s="3">
        <f t="shared" ref="U70:AD70" si="56">-T69</f>
        <v>-159251.96391878166</v>
      </c>
      <c r="V70" s="3">
        <f t="shared" si="56"/>
        <v>-163698.62431681086</v>
      </c>
      <c r="W70" s="3">
        <f t="shared" si="56"/>
        <v>-147191.68974065679</v>
      </c>
      <c r="X70" s="3">
        <f t="shared" si="56"/>
        <v>-172086.57319244585</v>
      </c>
      <c r="Y70" s="3">
        <f t="shared" si="56"/>
        <v>-224602.08532707463</v>
      </c>
      <c r="Z70" s="3">
        <f t="shared" si="56"/>
        <v>-362146.32988474751</v>
      </c>
      <c r="AA70" s="3">
        <f t="shared" si="56"/>
        <v>-410663.56622549286</v>
      </c>
      <c r="AB70" s="3">
        <f t="shared" si="56"/>
        <v>-343575.24593059364</v>
      </c>
      <c r="AC70" s="24">
        <f t="shared" si="56"/>
        <v>-307219.8487939511</v>
      </c>
      <c r="AD70" s="24">
        <f t="shared" si="56"/>
        <v>-184167.20758183685</v>
      </c>
      <c r="AE70" s="3">
        <f t="shared" si="30"/>
        <v>-2802319.0020694239</v>
      </c>
      <c r="AF70" t="s">
        <v>31</v>
      </c>
    </row>
    <row r="71" spans="1:32" x14ac:dyDescent="0.3">
      <c r="B71" t="s">
        <v>25</v>
      </c>
      <c r="D71" s="6">
        <f t="shared" ref="D71:O71" si="57">D69+D70</f>
        <v>-242391</v>
      </c>
      <c r="E71" s="6">
        <f t="shared" si="57"/>
        <v>76113</v>
      </c>
      <c r="F71" s="6">
        <f t="shared" si="57"/>
        <v>40862</v>
      </c>
      <c r="G71" s="6">
        <f t="shared" si="57"/>
        <v>-176558</v>
      </c>
      <c r="H71" s="6">
        <f t="shared" si="57"/>
        <v>252372</v>
      </c>
      <c r="I71" s="6">
        <f t="shared" si="57"/>
        <v>550822</v>
      </c>
      <c r="J71" s="6">
        <f t="shared" si="57"/>
        <v>1461780</v>
      </c>
      <c r="K71" s="6">
        <f t="shared" si="57"/>
        <v>555260</v>
      </c>
      <c r="L71" s="6">
        <f t="shared" si="57"/>
        <v>-713039</v>
      </c>
      <c r="M71" s="6">
        <f t="shared" si="57"/>
        <v>-421648</v>
      </c>
      <c r="N71" s="20">
        <f t="shared" si="57"/>
        <v>-1313855</v>
      </c>
      <c r="O71" s="20">
        <f t="shared" si="57"/>
        <v>-44445</v>
      </c>
      <c r="P71" s="2">
        <f t="shared" si="43"/>
        <v>25273</v>
      </c>
      <c r="Q71" s="2"/>
      <c r="R71" s="14">
        <f>ROUND(SUM(AE40:AE42)/SUM(P40:P42),5)</f>
        <v>9.6369999999999997E-2</v>
      </c>
      <c r="S71" s="3">
        <f t="shared" ref="S71:AD71" si="58">$R71*D71</f>
        <v>-23359.220669999999</v>
      </c>
      <c r="T71" s="3">
        <f t="shared" si="58"/>
        <v>7335.0098099999996</v>
      </c>
      <c r="U71" s="3">
        <f t="shared" si="58"/>
        <v>3937.8709399999998</v>
      </c>
      <c r="V71" s="3">
        <f t="shared" si="58"/>
        <v>-17014.89446</v>
      </c>
      <c r="W71" s="3">
        <f t="shared" si="58"/>
        <v>24321.089639999998</v>
      </c>
      <c r="X71" s="3">
        <f t="shared" si="58"/>
        <v>53082.716139999997</v>
      </c>
      <c r="Y71" s="3">
        <f t="shared" si="58"/>
        <v>140871.73859999998</v>
      </c>
      <c r="Z71" s="3">
        <f t="shared" si="58"/>
        <v>53510.406199999998</v>
      </c>
      <c r="AA71" s="3">
        <f t="shared" si="58"/>
        <v>-68715.568429999999</v>
      </c>
      <c r="AB71" s="3">
        <f t="shared" si="58"/>
        <v>-40634.21776</v>
      </c>
      <c r="AC71" s="24">
        <f t="shared" si="58"/>
        <v>-126616.20634999999</v>
      </c>
      <c r="AD71" s="24">
        <f t="shared" si="58"/>
        <v>-4283.1646499999997</v>
      </c>
      <c r="AE71" s="3">
        <f t="shared" si="30"/>
        <v>2435.559009999989</v>
      </c>
      <c r="AF71" t="s">
        <v>33</v>
      </c>
    </row>
    <row r="72" spans="1:32" x14ac:dyDescent="0.3">
      <c r="A72" t="s">
        <v>42</v>
      </c>
      <c r="B72" t="s">
        <v>26</v>
      </c>
      <c r="D72" s="5">
        <v>156844</v>
      </c>
      <c r="E72" s="5">
        <v>96738</v>
      </c>
      <c r="F72" s="5">
        <v>93634</v>
      </c>
      <c r="G72" s="5">
        <v>83825</v>
      </c>
      <c r="H72" s="5">
        <v>86618</v>
      </c>
      <c r="I72" s="5">
        <v>114175</v>
      </c>
      <c r="J72" s="5">
        <v>205845</v>
      </c>
      <c r="K72" s="5">
        <v>204524</v>
      </c>
      <c r="L72" s="5">
        <v>164366</v>
      </c>
      <c r="M72" s="5">
        <v>90408</v>
      </c>
      <c r="N72" s="10">
        <v>100743</v>
      </c>
      <c r="O72" s="10">
        <v>117198</v>
      </c>
      <c r="P72" s="2">
        <f t="shared" si="43"/>
        <v>1514918</v>
      </c>
      <c r="Q72" s="2"/>
      <c r="S72" s="3">
        <f t="shared" ref="S72:AD72" si="59">SUM(S45:S47)/SUM(D45:D47)*D72</f>
        <v>15493.862022625319</v>
      </c>
      <c r="T72" s="3">
        <f t="shared" si="59"/>
        <v>9610.8691988112805</v>
      </c>
      <c r="U72" s="3">
        <f t="shared" si="59"/>
        <v>9373.8894054604752</v>
      </c>
      <c r="V72" s="3">
        <f t="shared" si="59"/>
        <v>8473.4353876553523</v>
      </c>
      <c r="W72" s="3">
        <f t="shared" si="59"/>
        <v>8822.7408261552009</v>
      </c>
      <c r="X72" s="3">
        <f t="shared" si="59"/>
        <v>11380.959062907987</v>
      </c>
      <c r="Y72" s="3">
        <f t="shared" si="59"/>
        <v>19725.700942022391</v>
      </c>
      <c r="Z72" s="3">
        <f t="shared" si="59"/>
        <v>19493.566234723283</v>
      </c>
      <c r="AA72" s="3">
        <f t="shared" si="59"/>
        <v>16186.192322161845</v>
      </c>
      <c r="AB72" s="3">
        <f t="shared" si="59"/>
        <v>9251.8811615389732</v>
      </c>
      <c r="AC72" s="24">
        <f t="shared" si="59"/>
        <v>10241.634050961211</v>
      </c>
      <c r="AD72" s="24">
        <f t="shared" si="59"/>
        <v>11754.77569301716</v>
      </c>
      <c r="AE72" s="3">
        <f t="shared" si="30"/>
        <v>149809.50630804047</v>
      </c>
      <c r="AF72" t="s">
        <v>30</v>
      </c>
    </row>
    <row r="73" spans="1:32" x14ac:dyDescent="0.3">
      <c r="B73" t="s">
        <v>27</v>
      </c>
      <c r="D73" s="5">
        <v>-126337</v>
      </c>
      <c r="E73" s="5">
        <v>-156844</v>
      </c>
      <c r="F73" s="5">
        <v>-96738</v>
      </c>
      <c r="G73" s="5">
        <v>-93634</v>
      </c>
      <c r="H73" s="5">
        <v>-83825</v>
      </c>
      <c r="I73" s="5">
        <v>-86618</v>
      </c>
      <c r="J73" s="5">
        <v>-114175</v>
      </c>
      <c r="K73" s="5">
        <v>-205845</v>
      </c>
      <c r="L73" s="5">
        <v>-204524</v>
      </c>
      <c r="M73" s="5">
        <v>-164366</v>
      </c>
      <c r="N73" s="10">
        <v>-90408</v>
      </c>
      <c r="O73" s="10">
        <v>-100743</v>
      </c>
      <c r="P73" s="2">
        <f t="shared" si="43"/>
        <v>-1524057</v>
      </c>
      <c r="Q73" s="2"/>
      <c r="S73" s="3">
        <f>SUM(S45:S47)/SUM(D45:D47)*D73</f>
        <v>-12480.222682107156</v>
      </c>
      <c r="T73" s="3">
        <f>-S72</f>
        <v>-15493.862022625319</v>
      </c>
      <c r="U73" s="3">
        <f t="shared" ref="U73:AD73" si="60">-T72</f>
        <v>-9610.8691988112805</v>
      </c>
      <c r="V73" s="3">
        <f t="shared" si="60"/>
        <v>-9373.8894054604752</v>
      </c>
      <c r="W73" s="3">
        <f t="shared" si="60"/>
        <v>-8473.4353876553523</v>
      </c>
      <c r="X73" s="3">
        <f t="shared" si="60"/>
        <v>-8822.7408261552009</v>
      </c>
      <c r="Y73" s="3">
        <f t="shared" si="60"/>
        <v>-11380.959062907987</v>
      </c>
      <c r="Z73" s="3">
        <f t="shared" si="60"/>
        <v>-19725.700942022391</v>
      </c>
      <c r="AA73" s="3">
        <f t="shared" si="60"/>
        <v>-19493.566234723283</v>
      </c>
      <c r="AB73" s="3">
        <f t="shared" si="60"/>
        <v>-16186.192322161845</v>
      </c>
      <c r="AC73" s="24">
        <f t="shared" si="60"/>
        <v>-9251.8811615389732</v>
      </c>
      <c r="AD73" s="24">
        <f t="shared" si="60"/>
        <v>-10241.634050961211</v>
      </c>
      <c r="AE73" s="3">
        <f t="shared" si="30"/>
        <v>-150534.95329713047</v>
      </c>
      <c r="AF73" t="s">
        <v>31</v>
      </c>
    </row>
    <row r="74" spans="1:32" x14ac:dyDescent="0.3">
      <c r="B74" t="s">
        <v>25</v>
      </c>
      <c r="D74" s="6">
        <f t="shared" ref="D74:O74" si="61">D72+D73</f>
        <v>30507</v>
      </c>
      <c r="E74" s="6">
        <f t="shared" si="61"/>
        <v>-60106</v>
      </c>
      <c r="F74" s="6">
        <f t="shared" si="61"/>
        <v>-3104</v>
      </c>
      <c r="G74" s="6">
        <f t="shared" si="61"/>
        <v>-9809</v>
      </c>
      <c r="H74" s="6">
        <f t="shared" si="61"/>
        <v>2793</v>
      </c>
      <c r="I74" s="6">
        <f t="shared" si="61"/>
        <v>27557</v>
      </c>
      <c r="J74" s="6">
        <f t="shared" si="61"/>
        <v>91670</v>
      </c>
      <c r="K74" s="6">
        <f t="shared" si="61"/>
        <v>-1321</v>
      </c>
      <c r="L74" s="6">
        <f t="shared" si="61"/>
        <v>-40158</v>
      </c>
      <c r="M74" s="6">
        <f t="shared" si="61"/>
        <v>-73958</v>
      </c>
      <c r="N74" s="20">
        <f t="shared" si="61"/>
        <v>10335</v>
      </c>
      <c r="O74" s="20">
        <f t="shared" si="61"/>
        <v>16455</v>
      </c>
      <c r="P74" s="2">
        <f t="shared" si="43"/>
        <v>-9139</v>
      </c>
      <c r="Q74" s="2"/>
      <c r="R74" s="14">
        <f>ROUND(SUM(AE45:AE47)/SUM(P45:P47),5)</f>
        <v>9.7850000000000006E-2</v>
      </c>
      <c r="S74" s="3">
        <f t="shared" ref="S74:AD74" si="62">$R74*D74</f>
        <v>2985.10995</v>
      </c>
      <c r="T74" s="3">
        <f t="shared" si="62"/>
        <v>-5881.3721000000005</v>
      </c>
      <c r="U74" s="3">
        <f t="shared" si="62"/>
        <v>-303.72640000000001</v>
      </c>
      <c r="V74" s="3">
        <f t="shared" si="62"/>
        <v>-959.81065000000001</v>
      </c>
      <c r="W74" s="3">
        <f t="shared" si="62"/>
        <v>273.29505</v>
      </c>
      <c r="X74" s="3">
        <f t="shared" si="62"/>
        <v>2696.4524500000002</v>
      </c>
      <c r="Y74" s="3">
        <f t="shared" si="62"/>
        <v>8969.9094999999998</v>
      </c>
      <c r="Z74" s="3">
        <f t="shared" si="62"/>
        <v>-129.25985</v>
      </c>
      <c r="AA74" s="3">
        <f t="shared" si="62"/>
        <v>-3929.4603000000002</v>
      </c>
      <c r="AB74" s="3">
        <f t="shared" si="62"/>
        <v>-7236.7903000000006</v>
      </c>
      <c r="AC74" s="24">
        <f t="shared" si="62"/>
        <v>1011.27975</v>
      </c>
      <c r="AD74" s="24">
        <f t="shared" si="62"/>
        <v>1610.12175</v>
      </c>
      <c r="AE74" s="3">
        <f t="shared" si="30"/>
        <v>-894.25115000000119</v>
      </c>
      <c r="AF74" t="s">
        <v>33</v>
      </c>
    </row>
    <row r="76" spans="1:32" x14ac:dyDescent="0.3">
      <c r="A76" t="s">
        <v>34</v>
      </c>
      <c r="B76" t="s">
        <v>28</v>
      </c>
      <c r="D76" s="5">
        <v>-16686903</v>
      </c>
      <c r="E76" s="5">
        <v>-5167983</v>
      </c>
      <c r="F76" s="5">
        <v>1953934</v>
      </c>
      <c r="G76" s="5">
        <v>-824988</v>
      </c>
      <c r="H76" s="5">
        <v>-402672</v>
      </c>
      <c r="I76" s="5">
        <v>-5378</v>
      </c>
      <c r="J76" s="5">
        <v>-10222584</v>
      </c>
      <c r="K76" s="5">
        <v>-10855642</v>
      </c>
      <c r="L76" s="5">
        <v>-4933656</v>
      </c>
      <c r="M76" s="5">
        <v>-1559453</v>
      </c>
      <c r="N76" s="10">
        <v>2603038</v>
      </c>
      <c r="O76" s="10">
        <v>-2615998</v>
      </c>
      <c r="P76" s="2">
        <f t="shared" si="43"/>
        <v>-48718285</v>
      </c>
      <c r="Q76" s="2"/>
      <c r="R76" s="14">
        <f>ROUND((Q4*R4+Q5*R5)/SUM(Q4:Q5),5)</f>
        <v>0.10285</v>
      </c>
      <c r="S76" s="3">
        <f t="shared" ref="S76:AD78" si="63">$R76*D76</f>
        <v>-1716247.97355</v>
      </c>
      <c r="T76" s="3">
        <f t="shared" si="63"/>
        <v>-531527.05154999997</v>
      </c>
      <c r="U76" s="3">
        <f t="shared" si="63"/>
        <v>200962.11189999999</v>
      </c>
      <c r="V76" s="3">
        <f t="shared" si="63"/>
        <v>-84850.015799999994</v>
      </c>
      <c r="W76" s="3">
        <f t="shared" si="63"/>
        <v>-41414.815199999997</v>
      </c>
      <c r="X76" s="3">
        <f t="shared" si="63"/>
        <v>-553.12729999999999</v>
      </c>
      <c r="Y76" s="3">
        <f t="shared" si="63"/>
        <v>-1051392.7644</v>
      </c>
      <c r="Z76" s="3">
        <f t="shared" si="63"/>
        <v>-1116502.7797000001</v>
      </c>
      <c r="AA76" s="3">
        <f t="shared" si="63"/>
        <v>-507426.5196</v>
      </c>
      <c r="AB76" s="3">
        <f t="shared" si="63"/>
        <v>-160389.74104999998</v>
      </c>
      <c r="AC76" s="24">
        <f t="shared" si="63"/>
        <v>267722.4583</v>
      </c>
      <c r="AD76" s="24">
        <f t="shared" si="63"/>
        <v>-269055.39429999999</v>
      </c>
      <c r="AE76" s="3">
        <f t="shared" si="30"/>
        <v>-5010675.6122500002</v>
      </c>
    </row>
    <row r="77" spans="1:32" x14ac:dyDescent="0.3">
      <c r="A77" t="s">
        <v>36</v>
      </c>
      <c r="B77" t="s">
        <v>28</v>
      </c>
      <c r="D77" s="5">
        <v>-2329926</v>
      </c>
      <c r="E77" s="5">
        <v>-721788</v>
      </c>
      <c r="F77" s="5">
        <v>273927</v>
      </c>
      <c r="G77" s="5">
        <v>-77175</v>
      </c>
      <c r="H77" s="5">
        <v>-390496</v>
      </c>
      <c r="I77" s="5">
        <v>-547417</v>
      </c>
      <c r="J77" s="5">
        <v>-2535204</v>
      </c>
      <c r="K77" s="5">
        <v>-2699357</v>
      </c>
      <c r="L77" s="5">
        <v>-1218495</v>
      </c>
      <c r="M77" s="5">
        <v>-129913</v>
      </c>
      <c r="N77" s="10">
        <v>243351</v>
      </c>
      <c r="O77" s="10">
        <v>-365435</v>
      </c>
      <c r="P77" s="2">
        <f t="shared" si="43"/>
        <v>-10497928</v>
      </c>
      <c r="Q77" s="2"/>
      <c r="R77" s="14">
        <f>ROUND((Q7*R7+Q8*R8)/SUM(Q7:Q8),5)</f>
        <v>8.1799999999999998E-2</v>
      </c>
      <c r="S77" s="3">
        <f t="shared" si="63"/>
        <v>-190587.94680000001</v>
      </c>
      <c r="T77" s="3">
        <f t="shared" si="63"/>
        <v>-59042.258399999999</v>
      </c>
      <c r="U77" s="3">
        <f t="shared" si="63"/>
        <v>22407.228599999999</v>
      </c>
      <c r="V77" s="3">
        <f t="shared" si="63"/>
        <v>-6312.915</v>
      </c>
      <c r="W77" s="3">
        <f t="shared" si="63"/>
        <v>-31942.572799999998</v>
      </c>
      <c r="X77" s="3">
        <f t="shared" si="63"/>
        <v>-44778.710599999999</v>
      </c>
      <c r="Y77" s="3">
        <f t="shared" si="63"/>
        <v>-207379.68719999999</v>
      </c>
      <c r="Z77" s="3">
        <f t="shared" si="63"/>
        <v>-220807.4026</v>
      </c>
      <c r="AA77" s="3">
        <f t="shared" si="63"/>
        <v>-99672.891000000003</v>
      </c>
      <c r="AB77" s="3">
        <f t="shared" si="63"/>
        <v>-10626.883399999999</v>
      </c>
      <c r="AC77" s="24">
        <f t="shared" si="63"/>
        <v>19906.111799999999</v>
      </c>
      <c r="AD77" s="24">
        <f t="shared" si="63"/>
        <v>-29892.582999999999</v>
      </c>
      <c r="AE77" s="3">
        <f t="shared" si="30"/>
        <v>-858730.51040000014</v>
      </c>
    </row>
    <row r="78" spans="1:32" x14ac:dyDescent="0.3">
      <c r="A78" t="s">
        <v>43</v>
      </c>
      <c r="B78" t="s">
        <v>28</v>
      </c>
      <c r="D78" s="5">
        <v>-1601521</v>
      </c>
      <c r="E78" s="5">
        <v>-482158</v>
      </c>
      <c r="F78" s="5">
        <v>187849</v>
      </c>
      <c r="G78" s="5">
        <v>-19172</v>
      </c>
      <c r="H78" s="5">
        <v>-430929</v>
      </c>
      <c r="I78" s="5">
        <v>-649082</v>
      </c>
      <c r="J78" s="5">
        <v>-2095885</v>
      </c>
      <c r="K78" s="5">
        <v>-2247122</v>
      </c>
      <c r="L78" s="5">
        <v>-1004228</v>
      </c>
      <c r="M78" s="5">
        <v>-16817</v>
      </c>
      <c r="N78" s="10">
        <v>58053</v>
      </c>
      <c r="O78" s="10">
        <v>-242303</v>
      </c>
      <c r="P78" s="2">
        <f t="shared" si="43"/>
        <v>-8543315</v>
      </c>
      <c r="Q78" s="2"/>
      <c r="R78" s="14">
        <f>ROUND((Q17*R17+Q18*R18)/SUM(Q17:Q18),5)</f>
        <v>5.9769999999999997E-2</v>
      </c>
      <c r="S78" s="3">
        <f t="shared" si="63"/>
        <v>-95722.910169999988</v>
      </c>
      <c r="T78" s="3">
        <f t="shared" si="63"/>
        <v>-28818.58366</v>
      </c>
      <c r="U78" s="3">
        <f t="shared" si="63"/>
        <v>11227.73473</v>
      </c>
      <c r="V78" s="3">
        <f t="shared" si="63"/>
        <v>-1145.9104399999999</v>
      </c>
      <c r="W78" s="3">
        <f t="shared" si="63"/>
        <v>-25756.626329999999</v>
      </c>
      <c r="X78" s="3">
        <f t="shared" si="63"/>
        <v>-38795.631139999998</v>
      </c>
      <c r="Y78" s="3">
        <f t="shared" si="63"/>
        <v>-125271.04644999999</v>
      </c>
      <c r="Z78" s="3">
        <f t="shared" si="63"/>
        <v>-134310.48194</v>
      </c>
      <c r="AA78" s="3">
        <f t="shared" si="63"/>
        <v>-60022.707559999995</v>
      </c>
      <c r="AB78" s="3">
        <f t="shared" si="63"/>
        <v>-1005.1520899999999</v>
      </c>
      <c r="AC78" s="24">
        <f t="shared" si="63"/>
        <v>3469.8278099999998</v>
      </c>
      <c r="AD78" s="24">
        <f t="shared" si="63"/>
        <v>-14482.450309999998</v>
      </c>
      <c r="AE78" s="3">
        <f t="shared" si="30"/>
        <v>-510633.93754999997</v>
      </c>
    </row>
    <row r="80" spans="1:32" x14ac:dyDescent="0.3">
      <c r="A80" t="s">
        <v>45</v>
      </c>
      <c r="C80" t="s">
        <v>53</v>
      </c>
    </row>
    <row r="81" spans="1:34" x14ac:dyDescent="0.3">
      <c r="A81" t="s">
        <v>46</v>
      </c>
      <c r="D81" s="2">
        <f t="shared" ref="D81:O81" si="64">SUM(D4:D5)+D53+D76</f>
        <v>139574515</v>
      </c>
      <c r="E81" s="2">
        <f t="shared" si="64"/>
        <v>106545015</v>
      </c>
      <c r="F81" s="2">
        <f t="shared" si="64"/>
        <v>111476716</v>
      </c>
      <c r="G81" s="2">
        <f t="shared" si="64"/>
        <v>86383494</v>
      </c>
      <c r="H81" s="2">
        <f t="shared" si="64"/>
        <v>80851575</v>
      </c>
      <c r="I81" s="2">
        <f t="shared" si="64"/>
        <v>69749652</v>
      </c>
      <c r="J81" s="2">
        <f t="shared" si="64"/>
        <v>88461666</v>
      </c>
      <c r="K81" s="2">
        <f t="shared" si="64"/>
        <v>78181585</v>
      </c>
      <c r="L81" s="2">
        <f t="shared" si="64"/>
        <v>65477232</v>
      </c>
      <c r="M81" s="2">
        <f t="shared" si="64"/>
        <v>83385158.313999996</v>
      </c>
      <c r="N81" s="19">
        <f t="shared" si="64"/>
        <v>110625618.38699999</v>
      </c>
      <c r="O81" s="19">
        <f t="shared" si="64"/>
        <v>135688425.46700001</v>
      </c>
      <c r="P81" s="6">
        <f>SUM(D81:O81)</f>
        <v>1156400652.168</v>
      </c>
      <c r="Q81" s="2"/>
      <c r="S81" s="3">
        <f>SUM(S3:S5)+S53+S76</f>
        <v>14399512.941249998</v>
      </c>
      <c r="T81" s="3">
        <f t="shared" ref="T81:AD81" si="65">SUM(T3:T5)+T53+T76</f>
        <v>11103485.334229998</v>
      </c>
      <c r="U81" s="3">
        <f t="shared" si="65"/>
        <v>11538735.100399999</v>
      </c>
      <c r="V81" s="3">
        <f t="shared" si="65"/>
        <v>9003362.5782000013</v>
      </c>
      <c r="W81" s="3">
        <f t="shared" si="65"/>
        <v>8412443.4005100019</v>
      </c>
      <c r="X81" s="3">
        <f t="shared" si="65"/>
        <v>7303360.0899600005</v>
      </c>
      <c r="Y81" s="3">
        <f t="shared" si="65"/>
        <v>9120363.8136200011</v>
      </c>
      <c r="Z81" s="3">
        <f t="shared" si="65"/>
        <v>8137033.0801299997</v>
      </c>
      <c r="AA81" s="3">
        <f t="shared" si="65"/>
        <v>6891592.8279400002</v>
      </c>
      <c r="AB81" s="3">
        <f t="shared" si="65"/>
        <v>8633473.7393514607</v>
      </c>
      <c r="AC81" s="24">
        <f t="shared" si="65"/>
        <v>11387914.363855729</v>
      </c>
      <c r="AD81" s="24">
        <f t="shared" si="65"/>
        <v>13920244.962148229</v>
      </c>
      <c r="AE81" s="3">
        <f>SUM(S81:AD81)</f>
        <v>119851522.23159544</v>
      </c>
      <c r="AF81" s="3">
        <f>AE81</f>
        <v>119851522.23159544</v>
      </c>
      <c r="AH81" t="s">
        <v>111</v>
      </c>
    </row>
    <row r="82" spans="1:34" x14ac:dyDescent="0.3">
      <c r="A82" t="s">
        <v>47</v>
      </c>
      <c r="D82" s="2">
        <f t="shared" ref="D82:O82" si="66">SUM(D7:D8,D12:D13)+D56+D59+D77</f>
        <v>37133663.999990001</v>
      </c>
      <c r="E82" s="2">
        <f t="shared" si="66"/>
        <v>32573146</v>
      </c>
      <c r="F82" s="2">
        <f t="shared" si="66"/>
        <v>33397540</v>
      </c>
      <c r="G82" s="2">
        <f t="shared" si="66"/>
        <v>27624418</v>
      </c>
      <c r="H82" s="2">
        <f t="shared" si="66"/>
        <v>27689363</v>
      </c>
      <c r="I82" s="2">
        <f t="shared" si="66"/>
        <v>26298102</v>
      </c>
      <c r="J82" s="2">
        <f t="shared" si="66"/>
        <v>30324106</v>
      </c>
      <c r="K82" s="2">
        <f t="shared" si="66"/>
        <v>28535497</v>
      </c>
      <c r="L82" s="2">
        <f t="shared" si="66"/>
        <v>25220970</v>
      </c>
      <c r="M82" s="2">
        <f t="shared" si="66"/>
        <v>29591137.634999998</v>
      </c>
      <c r="N82" s="19">
        <f t="shared" si="66"/>
        <v>31631306.921999998</v>
      </c>
      <c r="O82" s="19">
        <f t="shared" si="66"/>
        <v>37675940.609999999</v>
      </c>
      <c r="P82" s="6">
        <f t="shared" ref="P82:P87" si="67">SUM(D82:O82)</f>
        <v>367695191.16698998</v>
      </c>
      <c r="Q82" s="2"/>
      <c r="S82" s="3">
        <f t="shared" ref="S82:AD82" si="68">SUM(S6:S15)+S56+S59+S77</f>
        <v>4031505.8111895015</v>
      </c>
      <c r="T82" s="3">
        <f t="shared" si="68"/>
        <v>3592382.1161000002</v>
      </c>
      <c r="U82" s="3">
        <f t="shared" si="68"/>
        <v>3676222.3938399996</v>
      </c>
      <c r="V82" s="3">
        <f t="shared" si="68"/>
        <v>3122597.4068664797</v>
      </c>
      <c r="W82" s="3">
        <f t="shared" si="68"/>
        <v>3137591.8222767594</v>
      </c>
      <c r="X82" s="3">
        <f t="shared" si="68"/>
        <v>2994922.0956394388</v>
      </c>
      <c r="Y82" s="3">
        <f t="shared" si="68"/>
        <v>3400395.414243802</v>
      </c>
      <c r="Z82" s="3">
        <f t="shared" si="68"/>
        <v>3217753.3776267604</v>
      </c>
      <c r="AA82" s="3">
        <f t="shared" si="68"/>
        <v>2888547.1302197198</v>
      </c>
      <c r="AB82" s="3">
        <f t="shared" si="68"/>
        <v>3325214.0182117154</v>
      </c>
      <c r="AC82" s="24">
        <f t="shared" si="68"/>
        <v>3514394.195045982</v>
      </c>
      <c r="AD82" s="24">
        <f t="shared" si="68"/>
        <v>4098514.355054853</v>
      </c>
      <c r="AE82" s="3">
        <f t="shared" ref="AE82:AE87" si="69">SUM(S82:AD82)</f>
        <v>41000040.136315018</v>
      </c>
    </row>
    <row r="83" spans="1:34" x14ac:dyDescent="0.3">
      <c r="A83" t="s">
        <v>48</v>
      </c>
      <c r="D83" s="2">
        <f t="shared" ref="D83:O83" si="70">SUM(D17:D18,D23:D24)+D62+D65+D78</f>
        <v>53560242</v>
      </c>
      <c r="E83" s="2">
        <f t="shared" si="70"/>
        <v>51796628</v>
      </c>
      <c r="F83" s="2">
        <f t="shared" si="70"/>
        <v>57364966</v>
      </c>
      <c r="G83" s="2">
        <f t="shared" si="70"/>
        <v>48727048</v>
      </c>
      <c r="H83" s="2">
        <f t="shared" si="70"/>
        <v>55362652</v>
      </c>
      <c r="I83" s="2">
        <f t="shared" si="70"/>
        <v>51296120</v>
      </c>
      <c r="J83" s="2">
        <f t="shared" si="70"/>
        <v>55623638</v>
      </c>
      <c r="K83" s="2">
        <f t="shared" si="70"/>
        <v>51847365</v>
      </c>
      <c r="L83" s="2">
        <f t="shared" si="70"/>
        <v>46942312</v>
      </c>
      <c r="M83" s="2">
        <f t="shared" si="70"/>
        <v>60615639.880000003</v>
      </c>
      <c r="N83" s="19">
        <f t="shared" si="70"/>
        <v>51351707.940000005</v>
      </c>
      <c r="O83" s="19">
        <f t="shared" si="70"/>
        <v>56664712.416000001</v>
      </c>
      <c r="P83" s="6">
        <f t="shared" si="67"/>
        <v>641153031.23600006</v>
      </c>
      <c r="Q83" s="2"/>
      <c r="S83" s="3">
        <f t="shared" ref="S83:AD83" si="71">SUM(S16:S27)+S62+S65+S78</f>
        <v>4685868.1097199991</v>
      </c>
      <c r="T83" s="3">
        <f t="shared" si="71"/>
        <v>4546465.75868</v>
      </c>
      <c r="U83" s="3">
        <f t="shared" si="71"/>
        <v>4936888.9601600002</v>
      </c>
      <c r="V83" s="3">
        <f t="shared" si="71"/>
        <v>4307892.5817799997</v>
      </c>
      <c r="W83" s="3">
        <f t="shared" si="71"/>
        <v>4791059.9310600003</v>
      </c>
      <c r="X83" s="3">
        <f t="shared" si="71"/>
        <v>4537930.9515199997</v>
      </c>
      <c r="Y83" s="3">
        <f t="shared" si="71"/>
        <v>4839901.0175400004</v>
      </c>
      <c r="Z83" s="3">
        <f t="shared" si="71"/>
        <v>4586089.1110699996</v>
      </c>
      <c r="AA83" s="3">
        <f t="shared" si="71"/>
        <v>4245355.5047399998</v>
      </c>
      <c r="AB83" s="3">
        <f t="shared" si="71"/>
        <v>5165287.5062763998</v>
      </c>
      <c r="AC83" s="24">
        <f t="shared" si="71"/>
        <v>4459362.3961215001</v>
      </c>
      <c r="AD83" s="24">
        <f t="shared" si="71"/>
        <v>4874652.6732644811</v>
      </c>
      <c r="AE83" s="3">
        <f t="shared" si="69"/>
        <v>55976754.501932383</v>
      </c>
      <c r="AF83" s="3">
        <f>AE82+AE83+AE86</f>
        <v>103283278.87392911</v>
      </c>
      <c r="AH83" t="s">
        <v>112</v>
      </c>
    </row>
    <row r="84" spans="1:34" x14ac:dyDescent="0.3">
      <c r="A84" t="s">
        <v>49</v>
      </c>
      <c r="D84" s="2">
        <f t="shared" ref="D84:O84" si="72">SUM(D29:D30)+D68</f>
        <v>31530725</v>
      </c>
      <c r="E84" s="2">
        <f t="shared" si="72"/>
        <v>28390236</v>
      </c>
      <c r="F84" s="2">
        <f t="shared" si="72"/>
        <v>30301225</v>
      </c>
      <c r="G84" s="2">
        <f t="shared" si="72"/>
        <v>27391541</v>
      </c>
      <c r="H84" s="2">
        <f t="shared" si="72"/>
        <v>27037663</v>
      </c>
      <c r="I84" s="2">
        <f t="shared" si="72"/>
        <v>28839154</v>
      </c>
      <c r="J84" s="2">
        <f t="shared" si="72"/>
        <v>24671920</v>
      </c>
      <c r="K84" s="2">
        <f t="shared" si="72"/>
        <v>28371977</v>
      </c>
      <c r="L84" s="2">
        <f t="shared" si="72"/>
        <v>26232642</v>
      </c>
      <c r="M84" s="2">
        <f t="shared" si="72"/>
        <v>27057277.98</v>
      </c>
      <c r="N84" s="19">
        <f t="shared" si="72"/>
        <v>27210200.399999999</v>
      </c>
      <c r="O84" s="19">
        <f t="shared" si="72"/>
        <v>27968597.48</v>
      </c>
      <c r="P84" s="6">
        <f t="shared" si="67"/>
        <v>335003158.86000001</v>
      </c>
      <c r="Q84" s="2"/>
      <c r="S84" s="3">
        <f t="shared" ref="S84:AD84" si="73">SUM(S28:S33)+S68</f>
        <v>1794527.8868500001</v>
      </c>
      <c r="T84" s="3">
        <f t="shared" si="73"/>
        <v>1636008.9705999999</v>
      </c>
      <c r="U84" s="3">
        <f t="shared" si="73"/>
        <v>1722313.91625</v>
      </c>
      <c r="V84" s="3">
        <f t="shared" si="73"/>
        <v>1549540.0048499999</v>
      </c>
      <c r="W84" s="3">
        <f t="shared" si="73"/>
        <v>1550354.1010400001</v>
      </c>
      <c r="X84" s="3">
        <f t="shared" si="73"/>
        <v>1651524.0564299999</v>
      </c>
      <c r="Y84" s="3">
        <f t="shared" si="73"/>
        <v>1412721.7295200001</v>
      </c>
      <c r="Z84" s="3">
        <f t="shared" si="73"/>
        <v>1644626.74991</v>
      </c>
      <c r="AA84" s="3">
        <f t="shared" si="73"/>
        <v>1518398.4357</v>
      </c>
      <c r="AB84" s="3">
        <f t="shared" si="73"/>
        <v>1552382.9653830002</v>
      </c>
      <c r="AC84" s="24">
        <f t="shared" si="73"/>
        <v>1579618.5383399997</v>
      </c>
      <c r="AD84" s="24">
        <f t="shared" si="73"/>
        <v>1609885.4244579996</v>
      </c>
      <c r="AE84" s="3">
        <f t="shared" si="69"/>
        <v>19221902.779331002</v>
      </c>
    </row>
    <row r="85" spans="1:34" x14ac:dyDescent="0.3">
      <c r="A85" t="s">
        <v>60</v>
      </c>
      <c r="D85" s="2">
        <f>SUM(D35)</f>
        <v>30746180</v>
      </c>
      <c r="E85" s="2">
        <f t="shared" ref="E85:O85" si="74">SUM(E35)</f>
        <v>28236920</v>
      </c>
      <c r="F85" s="2">
        <f t="shared" si="74"/>
        <v>34548090</v>
      </c>
      <c r="G85" s="2">
        <f t="shared" si="74"/>
        <v>31358080</v>
      </c>
      <c r="H85" s="2">
        <f t="shared" si="74"/>
        <v>40503800</v>
      </c>
      <c r="I85" s="2">
        <f t="shared" si="74"/>
        <v>35849850</v>
      </c>
      <c r="J85" s="2">
        <f t="shared" si="74"/>
        <v>36514220</v>
      </c>
      <c r="K85" s="2">
        <f t="shared" si="74"/>
        <v>36848440</v>
      </c>
      <c r="L85" s="2">
        <f t="shared" si="74"/>
        <v>35722940</v>
      </c>
      <c r="M85" s="2">
        <f t="shared" si="74"/>
        <v>48836220</v>
      </c>
      <c r="N85" s="19">
        <f t="shared" si="74"/>
        <v>49925160</v>
      </c>
      <c r="O85" s="19">
        <f t="shared" si="74"/>
        <v>39457050</v>
      </c>
      <c r="P85" s="6">
        <f t="shared" si="67"/>
        <v>448546950</v>
      </c>
      <c r="Q85" s="2"/>
      <c r="S85" s="3">
        <f>SUM(S34:S38)</f>
        <v>1640717.257</v>
      </c>
      <c r="T85" s="3">
        <f t="shared" ref="T85:AD85" si="75">SUM(T34:T38)</f>
        <v>1546214.558</v>
      </c>
      <c r="U85" s="3">
        <f t="shared" si="75"/>
        <v>1833382.1285000001</v>
      </c>
      <c r="V85" s="3">
        <f t="shared" si="75"/>
        <v>1625217.192</v>
      </c>
      <c r="W85" s="3">
        <f t="shared" si="75"/>
        <v>2079695.87</v>
      </c>
      <c r="X85" s="3">
        <f t="shared" si="75"/>
        <v>1880896.4525000001</v>
      </c>
      <c r="Y85" s="3">
        <f t="shared" si="75"/>
        <v>1909856.203</v>
      </c>
      <c r="Z85" s="3">
        <f t="shared" si="75"/>
        <v>1972578.406</v>
      </c>
      <c r="AA85" s="3">
        <f t="shared" si="75"/>
        <v>1852028.331</v>
      </c>
      <c r="AB85" s="3">
        <f t="shared" si="75"/>
        <v>2446419.503</v>
      </c>
      <c r="AC85" s="24">
        <f t="shared" si="75"/>
        <v>2502561.7340000002</v>
      </c>
      <c r="AD85" s="24">
        <f t="shared" si="75"/>
        <v>2094213.7324999999</v>
      </c>
      <c r="AE85" s="3">
        <f t="shared" si="69"/>
        <v>23383781.3675</v>
      </c>
      <c r="AF85" s="3">
        <f>AE84+AE85+AE87</f>
        <v>46278977.806831002</v>
      </c>
      <c r="AH85" t="s">
        <v>113</v>
      </c>
    </row>
    <row r="86" spans="1:34" x14ac:dyDescent="0.3">
      <c r="A86" t="s">
        <v>61</v>
      </c>
      <c r="D86" s="2">
        <f>SUM(D40:D42,D45:D47)+D71+D74</f>
        <v>3616845</v>
      </c>
      <c r="E86" s="2">
        <f t="shared" ref="E86:O86" si="76">SUM(E40:E42,E45:E47)+E71+E74</f>
        <v>4069982</v>
      </c>
      <c r="F86" s="2">
        <f t="shared" si="76"/>
        <v>3885624</v>
      </c>
      <c r="G86" s="2">
        <f t="shared" si="76"/>
        <v>3216910</v>
      </c>
      <c r="H86" s="2">
        <f t="shared" si="76"/>
        <v>3740098.9999999995</v>
      </c>
      <c r="I86" s="2">
        <f t="shared" si="76"/>
        <v>5592026.0000000009</v>
      </c>
      <c r="J86" s="2">
        <f t="shared" si="76"/>
        <v>9441789</v>
      </c>
      <c r="K86" s="2">
        <f t="shared" si="76"/>
        <v>10609561.999999998</v>
      </c>
      <c r="L86" s="2">
        <f t="shared" si="76"/>
        <v>8129961.9999999981</v>
      </c>
      <c r="M86" s="2">
        <f t="shared" si="76"/>
        <v>5487646.9500000002</v>
      </c>
      <c r="N86" s="19">
        <f t="shared" si="76"/>
        <v>2208247.5900000003</v>
      </c>
      <c r="O86" s="19">
        <f t="shared" si="76"/>
        <v>3427705.2779999999</v>
      </c>
      <c r="P86" s="6">
        <f t="shared" si="67"/>
        <v>63426398.818000004</v>
      </c>
      <c r="Q86" s="2"/>
      <c r="S86" s="3">
        <f>SUM(S39:S48)+S71+S74</f>
        <v>366975.12061114993</v>
      </c>
      <c r="T86" s="3">
        <f t="shared" ref="T86:AD86" si="77">SUM(T39:T48)+T71+T74</f>
        <v>410255.45459585002</v>
      </c>
      <c r="U86" s="3">
        <f t="shared" si="77"/>
        <v>393493.13868000003</v>
      </c>
      <c r="V86" s="3">
        <f t="shared" si="77"/>
        <v>330228.29433</v>
      </c>
      <c r="W86" s="3">
        <f t="shared" si="77"/>
        <v>381233.22813500004</v>
      </c>
      <c r="X86" s="3">
        <f t="shared" si="77"/>
        <v>559543.88317999989</v>
      </c>
      <c r="Y86" s="3">
        <f t="shared" si="77"/>
        <v>922164.87020999996</v>
      </c>
      <c r="Z86" s="3">
        <f t="shared" si="77"/>
        <v>1023472.2781700001</v>
      </c>
      <c r="AA86" s="3">
        <f t="shared" si="77"/>
        <v>789263.39733000007</v>
      </c>
      <c r="AB86" s="3">
        <f t="shared" si="77"/>
        <v>544444.23849179992</v>
      </c>
      <c r="AC86" s="24">
        <f t="shared" si="77"/>
        <v>234092.99893715</v>
      </c>
      <c r="AD86" s="24">
        <f t="shared" si="77"/>
        <v>351317.33301075996</v>
      </c>
      <c r="AE86" s="3">
        <f t="shared" si="69"/>
        <v>6306484.2356817098</v>
      </c>
    </row>
    <row r="87" spans="1:34" x14ac:dyDescent="0.3">
      <c r="A87" t="s">
        <v>51</v>
      </c>
      <c r="D87" s="2">
        <f t="shared" ref="D87:O87" si="78">D49</f>
        <v>1133746.5856000001</v>
      </c>
      <c r="E87" s="2">
        <f t="shared" si="78"/>
        <v>1035567.60075</v>
      </c>
      <c r="F87" s="2">
        <f t="shared" si="78"/>
        <v>1026604.6412900001</v>
      </c>
      <c r="G87" s="2">
        <f t="shared" si="78"/>
        <v>1044676.3414100001</v>
      </c>
      <c r="H87" s="2">
        <f t="shared" si="78"/>
        <v>1039567.4132199999</v>
      </c>
      <c r="I87" s="2">
        <f t="shared" si="78"/>
        <v>1036339.45091</v>
      </c>
      <c r="J87" s="2">
        <f t="shared" si="78"/>
        <v>1073266.5506399998</v>
      </c>
      <c r="K87" s="2">
        <f t="shared" si="78"/>
        <v>1000962.72603</v>
      </c>
      <c r="L87" s="2">
        <f t="shared" si="78"/>
        <v>927203.37058999995</v>
      </c>
      <c r="M87" s="2">
        <f t="shared" si="78"/>
        <v>1077151.07384</v>
      </c>
      <c r="N87" s="19">
        <f t="shared" si="78"/>
        <v>993627.72713999997</v>
      </c>
      <c r="O87" s="19">
        <f t="shared" si="78"/>
        <v>1047305.5267100001</v>
      </c>
      <c r="P87" s="6">
        <f t="shared" si="67"/>
        <v>12436019.008129999</v>
      </c>
      <c r="Q87" s="2"/>
      <c r="S87" s="3">
        <f t="shared" ref="S87:AD87" si="79">S49</f>
        <v>302237.24</v>
      </c>
      <c r="T87" s="3">
        <f t="shared" si="79"/>
        <v>308291.89</v>
      </c>
      <c r="U87" s="3">
        <f t="shared" si="79"/>
        <v>307462.62</v>
      </c>
      <c r="V87" s="3">
        <f t="shared" si="79"/>
        <v>303517.71999999997</v>
      </c>
      <c r="W87" s="3">
        <f t="shared" si="79"/>
        <v>305250.77</v>
      </c>
      <c r="X87" s="3">
        <f t="shared" si="79"/>
        <v>306758.16000000003</v>
      </c>
      <c r="Y87" s="3">
        <f t="shared" si="79"/>
        <v>306345.23</v>
      </c>
      <c r="Z87" s="3">
        <f t="shared" si="79"/>
        <v>306059.17000000004</v>
      </c>
      <c r="AA87" s="3">
        <f t="shared" si="79"/>
        <v>272129.44</v>
      </c>
      <c r="AB87" s="3">
        <f t="shared" si="79"/>
        <v>341216.33000000007</v>
      </c>
      <c r="AC87" s="24">
        <f t="shared" si="79"/>
        <v>304884.21999999997</v>
      </c>
      <c r="AD87" s="24">
        <f t="shared" si="79"/>
        <v>309140.86999999994</v>
      </c>
      <c r="AE87" s="3">
        <f t="shared" si="69"/>
        <v>3673293.66</v>
      </c>
    </row>
    <row r="88" spans="1:34" x14ac:dyDescent="0.3">
      <c r="A88" t="s">
        <v>52</v>
      </c>
      <c r="D88" s="8">
        <f>SUM(D81:D87)</f>
        <v>297295917.58559</v>
      </c>
      <c r="E88" s="8">
        <f t="shared" ref="E88:P88" si="80">SUM(E81:E87)</f>
        <v>252647494.60075</v>
      </c>
      <c r="F88" s="8">
        <f t="shared" si="80"/>
        <v>272000765.64129001</v>
      </c>
      <c r="G88" s="8">
        <f t="shared" si="80"/>
        <v>225746167.34141001</v>
      </c>
      <c r="H88" s="8">
        <f t="shared" si="80"/>
        <v>236224719.41321999</v>
      </c>
      <c r="I88" s="8">
        <f t="shared" si="80"/>
        <v>218661243.45091</v>
      </c>
      <c r="J88" s="8">
        <f t="shared" si="80"/>
        <v>246110605.55063999</v>
      </c>
      <c r="K88" s="8">
        <f t="shared" si="80"/>
        <v>235395388.72602999</v>
      </c>
      <c r="L88" s="8">
        <f t="shared" si="80"/>
        <v>208653261.37059</v>
      </c>
      <c r="M88" s="8">
        <f t="shared" si="80"/>
        <v>256050231.83283997</v>
      </c>
      <c r="N88" s="22">
        <f t="shared" si="80"/>
        <v>273945868.96613997</v>
      </c>
      <c r="O88" s="22">
        <f t="shared" si="80"/>
        <v>301929736.77771002</v>
      </c>
      <c r="P88" s="8">
        <f t="shared" si="80"/>
        <v>3024661401.2571201</v>
      </c>
      <c r="Q88" s="32"/>
      <c r="S88" s="7">
        <f>SUM(S81:S87)</f>
        <v>27221344.366620645</v>
      </c>
      <c r="T88" s="7">
        <f t="shared" ref="T88:AD88" si="81">SUM(T81:T87)</f>
        <v>23143104.082205847</v>
      </c>
      <c r="U88" s="7">
        <f t="shared" si="81"/>
        <v>24408498.257830001</v>
      </c>
      <c r="V88" s="7">
        <f t="shared" si="81"/>
        <v>20242355.77802648</v>
      </c>
      <c r="W88" s="7">
        <f t="shared" si="81"/>
        <v>20657629.123021763</v>
      </c>
      <c r="X88" s="7">
        <f t="shared" si="81"/>
        <v>19234935.68922944</v>
      </c>
      <c r="Y88" s="7">
        <f t="shared" si="81"/>
        <v>21911748.278133806</v>
      </c>
      <c r="Z88" s="7">
        <f t="shared" si="81"/>
        <v>20887612.17290676</v>
      </c>
      <c r="AA88" s="7">
        <f t="shared" si="81"/>
        <v>18457315.06692972</v>
      </c>
      <c r="AB88" s="7">
        <f t="shared" si="81"/>
        <v>22008438.300714374</v>
      </c>
      <c r="AC88" s="25">
        <f t="shared" si="81"/>
        <v>23982828.446300358</v>
      </c>
      <c r="AD88" s="25">
        <f t="shared" si="81"/>
        <v>27257969.350436322</v>
      </c>
      <c r="AE88" s="7">
        <f>SUM(AE81:AE87)</f>
        <v>269413778.91235554</v>
      </c>
      <c r="AF88" s="3">
        <f>SUM(AF81:AF86)</f>
        <v>269413778.91235554</v>
      </c>
    </row>
    <row r="90" spans="1:34" x14ac:dyDescent="0.3">
      <c r="A90" t="s">
        <v>54</v>
      </c>
      <c r="C90" t="s">
        <v>55</v>
      </c>
      <c r="R90" s="12" t="s">
        <v>56</v>
      </c>
    </row>
    <row r="91" spans="1:34" x14ac:dyDescent="0.3">
      <c r="A91" t="s">
        <v>46</v>
      </c>
      <c r="D91" s="2">
        <f t="shared" ref="D91:P91" si="82">D81/(D3)</f>
        <v>1318.7686253389647</v>
      </c>
      <c r="E91" s="2">
        <f t="shared" si="82"/>
        <v>1005.8153574564095</v>
      </c>
      <c r="F91" s="2">
        <f t="shared" si="82"/>
        <v>1052.272685224516</v>
      </c>
      <c r="G91" s="2">
        <f t="shared" si="82"/>
        <v>816.98880208825926</v>
      </c>
      <c r="H91" s="2">
        <f t="shared" si="82"/>
        <v>765.56016892179787</v>
      </c>
      <c r="I91" s="2">
        <f t="shared" si="82"/>
        <v>661.39744732500139</v>
      </c>
      <c r="J91" s="2">
        <f t="shared" si="82"/>
        <v>836.98390591441091</v>
      </c>
      <c r="K91" s="2">
        <f t="shared" si="82"/>
        <v>739.23586422087749</v>
      </c>
      <c r="L91" s="2">
        <f t="shared" si="82"/>
        <v>615.63631918914598</v>
      </c>
      <c r="M91" s="2">
        <f t="shared" si="82"/>
        <v>781.66746329071202</v>
      </c>
      <c r="N91" s="19">
        <f t="shared" si="82"/>
        <v>1033.7103887850642</v>
      </c>
      <c r="O91" s="19">
        <f t="shared" si="82"/>
        <v>1265.2545221741482</v>
      </c>
      <c r="P91" s="2">
        <f t="shared" si="82"/>
        <v>908.22606378627324</v>
      </c>
      <c r="S91" s="3">
        <f>S81/(D3)</f>
        <v>136.05367632538713</v>
      </c>
      <c r="T91" s="3">
        <f t="shared" ref="T91:AD91" si="83">T81/(E3)</f>
        <v>104.82007131408773</v>
      </c>
      <c r="U91" s="3">
        <f t="shared" si="83"/>
        <v>108.91867112583655</v>
      </c>
      <c r="V91" s="3">
        <f t="shared" si="83"/>
        <v>85.151063784591528</v>
      </c>
      <c r="W91" s="3">
        <f t="shared" si="83"/>
        <v>79.654992382516994</v>
      </c>
      <c r="X91" s="3">
        <f t="shared" si="83"/>
        <v>69.253732196324606</v>
      </c>
      <c r="Y91" s="3">
        <f t="shared" si="83"/>
        <v>86.29271947109973</v>
      </c>
      <c r="Z91" s="3">
        <f t="shared" si="83"/>
        <v>76.938663768248858</v>
      </c>
      <c r="AA91" s="3">
        <f t="shared" si="83"/>
        <v>64.796795960209479</v>
      </c>
      <c r="AB91" s="3">
        <f t="shared" si="83"/>
        <v>80.931734779626723</v>
      </c>
      <c r="AC91" s="24">
        <f t="shared" si="83"/>
        <v>106.41120525384261</v>
      </c>
      <c r="AD91" s="24">
        <f t="shared" si="83"/>
        <v>129.80217603316078</v>
      </c>
      <c r="AE91" s="3">
        <f>AE81/(P3)</f>
        <v>94.130244626825984</v>
      </c>
    </row>
    <row r="92" spans="1:34" x14ac:dyDescent="0.3">
      <c r="A92" t="s">
        <v>47</v>
      </c>
      <c r="D92" s="2">
        <f t="shared" ref="D92:P92" si="84">D82/(D6+D11)</f>
        <v>1758.8889730953961</v>
      </c>
      <c r="E92" s="2">
        <f t="shared" si="84"/>
        <v>1541.4862524253467</v>
      </c>
      <c r="F92" s="2">
        <f t="shared" si="84"/>
        <v>1575.4299731119393</v>
      </c>
      <c r="G92" s="2">
        <f t="shared" si="84"/>
        <v>1306.9223636277618</v>
      </c>
      <c r="H92" s="2">
        <f t="shared" si="84"/>
        <v>1308.5710302457467</v>
      </c>
      <c r="I92" s="2">
        <f t="shared" si="84"/>
        <v>1236.5684863873607</v>
      </c>
      <c r="J92" s="2">
        <f t="shared" si="84"/>
        <v>1426.7481885762679</v>
      </c>
      <c r="K92" s="2">
        <f t="shared" si="84"/>
        <v>1336.9329553973014</v>
      </c>
      <c r="L92" s="2">
        <f t="shared" si="84"/>
        <v>1182.0852080989876</v>
      </c>
      <c r="M92" s="2">
        <f t="shared" si="84"/>
        <v>1384.5750343907916</v>
      </c>
      <c r="N92" s="19">
        <f t="shared" si="84"/>
        <v>1477.8222258456362</v>
      </c>
      <c r="O92" s="19">
        <f t="shared" si="84"/>
        <v>1757.1094398843391</v>
      </c>
      <c r="P92" s="2">
        <f t="shared" si="84"/>
        <v>1441.0490408569983</v>
      </c>
      <c r="S92" s="3">
        <f t="shared" ref="S92:AE92" si="85">S82/(D6+D11)</f>
        <v>190.95802440268574</v>
      </c>
      <c r="T92" s="3">
        <f t="shared" si="85"/>
        <v>170.00530576404336</v>
      </c>
      <c r="U92" s="3">
        <f t="shared" si="85"/>
        <v>173.41489663852067</v>
      </c>
      <c r="V92" s="3">
        <f t="shared" si="85"/>
        <v>147.73134346721292</v>
      </c>
      <c r="W92" s="3">
        <f t="shared" si="85"/>
        <v>148.27938668604722</v>
      </c>
      <c r="X92" s="3">
        <f t="shared" si="85"/>
        <v>140.82485050263031</v>
      </c>
      <c r="Y92" s="3">
        <f t="shared" si="85"/>
        <v>159.98849224822632</v>
      </c>
      <c r="Z92" s="3">
        <f t="shared" si="85"/>
        <v>150.75681117066907</v>
      </c>
      <c r="AA92" s="3">
        <f t="shared" si="85"/>
        <v>135.38372376357893</v>
      </c>
      <c r="AB92" s="3">
        <f t="shared" si="85"/>
        <v>155.58740493223448</v>
      </c>
      <c r="AC92" s="24">
        <f t="shared" si="85"/>
        <v>164.19333746243609</v>
      </c>
      <c r="AD92" s="24">
        <f t="shared" si="85"/>
        <v>191.1442195249908</v>
      </c>
      <c r="AE92" s="3">
        <f t="shared" si="85"/>
        <v>160.68490949260857</v>
      </c>
    </row>
    <row r="93" spans="1:34" x14ac:dyDescent="0.3">
      <c r="A93" t="s">
        <v>48</v>
      </c>
      <c r="D93" s="2">
        <f t="shared" ref="D93:P93" si="86">D83/(D16+D22)</f>
        <v>46982.668421052629</v>
      </c>
      <c r="E93" s="2">
        <f t="shared" si="86"/>
        <v>46164.552584670229</v>
      </c>
      <c r="F93" s="2">
        <f t="shared" si="86"/>
        <v>50144.20104895105</v>
      </c>
      <c r="G93" s="2">
        <f t="shared" si="86"/>
        <v>42931.319823788544</v>
      </c>
      <c r="H93" s="2">
        <f t="shared" si="86"/>
        <v>48691.866314863677</v>
      </c>
      <c r="I93" s="2">
        <f t="shared" si="86"/>
        <v>45155.035211267605</v>
      </c>
      <c r="J93" s="2">
        <f t="shared" si="86"/>
        <v>49355.490683229815</v>
      </c>
      <c r="K93" s="2">
        <f t="shared" si="86"/>
        <v>45560.074692442882</v>
      </c>
      <c r="L93" s="2">
        <f t="shared" si="86"/>
        <v>41689.442273534638</v>
      </c>
      <c r="M93" s="2">
        <f t="shared" si="86"/>
        <v>53452.945220458554</v>
      </c>
      <c r="N93" s="19">
        <f t="shared" si="86"/>
        <v>46346.306805054155</v>
      </c>
      <c r="O93" s="19">
        <f t="shared" si="86"/>
        <v>50865.989601436268</v>
      </c>
      <c r="P93" s="2">
        <f t="shared" si="86"/>
        <v>47279.185254479766</v>
      </c>
      <c r="S93" s="3">
        <f t="shared" ref="S93:AE93" si="87">S83/(D16+D22)</f>
        <v>4110.4106225614023</v>
      </c>
      <c r="T93" s="3">
        <f t="shared" si="87"/>
        <v>4052.1085193226381</v>
      </c>
      <c r="U93" s="3">
        <f t="shared" si="87"/>
        <v>4315.4623777622382</v>
      </c>
      <c r="V93" s="3">
        <f t="shared" si="87"/>
        <v>3795.5000720528633</v>
      </c>
      <c r="W93" s="3">
        <f t="shared" si="87"/>
        <v>4213.7730264379952</v>
      </c>
      <c r="X93" s="3">
        <f t="shared" si="87"/>
        <v>3994.6575277464785</v>
      </c>
      <c r="Y93" s="3">
        <f t="shared" si="87"/>
        <v>4294.4995719077197</v>
      </c>
      <c r="Z93" s="3">
        <f t="shared" si="87"/>
        <v>4029.955282135325</v>
      </c>
      <c r="AA93" s="3">
        <f t="shared" si="87"/>
        <v>3770.2979615808167</v>
      </c>
      <c r="AB93" s="3">
        <f t="shared" si="87"/>
        <v>4554.9272542119925</v>
      </c>
      <c r="AC93" s="24">
        <f t="shared" si="87"/>
        <v>4024.6953033587547</v>
      </c>
      <c r="AD93" s="24">
        <f t="shared" si="87"/>
        <v>4375.8102991602163</v>
      </c>
      <c r="AE93" s="3">
        <f t="shared" si="87"/>
        <v>4127.774832382006</v>
      </c>
    </row>
    <row r="94" spans="1:34" x14ac:dyDescent="0.3">
      <c r="A94" t="s">
        <v>49</v>
      </c>
      <c r="D94" s="2">
        <f t="shared" ref="D94:P94" si="88">D84/(D28)</f>
        <v>2627560.4166666665</v>
      </c>
      <c r="E94" s="2">
        <f t="shared" si="88"/>
        <v>2580930.5454545454</v>
      </c>
      <c r="F94" s="2">
        <f t="shared" si="88"/>
        <v>2754656.8181818184</v>
      </c>
      <c r="G94" s="2">
        <f t="shared" si="88"/>
        <v>2490140.0909090908</v>
      </c>
      <c r="H94" s="2">
        <f t="shared" si="88"/>
        <v>2703766.3</v>
      </c>
      <c r="I94" s="2">
        <f t="shared" si="88"/>
        <v>2403262.8333333335</v>
      </c>
      <c r="J94" s="2">
        <f t="shared" si="88"/>
        <v>2467192</v>
      </c>
      <c r="K94" s="2">
        <f t="shared" si="88"/>
        <v>2364331.4166666665</v>
      </c>
      <c r="L94" s="2">
        <f t="shared" si="88"/>
        <v>2384785.6363636362</v>
      </c>
      <c r="M94" s="2">
        <f t="shared" si="88"/>
        <v>2459752.5436363635</v>
      </c>
      <c r="N94" s="19">
        <f t="shared" si="88"/>
        <v>2267516.6999999997</v>
      </c>
      <c r="O94" s="19">
        <f t="shared" si="88"/>
        <v>2330716.4566666665</v>
      </c>
      <c r="P94" s="2">
        <f t="shared" si="88"/>
        <v>2481504.8804444447</v>
      </c>
      <c r="S94" s="3">
        <f t="shared" ref="S94:AE94" si="89">S84/(D28)</f>
        <v>149543.99057083335</v>
      </c>
      <c r="T94" s="3">
        <f t="shared" si="89"/>
        <v>148728.08823636363</v>
      </c>
      <c r="U94" s="3">
        <f t="shared" si="89"/>
        <v>156573.99238636365</v>
      </c>
      <c r="V94" s="3">
        <f t="shared" si="89"/>
        <v>140867.2731681818</v>
      </c>
      <c r="W94" s="3">
        <f t="shared" si="89"/>
        <v>155035.41010400001</v>
      </c>
      <c r="X94" s="3">
        <f t="shared" si="89"/>
        <v>137627.00470249998</v>
      </c>
      <c r="Y94" s="3">
        <f t="shared" si="89"/>
        <v>141272.17295199999</v>
      </c>
      <c r="Z94" s="3">
        <f t="shared" si="89"/>
        <v>137052.22915916666</v>
      </c>
      <c r="AA94" s="3">
        <f t="shared" si="89"/>
        <v>138036.22142727274</v>
      </c>
      <c r="AB94" s="3">
        <f t="shared" si="89"/>
        <v>141125.72412572728</v>
      </c>
      <c r="AC94" s="24">
        <f t="shared" si="89"/>
        <v>131634.87819499997</v>
      </c>
      <c r="AD94" s="24">
        <f t="shared" si="89"/>
        <v>134157.11870483329</v>
      </c>
      <c r="AE94" s="3">
        <f t="shared" si="89"/>
        <v>142384.4650320815</v>
      </c>
    </row>
    <row r="95" spans="1:34" x14ac:dyDescent="0.3">
      <c r="A95" t="s">
        <v>60</v>
      </c>
      <c r="D95" s="2">
        <f>D85/(D34)</f>
        <v>30746180</v>
      </c>
      <c r="E95" s="2">
        <f t="shared" ref="E95:P95" si="90">E85/(E34)</f>
        <v>28236920</v>
      </c>
      <c r="F95" s="2">
        <f t="shared" si="90"/>
        <v>34548090</v>
      </c>
      <c r="G95" s="2">
        <f t="shared" si="90"/>
        <v>31358080</v>
      </c>
      <c r="H95" s="2">
        <f t="shared" si="90"/>
        <v>40503800</v>
      </c>
      <c r="I95" s="2">
        <f t="shared" si="90"/>
        <v>35849850</v>
      </c>
      <c r="J95" s="2">
        <f t="shared" si="90"/>
        <v>36514220</v>
      </c>
      <c r="K95" s="2">
        <f t="shared" si="90"/>
        <v>36848440</v>
      </c>
      <c r="L95" s="2">
        <f t="shared" si="90"/>
        <v>35722940</v>
      </c>
      <c r="M95" s="2">
        <f t="shared" si="90"/>
        <v>48836220</v>
      </c>
      <c r="N95" s="19">
        <f t="shared" si="90"/>
        <v>49925160</v>
      </c>
      <c r="O95" s="19">
        <f t="shared" si="90"/>
        <v>39457050</v>
      </c>
      <c r="P95" s="2">
        <f t="shared" si="90"/>
        <v>37378912.5</v>
      </c>
      <c r="S95" s="3">
        <f>S85/(D34)</f>
        <v>1640717.257</v>
      </c>
      <c r="T95" s="3">
        <f t="shared" ref="T95:AE95" si="91">T85/(E34)</f>
        <v>1546214.558</v>
      </c>
      <c r="U95" s="3">
        <f t="shared" si="91"/>
        <v>1833382.1285000001</v>
      </c>
      <c r="V95" s="3">
        <f t="shared" si="91"/>
        <v>1625217.192</v>
      </c>
      <c r="W95" s="3">
        <f t="shared" si="91"/>
        <v>2079695.87</v>
      </c>
      <c r="X95" s="3">
        <f t="shared" si="91"/>
        <v>1880896.4525000001</v>
      </c>
      <c r="Y95" s="3">
        <f t="shared" si="91"/>
        <v>1909856.203</v>
      </c>
      <c r="Z95" s="3">
        <f t="shared" si="91"/>
        <v>1972578.406</v>
      </c>
      <c r="AA95" s="3">
        <f t="shared" si="91"/>
        <v>1852028.331</v>
      </c>
      <c r="AB95" s="3">
        <f t="shared" si="91"/>
        <v>2446419.503</v>
      </c>
      <c r="AC95" s="24">
        <f t="shared" si="91"/>
        <v>2502561.7340000002</v>
      </c>
      <c r="AD95" s="24">
        <f t="shared" si="91"/>
        <v>2094213.7324999999</v>
      </c>
      <c r="AE95" s="3">
        <f t="shared" si="91"/>
        <v>1948648.4472916666</v>
      </c>
    </row>
    <row r="96" spans="1:34" x14ac:dyDescent="0.3">
      <c r="A96" t="s">
        <v>61</v>
      </c>
      <c r="D96" s="2">
        <f>D86/(D39+D44)</f>
        <v>2577.9365645046328</v>
      </c>
      <c r="E96" s="2">
        <f t="shared" ref="E96:P96" si="92">E86/(E39+E44)</f>
        <v>2876.3123674911662</v>
      </c>
      <c r="F96" s="2">
        <f t="shared" si="92"/>
        <v>2769.511047754811</v>
      </c>
      <c r="G96" s="2">
        <f t="shared" si="92"/>
        <v>2276.6525123849965</v>
      </c>
      <c r="H96" s="2">
        <f t="shared" si="92"/>
        <v>2673.4088634739096</v>
      </c>
      <c r="I96" s="2">
        <f t="shared" si="92"/>
        <v>3905.0460893854756</v>
      </c>
      <c r="J96" s="2">
        <f t="shared" si="92"/>
        <v>6734.514265335235</v>
      </c>
      <c r="K96" s="2">
        <f t="shared" si="92"/>
        <v>7503.2263083451189</v>
      </c>
      <c r="L96" s="2">
        <f t="shared" si="92"/>
        <v>5749.6195190947656</v>
      </c>
      <c r="M96" s="2">
        <f t="shared" si="92"/>
        <v>3897.4765269886366</v>
      </c>
      <c r="N96" s="19">
        <f t="shared" si="92"/>
        <v>1599.020702389573</v>
      </c>
      <c r="O96" s="19">
        <f t="shared" si="92"/>
        <v>2424.1197157001416</v>
      </c>
      <c r="P96" s="2">
        <f t="shared" si="92"/>
        <v>3753.4855496508467</v>
      </c>
      <c r="S96" s="3">
        <f>S86/(D39+D44)</f>
        <v>261.56459059953664</v>
      </c>
      <c r="T96" s="3">
        <f t="shared" ref="T96:AE96" si="93">T86/(E34+E39+E44)</f>
        <v>289.72842838689974</v>
      </c>
      <c r="U96" s="3">
        <f t="shared" si="93"/>
        <v>280.26576829059832</v>
      </c>
      <c r="V96" s="3">
        <f t="shared" si="93"/>
        <v>233.54193375530411</v>
      </c>
      <c r="W96" s="3">
        <f t="shared" si="93"/>
        <v>272.30944866785717</v>
      </c>
      <c r="X96" s="3">
        <f t="shared" si="93"/>
        <v>390.47026041870197</v>
      </c>
      <c r="Y96" s="3">
        <f t="shared" si="93"/>
        <v>657.28073429080541</v>
      </c>
      <c r="Z96" s="3">
        <f t="shared" si="93"/>
        <v>723.30196337102473</v>
      </c>
      <c r="AA96" s="3">
        <f t="shared" si="93"/>
        <v>557.78331966784458</v>
      </c>
      <c r="AB96" s="3">
        <f t="shared" si="93"/>
        <v>386.40471149169616</v>
      </c>
      <c r="AC96" s="24">
        <f t="shared" si="93"/>
        <v>169.38711934670766</v>
      </c>
      <c r="AD96" s="24">
        <f t="shared" si="93"/>
        <v>248.28080071431799</v>
      </c>
      <c r="AE96" s="3">
        <f t="shared" si="93"/>
        <v>372.94407070855766</v>
      </c>
    </row>
    <row r="97" spans="4:19" x14ac:dyDescent="0.3">
      <c r="D97" s="9"/>
      <c r="E97" s="9"/>
      <c r="F97" s="9"/>
      <c r="G97" s="9"/>
      <c r="H97" s="9"/>
      <c r="I97" s="9"/>
      <c r="J97" s="9"/>
      <c r="K97" s="9"/>
      <c r="L97" s="9"/>
      <c r="M97" s="9"/>
      <c r="N97" s="23"/>
      <c r="O97" s="23"/>
      <c r="S97" s="9"/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9" max="16383" man="1"/>
  </rowBreaks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zoomScale="83" zoomScaleNormal="83" workbookViewId="0">
      <pane xSplit="2" ySplit="2" topLeftCell="Y60" activePane="bottomRight" state="frozen"/>
      <selection pane="topRight" activeCell="C1" sqref="C1"/>
      <selection pane="bottomLeft" activeCell="A3" sqref="A3"/>
      <selection pane="bottomRight" activeCell="AO99" sqref="AO99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63</v>
      </c>
      <c r="R1" s="12" t="s">
        <v>117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64</v>
      </c>
      <c r="B3" t="s">
        <v>14</v>
      </c>
      <c r="D3" s="5">
        <v>156184</v>
      </c>
      <c r="E3" s="5">
        <v>156381</v>
      </c>
      <c r="F3" s="5">
        <v>156677</v>
      </c>
      <c r="G3" s="5">
        <v>156547</v>
      </c>
      <c r="H3" s="5">
        <v>156275</v>
      </c>
      <c r="I3" s="5">
        <v>156937</v>
      </c>
      <c r="J3" s="5">
        <v>156849</v>
      </c>
      <c r="K3" s="5">
        <v>157358</v>
      </c>
      <c r="L3" s="5">
        <v>157746</v>
      </c>
      <c r="M3" s="5">
        <v>158477</v>
      </c>
      <c r="N3" s="10">
        <v>159044</v>
      </c>
      <c r="O3" s="10">
        <v>159551</v>
      </c>
      <c r="P3" s="2">
        <f>SUM(D3:O3)</f>
        <v>1888026</v>
      </c>
      <c r="Q3" s="2">
        <v>13</v>
      </c>
      <c r="R3" s="13">
        <v>9.5</v>
      </c>
      <c r="S3" s="3">
        <f t="shared" ref="S3:AD12" si="0">$R3*D3</f>
        <v>1483748</v>
      </c>
      <c r="T3" s="3">
        <f t="shared" si="0"/>
        <v>1485619.5</v>
      </c>
      <c r="U3" s="3">
        <f t="shared" si="0"/>
        <v>1488431.5</v>
      </c>
      <c r="V3" s="3">
        <f t="shared" si="0"/>
        <v>1487196.5</v>
      </c>
      <c r="W3" s="3">
        <f t="shared" si="0"/>
        <v>1484612.5</v>
      </c>
      <c r="X3" s="3">
        <f t="shared" si="0"/>
        <v>1490901.5</v>
      </c>
      <c r="Y3" s="3">
        <f t="shared" si="0"/>
        <v>1490065.5</v>
      </c>
      <c r="Z3" s="3">
        <f t="shared" si="0"/>
        <v>1494901</v>
      </c>
      <c r="AA3" s="3">
        <f t="shared" si="0"/>
        <v>1498587</v>
      </c>
      <c r="AB3" s="3">
        <f t="shared" si="0"/>
        <v>1505531.5</v>
      </c>
      <c r="AC3" s="24">
        <f t="shared" si="0"/>
        <v>1510918</v>
      </c>
      <c r="AD3" s="24">
        <f t="shared" si="0"/>
        <v>1515734.5</v>
      </c>
      <c r="AE3" s="3">
        <f>SUM(S3:AD3)</f>
        <v>17936247</v>
      </c>
    </row>
    <row r="4" spans="1:31" x14ac:dyDescent="0.3">
      <c r="B4" t="s">
        <v>83</v>
      </c>
      <c r="D4" s="5">
        <v>10392121.18897</v>
      </c>
      <c r="E4" s="5">
        <v>10255536.783639999</v>
      </c>
      <c r="F4" s="5">
        <v>9816490.0422699992</v>
      </c>
      <c r="G4" s="5">
        <v>8652148.6232299991</v>
      </c>
      <c r="H4" s="5">
        <v>6535796.5976</v>
      </c>
      <c r="I4" s="5">
        <v>3410633.9300199999</v>
      </c>
      <c r="J4" s="5">
        <v>2095814.99869</v>
      </c>
      <c r="K4" s="5">
        <v>1830137.16968</v>
      </c>
      <c r="L4" s="5">
        <v>2174523.5023400001</v>
      </c>
      <c r="M4" s="5">
        <v>4785929.8937200001</v>
      </c>
      <c r="N4" s="10">
        <v>8577266.1139199995</v>
      </c>
      <c r="O4" s="10">
        <v>10049355.807879999</v>
      </c>
      <c r="P4" s="2">
        <f t="shared" ref="P4:P59" si="1">SUM(D4:O4)</f>
        <v>78575754.65196</v>
      </c>
      <c r="Q4" s="2">
        <f>IF(P4-P3*Q3&gt;0,P4-P3*Q3,0)</f>
        <v>54031416.65196</v>
      </c>
      <c r="R4" s="14">
        <v>0.63319000000000003</v>
      </c>
      <c r="S4" s="3">
        <f t="shared" si="0"/>
        <v>6580187.2156439144</v>
      </c>
      <c r="T4" s="3">
        <f t="shared" si="0"/>
        <v>6493703.3360330118</v>
      </c>
      <c r="U4" s="3">
        <f t="shared" si="0"/>
        <v>6215703.3298649406</v>
      </c>
      <c r="V4" s="3">
        <f t="shared" si="0"/>
        <v>5478453.9867430031</v>
      </c>
      <c r="W4" s="3">
        <f t="shared" si="0"/>
        <v>4138401.0476343441</v>
      </c>
      <c r="X4" s="3">
        <f t="shared" si="0"/>
        <v>2159579.2981493636</v>
      </c>
      <c r="Y4" s="3">
        <f t="shared" si="0"/>
        <v>1327049.0990205212</v>
      </c>
      <c r="Z4" s="3">
        <f t="shared" si="0"/>
        <v>1158824.5544696792</v>
      </c>
      <c r="AA4" s="3">
        <f t="shared" si="0"/>
        <v>1376886.5364466647</v>
      </c>
      <c r="AB4" s="3">
        <f t="shared" si="0"/>
        <v>3030402.949404567</v>
      </c>
      <c r="AC4" s="24">
        <f t="shared" si="0"/>
        <v>5431039.1306730043</v>
      </c>
      <c r="AD4" s="24">
        <f t="shared" si="0"/>
        <v>6363151.6039915374</v>
      </c>
      <c r="AE4" s="3">
        <f t="shared" ref="AE4:AE48" si="2">SUM(S4:AD4)</f>
        <v>49753382.088074557</v>
      </c>
    </row>
    <row r="5" spans="1:31" x14ac:dyDescent="0.3">
      <c r="B5" t="s">
        <v>84</v>
      </c>
      <c r="D5" s="5">
        <v>17663769.650029998</v>
      </c>
      <c r="E5" s="5">
        <v>12534750.32636</v>
      </c>
      <c r="F5" s="5">
        <v>7264059.9487300003</v>
      </c>
      <c r="G5" s="5">
        <v>2992774.6507700002</v>
      </c>
      <c r="H5" s="5">
        <v>1037161.3974</v>
      </c>
      <c r="I5" s="5">
        <v>208011.61098</v>
      </c>
      <c r="J5" s="5">
        <v>145969.76530999999</v>
      </c>
      <c r="K5" s="5">
        <v>113036.67332</v>
      </c>
      <c r="L5" s="5">
        <v>173874.82466000001</v>
      </c>
      <c r="M5" s="5">
        <v>483083.53415999998</v>
      </c>
      <c r="N5" s="10">
        <v>3211849.9834400001</v>
      </c>
      <c r="O5" s="10">
        <v>8162530.4835000001</v>
      </c>
      <c r="P5" s="2">
        <f t="shared" si="1"/>
        <v>53990872.848659992</v>
      </c>
      <c r="Q5" s="2">
        <f>IF(P4-P3*Q3&lt;0,P5+P4-P3*Q3,P5)</f>
        <v>53990872.848659992</v>
      </c>
      <c r="R5" s="14">
        <v>0.74324999999999997</v>
      </c>
      <c r="S5" s="3">
        <f t="shared" si="0"/>
        <v>13128596.792384796</v>
      </c>
      <c r="T5" s="3">
        <f t="shared" si="0"/>
        <v>9316453.1800670698</v>
      </c>
      <c r="U5" s="3">
        <f t="shared" si="0"/>
        <v>5399012.5568935722</v>
      </c>
      <c r="V5" s="3">
        <f t="shared" si="0"/>
        <v>2224379.7591848024</v>
      </c>
      <c r="W5" s="3">
        <f t="shared" si="0"/>
        <v>770870.20861754997</v>
      </c>
      <c r="X5" s="3">
        <f t="shared" si="0"/>
        <v>154604.629860885</v>
      </c>
      <c r="Y5" s="3">
        <f t="shared" si="0"/>
        <v>108492.02806665748</v>
      </c>
      <c r="Z5" s="3">
        <f t="shared" si="0"/>
        <v>84014.507445089999</v>
      </c>
      <c r="AA5" s="3">
        <f t="shared" si="0"/>
        <v>129232.463428545</v>
      </c>
      <c r="AB5" s="3">
        <f t="shared" si="0"/>
        <v>359051.83676441998</v>
      </c>
      <c r="AC5" s="24">
        <f t="shared" si="0"/>
        <v>2387207.5001917798</v>
      </c>
      <c r="AD5" s="24">
        <f t="shared" si="0"/>
        <v>6066800.7818613751</v>
      </c>
      <c r="AE5" s="3">
        <f t="shared" si="2"/>
        <v>40128716.244766541</v>
      </c>
    </row>
    <row r="6" spans="1:31" x14ac:dyDescent="0.3">
      <c r="A6" t="s">
        <v>65</v>
      </c>
      <c r="B6" t="s">
        <v>14</v>
      </c>
      <c r="D6" s="5">
        <v>241</v>
      </c>
      <c r="E6" s="5">
        <v>239</v>
      </c>
      <c r="F6" s="5">
        <v>242</v>
      </c>
      <c r="G6" s="5">
        <v>238</v>
      </c>
      <c r="H6" s="5">
        <v>235</v>
      </c>
      <c r="I6" s="5">
        <v>233</v>
      </c>
      <c r="J6" s="5">
        <v>231</v>
      </c>
      <c r="K6" s="5">
        <v>231</v>
      </c>
      <c r="L6" s="5">
        <v>227</v>
      </c>
      <c r="M6" s="5">
        <v>220</v>
      </c>
      <c r="N6" s="10">
        <v>211</v>
      </c>
      <c r="O6" s="10">
        <v>187</v>
      </c>
      <c r="P6" s="2">
        <f t="shared" si="1"/>
        <v>2735</v>
      </c>
      <c r="Q6" s="2"/>
      <c r="R6" s="13">
        <v>9.5</v>
      </c>
      <c r="S6" s="3">
        <f t="shared" si="0"/>
        <v>2289.5</v>
      </c>
      <c r="T6" s="3">
        <f t="shared" si="0"/>
        <v>2270.5</v>
      </c>
      <c r="U6" s="3">
        <f t="shared" si="0"/>
        <v>2299</v>
      </c>
      <c r="V6" s="3">
        <f t="shared" si="0"/>
        <v>2261</v>
      </c>
      <c r="W6" s="3">
        <f t="shared" si="0"/>
        <v>2232.5</v>
      </c>
      <c r="X6" s="3">
        <f t="shared" si="0"/>
        <v>2213.5</v>
      </c>
      <c r="Y6" s="3">
        <f t="shared" si="0"/>
        <v>2194.5</v>
      </c>
      <c r="Z6" s="3">
        <f t="shared" si="0"/>
        <v>2194.5</v>
      </c>
      <c r="AA6" s="3">
        <f t="shared" si="0"/>
        <v>2156.5</v>
      </c>
      <c r="AB6" s="3">
        <f t="shared" si="0"/>
        <v>2090</v>
      </c>
      <c r="AC6" s="24">
        <f t="shared" si="0"/>
        <v>2004.5</v>
      </c>
      <c r="AD6" s="24">
        <f t="shared" si="0"/>
        <v>1776.5</v>
      </c>
      <c r="AE6" s="3">
        <f t="shared" si="2"/>
        <v>25982.5</v>
      </c>
    </row>
    <row r="7" spans="1:31" x14ac:dyDescent="0.3">
      <c r="B7" t="s">
        <v>83</v>
      </c>
      <c r="D7" s="5">
        <v>16712.88</v>
      </c>
      <c r="E7" s="5">
        <v>16516.508000000002</v>
      </c>
      <c r="F7" s="5">
        <v>16140.58533</v>
      </c>
      <c r="G7" s="5">
        <v>14443.297</v>
      </c>
      <c r="H7" s="5">
        <v>10846.827670000001</v>
      </c>
      <c r="I7" s="5">
        <v>5250.9939999999997</v>
      </c>
      <c r="J7" s="5">
        <v>2669.9160000000002</v>
      </c>
      <c r="K7" s="5">
        <v>2166.1509999999998</v>
      </c>
      <c r="L7" s="5">
        <v>2784.6329999999998</v>
      </c>
      <c r="M7" s="5">
        <v>7421.1169</v>
      </c>
      <c r="N7" s="10">
        <v>12767.65444</v>
      </c>
      <c r="O7" s="10">
        <v>12685.16541</v>
      </c>
      <c r="P7" s="2">
        <f t="shared" si="1"/>
        <v>120405.72875000001</v>
      </c>
      <c r="Q7" s="2"/>
      <c r="R7" s="14">
        <v>0.22656000000000001</v>
      </c>
      <c r="S7" s="3">
        <f t="shared" si="0"/>
        <v>3786.4700928000002</v>
      </c>
      <c r="T7" s="3">
        <f t="shared" si="0"/>
        <v>3741.9800524800007</v>
      </c>
      <c r="U7" s="3">
        <f t="shared" si="0"/>
        <v>3656.8110123648003</v>
      </c>
      <c r="V7" s="3">
        <f t="shared" si="0"/>
        <v>3272.2733683200004</v>
      </c>
      <c r="W7" s="3">
        <f t="shared" si="0"/>
        <v>2457.4572769152001</v>
      </c>
      <c r="X7" s="3">
        <f t="shared" si="0"/>
        <v>1189.66520064</v>
      </c>
      <c r="Y7" s="3">
        <f t="shared" si="0"/>
        <v>604.89616896000007</v>
      </c>
      <c r="Z7" s="3">
        <f t="shared" si="0"/>
        <v>490.76317055999999</v>
      </c>
      <c r="AA7" s="3">
        <f t="shared" si="0"/>
        <v>630.88645248</v>
      </c>
      <c r="AB7" s="3">
        <f t="shared" si="0"/>
        <v>1681.328244864</v>
      </c>
      <c r="AC7" s="24">
        <f t="shared" si="0"/>
        <v>2892.6397899264002</v>
      </c>
      <c r="AD7" s="24">
        <f t="shared" si="0"/>
        <v>2873.9510752895999</v>
      </c>
      <c r="AE7" s="3">
        <f t="shared" si="2"/>
        <v>27279.121905600001</v>
      </c>
    </row>
    <row r="8" spans="1:31" x14ac:dyDescent="0.3">
      <c r="B8" t="s">
        <v>84</v>
      </c>
      <c r="D8" s="5">
        <v>25385.144</v>
      </c>
      <c r="E8" s="5">
        <v>17937.059000000001</v>
      </c>
      <c r="F8" s="5">
        <v>10465.00567</v>
      </c>
      <c r="G8" s="5">
        <v>4176.5110000000004</v>
      </c>
      <c r="H8" s="5">
        <v>1403.8233299999999</v>
      </c>
      <c r="I8" s="5">
        <v>242.68299999999999</v>
      </c>
      <c r="J8" s="5">
        <v>171.69800000000001</v>
      </c>
      <c r="K8" s="5">
        <v>149.929</v>
      </c>
      <c r="L8" s="5">
        <v>103.133</v>
      </c>
      <c r="M8" s="5">
        <v>544.69799999999998</v>
      </c>
      <c r="N8" s="10">
        <v>4073.1972500000002</v>
      </c>
      <c r="O8" s="10">
        <v>8996.6213900000002</v>
      </c>
      <c r="P8" s="2">
        <f t="shared" si="1"/>
        <v>73649.502639999992</v>
      </c>
      <c r="Q8" s="2"/>
      <c r="R8" s="14">
        <v>0.33661999999999997</v>
      </c>
      <c r="S8" s="3">
        <f t="shared" si="0"/>
        <v>8545.1471732800001</v>
      </c>
      <c r="T8" s="3">
        <f t="shared" si="0"/>
        <v>6037.9728005799998</v>
      </c>
      <c r="U8" s="3">
        <f t="shared" si="0"/>
        <v>3522.7302086353998</v>
      </c>
      <c r="V8" s="3">
        <f t="shared" si="0"/>
        <v>1405.89713282</v>
      </c>
      <c r="W8" s="3">
        <f t="shared" si="0"/>
        <v>472.55500934459997</v>
      </c>
      <c r="X8" s="3">
        <f t="shared" si="0"/>
        <v>81.691951459999999</v>
      </c>
      <c r="Y8" s="3">
        <f t="shared" si="0"/>
        <v>57.796980759999997</v>
      </c>
      <c r="Z8" s="3">
        <f t="shared" si="0"/>
        <v>50.469099979999996</v>
      </c>
      <c r="AA8" s="3">
        <f t="shared" si="0"/>
        <v>34.716630459999998</v>
      </c>
      <c r="AB8" s="3">
        <f t="shared" si="0"/>
        <v>183.35624075999999</v>
      </c>
      <c r="AC8" s="24">
        <f t="shared" si="0"/>
        <v>1371.1196582949999</v>
      </c>
      <c r="AD8" s="24">
        <f t="shared" si="0"/>
        <v>3028.4426923018</v>
      </c>
      <c r="AE8" s="3">
        <f t="shared" si="2"/>
        <v>24791.895578676798</v>
      </c>
    </row>
    <row r="9" spans="1:31" x14ac:dyDescent="0.3">
      <c r="A9" t="s">
        <v>66</v>
      </c>
      <c r="B9" t="s">
        <v>14</v>
      </c>
      <c r="D9" s="5">
        <v>2844</v>
      </c>
      <c r="E9" s="5">
        <v>2880</v>
      </c>
      <c r="F9" s="5">
        <v>2894</v>
      </c>
      <c r="G9" s="5">
        <v>2884</v>
      </c>
      <c r="H9" s="5">
        <v>2871</v>
      </c>
      <c r="I9" s="5">
        <v>2921</v>
      </c>
      <c r="J9" s="5">
        <v>2888</v>
      </c>
      <c r="K9" s="5">
        <v>2912</v>
      </c>
      <c r="L9" s="5">
        <v>2896</v>
      </c>
      <c r="M9" s="5">
        <v>2903</v>
      </c>
      <c r="N9" s="10">
        <v>2911</v>
      </c>
      <c r="O9" s="10">
        <v>2950</v>
      </c>
      <c r="P9" s="2">
        <f t="shared" si="1"/>
        <v>34754</v>
      </c>
      <c r="Q9" s="2">
        <v>522</v>
      </c>
      <c r="R9" s="13">
        <v>97.25</v>
      </c>
      <c r="S9" s="3">
        <f t="shared" si="0"/>
        <v>276579</v>
      </c>
      <c r="T9" s="3">
        <f t="shared" si="0"/>
        <v>280080</v>
      </c>
      <c r="U9" s="3">
        <f t="shared" si="0"/>
        <v>281441.5</v>
      </c>
      <c r="V9" s="3">
        <f t="shared" si="0"/>
        <v>280469</v>
      </c>
      <c r="W9" s="3">
        <f t="shared" si="0"/>
        <v>279204.75</v>
      </c>
      <c r="X9" s="3">
        <f t="shared" si="0"/>
        <v>284067.25</v>
      </c>
      <c r="Y9" s="3">
        <f t="shared" si="0"/>
        <v>280858</v>
      </c>
      <c r="Z9" s="3">
        <f t="shared" si="0"/>
        <v>283192</v>
      </c>
      <c r="AA9" s="3">
        <f t="shared" si="0"/>
        <v>281636</v>
      </c>
      <c r="AB9" s="3">
        <f t="shared" si="0"/>
        <v>282316.75</v>
      </c>
      <c r="AC9" s="24">
        <f t="shared" si="0"/>
        <v>283094.75</v>
      </c>
      <c r="AD9" s="24">
        <f t="shared" si="0"/>
        <v>286887.5</v>
      </c>
      <c r="AE9" s="3">
        <f t="shared" si="2"/>
        <v>3379826.5</v>
      </c>
    </row>
    <row r="10" spans="1:31" x14ac:dyDescent="0.3">
      <c r="B10" t="s">
        <v>83</v>
      </c>
      <c r="D10" s="5">
        <v>562490.76333999995</v>
      </c>
      <c r="E10" s="5">
        <v>567925.78564000002</v>
      </c>
      <c r="F10" s="5">
        <v>567922.96331000002</v>
      </c>
      <c r="G10" s="5">
        <v>563632.77434</v>
      </c>
      <c r="H10" s="5">
        <v>548144.32666999998</v>
      </c>
      <c r="I10" s="5">
        <v>479890.64899000002</v>
      </c>
      <c r="J10" s="5">
        <v>384302.00933999999</v>
      </c>
      <c r="K10" s="5">
        <v>357453.94199000002</v>
      </c>
      <c r="L10" s="5">
        <v>394306.80001000001</v>
      </c>
      <c r="M10" s="5">
        <v>511313.58470000001</v>
      </c>
      <c r="N10" s="10">
        <v>564758.97941000003</v>
      </c>
      <c r="O10" s="10">
        <v>578275.73733999999</v>
      </c>
      <c r="P10" s="2">
        <f t="shared" si="1"/>
        <v>6080418.3150800001</v>
      </c>
      <c r="Q10" s="2">
        <f>IF(P10-P9*Q9&gt;0,P10-P9*Q9,0)</f>
        <v>0</v>
      </c>
      <c r="R10" s="14">
        <v>0.25618000000000002</v>
      </c>
      <c r="S10" s="3">
        <f t="shared" si="0"/>
        <v>144098.88375244121</v>
      </c>
      <c r="T10" s="3">
        <f t="shared" si="0"/>
        <v>145491.22776525523</v>
      </c>
      <c r="U10" s="3">
        <f t="shared" si="0"/>
        <v>145490.50474075583</v>
      </c>
      <c r="V10" s="3">
        <f t="shared" si="0"/>
        <v>144391.44413042121</v>
      </c>
      <c r="W10" s="3">
        <f t="shared" si="0"/>
        <v>140423.61360632061</v>
      </c>
      <c r="X10" s="3">
        <f t="shared" si="0"/>
        <v>122938.38645825822</v>
      </c>
      <c r="Y10" s="3">
        <f t="shared" si="0"/>
        <v>98450.488752721198</v>
      </c>
      <c r="Z10" s="3">
        <f t="shared" si="0"/>
        <v>91572.550858998206</v>
      </c>
      <c r="AA10" s="3">
        <f t="shared" si="0"/>
        <v>101013.5160265618</v>
      </c>
      <c r="AB10" s="3">
        <f t="shared" si="0"/>
        <v>130988.31412844601</v>
      </c>
      <c r="AC10" s="24">
        <f t="shared" si="0"/>
        <v>144679.95534525381</v>
      </c>
      <c r="AD10" s="24">
        <f t="shared" si="0"/>
        <v>148142.6783917612</v>
      </c>
      <c r="AE10" s="3">
        <f t="shared" si="2"/>
        <v>1557681.5639571943</v>
      </c>
    </row>
    <row r="11" spans="1:31" x14ac:dyDescent="0.3">
      <c r="B11" t="s">
        <v>84</v>
      </c>
      <c r="D11" s="5">
        <v>2055201.82599</v>
      </c>
      <c r="E11" s="5">
        <v>2018409.65004</v>
      </c>
      <c r="F11" s="5">
        <v>1892013.35937</v>
      </c>
      <c r="G11" s="5">
        <v>1651582.2413300001</v>
      </c>
      <c r="H11" s="5">
        <v>1305566.76633</v>
      </c>
      <c r="I11" s="5">
        <v>844459.28833999997</v>
      </c>
      <c r="J11" s="5">
        <v>586747.73465999996</v>
      </c>
      <c r="K11" s="5">
        <v>523132.73334999999</v>
      </c>
      <c r="L11" s="5">
        <v>611165.64632000006</v>
      </c>
      <c r="M11" s="5">
        <v>995257.38622999995</v>
      </c>
      <c r="N11" s="10">
        <v>1624628.5019700001</v>
      </c>
      <c r="O11" s="10">
        <v>1959462.6312899999</v>
      </c>
      <c r="P11" s="2">
        <f t="shared" si="1"/>
        <v>16067627.765219999</v>
      </c>
      <c r="Q11" s="2">
        <f>IF(P10+P11-P9*Q9&gt;0,P11+P10-P9*Q9,0)</f>
        <v>4006458.0802999996</v>
      </c>
      <c r="R11" s="14">
        <v>0.58972000000000002</v>
      </c>
      <c r="S11" s="3">
        <f t="shared" si="0"/>
        <v>1211993.6208228229</v>
      </c>
      <c r="T11" s="3">
        <f t="shared" si="0"/>
        <v>1190296.5388215887</v>
      </c>
      <c r="U11" s="3">
        <f t="shared" si="0"/>
        <v>1115758.1182876765</v>
      </c>
      <c r="V11" s="3">
        <f t="shared" si="0"/>
        <v>973971.07935712766</v>
      </c>
      <c r="W11" s="3">
        <f t="shared" si="0"/>
        <v>769918.83344012767</v>
      </c>
      <c r="X11" s="3">
        <f t="shared" si="0"/>
        <v>497994.5315198648</v>
      </c>
      <c r="Y11" s="3">
        <f t="shared" si="0"/>
        <v>346016.87408369518</v>
      </c>
      <c r="Z11" s="3">
        <f t="shared" si="0"/>
        <v>308501.835511162</v>
      </c>
      <c r="AA11" s="3">
        <f t="shared" si="0"/>
        <v>360416.60494783043</v>
      </c>
      <c r="AB11" s="3">
        <f t="shared" si="0"/>
        <v>586923.18580755556</v>
      </c>
      <c r="AC11" s="24">
        <f t="shared" si="0"/>
        <v>958075.92018174846</v>
      </c>
      <c r="AD11" s="24">
        <f t="shared" si="0"/>
        <v>1155534.3029243387</v>
      </c>
      <c r="AE11" s="3">
        <f t="shared" si="2"/>
        <v>9475401.4457055386</v>
      </c>
    </row>
    <row r="12" spans="1:31" x14ac:dyDescent="0.3">
      <c r="B12" t="s">
        <v>85</v>
      </c>
      <c r="D12" s="5">
        <v>6826544.0466700001</v>
      </c>
      <c r="E12" s="5">
        <v>5621592.3033199999</v>
      </c>
      <c r="F12" s="5">
        <v>3985560.6633199998</v>
      </c>
      <c r="G12" s="5">
        <v>2435747.7203299999</v>
      </c>
      <c r="H12" s="5">
        <v>1476153.7439999999</v>
      </c>
      <c r="I12" s="5">
        <v>821248.40266999998</v>
      </c>
      <c r="J12" s="5">
        <v>510138.549</v>
      </c>
      <c r="K12" s="5">
        <v>461797.12666000001</v>
      </c>
      <c r="L12" s="5">
        <v>680228.72667</v>
      </c>
      <c r="M12" s="5">
        <v>955014.94556999998</v>
      </c>
      <c r="N12" s="10">
        <v>2391659.20897</v>
      </c>
      <c r="O12" s="10">
        <v>3959283.9188600001</v>
      </c>
      <c r="P12" s="2">
        <f t="shared" si="1"/>
        <v>30124969.356039997</v>
      </c>
      <c r="Q12" s="2">
        <f>P12</f>
        <v>30124969.356039997</v>
      </c>
      <c r="R12" s="14">
        <v>0.51041999999999998</v>
      </c>
      <c r="S12" s="3">
        <f t="shared" si="0"/>
        <v>3484404.6123013012</v>
      </c>
      <c r="T12" s="3">
        <f t="shared" ref="T12" si="3">$R12*E12</f>
        <v>2869373.1434605941</v>
      </c>
      <c r="U12" s="3">
        <f t="shared" ref="U12" si="4">$R12*F12</f>
        <v>2034309.8737717941</v>
      </c>
      <c r="V12" s="3">
        <f t="shared" ref="V12" si="5">$R12*G12</f>
        <v>1243254.3514108385</v>
      </c>
      <c r="W12" s="3">
        <f t="shared" ref="W12" si="6">$R12*H12</f>
        <v>753458.39401247993</v>
      </c>
      <c r="X12" s="3">
        <f t="shared" ref="X12" si="7">$R12*I12</f>
        <v>419181.60969082138</v>
      </c>
      <c r="Y12" s="3">
        <f t="shared" ref="Y12" si="8">$R12*J12</f>
        <v>260384.91818057999</v>
      </c>
      <c r="Z12" s="3">
        <f t="shared" ref="Z12" si="9">$R12*K12</f>
        <v>235710.48938979721</v>
      </c>
      <c r="AA12" s="3">
        <f t="shared" ref="AA12" si="10">$R12*L12</f>
        <v>347202.34666690137</v>
      </c>
      <c r="AB12" s="3">
        <f t="shared" ref="AB12" si="11">$R12*M12</f>
        <v>487458.72851783939</v>
      </c>
      <c r="AC12" s="24">
        <f t="shared" ref="AC12" si="12">$R12*N12</f>
        <v>1220750.6934424674</v>
      </c>
      <c r="AD12" s="24">
        <f t="shared" ref="AD12" si="13">$R12*O12</f>
        <v>2020897.6978645213</v>
      </c>
      <c r="AE12" s="3">
        <f t="shared" si="2"/>
        <v>15376386.858709933</v>
      </c>
    </row>
    <row r="13" spans="1:31" x14ac:dyDescent="0.3">
      <c r="A13" t="s">
        <v>67</v>
      </c>
      <c r="B13" t="s">
        <v>14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10">
        <v>12</v>
      </c>
      <c r="O13" s="10">
        <v>1</v>
      </c>
      <c r="P13" s="2">
        <f t="shared" si="1"/>
        <v>13</v>
      </c>
      <c r="Q13" s="2"/>
      <c r="R13" s="13">
        <v>97.25</v>
      </c>
      <c r="S13" s="3">
        <f t="shared" ref="S13:AD15" si="14">$R13*D13</f>
        <v>0</v>
      </c>
      <c r="T13" s="3">
        <f t="shared" si="14"/>
        <v>0</v>
      </c>
      <c r="U13" s="3">
        <f t="shared" si="14"/>
        <v>0</v>
      </c>
      <c r="V13" s="3">
        <f t="shared" si="14"/>
        <v>0</v>
      </c>
      <c r="W13" s="3">
        <f t="shared" si="14"/>
        <v>0</v>
      </c>
      <c r="X13" s="3">
        <f t="shared" si="14"/>
        <v>0</v>
      </c>
      <c r="Y13" s="3">
        <f t="shared" si="14"/>
        <v>0</v>
      </c>
      <c r="Z13" s="3">
        <f t="shared" si="14"/>
        <v>0</v>
      </c>
      <c r="AA13" s="3">
        <f t="shared" si="14"/>
        <v>0</v>
      </c>
      <c r="AB13" s="3">
        <f t="shared" si="14"/>
        <v>0</v>
      </c>
      <c r="AC13" s="24">
        <f t="shared" si="14"/>
        <v>1167</v>
      </c>
      <c r="AD13" s="24">
        <f t="shared" si="14"/>
        <v>97.25</v>
      </c>
      <c r="AE13" s="3">
        <f t="shared" si="2"/>
        <v>1264.25</v>
      </c>
    </row>
    <row r="14" spans="1:31" x14ac:dyDescent="0.3">
      <c r="B14" t="s">
        <v>83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10">
        <v>2400</v>
      </c>
      <c r="O14" s="10">
        <v>200</v>
      </c>
      <c r="P14" s="2">
        <f t="shared" si="1"/>
        <v>2600</v>
      </c>
      <c r="Q14" s="2"/>
      <c r="R14" s="14">
        <v>0.29548999999999997</v>
      </c>
      <c r="S14" s="3">
        <f t="shared" si="14"/>
        <v>0</v>
      </c>
      <c r="T14" s="3">
        <f t="shared" si="14"/>
        <v>0</v>
      </c>
      <c r="U14" s="3">
        <f t="shared" si="14"/>
        <v>0</v>
      </c>
      <c r="V14" s="3">
        <f t="shared" si="14"/>
        <v>0</v>
      </c>
      <c r="W14" s="3">
        <f t="shared" si="14"/>
        <v>0</v>
      </c>
      <c r="X14" s="3">
        <f t="shared" si="14"/>
        <v>0</v>
      </c>
      <c r="Y14" s="3">
        <f t="shared" si="14"/>
        <v>0</v>
      </c>
      <c r="Z14" s="3">
        <f t="shared" si="14"/>
        <v>0</v>
      </c>
      <c r="AA14" s="3">
        <f t="shared" si="14"/>
        <v>0</v>
      </c>
      <c r="AB14" s="3">
        <f t="shared" si="14"/>
        <v>0</v>
      </c>
      <c r="AC14" s="24">
        <f t="shared" si="14"/>
        <v>709.17599999999993</v>
      </c>
      <c r="AD14" s="24">
        <f t="shared" si="14"/>
        <v>59.097999999999992</v>
      </c>
      <c r="AE14" s="3">
        <f t="shared" si="2"/>
        <v>768.27399999999989</v>
      </c>
    </row>
    <row r="15" spans="1:31" x14ac:dyDescent="0.3">
      <c r="B15" t="s">
        <v>84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>
        <v>9600</v>
      </c>
      <c r="O15" s="10">
        <v>800</v>
      </c>
      <c r="P15" s="2">
        <f t="shared" si="1"/>
        <v>10400</v>
      </c>
      <c r="Q15" s="2"/>
      <c r="R15" s="14">
        <v>0.62902999999999998</v>
      </c>
      <c r="S15" s="3">
        <f t="shared" si="14"/>
        <v>0</v>
      </c>
      <c r="T15" s="3">
        <f t="shared" si="14"/>
        <v>0</v>
      </c>
      <c r="U15" s="3">
        <f t="shared" si="14"/>
        <v>0</v>
      </c>
      <c r="V15" s="3">
        <f t="shared" si="14"/>
        <v>0</v>
      </c>
      <c r="W15" s="3">
        <f t="shared" si="14"/>
        <v>0</v>
      </c>
      <c r="X15" s="3">
        <f t="shared" si="14"/>
        <v>0</v>
      </c>
      <c r="Y15" s="3">
        <f t="shared" si="14"/>
        <v>0</v>
      </c>
      <c r="Z15" s="3">
        <f t="shared" si="14"/>
        <v>0</v>
      </c>
      <c r="AA15" s="3">
        <f t="shared" si="14"/>
        <v>0</v>
      </c>
      <c r="AB15" s="3">
        <f t="shared" si="14"/>
        <v>0</v>
      </c>
      <c r="AC15" s="24">
        <f t="shared" si="14"/>
        <v>6038.6880000000001</v>
      </c>
      <c r="AD15" s="24">
        <f t="shared" si="14"/>
        <v>503.22399999999999</v>
      </c>
      <c r="AE15" s="3">
        <f t="shared" si="2"/>
        <v>6541.9120000000003</v>
      </c>
    </row>
    <row r="16" spans="1:31" x14ac:dyDescent="0.3">
      <c r="B16" t="s">
        <v>85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>
        <v>130262.78599999999</v>
      </c>
      <c r="O16" s="10">
        <v>18606.281999999999</v>
      </c>
      <c r="P16" s="2">
        <f t="shared" si="1"/>
        <v>148869.068</v>
      </c>
      <c r="Q16" s="2"/>
      <c r="R16" s="14">
        <v>0.54973000000000005</v>
      </c>
      <c r="S16" s="3">
        <f t="shared" ref="S16" si="15">$R16*D16</f>
        <v>0</v>
      </c>
      <c r="T16" s="3">
        <f t="shared" ref="T16" si="16">$R16*E16</f>
        <v>0</v>
      </c>
      <c r="U16" s="3">
        <f t="shared" ref="U16" si="17">$R16*F16</f>
        <v>0</v>
      </c>
      <c r="V16" s="3">
        <f t="shared" ref="V16" si="18">$R16*G16</f>
        <v>0</v>
      </c>
      <c r="W16" s="3">
        <f t="shared" ref="W16" si="19">$R16*H16</f>
        <v>0</v>
      </c>
      <c r="X16" s="3">
        <f t="shared" ref="X16" si="20">$R16*I16</f>
        <v>0</v>
      </c>
      <c r="Y16" s="3">
        <f t="shared" ref="Y16" si="21">$R16*J16</f>
        <v>0</v>
      </c>
      <c r="Z16" s="3">
        <f t="shared" ref="Z16" si="22">$R16*K16</f>
        <v>0</v>
      </c>
      <c r="AA16" s="3">
        <f t="shared" ref="AA16" si="23">$R16*L16</f>
        <v>0</v>
      </c>
      <c r="AB16" s="3">
        <f t="shared" ref="AB16" si="24">$R16*M16</f>
        <v>0</v>
      </c>
      <c r="AC16" s="24">
        <f t="shared" ref="AC16" si="25">$R16*N16</f>
        <v>71609.36134778001</v>
      </c>
      <c r="AD16" s="24">
        <f t="shared" ref="AD16" si="26">$R16*O16</f>
        <v>10228.431403860001</v>
      </c>
      <c r="AE16" s="3">
        <f t="shared" si="2"/>
        <v>81837.792751640009</v>
      </c>
    </row>
    <row r="17" spans="1:31" x14ac:dyDescent="0.3">
      <c r="A17" t="s">
        <v>68</v>
      </c>
      <c r="B17" t="s">
        <v>14</v>
      </c>
      <c r="D17" s="5">
        <v>22</v>
      </c>
      <c r="E17" s="5">
        <v>22</v>
      </c>
      <c r="F17" s="5">
        <v>22</v>
      </c>
      <c r="G17" s="5">
        <v>22</v>
      </c>
      <c r="H17" s="5">
        <v>25</v>
      </c>
      <c r="I17" s="5">
        <v>25</v>
      </c>
      <c r="J17" s="5">
        <v>25</v>
      </c>
      <c r="K17" s="5">
        <v>25</v>
      </c>
      <c r="L17" s="5">
        <v>24</v>
      </c>
      <c r="M17" s="5">
        <v>24</v>
      </c>
      <c r="N17" s="10">
        <v>25</v>
      </c>
      <c r="O17" s="10">
        <v>-2</v>
      </c>
      <c r="P17" s="2">
        <f t="shared" si="1"/>
        <v>259</v>
      </c>
      <c r="Q17" s="2">
        <v>10807</v>
      </c>
      <c r="R17" s="13">
        <v>240.44</v>
      </c>
      <c r="S17" s="3">
        <f t="shared" ref="S17:AD19" si="27">$R17*D17</f>
        <v>5289.68</v>
      </c>
      <c r="T17" s="3">
        <f t="shared" si="27"/>
        <v>5289.68</v>
      </c>
      <c r="U17" s="3">
        <f t="shared" si="27"/>
        <v>5289.68</v>
      </c>
      <c r="V17" s="3">
        <f t="shared" si="27"/>
        <v>5289.68</v>
      </c>
      <c r="W17" s="3">
        <f t="shared" si="27"/>
        <v>6011</v>
      </c>
      <c r="X17" s="3">
        <f t="shared" si="27"/>
        <v>6011</v>
      </c>
      <c r="Y17" s="3">
        <f t="shared" si="27"/>
        <v>6011</v>
      </c>
      <c r="Z17" s="3">
        <f t="shared" si="27"/>
        <v>6011</v>
      </c>
      <c r="AA17" s="3">
        <f t="shared" si="27"/>
        <v>5770.5599999999995</v>
      </c>
      <c r="AB17" s="3">
        <f t="shared" si="27"/>
        <v>5770.5599999999995</v>
      </c>
      <c r="AC17" s="24">
        <f t="shared" si="27"/>
        <v>6011</v>
      </c>
      <c r="AD17" s="24">
        <f t="shared" si="27"/>
        <v>-480.88</v>
      </c>
      <c r="AE17" s="3">
        <f t="shared" si="2"/>
        <v>62273.96</v>
      </c>
    </row>
    <row r="18" spans="1:31" x14ac:dyDescent="0.3">
      <c r="B18" t="s">
        <v>83</v>
      </c>
      <c r="D18" s="5">
        <v>10600</v>
      </c>
      <c r="E18" s="5">
        <v>10500</v>
      </c>
      <c r="F18" s="5">
        <v>10416.666670000001</v>
      </c>
      <c r="G18" s="5">
        <v>10500</v>
      </c>
      <c r="H18" s="5">
        <v>12000</v>
      </c>
      <c r="I18" s="5">
        <v>11941.584999999999</v>
      </c>
      <c r="J18" s="5">
        <v>11792.08</v>
      </c>
      <c r="K18" s="5">
        <v>11687.59</v>
      </c>
      <c r="L18" s="5">
        <v>11600</v>
      </c>
      <c r="M18" s="5">
        <v>11530.199000000001</v>
      </c>
      <c r="N18" s="10">
        <v>11933.333329999999</v>
      </c>
      <c r="O18" s="10">
        <v>5000</v>
      </c>
      <c r="P18" s="2">
        <f t="shared" si="1"/>
        <v>129501.454</v>
      </c>
      <c r="Q18" s="2">
        <f>IF(P18-P17*Q17&gt;0,P18-P17*Q17,0)</f>
        <v>0</v>
      </c>
      <c r="R18" s="14">
        <v>0.29243999999999998</v>
      </c>
      <c r="S18" s="3">
        <f t="shared" si="27"/>
        <v>3099.8639999999996</v>
      </c>
      <c r="T18" s="3">
        <f t="shared" si="27"/>
        <v>3070.62</v>
      </c>
      <c r="U18" s="3">
        <f t="shared" si="27"/>
        <v>3046.2500009748001</v>
      </c>
      <c r="V18" s="3">
        <f t="shared" si="27"/>
        <v>3070.62</v>
      </c>
      <c r="W18" s="3">
        <f t="shared" si="27"/>
        <v>3509.2799999999997</v>
      </c>
      <c r="X18" s="3">
        <f t="shared" si="27"/>
        <v>3492.1971173999996</v>
      </c>
      <c r="Y18" s="3">
        <f t="shared" si="27"/>
        <v>3448.4758751999998</v>
      </c>
      <c r="Z18" s="3">
        <f t="shared" si="27"/>
        <v>3417.9188196</v>
      </c>
      <c r="AA18" s="3">
        <f t="shared" si="27"/>
        <v>3392.3039999999996</v>
      </c>
      <c r="AB18" s="3">
        <f t="shared" si="27"/>
        <v>3371.8913955600001</v>
      </c>
      <c r="AC18" s="24">
        <f t="shared" si="27"/>
        <v>3489.7839990251996</v>
      </c>
      <c r="AD18" s="24">
        <f t="shared" si="27"/>
        <v>1462.1999999999998</v>
      </c>
      <c r="AE18" s="3">
        <f t="shared" si="2"/>
        <v>37871.405207759992</v>
      </c>
    </row>
    <row r="19" spans="1:31" x14ac:dyDescent="0.3">
      <c r="B19" t="s">
        <v>84</v>
      </c>
      <c r="D19" s="5">
        <v>10600</v>
      </c>
      <c r="E19" s="5">
        <v>10500</v>
      </c>
      <c r="F19" s="5">
        <v>10416.666660000001</v>
      </c>
      <c r="G19" s="5">
        <v>10500</v>
      </c>
      <c r="H19" s="5">
        <v>12000</v>
      </c>
      <c r="I19" s="5">
        <v>11000</v>
      </c>
      <c r="J19" s="5">
        <v>11500</v>
      </c>
      <c r="K19" s="5">
        <v>11500</v>
      </c>
      <c r="L19" s="5">
        <v>11600</v>
      </c>
      <c r="M19" s="5">
        <v>11500</v>
      </c>
      <c r="N19" s="10">
        <v>11933.333339999999</v>
      </c>
      <c r="O19" s="10">
        <v>5000</v>
      </c>
      <c r="P19" s="2">
        <f t="shared" si="1"/>
        <v>128050</v>
      </c>
      <c r="Q19" s="2">
        <f>IF(P18+P19-P17*Q17&gt;0,P18+P19-P17*Q17,0)</f>
        <v>0</v>
      </c>
      <c r="R19" s="14">
        <v>0.64093999999999995</v>
      </c>
      <c r="S19" s="3">
        <f t="shared" si="27"/>
        <v>6793.9639999999999</v>
      </c>
      <c r="T19" s="3">
        <f t="shared" si="27"/>
        <v>6729.87</v>
      </c>
      <c r="U19" s="3">
        <f t="shared" si="27"/>
        <v>6676.4583290603996</v>
      </c>
      <c r="V19" s="3">
        <f t="shared" si="27"/>
        <v>6729.87</v>
      </c>
      <c r="W19" s="3">
        <f t="shared" si="27"/>
        <v>7691.28</v>
      </c>
      <c r="X19" s="3">
        <f t="shared" si="27"/>
        <v>7050.3399999999992</v>
      </c>
      <c r="Y19" s="3">
        <f t="shared" si="27"/>
        <v>7370.8099999999995</v>
      </c>
      <c r="Z19" s="3">
        <f t="shared" si="27"/>
        <v>7370.8099999999995</v>
      </c>
      <c r="AA19" s="3">
        <f t="shared" si="27"/>
        <v>7434.9039999999995</v>
      </c>
      <c r="AB19" s="3">
        <f t="shared" si="27"/>
        <v>7370.8099999999995</v>
      </c>
      <c r="AC19" s="24">
        <f t="shared" si="27"/>
        <v>7648.5506709395986</v>
      </c>
      <c r="AD19" s="24">
        <f t="shared" si="27"/>
        <v>3204.7</v>
      </c>
      <c r="AE19" s="3">
        <f t="shared" si="2"/>
        <v>82072.366999999984</v>
      </c>
    </row>
    <row r="20" spans="1:31" x14ac:dyDescent="0.3">
      <c r="B20" t="s">
        <v>85</v>
      </c>
      <c r="D20" s="5">
        <v>177979.72099999999</v>
      </c>
      <c r="E20" s="5">
        <v>169230.378</v>
      </c>
      <c r="F20" s="5">
        <v>173789.44899999999</v>
      </c>
      <c r="G20" s="5">
        <v>168256.20800000001</v>
      </c>
      <c r="H20" s="5">
        <v>191587.83499999999</v>
      </c>
      <c r="I20" s="5">
        <v>166287.405</v>
      </c>
      <c r="J20" s="5">
        <v>150393.62700000001</v>
      </c>
      <c r="K20" s="5">
        <v>156088.60200000001</v>
      </c>
      <c r="L20" s="5">
        <v>162563.03599999999</v>
      </c>
      <c r="M20" s="5">
        <v>178534.31700000001</v>
      </c>
      <c r="N20" s="10">
        <v>199399.61499999999</v>
      </c>
      <c r="O20" s="10">
        <v>152068.76</v>
      </c>
      <c r="P20" s="2">
        <f t="shared" si="1"/>
        <v>2046178.953</v>
      </c>
      <c r="Q20" s="2">
        <f>IF(P18+P19+P20-P$17*Q$17&gt;0,P18+P19+P20-P$17*Q$17,0)</f>
        <v>0</v>
      </c>
      <c r="R20" s="14">
        <v>0.56011</v>
      </c>
      <c r="S20" s="3">
        <f t="shared" ref="S20:S22" si="28">$R20*D20</f>
        <v>99688.221529309987</v>
      </c>
      <c r="T20" s="3">
        <f t="shared" ref="T20:T22" si="29">$R20*E20</f>
        <v>94787.627021580003</v>
      </c>
      <c r="U20" s="3">
        <f t="shared" ref="U20:U22" si="30">$R20*F20</f>
        <v>97341.20827938999</v>
      </c>
      <c r="V20" s="3">
        <f t="shared" ref="V20:V22" si="31">$R20*G20</f>
        <v>94241.984662880001</v>
      </c>
      <c r="W20" s="3">
        <f t="shared" ref="W20:W22" si="32">$R20*H20</f>
        <v>107310.26226184999</v>
      </c>
      <c r="X20" s="3">
        <f t="shared" ref="X20:X22" si="33">$R20*I20</f>
        <v>93139.238414549996</v>
      </c>
      <c r="Y20" s="3">
        <f t="shared" ref="Y20:Y22" si="34">$R20*J20</f>
        <v>84236.97441897</v>
      </c>
      <c r="Z20" s="3">
        <f t="shared" ref="Z20:Z22" si="35">$R20*K20</f>
        <v>87426.786866220005</v>
      </c>
      <c r="AA20" s="3">
        <f t="shared" ref="AA20:AA22" si="36">$R20*L20</f>
        <v>91053.18209396</v>
      </c>
      <c r="AB20" s="3">
        <f t="shared" ref="AB20:AB22" si="37">$R20*M20</f>
        <v>99998.856294869998</v>
      </c>
      <c r="AC20" s="24">
        <f t="shared" ref="AC20:AC22" si="38">$R20*N20</f>
        <v>111685.71835765</v>
      </c>
      <c r="AD20" s="24">
        <f t="shared" ref="AD20:AD22" si="39">$R20*O20</f>
        <v>85175.233163600002</v>
      </c>
      <c r="AE20" s="3">
        <f t="shared" si="2"/>
        <v>1146085.2933648301</v>
      </c>
    </row>
    <row r="21" spans="1:31" x14ac:dyDescent="0.3">
      <c r="B21" t="s">
        <v>86</v>
      </c>
      <c r="D21" s="5">
        <v>199221.40599999999</v>
      </c>
      <c r="E21" s="5">
        <v>142852.239</v>
      </c>
      <c r="F21" s="5">
        <v>111492.65300000001</v>
      </c>
      <c r="G21" s="5">
        <v>89526.085000000006</v>
      </c>
      <c r="H21" s="5">
        <v>98988.92</v>
      </c>
      <c r="I21" s="5">
        <v>72429.495999999999</v>
      </c>
      <c r="J21" s="5">
        <v>64026.915000000001</v>
      </c>
      <c r="K21" s="5">
        <v>64986.307999999997</v>
      </c>
      <c r="L21" s="5">
        <v>74414.001999999993</v>
      </c>
      <c r="M21" s="5">
        <v>57345.894999999997</v>
      </c>
      <c r="N21" s="10">
        <v>121498.82133000001</v>
      </c>
      <c r="O21" s="10">
        <v>155262.02299999999</v>
      </c>
      <c r="P21" s="2">
        <f t="shared" si="1"/>
        <v>1252044.7633300002</v>
      </c>
      <c r="Q21" s="2">
        <f>IF(P18+P19+P20+P21-P$17*Q$17&gt;0,P18+P19+P20+P21-P$17*Q$17,0)</f>
        <v>756762.17033000011</v>
      </c>
      <c r="R21" s="14">
        <v>0.50936000000000003</v>
      </c>
      <c r="S21" s="3">
        <f t="shared" si="28"/>
        <v>101475.41536016</v>
      </c>
      <c r="T21" s="3">
        <f t="shared" si="29"/>
        <v>72763.216457040005</v>
      </c>
      <c r="U21" s="3">
        <f t="shared" si="30"/>
        <v>56789.897732080004</v>
      </c>
      <c r="V21" s="3">
        <f t="shared" si="31"/>
        <v>45601.006655600009</v>
      </c>
      <c r="W21" s="3">
        <f t="shared" si="32"/>
        <v>50420.996291200005</v>
      </c>
      <c r="X21" s="3">
        <f t="shared" si="33"/>
        <v>36892.688082560002</v>
      </c>
      <c r="Y21" s="3">
        <f t="shared" si="34"/>
        <v>32612.749424400005</v>
      </c>
      <c r="Z21" s="3">
        <f t="shared" si="35"/>
        <v>33101.425842880002</v>
      </c>
      <c r="AA21" s="3">
        <f t="shared" si="36"/>
        <v>37903.516058720001</v>
      </c>
      <c r="AB21" s="3">
        <f t="shared" si="37"/>
        <v>29209.7050772</v>
      </c>
      <c r="AC21" s="24">
        <f t="shared" si="38"/>
        <v>61886.63963264881</v>
      </c>
      <c r="AD21" s="24">
        <f t="shared" si="39"/>
        <v>79084.264035279994</v>
      </c>
      <c r="AE21" s="3">
        <f t="shared" si="2"/>
        <v>637741.52064976876</v>
      </c>
    </row>
    <row r="22" spans="1:31" x14ac:dyDescent="0.3">
      <c r="B22" t="s">
        <v>87</v>
      </c>
      <c r="D22" s="5">
        <v>-41471.756999999998</v>
      </c>
      <c r="E22" s="5">
        <v>67494.767999999996</v>
      </c>
      <c r="F22" s="5">
        <v>54731.92467</v>
      </c>
      <c r="G22" s="5">
        <v>32551.531999999999</v>
      </c>
      <c r="H22" s="5">
        <v>23597.117999999999</v>
      </c>
      <c r="I22" s="5">
        <v>34691.756999999998</v>
      </c>
      <c r="J22" s="5">
        <v>7275.5739999999996</v>
      </c>
      <c r="K22" s="5">
        <v>12927.460999999999</v>
      </c>
      <c r="L22" s="5">
        <v>18295.238000000001</v>
      </c>
      <c r="M22" s="5">
        <v>-21438.904999999999</v>
      </c>
      <c r="N22" s="10">
        <v>65517.868000000002</v>
      </c>
      <c r="O22" s="10">
        <v>78455.948000000004</v>
      </c>
      <c r="P22" s="2">
        <f t="shared" si="1"/>
        <v>332628.52667000005</v>
      </c>
      <c r="Q22" s="2">
        <f>P22</f>
        <v>332628.52667000005</v>
      </c>
      <c r="R22" s="14">
        <v>0.43630999999999998</v>
      </c>
      <c r="S22" s="3">
        <f t="shared" si="28"/>
        <v>-18094.542296669999</v>
      </c>
      <c r="T22" s="3">
        <f t="shared" si="29"/>
        <v>29448.642226079995</v>
      </c>
      <c r="U22" s="3">
        <f t="shared" si="30"/>
        <v>23880.0860527677</v>
      </c>
      <c r="V22" s="3">
        <f t="shared" si="31"/>
        <v>14202.558926919999</v>
      </c>
      <c r="W22" s="3">
        <f t="shared" si="32"/>
        <v>10295.658554579999</v>
      </c>
      <c r="X22" s="3">
        <f t="shared" si="33"/>
        <v>15136.360496669999</v>
      </c>
      <c r="Y22" s="3">
        <f t="shared" si="34"/>
        <v>3174.4056919399995</v>
      </c>
      <c r="Z22" s="3">
        <f t="shared" si="35"/>
        <v>5640.3805089099997</v>
      </c>
      <c r="AA22" s="3">
        <f t="shared" si="36"/>
        <v>7982.3952917799998</v>
      </c>
      <c r="AB22" s="3">
        <f t="shared" si="37"/>
        <v>-9354.0086405499987</v>
      </c>
      <c r="AC22" s="24">
        <f t="shared" si="38"/>
        <v>28586.100987080001</v>
      </c>
      <c r="AD22" s="24">
        <f t="shared" si="39"/>
        <v>34231.114671880001</v>
      </c>
      <c r="AE22" s="3">
        <f t="shared" si="2"/>
        <v>145129.1524713877</v>
      </c>
    </row>
    <row r="23" spans="1:31" x14ac:dyDescent="0.3">
      <c r="A23" t="s">
        <v>69</v>
      </c>
      <c r="B23" t="s">
        <v>14</v>
      </c>
      <c r="D23" s="5">
        <v>2</v>
      </c>
      <c r="E23" s="5">
        <v>2</v>
      </c>
      <c r="F23" s="5">
        <v>2</v>
      </c>
      <c r="G23" s="5">
        <v>2</v>
      </c>
      <c r="H23" s="5">
        <v>2</v>
      </c>
      <c r="I23" s="5">
        <v>2</v>
      </c>
      <c r="J23" s="5">
        <v>2</v>
      </c>
      <c r="K23" s="5">
        <v>2</v>
      </c>
      <c r="L23" s="5">
        <v>2</v>
      </c>
      <c r="M23" s="5">
        <v>2</v>
      </c>
      <c r="N23" s="10">
        <v>-10</v>
      </c>
      <c r="O23" s="10">
        <v>1</v>
      </c>
      <c r="P23" s="2">
        <f t="shared" si="1"/>
        <v>11</v>
      </c>
      <c r="Q23" s="2"/>
      <c r="R23" s="13">
        <v>240.44</v>
      </c>
      <c r="S23" s="3">
        <f t="shared" ref="S23:AD25" si="40">$R23*D23</f>
        <v>480.88</v>
      </c>
      <c r="T23" s="3">
        <f t="shared" si="40"/>
        <v>480.88</v>
      </c>
      <c r="U23" s="3">
        <f t="shared" si="40"/>
        <v>480.88</v>
      </c>
      <c r="V23" s="3">
        <f t="shared" si="40"/>
        <v>480.88</v>
      </c>
      <c r="W23" s="3">
        <f t="shared" si="40"/>
        <v>480.88</v>
      </c>
      <c r="X23" s="3">
        <f t="shared" si="40"/>
        <v>480.88</v>
      </c>
      <c r="Y23" s="3">
        <f t="shared" si="40"/>
        <v>480.88</v>
      </c>
      <c r="Z23" s="3">
        <f t="shared" si="40"/>
        <v>480.88</v>
      </c>
      <c r="AA23" s="3">
        <f t="shared" si="40"/>
        <v>480.88</v>
      </c>
      <c r="AB23" s="3">
        <f t="shared" si="40"/>
        <v>480.88</v>
      </c>
      <c r="AC23" s="24">
        <f t="shared" si="40"/>
        <v>-2404.4</v>
      </c>
      <c r="AD23" s="24">
        <f t="shared" si="40"/>
        <v>240.44</v>
      </c>
      <c r="AE23" s="3">
        <f t="shared" si="2"/>
        <v>2644.84</v>
      </c>
    </row>
    <row r="24" spans="1:31" x14ac:dyDescent="0.3">
      <c r="B24" t="s">
        <v>83</v>
      </c>
      <c r="D24" s="5">
        <v>1000</v>
      </c>
      <c r="E24" s="5">
        <v>1000</v>
      </c>
      <c r="F24" s="5">
        <v>1000</v>
      </c>
      <c r="G24" s="5">
        <v>1000</v>
      </c>
      <c r="H24" s="5">
        <v>1000</v>
      </c>
      <c r="I24" s="5">
        <v>1000</v>
      </c>
      <c r="J24" s="5">
        <v>1000</v>
      </c>
      <c r="K24" s="5">
        <v>1000</v>
      </c>
      <c r="L24" s="5">
        <v>1000</v>
      </c>
      <c r="M24" s="5">
        <v>1000</v>
      </c>
      <c r="N24" s="10">
        <v>-5000</v>
      </c>
      <c r="O24" s="10">
        <v>500</v>
      </c>
      <c r="P24" s="2">
        <f t="shared" si="1"/>
        <v>5500</v>
      </c>
      <c r="Q24" s="2"/>
      <c r="R24" s="14">
        <v>0.30313000000000001</v>
      </c>
      <c r="S24" s="3">
        <f t="shared" si="40"/>
        <v>303.13</v>
      </c>
      <c r="T24" s="3">
        <f t="shared" si="40"/>
        <v>303.13</v>
      </c>
      <c r="U24" s="3">
        <f t="shared" si="40"/>
        <v>303.13</v>
      </c>
      <c r="V24" s="3">
        <f t="shared" si="40"/>
        <v>303.13</v>
      </c>
      <c r="W24" s="3">
        <f t="shared" si="40"/>
        <v>303.13</v>
      </c>
      <c r="X24" s="3">
        <f t="shared" si="40"/>
        <v>303.13</v>
      </c>
      <c r="Y24" s="3">
        <f t="shared" si="40"/>
        <v>303.13</v>
      </c>
      <c r="Z24" s="3">
        <f t="shared" si="40"/>
        <v>303.13</v>
      </c>
      <c r="AA24" s="3">
        <f t="shared" si="40"/>
        <v>303.13</v>
      </c>
      <c r="AB24" s="3">
        <f t="shared" si="40"/>
        <v>303.13</v>
      </c>
      <c r="AC24" s="24">
        <f t="shared" si="40"/>
        <v>-1515.65</v>
      </c>
      <c r="AD24" s="24">
        <f t="shared" si="40"/>
        <v>151.565</v>
      </c>
      <c r="AE24" s="3">
        <f t="shared" si="2"/>
        <v>1667.2150000000006</v>
      </c>
    </row>
    <row r="25" spans="1:31" x14ac:dyDescent="0.3">
      <c r="B25" t="s">
        <v>84</v>
      </c>
      <c r="D25" s="5">
        <v>1000</v>
      </c>
      <c r="E25" s="5">
        <v>1000</v>
      </c>
      <c r="F25" s="5">
        <v>1000</v>
      </c>
      <c r="G25" s="5">
        <v>1000</v>
      </c>
      <c r="H25" s="5">
        <v>1000</v>
      </c>
      <c r="I25" s="5">
        <v>1000</v>
      </c>
      <c r="J25" s="5">
        <v>1000</v>
      </c>
      <c r="K25" s="5">
        <v>1000</v>
      </c>
      <c r="L25" s="5">
        <v>1000</v>
      </c>
      <c r="M25" s="5">
        <v>1000</v>
      </c>
      <c r="N25" s="10">
        <v>-5000</v>
      </c>
      <c r="O25" s="10">
        <v>500</v>
      </c>
      <c r="P25" s="2">
        <f t="shared" si="1"/>
        <v>5500</v>
      </c>
      <c r="Q25" s="2"/>
      <c r="R25" s="14">
        <v>0.65163000000000004</v>
      </c>
      <c r="S25" s="3">
        <f t="shared" si="40"/>
        <v>651.63</v>
      </c>
      <c r="T25" s="3">
        <f t="shared" si="40"/>
        <v>651.63</v>
      </c>
      <c r="U25" s="3">
        <f t="shared" si="40"/>
        <v>651.63</v>
      </c>
      <c r="V25" s="3">
        <f t="shared" si="40"/>
        <v>651.63</v>
      </c>
      <c r="W25" s="3">
        <f t="shared" si="40"/>
        <v>651.63</v>
      </c>
      <c r="X25" s="3">
        <f t="shared" si="40"/>
        <v>651.63</v>
      </c>
      <c r="Y25" s="3">
        <f t="shared" si="40"/>
        <v>651.63</v>
      </c>
      <c r="Z25" s="3">
        <f t="shared" si="40"/>
        <v>651.63</v>
      </c>
      <c r="AA25" s="3">
        <f t="shared" si="40"/>
        <v>651.63</v>
      </c>
      <c r="AB25" s="3">
        <f t="shared" si="40"/>
        <v>651.63</v>
      </c>
      <c r="AC25" s="24">
        <f t="shared" si="40"/>
        <v>-3258.15</v>
      </c>
      <c r="AD25" s="24">
        <f t="shared" si="40"/>
        <v>325.815</v>
      </c>
      <c r="AE25" s="3">
        <f t="shared" si="2"/>
        <v>3583.9650000000001</v>
      </c>
    </row>
    <row r="26" spans="1:31" x14ac:dyDescent="0.3">
      <c r="B26" t="s">
        <v>85</v>
      </c>
      <c r="D26" s="5">
        <v>18000</v>
      </c>
      <c r="E26" s="5">
        <v>18000</v>
      </c>
      <c r="F26" s="5">
        <v>18000</v>
      </c>
      <c r="G26" s="5">
        <v>18000</v>
      </c>
      <c r="H26" s="5">
        <v>15889.548000000001</v>
      </c>
      <c r="I26" s="5">
        <v>13337.216</v>
      </c>
      <c r="J26" s="5">
        <v>11609.672</v>
      </c>
      <c r="K26" s="5">
        <v>11664.584000000001</v>
      </c>
      <c r="L26" s="5">
        <v>13183.712</v>
      </c>
      <c r="M26" s="5">
        <v>17615.417000000001</v>
      </c>
      <c r="N26" s="10">
        <v>-65300.148999999998</v>
      </c>
      <c r="O26" s="10">
        <v>9000</v>
      </c>
      <c r="P26" s="2">
        <f t="shared" si="1"/>
        <v>99000.000000000029</v>
      </c>
      <c r="Q26" s="2"/>
      <c r="R26" s="14">
        <v>0.57079999999999997</v>
      </c>
      <c r="S26" s="3">
        <f t="shared" ref="S26:S28" si="41">$R26*D26</f>
        <v>10274.4</v>
      </c>
      <c r="T26" s="3">
        <f t="shared" ref="T26:T28" si="42">$R26*E26</f>
        <v>10274.4</v>
      </c>
      <c r="U26" s="3">
        <f t="shared" ref="U26:U28" si="43">$R26*F26</f>
        <v>10274.4</v>
      </c>
      <c r="V26" s="3">
        <f t="shared" ref="V26:V28" si="44">$R26*G26</f>
        <v>10274.4</v>
      </c>
      <c r="W26" s="3">
        <f t="shared" ref="W26:W28" si="45">$R26*H26</f>
        <v>9069.7539983999995</v>
      </c>
      <c r="X26" s="3">
        <f t="shared" ref="X26:X28" si="46">$R26*I26</f>
        <v>7612.8828928000003</v>
      </c>
      <c r="Y26" s="3">
        <f t="shared" ref="Y26:Y28" si="47">$R26*J26</f>
        <v>6626.8007776000004</v>
      </c>
      <c r="Z26" s="3">
        <f t="shared" ref="Z26:Z28" si="48">$R26*K26</f>
        <v>6658.1445472000005</v>
      </c>
      <c r="AA26" s="3">
        <f t="shared" ref="AA26:AA28" si="49">$R26*L26</f>
        <v>7525.2628095999989</v>
      </c>
      <c r="AB26" s="3">
        <f t="shared" ref="AB26:AB28" si="50">$R26*M26</f>
        <v>10054.880023600001</v>
      </c>
      <c r="AC26" s="24">
        <f t="shared" ref="AC26:AC28" si="51">$R26*N26</f>
        <v>-37273.325049199993</v>
      </c>
      <c r="AD26" s="24">
        <f t="shared" ref="AD26:AD28" si="52">$R26*O26</f>
        <v>5137.2</v>
      </c>
      <c r="AE26" s="3">
        <f t="shared" si="2"/>
        <v>56509.2</v>
      </c>
    </row>
    <row r="27" spans="1:31" x14ac:dyDescent="0.3">
      <c r="B27" t="s">
        <v>86</v>
      </c>
      <c r="D27" s="5">
        <v>28377.216</v>
      </c>
      <c r="E27" s="5">
        <v>22527.51</v>
      </c>
      <c r="F27" s="5">
        <v>19992.223999999998</v>
      </c>
      <c r="G27" s="5">
        <v>15133.941999999999</v>
      </c>
      <c r="H27" s="5">
        <v>11174.384</v>
      </c>
      <c r="I27" s="5">
        <v>2328.4</v>
      </c>
      <c r="J27" s="5">
        <v>15000</v>
      </c>
      <c r="K27" s="5">
        <v>10997.54</v>
      </c>
      <c r="L27" s="5">
        <v>11579.18</v>
      </c>
      <c r="M27" s="5">
        <v>14610.7</v>
      </c>
      <c r="N27" s="10">
        <v>-26147.451000000001</v>
      </c>
      <c r="O27" s="10">
        <v>15000</v>
      </c>
      <c r="P27" s="2">
        <f t="shared" si="1"/>
        <v>140573.64499999999</v>
      </c>
      <c r="Q27" s="2"/>
      <c r="R27" s="14">
        <v>0.52005000000000001</v>
      </c>
      <c r="S27" s="3">
        <f t="shared" si="41"/>
        <v>14757.5711808</v>
      </c>
      <c r="T27" s="3">
        <f t="shared" si="42"/>
        <v>11715.431575499999</v>
      </c>
      <c r="U27" s="3">
        <f t="shared" si="43"/>
        <v>10396.9560912</v>
      </c>
      <c r="V27" s="3">
        <f t="shared" si="44"/>
        <v>7870.4065370999997</v>
      </c>
      <c r="W27" s="3">
        <f t="shared" si="45"/>
        <v>5811.2383992000005</v>
      </c>
      <c r="X27" s="3">
        <f t="shared" si="46"/>
        <v>1210.8844200000001</v>
      </c>
      <c r="Y27" s="3">
        <f t="shared" si="47"/>
        <v>7800.75</v>
      </c>
      <c r="Z27" s="3">
        <f t="shared" si="48"/>
        <v>5719.2706770000004</v>
      </c>
      <c r="AA27" s="3">
        <f t="shared" si="49"/>
        <v>6021.7525590000005</v>
      </c>
      <c r="AB27" s="3">
        <f t="shared" si="50"/>
        <v>7598.2945350000009</v>
      </c>
      <c r="AC27" s="24">
        <f t="shared" si="51"/>
        <v>-13597.98189255</v>
      </c>
      <c r="AD27" s="24">
        <f t="shared" si="52"/>
        <v>7800.75</v>
      </c>
      <c r="AE27" s="3">
        <f t="shared" si="2"/>
        <v>73105.324082249994</v>
      </c>
    </row>
    <row r="28" spans="1:31" x14ac:dyDescent="0.3">
      <c r="B28" t="s">
        <v>87</v>
      </c>
      <c r="D28" s="5">
        <v>15826.117</v>
      </c>
      <c r="E28" s="5">
        <v>12805.944</v>
      </c>
      <c r="F28" s="5">
        <v>13370.972</v>
      </c>
      <c r="G28" s="5">
        <v>0</v>
      </c>
      <c r="H28" s="5">
        <v>0</v>
      </c>
      <c r="I28" s="5">
        <v>0</v>
      </c>
      <c r="J28" s="5">
        <v>15733.69</v>
      </c>
      <c r="K28" s="5">
        <v>0</v>
      </c>
      <c r="L28" s="5">
        <v>0</v>
      </c>
      <c r="M28" s="5">
        <v>0</v>
      </c>
      <c r="N28" s="10">
        <v>13667.975</v>
      </c>
      <c r="O28" s="10">
        <v>22834.416000000001</v>
      </c>
      <c r="P28" s="2">
        <f t="shared" si="1"/>
        <v>94239.114000000001</v>
      </c>
      <c r="Q28" s="2"/>
      <c r="R28" s="14">
        <v>0.44700000000000001</v>
      </c>
      <c r="S28" s="3">
        <f t="shared" si="41"/>
        <v>7074.2742990000006</v>
      </c>
      <c r="T28" s="3">
        <f t="shared" si="42"/>
        <v>5724.2569679999997</v>
      </c>
      <c r="U28" s="3">
        <f t="shared" si="43"/>
        <v>5976.8244839999998</v>
      </c>
      <c r="V28" s="3">
        <f t="shared" si="44"/>
        <v>0</v>
      </c>
      <c r="W28" s="3">
        <f t="shared" si="45"/>
        <v>0</v>
      </c>
      <c r="X28" s="3">
        <f t="shared" si="46"/>
        <v>0</v>
      </c>
      <c r="Y28" s="3">
        <f t="shared" si="47"/>
        <v>7032.9594300000008</v>
      </c>
      <c r="Z28" s="3">
        <f t="shared" si="48"/>
        <v>0</v>
      </c>
      <c r="AA28" s="3">
        <f t="shared" si="49"/>
        <v>0</v>
      </c>
      <c r="AB28" s="3">
        <f t="shared" si="50"/>
        <v>0</v>
      </c>
      <c r="AC28" s="24">
        <f t="shared" si="51"/>
        <v>6109.5848249999999</v>
      </c>
      <c r="AD28" s="24">
        <f t="shared" si="52"/>
        <v>10206.983952</v>
      </c>
      <c r="AE28" s="3">
        <f t="shared" si="2"/>
        <v>42124.883957999999</v>
      </c>
    </row>
    <row r="29" spans="1:31" x14ac:dyDescent="0.3">
      <c r="A29" t="s">
        <v>70</v>
      </c>
      <c r="B29" t="s">
        <v>14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10"/>
      <c r="O29" s="10"/>
      <c r="P29" s="2">
        <f t="shared" si="1"/>
        <v>0</v>
      </c>
      <c r="Q29" s="2"/>
      <c r="R29" s="13">
        <v>0</v>
      </c>
      <c r="S29" s="3">
        <f t="shared" ref="S29:AD32" si="53">$R29*D29</f>
        <v>0</v>
      </c>
      <c r="T29" s="3">
        <f t="shared" si="53"/>
        <v>0</v>
      </c>
      <c r="U29" s="3">
        <f t="shared" si="53"/>
        <v>0</v>
      </c>
      <c r="V29" s="3">
        <f t="shared" si="53"/>
        <v>0</v>
      </c>
      <c r="W29" s="3">
        <f t="shared" si="53"/>
        <v>0</v>
      </c>
      <c r="X29" s="3">
        <f t="shared" si="53"/>
        <v>0</v>
      </c>
      <c r="Y29" s="3">
        <f t="shared" si="53"/>
        <v>0</v>
      </c>
      <c r="Z29" s="3">
        <f t="shared" si="53"/>
        <v>0</v>
      </c>
      <c r="AA29" s="3">
        <f t="shared" si="53"/>
        <v>0</v>
      </c>
      <c r="AB29" s="3">
        <f t="shared" si="53"/>
        <v>0</v>
      </c>
      <c r="AC29" s="24">
        <f t="shared" si="53"/>
        <v>0</v>
      </c>
      <c r="AD29" s="24">
        <f t="shared" si="53"/>
        <v>0</v>
      </c>
      <c r="AE29" s="3">
        <f t="shared" si="2"/>
        <v>0</v>
      </c>
    </row>
    <row r="30" spans="1:31" x14ac:dyDescent="0.3">
      <c r="B30" t="s">
        <v>83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10"/>
      <c r="O30" s="10"/>
      <c r="P30" s="2">
        <f t="shared" si="1"/>
        <v>0</v>
      </c>
      <c r="Q30" s="2"/>
      <c r="R30" s="14">
        <v>0.54474999999999996</v>
      </c>
      <c r="S30" s="3">
        <f t="shared" si="53"/>
        <v>0</v>
      </c>
      <c r="T30" s="3">
        <f t="shared" si="53"/>
        <v>0</v>
      </c>
      <c r="U30" s="3">
        <f t="shared" si="53"/>
        <v>0</v>
      </c>
      <c r="V30" s="3">
        <f t="shared" si="53"/>
        <v>0</v>
      </c>
      <c r="W30" s="3">
        <f t="shared" si="53"/>
        <v>0</v>
      </c>
      <c r="X30" s="3">
        <f t="shared" si="53"/>
        <v>0</v>
      </c>
      <c r="Y30" s="3">
        <f t="shared" si="53"/>
        <v>0</v>
      </c>
      <c r="Z30" s="3">
        <f t="shared" si="53"/>
        <v>0</v>
      </c>
      <c r="AA30" s="3">
        <f t="shared" si="53"/>
        <v>0</v>
      </c>
      <c r="AB30" s="3">
        <f t="shared" si="53"/>
        <v>0</v>
      </c>
      <c r="AC30" s="24">
        <f t="shared" si="53"/>
        <v>0</v>
      </c>
      <c r="AD30" s="24">
        <f t="shared" si="53"/>
        <v>0</v>
      </c>
      <c r="AE30" s="3">
        <f t="shared" si="2"/>
        <v>0</v>
      </c>
    </row>
    <row r="31" spans="1:31" x14ac:dyDescent="0.3">
      <c r="B31" t="s">
        <v>84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10"/>
      <c r="O31" s="10"/>
      <c r="P31" s="2">
        <f t="shared" si="1"/>
        <v>0</v>
      </c>
      <c r="Q31" s="2"/>
      <c r="R31" s="14">
        <v>0.49612000000000001</v>
      </c>
      <c r="S31" s="3">
        <f t="shared" si="53"/>
        <v>0</v>
      </c>
      <c r="T31" s="3">
        <f t="shared" si="53"/>
        <v>0</v>
      </c>
      <c r="U31" s="3">
        <f t="shared" si="53"/>
        <v>0</v>
      </c>
      <c r="V31" s="3">
        <f t="shared" si="53"/>
        <v>0</v>
      </c>
      <c r="W31" s="3">
        <f t="shared" si="53"/>
        <v>0</v>
      </c>
      <c r="X31" s="3">
        <f t="shared" si="53"/>
        <v>0</v>
      </c>
      <c r="Y31" s="3">
        <f t="shared" si="53"/>
        <v>0</v>
      </c>
      <c r="Z31" s="3">
        <f t="shared" si="53"/>
        <v>0</v>
      </c>
      <c r="AA31" s="3">
        <f t="shared" si="53"/>
        <v>0</v>
      </c>
      <c r="AB31" s="3">
        <f t="shared" si="53"/>
        <v>0</v>
      </c>
      <c r="AC31" s="24">
        <f t="shared" si="53"/>
        <v>0</v>
      </c>
      <c r="AD31" s="24">
        <f t="shared" si="53"/>
        <v>0</v>
      </c>
      <c r="AE31" s="3">
        <f t="shared" si="2"/>
        <v>0</v>
      </c>
    </row>
    <row r="32" spans="1:31" x14ac:dyDescent="0.3">
      <c r="B32" t="s">
        <v>85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10"/>
      <c r="O32" s="10"/>
      <c r="P32" s="2">
        <f t="shared" si="1"/>
        <v>0</v>
      </c>
      <c r="Q32" s="2"/>
      <c r="R32" s="14">
        <v>0.48418</v>
      </c>
      <c r="S32" s="3">
        <f t="shared" si="53"/>
        <v>0</v>
      </c>
      <c r="T32" s="3">
        <f t="shared" si="53"/>
        <v>0</v>
      </c>
      <c r="U32" s="3">
        <f t="shared" si="53"/>
        <v>0</v>
      </c>
      <c r="V32" s="3">
        <f t="shared" si="53"/>
        <v>0</v>
      </c>
      <c r="W32" s="3">
        <f t="shared" si="53"/>
        <v>0</v>
      </c>
      <c r="X32" s="3">
        <f t="shared" si="53"/>
        <v>0</v>
      </c>
      <c r="Y32" s="3">
        <f t="shared" si="53"/>
        <v>0</v>
      </c>
      <c r="Z32" s="3">
        <f t="shared" si="53"/>
        <v>0</v>
      </c>
      <c r="AA32" s="3">
        <f t="shared" si="53"/>
        <v>0</v>
      </c>
      <c r="AB32" s="3">
        <f t="shared" si="53"/>
        <v>0</v>
      </c>
      <c r="AC32" s="24">
        <f t="shared" si="53"/>
        <v>0</v>
      </c>
      <c r="AD32" s="24">
        <f t="shared" si="53"/>
        <v>0</v>
      </c>
      <c r="AE32" s="3">
        <f t="shared" si="2"/>
        <v>0</v>
      </c>
    </row>
    <row r="33" spans="1:31" x14ac:dyDescent="0.3">
      <c r="B33" t="s">
        <v>86</v>
      </c>
      <c r="D33" s="2"/>
      <c r="E33" s="2"/>
      <c r="F33" s="5"/>
      <c r="G33" s="5"/>
      <c r="H33" s="5"/>
      <c r="I33" s="5"/>
      <c r="J33" s="5"/>
      <c r="K33" s="5"/>
      <c r="L33" s="5"/>
      <c r="M33" s="5"/>
      <c r="N33" s="10"/>
      <c r="O33" s="10"/>
      <c r="P33" s="2">
        <f t="shared" si="1"/>
        <v>0</v>
      </c>
      <c r="Q33" s="2"/>
      <c r="R33" s="14">
        <v>0.48022999999999999</v>
      </c>
      <c r="S33" s="3">
        <f t="shared" ref="S33:S38" si="54">$R33*D33</f>
        <v>0</v>
      </c>
      <c r="T33" s="3">
        <f t="shared" ref="T33:T38" si="55">$R33*E33</f>
        <v>0</v>
      </c>
      <c r="U33" s="3">
        <f t="shared" ref="U33:U38" si="56">$R33*F33</f>
        <v>0</v>
      </c>
      <c r="V33" s="3">
        <f t="shared" ref="V33:V38" si="57">$R33*G33</f>
        <v>0</v>
      </c>
      <c r="W33" s="3">
        <f t="shared" ref="W33:W38" si="58">$R33*H33</f>
        <v>0</v>
      </c>
      <c r="X33" s="3">
        <f t="shared" ref="X33:X38" si="59">$R33*I33</f>
        <v>0</v>
      </c>
      <c r="Y33" s="3">
        <f t="shared" ref="Y33:Y38" si="60">$R33*J33</f>
        <v>0</v>
      </c>
      <c r="Z33" s="3">
        <f t="shared" ref="Z33:Z38" si="61">$R33*K33</f>
        <v>0</v>
      </c>
      <c r="AA33" s="3">
        <f t="shared" ref="AA33:AA38" si="62">$R33*L33</f>
        <v>0</v>
      </c>
      <c r="AB33" s="3">
        <f t="shared" ref="AB33:AB38" si="63">$R33*M33</f>
        <v>0</v>
      </c>
      <c r="AC33" s="24">
        <f t="shared" ref="AC33:AC38" si="64">$R33*N33</f>
        <v>0</v>
      </c>
      <c r="AD33" s="24">
        <f t="shared" ref="AD33:AD38" si="65">$R33*O33</f>
        <v>0</v>
      </c>
      <c r="AE33" s="3">
        <f t="shared" si="2"/>
        <v>0</v>
      </c>
    </row>
    <row r="34" spans="1:31" x14ac:dyDescent="0.3">
      <c r="A34" t="s">
        <v>71</v>
      </c>
      <c r="B34" t="s">
        <v>14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5">
        <v>2</v>
      </c>
      <c r="J34" s="5">
        <v>2</v>
      </c>
      <c r="K34" s="5">
        <v>2</v>
      </c>
      <c r="L34" s="5">
        <v>2</v>
      </c>
      <c r="M34" s="5">
        <v>2</v>
      </c>
      <c r="N34" s="10">
        <v>2</v>
      </c>
      <c r="O34" s="10">
        <v>2</v>
      </c>
      <c r="P34" s="2">
        <f t="shared" si="1"/>
        <v>24</v>
      </c>
      <c r="Q34" s="2"/>
      <c r="R34" s="13">
        <v>0</v>
      </c>
      <c r="S34" s="3">
        <f t="shared" si="54"/>
        <v>0</v>
      </c>
      <c r="T34" s="3">
        <f t="shared" si="55"/>
        <v>0</v>
      </c>
      <c r="U34" s="3">
        <f t="shared" si="56"/>
        <v>0</v>
      </c>
      <c r="V34" s="3">
        <f t="shared" si="57"/>
        <v>0</v>
      </c>
      <c r="W34" s="3">
        <f t="shared" si="58"/>
        <v>0</v>
      </c>
      <c r="X34" s="3">
        <f t="shared" si="59"/>
        <v>0</v>
      </c>
      <c r="Y34" s="3">
        <f t="shared" si="60"/>
        <v>0</v>
      </c>
      <c r="Z34" s="3">
        <f t="shared" si="61"/>
        <v>0</v>
      </c>
      <c r="AA34" s="3">
        <f t="shared" si="62"/>
        <v>0</v>
      </c>
      <c r="AB34" s="3">
        <f t="shared" si="63"/>
        <v>0</v>
      </c>
      <c r="AC34" s="24">
        <f t="shared" si="64"/>
        <v>0</v>
      </c>
      <c r="AD34" s="24">
        <f t="shared" si="65"/>
        <v>0</v>
      </c>
      <c r="AE34" s="3">
        <f t="shared" si="2"/>
        <v>0</v>
      </c>
    </row>
    <row r="35" spans="1:31" x14ac:dyDescent="0.3">
      <c r="B35" t="s">
        <v>83</v>
      </c>
      <c r="D35" s="5">
        <v>20000</v>
      </c>
      <c r="E35" s="5">
        <v>20000</v>
      </c>
      <c r="F35" s="5">
        <v>20000</v>
      </c>
      <c r="G35" s="5">
        <v>20000</v>
      </c>
      <c r="H35" s="5">
        <v>20000</v>
      </c>
      <c r="I35" s="5">
        <v>20000</v>
      </c>
      <c r="J35" s="5">
        <v>20000</v>
      </c>
      <c r="K35" s="5">
        <v>10969.263999999999</v>
      </c>
      <c r="L35" s="5">
        <v>10973.145</v>
      </c>
      <c r="M35" s="5">
        <v>11616.9</v>
      </c>
      <c r="N35" s="10">
        <v>45826.548000000003</v>
      </c>
      <c r="O35" s="10">
        <v>20000</v>
      </c>
      <c r="P35" s="2">
        <f t="shared" si="1"/>
        <v>239385.85699999999</v>
      </c>
      <c r="Q35" s="2"/>
      <c r="R35" s="14">
        <v>0.50570999999999999</v>
      </c>
      <c r="S35" s="3">
        <f t="shared" si="54"/>
        <v>10114.200000000001</v>
      </c>
      <c r="T35" s="3">
        <f t="shared" si="55"/>
        <v>10114.200000000001</v>
      </c>
      <c r="U35" s="3">
        <f t="shared" si="56"/>
        <v>10114.200000000001</v>
      </c>
      <c r="V35" s="3">
        <f t="shared" si="57"/>
        <v>10114.200000000001</v>
      </c>
      <c r="W35" s="3">
        <f t="shared" si="58"/>
        <v>10114.200000000001</v>
      </c>
      <c r="X35" s="3">
        <f t="shared" si="59"/>
        <v>10114.200000000001</v>
      </c>
      <c r="Y35" s="3">
        <f t="shared" si="60"/>
        <v>10114.200000000001</v>
      </c>
      <c r="Z35" s="3">
        <f t="shared" si="61"/>
        <v>5547.2664974399995</v>
      </c>
      <c r="AA35" s="3">
        <f t="shared" si="62"/>
        <v>5549.2291579499997</v>
      </c>
      <c r="AB35" s="3">
        <f t="shared" si="63"/>
        <v>5874.7824989999999</v>
      </c>
      <c r="AC35" s="24">
        <f t="shared" si="64"/>
        <v>23174.943589080001</v>
      </c>
      <c r="AD35" s="24">
        <f t="shared" si="65"/>
        <v>10114.200000000001</v>
      </c>
      <c r="AE35" s="3">
        <f t="shared" si="2"/>
        <v>121059.82174346999</v>
      </c>
    </row>
    <row r="36" spans="1:31" x14ac:dyDescent="0.3">
      <c r="B36" t="s">
        <v>84</v>
      </c>
      <c r="D36" s="5">
        <v>30000</v>
      </c>
      <c r="E36" s="5">
        <v>30000</v>
      </c>
      <c r="F36" s="5">
        <v>30000</v>
      </c>
      <c r="G36" s="5">
        <v>30000</v>
      </c>
      <c r="H36" s="5">
        <v>30000</v>
      </c>
      <c r="I36" s="5">
        <v>24119.855</v>
      </c>
      <c r="J36" s="5">
        <v>30000</v>
      </c>
      <c r="K36" s="5">
        <v>12816.668</v>
      </c>
      <c r="L36" s="5">
        <v>15000</v>
      </c>
      <c r="M36" s="5">
        <v>15000</v>
      </c>
      <c r="N36" s="10">
        <v>25131.772000000001</v>
      </c>
      <c r="O36" s="10">
        <v>30000</v>
      </c>
      <c r="P36" s="2">
        <f t="shared" si="1"/>
        <v>302068.29500000004</v>
      </c>
      <c r="Q36" s="2"/>
      <c r="R36" s="14">
        <v>0.45707999999999999</v>
      </c>
      <c r="S36" s="3">
        <f t="shared" si="54"/>
        <v>13712.4</v>
      </c>
      <c r="T36" s="3">
        <f t="shared" si="55"/>
        <v>13712.4</v>
      </c>
      <c r="U36" s="3">
        <f t="shared" si="56"/>
        <v>13712.4</v>
      </c>
      <c r="V36" s="3">
        <f t="shared" si="57"/>
        <v>13712.4</v>
      </c>
      <c r="W36" s="3">
        <f t="shared" si="58"/>
        <v>13712.4</v>
      </c>
      <c r="X36" s="3">
        <f t="shared" si="59"/>
        <v>11024.703323399999</v>
      </c>
      <c r="Y36" s="3">
        <f t="shared" si="60"/>
        <v>13712.4</v>
      </c>
      <c r="Z36" s="3">
        <f t="shared" si="61"/>
        <v>5858.2426094399998</v>
      </c>
      <c r="AA36" s="3">
        <f t="shared" si="62"/>
        <v>6856.2</v>
      </c>
      <c r="AB36" s="3">
        <f t="shared" si="63"/>
        <v>6856.2</v>
      </c>
      <c r="AC36" s="24">
        <f t="shared" si="64"/>
        <v>11487.230345759999</v>
      </c>
      <c r="AD36" s="24">
        <f t="shared" si="65"/>
        <v>13712.4</v>
      </c>
      <c r="AE36" s="3">
        <f t="shared" si="2"/>
        <v>138069.37627859999</v>
      </c>
    </row>
    <row r="37" spans="1:31" x14ac:dyDescent="0.3">
      <c r="B37" t="s">
        <v>85</v>
      </c>
      <c r="D37" s="5">
        <v>50000</v>
      </c>
      <c r="E37" s="5">
        <v>50000</v>
      </c>
      <c r="F37" s="5">
        <v>48646.035000000003</v>
      </c>
      <c r="G37" s="5">
        <v>38850.39</v>
      </c>
      <c r="H37" s="5">
        <v>21877.423999999999</v>
      </c>
      <c r="I37" s="5">
        <v>9762.16</v>
      </c>
      <c r="J37" s="5">
        <v>17672.879000000001</v>
      </c>
      <c r="K37" s="5">
        <v>0</v>
      </c>
      <c r="L37" s="5">
        <v>5604.7839999999997</v>
      </c>
      <c r="M37" s="5">
        <v>13614.16</v>
      </c>
      <c r="N37" s="10">
        <v>16563.062999999998</v>
      </c>
      <c r="O37" s="10">
        <v>48325.8</v>
      </c>
      <c r="P37" s="2">
        <f t="shared" si="1"/>
        <v>320916.69499999995</v>
      </c>
      <c r="Q37" s="2"/>
      <c r="R37" s="14">
        <v>0.44513999999999998</v>
      </c>
      <c r="S37" s="3">
        <f t="shared" si="54"/>
        <v>22257</v>
      </c>
      <c r="T37" s="3">
        <f t="shared" si="55"/>
        <v>22257</v>
      </c>
      <c r="U37" s="3">
        <f t="shared" si="56"/>
        <v>21654.296019900001</v>
      </c>
      <c r="V37" s="3">
        <f t="shared" si="57"/>
        <v>17293.862604599999</v>
      </c>
      <c r="W37" s="3">
        <f t="shared" si="58"/>
        <v>9738.5165193599987</v>
      </c>
      <c r="X37" s="3">
        <f t="shared" si="59"/>
        <v>4345.5279024000001</v>
      </c>
      <c r="Y37" s="3">
        <f t="shared" si="60"/>
        <v>7866.9053580600003</v>
      </c>
      <c r="Z37" s="3">
        <f t="shared" si="61"/>
        <v>0</v>
      </c>
      <c r="AA37" s="3">
        <f t="shared" si="62"/>
        <v>2494.9135497599996</v>
      </c>
      <c r="AB37" s="3">
        <f t="shared" si="63"/>
        <v>6060.2071823999995</v>
      </c>
      <c r="AC37" s="24">
        <f t="shared" si="64"/>
        <v>7372.8818638199991</v>
      </c>
      <c r="AD37" s="24">
        <f t="shared" si="65"/>
        <v>21511.746611999999</v>
      </c>
      <c r="AE37" s="3">
        <f t="shared" si="2"/>
        <v>142852.85761229999</v>
      </c>
    </row>
    <row r="38" spans="1:31" x14ac:dyDescent="0.3">
      <c r="B38" t="s">
        <v>86</v>
      </c>
      <c r="D38" s="5">
        <v>60387.046999999999</v>
      </c>
      <c r="E38" s="5">
        <v>31982.32</v>
      </c>
      <c r="F38" s="5">
        <v>4224.5097599999999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10">
        <v>10573.138000000001</v>
      </c>
      <c r="O38" s="10">
        <v>14721.745999999999</v>
      </c>
      <c r="P38" s="2">
        <f t="shared" si="1"/>
        <v>121888.76076</v>
      </c>
      <c r="Q38" s="2"/>
      <c r="R38" s="14">
        <v>0.44119000000000003</v>
      </c>
      <c r="S38" s="3">
        <f t="shared" si="54"/>
        <v>26642.161265930001</v>
      </c>
      <c r="T38" s="3">
        <f t="shared" si="55"/>
        <v>14110.2797608</v>
      </c>
      <c r="U38" s="3">
        <f t="shared" si="56"/>
        <v>1863.8114610144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24">
        <f t="shared" si="64"/>
        <v>4664.7627542200007</v>
      </c>
      <c r="AD38" s="24">
        <f t="shared" si="65"/>
        <v>6495.0871177400004</v>
      </c>
      <c r="AE38" s="3">
        <f t="shared" si="2"/>
        <v>53776.102359704397</v>
      </c>
    </row>
    <row r="39" spans="1:31" x14ac:dyDescent="0.3">
      <c r="A39" t="s">
        <v>72</v>
      </c>
      <c r="B39" t="s">
        <v>14</v>
      </c>
      <c r="D39" s="5">
        <v>40</v>
      </c>
      <c r="E39" s="5">
        <v>40</v>
      </c>
      <c r="F39" s="5">
        <v>40</v>
      </c>
      <c r="G39" s="5">
        <v>40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10">
        <v>41</v>
      </c>
      <c r="O39" s="10">
        <v>41</v>
      </c>
      <c r="P39" s="2">
        <f t="shared" si="1"/>
        <v>482</v>
      </c>
      <c r="Q39" s="2"/>
      <c r="R39" s="13">
        <v>550</v>
      </c>
      <c r="S39" s="3">
        <f t="shared" ref="S39:AD42" si="66">$R39*D39</f>
        <v>22000</v>
      </c>
      <c r="T39" s="3">
        <f t="shared" si="66"/>
        <v>22000</v>
      </c>
      <c r="U39" s="3">
        <f t="shared" si="66"/>
        <v>22000</v>
      </c>
      <c r="V39" s="3">
        <f t="shared" si="66"/>
        <v>22000</v>
      </c>
      <c r="W39" s="3">
        <f t="shared" si="66"/>
        <v>22000</v>
      </c>
      <c r="X39" s="3">
        <f t="shared" si="66"/>
        <v>22000</v>
      </c>
      <c r="Y39" s="3">
        <f t="shared" si="66"/>
        <v>22000</v>
      </c>
      <c r="Z39" s="3">
        <f t="shared" si="66"/>
        <v>22000</v>
      </c>
      <c r="AA39" s="3">
        <f t="shared" si="66"/>
        <v>22000</v>
      </c>
      <c r="AB39" s="3">
        <f t="shared" si="66"/>
        <v>22000</v>
      </c>
      <c r="AC39" s="24">
        <f t="shared" si="66"/>
        <v>22550</v>
      </c>
      <c r="AD39" s="24">
        <f t="shared" si="66"/>
        <v>22550</v>
      </c>
      <c r="AE39" s="3">
        <f t="shared" si="2"/>
        <v>265100</v>
      </c>
    </row>
    <row r="40" spans="1:31" x14ac:dyDescent="0.3">
      <c r="B40" t="s">
        <v>83</v>
      </c>
      <c r="D40" s="5">
        <v>674052</v>
      </c>
      <c r="E40" s="5">
        <v>691071</v>
      </c>
      <c r="F40" s="5">
        <v>704978</v>
      </c>
      <c r="G40" s="5">
        <v>709975</v>
      </c>
      <c r="H40" s="5">
        <v>738409</v>
      </c>
      <c r="I40" s="5">
        <v>765832</v>
      </c>
      <c r="J40" s="5">
        <v>707612</v>
      </c>
      <c r="K40" s="5">
        <v>643264</v>
      </c>
      <c r="L40" s="5">
        <v>661772</v>
      </c>
      <c r="M40" s="5">
        <v>706580</v>
      </c>
      <c r="N40" s="10">
        <v>789874</v>
      </c>
      <c r="O40" s="10">
        <v>751606</v>
      </c>
      <c r="P40" s="2">
        <f t="shared" si="1"/>
        <v>8545025</v>
      </c>
      <c r="Q40" s="2"/>
      <c r="R40" s="14">
        <v>9.4750000000000001E-2</v>
      </c>
      <c r="S40" s="3">
        <f t="shared" si="66"/>
        <v>63866.427000000003</v>
      </c>
      <c r="T40" s="3">
        <f t="shared" si="66"/>
        <v>65478.977250000004</v>
      </c>
      <c r="U40" s="3">
        <f t="shared" si="66"/>
        <v>66796.665500000003</v>
      </c>
      <c r="V40" s="3">
        <f t="shared" si="66"/>
        <v>67270.131250000006</v>
      </c>
      <c r="W40" s="3">
        <f t="shared" si="66"/>
        <v>69964.25275</v>
      </c>
      <c r="X40" s="3">
        <f t="shared" si="66"/>
        <v>72562.581999999995</v>
      </c>
      <c r="Y40" s="3">
        <f t="shared" si="66"/>
        <v>67046.236999999994</v>
      </c>
      <c r="Z40" s="3">
        <f t="shared" si="66"/>
        <v>60949.264000000003</v>
      </c>
      <c r="AA40" s="3">
        <f t="shared" si="66"/>
        <v>62702.896999999997</v>
      </c>
      <c r="AB40" s="3">
        <f t="shared" si="66"/>
        <v>66948.455000000002</v>
      </c>
      <c r="AC40" s="24">
        <f t="shared" si="66"/>
        <v>74840.561499999996</v>
      </c>
      <c r="AD40" s="24">
        <f t="shared" si="66"/>
        <v>71214.6685</v>
      </c>
      <c r="AE40" s="3">
        <f t="shared" si="2"/>
        <v>809641.11874999991</v>
      </c>
    </row>
    <row r="41" spans="1:31" x14ac:dyDescent="0.3">
      <c r="B41" t="s">
        <v>84</v>
      </c>
      <c r="D41" s="5">
        <v>838680</v>
      </c>
      <c r="E41" s="5">
        <v>880803</v>
      </c>
      <c r="F41" s="5">
        <v>822809</v>
      </c>
      <c r="G41" s="5">
        <v>845418</v>
      </c>
      <c r="H41" s="5">
        <v>714224</v>
      </c>
      <c r="I41" s="5">
        <v>619374</v>
      </c>
      <c r="J41" s="5">
        <v>571282</v>
      </c>
      <c r="K41" s="5">
        <v>482367</v>
      </c>
      <c r="L41" s="5">
        <v>564174</v>
      </c>
      <c r="M41" s="5">
        <v>541234</v>
      </c>
      <c r="N41" s="10">
        <v>781653</v>
      </c>
      <c r="O41" s="10">
        <v>822468</v>
      </c>
      <c r="P41" s="2">
        <f t="shared" si="1"/>
        <v>8484486</v>
      </c>
      <c r="Q41" s="2"/>
      <c r="R41" s="14">
        <v>8.4059999999999996E-2</v>
      </c>
      <c r="S41" s="3">
        <f t="shared" si="66"/>
        <v>70499.440799999997</v>
      </c>
      <c r="T41" s="3">
        <f t="shared" si="66"/>
        <v>74040.300179999991</v>
      </c>
      <c r="U41" s="3">
        <f t="shared" si="66"/>
        <v>69165.324540000001</v>
      </c>
      <c r="V41" s="3">
        <f t="shared" si="66"/>
        <v>71065.837079999998</v>
      </c>
      <c r="W41" s="3">
        <f t="shared" si="66"/>
        <v>60037.669439999998</v>
      </c>
      <c r="X41" s="3">
        <f t="shared" si="66"/>
        <v>52064.578439999997</v>
      </c>
      <c r="Y41" s="3">
        <f t="shared" si="66"/>
        <v>48021.964919999999</v>
      </c>
      <c r="Z41" s="3">
        <f t="shared" si="66"/>
        <v>40547.770019999996</v>
      </c>
      <c r="AA41" s="3">
        <f t="shared" si="66"/>
        <v>47424.466439999997</v>
      </c>
      <c r="AB41" s="3">
        <f t="shared" si="66"/>
        <v>45496.130039999996</v>
      </c>
      <c r="AC41" s="24">
        <f t="shared" si="66"/>
        <v>65705.751179999992</v>
      </c>
      <c r="AD41" s="24">
        <f t="shared" si="66"/>
        <v>69136.660080000001</v>
      </c>
      <c r="AE41" s="3">
        <f t="shared" si="2"/>
        <v>713205.89315999998</v>
      </c>
    </row>
    <row r="42" spans="1:31" x14ac:dyDescent="0.3">
      <c r="B42" t="s">
        <v>85</v>
      </c>
      <c r="D42" s="5">
        <v>1590325</v>
      </c>
      <c r="E42" s="5">
        <v>1967391</v>
      </c>
      <c r="F42" s="5">
        <v>1573186</v>
      </c>
      <c r="G42" s="5">
        <v>1420689</v>
      </c>
      <c r="H42" s="5">
        <v>1132326</v>
      </c>
      <c r="I42" s="5">
        <v>934757</v>
      </c>
      <c r="J42" s="5">
        <v>771719</v>
      </c>
      <c r="K42" s="5">
        <v>663561</v>
      </c>
      <c r="L42" s="5">
        <v>751848</v>
      </c>
      <c r="M42" s="5">
        <v>687816</v>
      </c>
      <c r="N42" s="10">
        <v>1090455</v>
      </c>
      <c r="O42" s="10">
        <v>1349826</v>
      </c>
      <c r="P42" s="2">
        <f t="shared" si="1"/>
        <v>13933899</v>
      </c>
      <c r="Q42" s="2"/>
      <c r="R42" s="14">
        <v>7.5590000000000004E-2</v>
      </c>
      <c r="S42" s="3">
        <f t="shared" si="66"/>
        <v>120212.66675</v>
      </c>
      <c r="T42" s="3">
        <f t="shared" si="66"/>
        <v>148715.08569000001</v>
      </c>
      <c r="U42" s="3">
        <f t="shared" si="66"/>
        <v>118917.12974</v>
      </c>
      <c r="V42" s="3">
        <f t="shared" si="66"/>
        <v>107389.88151000001</v>
      </c>
      <c r="W42" s="3">
        <f t="shared" si="66"/>
        <v>85592.52234000001</v>
      </c>
      <c r="X42" s="3">
        <f t="shared" si="66"/>
        <v>70658.281629999998</v>
      </c>
      <c r="Y42" s="3">
        <f t="shared" si="66"/>
        <v>58334.239210000007</v>
      </c>
      <c r="Z42" s="3">
        <f t="shared" si="66"/>
        <v>50158.575990000005</v>
      </c>
      <c r="AA42" s="3">
        <f t="shared" si="66"/>
        <v>56832.190320000002</v>
      </c>
      <c r="AB42" s="3">
        <f t="shared" si="66"/>
        <v>51992.011440000002</v>
      </c>
      <c r="AC42" s="24">
        <f t="shared" si="66"/>
        <v>82427.493450000009</v>
      </c>
      <c r="AD42" s="24">
        <f t="shared" si="66"/>
        <v>102033.34734000001</v>
      </c>
      <c r="AE42" s="3">
        <f t="shared" si="2"/>
        <v>1053263.4254100004</v>
      </c>
    </row>
    <row r="43" spans="1:31" x14ac:dyDescent="0.3">
      <c r="B43" t="s">
        <v>86</v>
      </c>
      <c r="D43" s="5">
        <v>498562</v>
      </c>
      <c r="E43" s="5">
        <v>506910</v>
      </c>
      <c r="F43" s="5">
        <v>318771</v>
      </c>
      <c r="G43" s="5">
        <v>226373</v>
      </c>
      <c r="H43" s="5">
        <v>200000</v>
      </c>
      <c r="I43" s="5">
        <v>200000</v>
      </c>
      <c r="J43" s="5">
        <v>200000</v>
      </c>
      <c r="K43" s="5">
        <v>200000</v>
      </c>
      <c r="L43" s="5">
        <v>200000</v>
      </c>
      <c r="M43" s="5">
        <v>200000</v>
      </c>
      <c r="N43" s="10">
        <v>200000</v>
      </c>
      <c r="O43" s="10">
        <v>200000</v>
      </c>
      <c r="P43" s="2">
        <f t="shared" si="1"/>
        <v>3150616</v>
      </c>
      <c r="Q43" s="2"/>
      <c r="R43" s="14">
        <v>6.9739999999999996E-2</v>
      </c>
      <c r="S43" s="3">
        <f t="shared" ref="S43" si="67">$R43*D43</f>
        <v>34769.713879999996</v>
      </c>
      <c r="T43" s="3">
        <f t="shared" ref="T43" si="68">$R43*E43</f>
        <v>35351.903399999996</v>
      </c>
      <c r="U43" s="3">
        <f t="shared" ref="U43" si="69">$R43*F43</f>
        <v>22231.089539999997</v>
      </c>
      <c r="V43" s="3">
        <f t="shared" ref="V43" si="70">$R43*G43</f>
        <v>15787.253019999998</v>
      </c>
      <c r="W43" s="3">
        <f t="shared" ref="W43" si="71">$R43*H43</f>
        <v>13948</v>
      </c>
      <c r="X43" s="3">
        <f t="shared" ref="X43" si="72">$R43*I43</f>
        <v>13948</v>
      </c>
      <c r="Y43" s="3">
        <f t="shared" ref="Y43" si="73">$R43*J43</f>
        <v>13948</v>
      </c>
      <c r="Z43" s="3">
        <f t="shared" ref="Z43" si="74">$R43*K43</f>
        <v>13948</v>
      </c>
      <c r="AA43" s="3">
        <f t="shared" ref="AA43" si="75">$R43*L43</f>
        <v>13948</v>
      </c>
      <c r="AB43" s="3">
        <f t="shared" ref="AB43" si="76">$R43*M43</f>
        <v>13948</v>
      </c>
      <c r="AC43" s="24">
        <f t="shared" ref="AC43" si="77">$R43*N43</f>
        <v>13948</v>
      </c>
      <c r="AD43" s="24">
        <f t="shared" ref="AD43" si="78">$R43*O43</f>
        <v>13948</v>
      </c>
      <c r="AE43" s="3">
        <f t="shared" ref="AE43" si="79">SUM(S43:AD43)</f>
        <v>219723.95984</v>
      </c>
    </row>
    <row r="44" spans="1:31" x14ac:dyDescent="0.3">
      <c r="B44" t="s">
        <v>87</v>
      </c>
      <c r="D44" s="5">
        <v>204479</v>
      </c>
      <c r="E44" s="5">
        <v>215455</v>
      </c>
      <c r="F44" s="5">
        <v>93879</v>
      </c>
      <c r="G44" s="5">
        <v>179468</v>
      </c>
      <c r="H44" s="5">
        <v>83671</v>
      </c>
      <c r="I44" s="5">
        <v>129894</v>
      </c>
      <c r="J44" s="5">
        <v>121468</v>
      </c>
      <c r="K44" s="5">
        <v>167050</v>
      </c>
      <c r="L44" s="5">
        <v>161146</v>
      </c>
      <c r="M44" s="5">
        <v>74228</v>
      </c>
      <c r="N44" s="10">
        <v>236050</v>
      </c>
      <c r="O44" s="10">
        <v>282518</v>
      </c>
      <c r="P44" s="2">
        <f t="shared" si="1"/>
        <v>1949306</v>
      </c>
      <c r="Q44" s="2"/>
      <c r="R44" s="14">
        <v>5.1880000000000003E-2</v>
      </c>
      <c r="S44" s="3">
        <f t="shared" ref="S44:S47" si="80">$R44*D44</f>
        <v>10608.37052</v>
      </c>
      <c r="T44" s="3">
        <f t="shared" ref="T44:T47" si="81">$R44*E44</f>
        <v>11177.805400000001</v>
      </c>
      <c r="U44" s="3">
        <f t="shared" ref="U44:U47" si="82">$R44*F44</f>
        <v>4870.4425200000005</v>
      </c>
      <c r="V44" s="3">
        <f t="shared" ref="V44:V47" si="83">$R44*G44</f>
        <v>9310.7998399999997</v>
      </c>
      <c r="W44" s="3">
        <f t="shared" ref="W44:W47" si="84">$R44*H44</f>
        <v>4340.8514800000003</v>
      </c>
      <c r="X44" s="3">
        <f t="shared" ref="X44:X47" si="85">$R44*I44</f>
        <v>6738.9007200000005</v>
      </c>
      <c r="Y44" s="3">
        <f t="shared" ref="Y44:Y47" si="86">$R44*J44</f>
        <v>6301.7598400000006</v>
      </c>
      <c r="Z44" s="3">
        <f t="shared" ref="Z44:Z47" si="87">$R44*K44</f>
        <v>8666.5540000000001</v>
      </c>
      <c r="AA44" s="3">
        <f t="shared" ref="AA44:AA47" si="88">$R44*L44</f>
        <v>8360.2544799999996</v>
      </c>
      <c r="AB44" s="3">
        <f t="shared" ref="AB44:AB47" si="89">$R44*M44</f>
        <v>3850.9486400000001</v>
      </c>
      <c r="AC44" s="24">
        <f t="shared" ref="AC44" si="90">$R44*N44</f>
        <v>12246.274000000001</v>
      </c>
      <c r="AD44" s="24">
        <f t="shared" ref="AD44" si="91">$R44*O44</f>
        <v>14657.03384</v>
      </c>
      <c r="AE44" s="3">
        <f t="shared" si="2"/>
        <v>101129.99528</v>
      </c>
    </row>
    <row r="45" spans="1:31" ht="14.4" customHeight="1" x14ac:dyDescent="0.3">
      <c r="A45" s="16" t="s">
        <v>73</v>
      </c>
      <c r="B45" t="s">
        <v>14</v>
      </c>
      <c r="D45" s="5">
        <v>3</v>
      </c>
      <c r="E45" s="5">
        <v>3</v>
      </c>
      <c r="F45" s="5">
        <v>3</v>
      </c>
      <c r="G45" s="5">
        <v>3</v>
      </c>
      <c r="H45" s="5">
        <v>3</v>
      </c>
      <c r="I45" s="5">
        <v>2</v>
      </c>
      <c r="J45" s="5">
        <v>3</v>
      </c>
      <c r="K45" s="5">
        <v>3</v>
      </c>
      <c r="L45" s="5">
        <v>3</v>
      </c>
      <c r="M45" s="5">
        <v>3</v>
      </c>
      <c r="N45" s="10">
        <v>3</v>
      </c>
      <c r="O45" s="10">
        <v>3</v>
      </c>
      <c r="P45" s="2">
        <f t="shared" si="1"/>
        <v>35</v>
      </c>
      <c r="Q45" s="2"/>
      <c r="R45" s="13">
        <v>0</v>
      </c>
      <c r="S45" s="3">
        <f t="shared" si="80"/>
        <v>0</v>
      </c>
      <c r="T45" s="3">
        <f t="shared" si="81"/>
        <v>0</v>
      </c>
      <c r="U45" s="3">
        <f t="shared" si="82"/>
        <v>0</v>
      </c>
      <c r="V45" s="3">
        <f t="shared" si="83"/>
        <v>0</v>
      </c>
      <c r="W45" s="3">
        <f t="shared" si="84"/>
        <v>0</v>
      </c>
      <c r="X45" s="3">
        <f t="shared" si="85"/>
        <v>0</v>
      </c>
      <c r="Y45" s="3">
        <f t="shared" si="86"/>
        <v>0</v>
      </c>
      <c r="Z45" s="3">
        <f t="shared" si="87"/>
        <v>0</v>
      </c>
      <c r="AA45" s="3">
        <f t="shared" si="88"/>
        <v>0</v>
      </c>
      <c r="AB45" s="3">
        <f t="shared" si="89"/>
        <v>0</v>
      </c>
      <c r="AC45" s="24">
        <f t="shared" ref="AC45:AC47" si="92">$R45*N45</f>
        <v>0</v>
      </c>
      <c r="AD45" s="24">
        <f t="shared" ref="AD45:AD47" si="93">$R45*O45</f>
        <v>0</v>
      </c>
      <c r="AE45" s="3">
        <f t="shared" si="2"/>
        <v>0</v>
      </c>
    </row>
    <row r="46" spans="1:31" x14ac:dyDescent="0.3">
      <c r="A46" s="16"/>
      <c r="B46" t="s">
        <v>88</v>
      </c>
      <c r="D46" s="5">
        <v>143780</v>
      </c>
      <c r="E46" s="5">
        <v>234728</v>
      </c>
      <c r="F46" s="5">
        <v>125146</v>
      </c>
      <c r="G46" s="5">
        <v>195456</v>
      </c>
      <c r="H46" s="5">
        <v>74368</v>
      </c>
      <c r="I46" s="5">
        <v>117260</v>
      </c>
      <c r="J46" s="5">
        <v>166891</v>
      </c>
      <c r="K46" s="5">
        <v>502352</v>
      </c>
      <c r="L46" s="5">
        <v>872318</v>
      </c>
      <c r="M46" s="5">
        <v>297927</v>
      </c>
      <c r="N46" s="10">
        <v>194094</v>
      </c>
      <c r="O46" s="10">
        <v>176246</v>
      </c>
      <c r="P46" s="2">
        <f t="shared" si="1"/>
        <v>3100566</v>
      </c>
      <c r="Q46" s="2"/>
      <c r="R46" s="14">
        <v>2.0910000000000002E-2</v>
      </c>
      <c r="S46" s="3">
        <f t="shared" si="80"/>
        <v>3006.4398000000001</v>
      </c>
      <c r="T46" s="3">
        <f t="shared" si="81"/>
        <v>4908.16248</v>
      </c>
      <c r="U46" s="3">
        <f t="shared" si="82"/>
        <v>2616.8028600000002</v>
      </c>
      <c r="V46" s="3">
        <f t="shared" si="83"/>
        <v>4086.9849600000002</v>
      </c>
      <c r="W46" s="3">
        <f t="shared" si="84"/>
        <v>1555.0348800000002</v>
      </c>
      <c r="X46" s="3">
        <f t="shared" si="85"/>
        <v>2451.9066000000003</v>
      </c>
      <c r="Y46" s="3">
        <f t="shared" si="86"/>
        <v>3489.6908100000001</v>
      </c>
      <c r="Z46" s="3">
        <f t="shared" si="87"/>
        <v>10504.180320000001</v>
      </c>
      <c r="AA46" s="3">
        <f t="shared" si="88"/>
        <v>18240.169380000003</v>
      </c>
      <c r="AB46" s="3">
        <f t="shared" si="89"/>
        <v>6229.6535700000004</v>
      </c>
      <c r="AC46" s="24">
        <f t="shared" si="92"/>
        <v>4058.5055400000001</v>
      </c>
      <c r="AD46" s="24">
        <f t="shared" si="93"/>
        <v>3685.3038600000004</v>
      </c>
      <c r="AE46" s="3">
        <f t="shared" si="2"/>
        <v>64832.835060000005</v>
      </c>
    </row>
    <row r="47" spans="1:31" x14ac:dyDescent="0.3">
      <c r="A47" s="16" t="s">
        <v>90</v>
      </c>
      <c r="B47" t="s">
        <v>14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10">
        <v>5</v>
      </c>
      <c r="O47" s="10">
        <v>5</v>
      </c>
      <c r="P47" s="2">
        <f t="shared" si="1"/>
        <v>60</v>
      </c>
      <c r="Q47" s="2"/>
      <c r="R47" s="13">
        <v>200</v>
      </c>
      <c r="S47" s="3">
        <f t="shared" si="80"/>
        <v>1000</v>
      </c>
      <c r="T47" s="3">
        <f t="shared" si="81"/>
        <v>1000</v>
      </c>
      <c r="U47" s="3">
        <f t="shared" si="82"/>
        <v>1000</v>
      </c>
      <c r="V47" s="3">
        <f t="shared" si="83"/>
        <v>1000</v>
      </c>
      <c r="W47" s="3">
        <f t="shared" si="84"/>
        <v>1000</v>
      </c>
      <c r="X47" s="3">
        <f t="shared" si="85"/>
        <v>1000</v>
      </c>
      <c r="Y47" s="3">
        <f t="shared" si="86"/>
        <v>1000</v>
      </c>
      <c r="Z47" s="3">
        <f t="shared" si="87"/>
        <v>1000</v>
      </c>
      <c r="AA47" s="3">
        <f t="shared" si="88"/>
        <v>1000</v>
      </c>
      <c r="AB47" s="3">
        <f t="shared" si="89"/>
        <v>1000</v>
      </c>
      <c r="AC47" s="24">
        <f t="shared" si="92"/>
        <v>1000</v>
      </c>
      <c r="AD47" s="24">
        <f t="shared" si="93"/>
        <v>1000</v>
      </c>
      <c r="AE47" s="3">
        <f t="shared" si="2"/>
        <v>12000</v>
      </c>
    </row>
    <row r="48" spans="1:31" x14ac:dyDescent="0.3">
      <c r="A48" s="16"/>
      <c r="B48" t="s">
        <v>88</v>
      </c>
      <c r="D48" s="5">
        <v>5112851</v>
      </c>
      <c r="E48" s="5">
        <v>5186280</v>
      </c>
      <c r="F48" s="5">
        <v>4377752</v>
      </c>
      <c r="G48" s="5">
        <v>4139044</v>
      </c>
      <c r="H48" s="5">
        <v>3981592</v>
      </c>
      <c r="I48" s="5">
        <v>3685020</v>
      </c>
      <c r="J48" s="5">
        <v>3491048</v>
      </c>
      <c r="K48" s="5">
        <v>3294670</v>
      </c>
      <c r="L48" s="5">
        <v>3457127</v>
      </c>
      <c r="M48" s="5">
        <v>3440029</v>
      </c>
      <c r="N48" s="10">
        <v>4033697</v>
      </c>
      <c r="O48" s="10">
        <v>4438690</v>
      </c>
      <c r="P48" s="2">
        <f t="shared" si="1"/>
        <v>48637800</v>
      </c>
      <c r="Q48" s="2"/>
      <c r="R48" s="15" t="s">
        <v>89</v>
      </c>
      <c r="S48" s="4">
        <v>122180.99</v>
      </c>
      <c r="T48" s="4">
        <v>123255.9</v>
      </c>
      <c r="U48" s="4">
        <v>108809.54</v>
      </c>
      <c r="V48" s="4">
        <v>101306.63</v>
      </c>
      <c r="W48" s="4">
        <v>102788.51</v>
      </c>
      <c r="X48" s="4">
        <v>99163.39</v>
      </c>
      <c r="Y48" s="4">
        <v>97810.4</v>
      </c>
      <c r="Z48" s="4">
        <v>91744.61</v>
      </c>
      <c r="AA48" s="4">
        <v>96890.29</v>
      </c>
      <c r="AB48" s="4">
        <v>94107.17</v>
      </c>
      <c r="AC48" s="11">
        <v>105804.16</v>
      </c>
      <c r="AD48" s="11">
        <v>112682.72</v>
      </c>
      <c r="AE48" s="3">
        <f t="shared" si="2"/>
        <v>1256544.31</v>
      </c>
    </row>
    <row r="50" spans="1:32" x14ac:dyDescent="0.3">
      <c r="A50" t="s">
        <v>64</v>
      </c>
      <c r="B50" t="s">
        <v>26</v>
      </c>
      <c r="D50" s="5">
        <v>13436935</v>
      </c>
      <c r="E50" s="5">
        <v>9798818</v>
      </c>
      <c r="F50" s="5">
        <v>7030538</v>
      </c>
      <c r="G50" s="5">
        <v>5023817</v>
      </c>
      <c r="H50" s="5">
        <v>2388365</v>
      </c>
      <c r="I50" s="5">
        <v>1309914</v>
      </c>
      <c r="J50" s="5">
        <v>1138066</v>
      </c>
      <c r="K50" s="5">
        <v>1275676</v>
      </c>
      <c r="L50" s="5">
        <v>2075546</v>
      </c>
      <c r="M50" s="5">
        <f>5648312+90</f>
        <v>5648402</v>
      </c>
      <c r="N50" s="10">
        <f>8701784+8</f>
        <v>8701792</v>
      </c>
      <c r="O50" s="10">
        <v>13256855</v>
      </c>
      <c r="P50" s="2">
        <f t="shared" si="1"/>
        <v>71084724</v>
      </c>
      <c r="Q50" s="2"/>
      <c r="S50" s="3">
        <f t="shared" ref="S50:AD50" si="94">SUM(S4:S5)/SUM(D4:D5)*D50</f>
        <v>9439217.2811277043</v>
      </c>
      <c r="T50" s="3">
        <f t="shared" si="94"/>
        <v>6797669.7926197723</v>
      </c>
      <c r="U50" s="3">
        <f t="shared" si="94"/>
        <v>4780741.9224841176</v>
      </c>
      <c r="V50" s="3">
        <f t="shared" si="94"/>
        <v>3323132.8545862762</v>
      </c>
      <c r="W50" s="3">
        <f t="shared" si="94"/>
        <v>1548289.5391311429</v>
      </c>
      <c r="X50" s="3">
        <f t="shared" si="94"/>
        <v>837711.76025102066</v>
      </c>
      <c r="Y50" s="3">
        <f t="shared" si="94"/>
        <v>728767.79902122531</v>
      </c>
      <c r="Z50" s="3">
        <f t="shared" si="94"/>
        <v>815912.56945876102</v>
      </c>
      <c r="AA50" s="3">
        <f t="shared" si="94"/>
        <v>1331128.2118431656</v>
      </c>
      <c r="AB50" s="3">
        <f t="shared" si="94"/>
        <v>3633508.1424929132</v>
      </c>
      <c r="AC50" s="24">
        <f t="shared" si="94"/>
        <v>5770810.5870397761</v>
      </c>
      <c r="AD50" s="24">
        <f t="shared" si="94"/>
        <v>9048051.0255629215</v>
      </c>
      <c r="AE50" s="3">
        <f t="shared" ref="AE50:AE71" si="95">SUM(S50:AD50)</f>
        <v>48054941.485618792</v>
      </c>
      <c r="AF50" t="s">
        <v>30</v>
      </c>
    </row>
    <row r="51" spans="1:32" x14ac:dyDescent="0.3">
      <c r="B51" t="s">
        <v>27</v>
      </c>
      <c r="D51" s="5">
        <v>-14234668</v>
      </c>
      <c r="E51" s="5">
        <v>-13436935</v>
      </c>
      <c r="F51" s="5">
        <v>-9798818</v>
      </c>
      <c r="G51" s="5">
        <v>-7030538</v>
      </c>
      <c r="H51" s="5">
        <v>-5023817</v>
      </c>
      <c r="I51" s="5">
        <v>-2388365</v>
      </c>
      <c r="J51" s="5">
        <v>-1309914</v>
      </c>
      <c r="K51" s="5">
        <v>-1138066</v>
      </c>
      <c r="L51" s="5">
        <v>-1275676</v>
      </c>
      <c r="M51" s="5">
        <v>-2075546</v>
      </c>
      <c r="N51" s="10">
        <f>-5648312</f>
        <v>-5648312</v>
      </c>
      <c r="O51" s="10">
        <v>-8701784</v>
      </c>
      <c r="P51" s="2">
        <f t="shared" si="1"/>
        <v>-72062439</v>
      </c>
      <c r="Q51" s="2"/>
      <c r="S51" s="3">
        <f>SUM(S4:S5)/SUM(D4:D5)*D51</f>
        <v>-9999611.0851705037</v>
      </c>
      <c r="T51" s="3">
        <f>-S50</f>
        <v>-9439217.2811277043</v>
      </c>
      <c r="U51" s="3">
        <f t="shared" ref="U51:AD51" si="96">-T50</f>
        <v>-6797669.7926197723</v>
      </c>
      <c r="V51" s="3">
        <f t="shared" si="96"/>
        <v>-4780741.9224841176</v>
      </c>
      <c r="W51" s="3">
        <f t="shared" si="96"/>
        <v>-3323132.8545862762</v>
      </c>
      <c r="X51" s="3">
        <f t="shared" si="96"/>
        <v>-1548289.5391311429</v>
      </c>
      <c r="Y51" s="3">
        <f t="shared" si="96"/>
        <v>-837711.76025102066</v>
      </c>
      <c r="Z51" s="3">
        <f t="shared" si="96"/>
        <v>-728767.79902122531</v>
      </c>
      <c r="AA51" s="3">
        <f t="shared" si="96"/>
        <v>-815912.56945876102</v>
      </c>
      <c r="AB51" s="3">
        <f t="shared" si="96"/>
        <v>-1331128.2118431656</v>
      </c>
      <c r="AC51" s="24">
        <f t="shared" si="96"/>
        <v>-3633508.1424929132</v>
      </c>
      <c r="AD51" s="24">
        <f t="shared" si="96"/>
        <v>-5770810.5870397761</v>
      </c>
      <c r="AE51" s="3">
        <f t="shared" si="95"/>
        <v>-49006501.545226373</v>
      </c>
      <c r="AF51" t="s">
        <v>31</v>
      </c>
    </row>
    <row r="52" spans="1:32" x14ac:dyDescent="0.3">
      <c r="B52" t="s">
        <v>25</v>
      </c>
      <c r="D52" s="6">
        <f>D50+D51</f>
        <v>-797733</v>
      </c>
      <c r="E52" s="6">
        <f t="shared" ref="E52:O52" si="97">E50+E51</f>
        <v>-3638117</v>
      </c>
      <c r="F52" s="6">
        <f t="shared" si="97"/>
        <v>-2768280</v>
      </c>
      <c r="G52" s="6">
        <f t="shared" si="97"/>
        <v>-2006721</v>
      </c>
      <c r="H52" s="6">
        <f t="shared" si="97"/>
        <v>-2635452</v>
      </c>
      <c r="I52" s="6">
        <f t="shared" si="97"/>
        <v>-1078451</v>
      </c>
      <c r="J52" s="6">
        <f t="shared" si="97"/>
        <v>-171848</v>
      </c>
      <c r="K52" s="6">
        <f t="shared" si="97"/>
        <v>137610</v>
      </c>
      <c r="L52" s="6">
        <f t="shared" si="97"/>
        <v>799870</v>
      </c>
      <c r="M52" s="6">
        <f t="shared" si="97"/>
        <v>3572856</v>
      </c>
      <c r="N52" s="20">
        <f t="shared" si="97"/>
        <v>3053480</v>
      </c>
      <c r="O52" s="20">
        <f t="shared" si="97"/>
        <v>4555071</v>
      </c>
      <c r="P52" s="2">
        <f t="shared" si="1"/>
        <v>-977715</v>
      </c>
      <c r="Q52" s="2"/>
      <c r="R52" s="14">
        <f>ROUND(SUM(AE4:AE5)/SUM(P4:P5),5)</f>
        <v>0.67801</v>
      </c>
      <c r="S52" s="3">
        <f t="shared" ref="S52:AD52" si="98">$R52*D52</f>
        <v>-540870.95132999995</v>
      </c>
      <c r="T52" s="3">
        <f t="shared" si="98"/>
        <v>-2466679.7071699998</v>
      </c>
      <c r="U52" s="3">
        <f t="shared" si="98"/>
        <v>-1876921.5227999999</v>
      </c>
      <c r="V52" s="3">
        <f t="shared" si="98"/>
        <v>-1360576.90521</v>
      </c>
      <c r="W52" s="3">
        <f t="shared" si="98"/>
        <v>-1786862.8105200001</v>
      </c>
      <c r="X52" s="3">
        <f t="shared" si="98"/>
        <v>-731200.56250999996</v>
      </c>
      <c r="Y52" s="3">
        <f t="shared" si="98"/>
        <v>-116514.66248</v>
      </c>
      <c r="Z52" s="3">
        <f t="shared" si="98"/>
        <v>93300.956099999996</v>
      </c>
      <c r="AA52" s="3">
        <f t="shared" si="98"/>
        <v>542319.85869999998</v>
      </c>
      <c r="AB52" s="3">
        <f t="shared" si="98"/>
        <v>2422432.09656</v>
      </c>
      <c r="AC52" s="24">
        <f t="shared" si="98"/>
        <v>2070289.9748</v>
      </c>
      <c r="AD52" s="24">
        <f t="shared" si="98"/>
        <v>3088383.6887099999</v>
      </c>
      <c r="AE52" s="3">
        <f t="shared" si="95"/>
        <v>-662900.54714999953</v>
      </c>
      <c r="AF52" t="s">
        <v>33</v>
      </c>
    </row>
    <row r="53" spans="1:32" x14ac:dyDescent="0.3">
      <c r="A53" t="s">
        <v>66</v>
      </c>
      <c r="B53" t="s">
        <v>26</v>
      </c>
      <c r="D53" s="5">
        <v>4331879</v>
      </c>
      <c r="E53" s="5">
        <v>3382099</v>
      </c>
      <c r="F53" s="5">
        <v>2540570</v>
      </c>
      <c r="G53" s="5">
        <v>1911101</v>
      </c>
      <c r="H53" s="5">
        <v>1006474</v>
      </c>
      <c r="I53" s="5">
        <v>739251</v>
      </c>
      <c r="J53" s="5">
        <v>704942</v>
      </c>
      <c r="K53" s="5">
        <v>826497</v>
      </c>
      <c r="L53" s="5">
        <v>1306109</v>
      </c>
      <c r="M53" s="5">
        <v>2474381</v>
      </c>
      <c r="N53" s="10">
        <v>3219050</v>
      </c>
      <c r="O53" s="10">
        <v>4499374</v>
      </c>
      <c r="P53" s="2">
        <f t="shared" si="1"/>
        <v>26941727</v>
      </c>
      <c r="Q53" s="2"/>
      <c r="S53" s="3">
        <f>SUM(S10:S12)/SUM(D10:D12)*D53</f>
        <v>2220237.4440968144</v>
      </c>
      <c r="T53" s="3">
        <f>SUM(T10:T12)/SUM(E10:E12)*E53</f>
        <v>1732748.0164248229</v>
      </c>
      <c r="U53" s="3">
        <f t="shared" ref="U53:AD53" si="99">SUM(U10:U12)/SUM(F10:F12)*F53</f>
        <v>1298983.9369099897</v>
      </c>
      <c r="V53" s="3">
        <f t="shared" si="99"/>
        <v>970398.73837320344</v>
      </c>
      <c r="W53" s="3">
        <f t="shared" si="99"/>
        <v>502894.97312228102</v>
      </c>
      <c r="X53" s="3">
        <f t="shared" si="99"/>
        <v>358364.23358427599</v>
      </c>
      <c r="Y53" s="3">
        <f t="shared" si="99"/>
        <v>335460.37261630141</v>
      </c>
      <c r="Z53" s="3">
        <f t="shared" si="99"/>
        <v>391448.62421468453</v>
      </c>
      <c r="AA53" s="3">
        <f t="shared" si="99"/>
        <v>626541.73859230173</v>
      </c>
      <c r="AB53" s="3">
        <f t="shared" si="99"/>
        <v>1211635.6253339995</v>
      </c>
      <c r="AC53" s="24">
        <f t="shared" si="99"/>
        <v>1632701.9404968617</v>
      </c>
      <c r="AD53" s="24">
        <f t="shared" si="99"/>
        <v>2302363.1766457371</v>
      </c>
      <c r="AE53" s="3">
        <f t="shared" si="95"/>
        <v>13583778.820411274</v>
      </c>
      <c r="AF53" t="s">
        <v>30</v>
      </c>
    </row>
    <row r="54" spans="1:32" x14ac:dyDescent="0.3">
      <c r="B54" t="s">
        <v>27</v>
      </c>
      <c r="D54" s="5">
        <v>-5038009</v>
      </c>
      <c r="E54" s="5">
        <v>-4331879</v>
      </c>
      <c r="F54" s="5">
        <v>-3382099</v>
      </c>
      <c r="G54" s="5">
        <v>-2540570</v>
      </c>
      <c r="H54" s="5">
        <v>-1911101</v>
      </c>
      <c r="I54" s="5">
        <v>-1006474</v>
      </c>
      <c r="J54" s="5">
        <v>-739251</v>
      </c>
      <c r="K54" s="5">
        <v>-704942</v>
      </c>
      <c r="L54" s="5">
        <v>-826497</v>
      </c>
      <c r="M54" s="5">
        <v>-1306109</v>
      </c>
      <c r="N54" s="10">
        <v>-2474381</v>
      </c>
      <c r="O54" s="10">
        <v>-3219050</v>
      </c>
      <c r="P54" s="2">
        <f t="shared" si="1"/>
        <v>-27480362</v>
      </c>
      <c r="Q54" s="2"/>
      <c r="S54" s="3">
        <f>SUM(S10:S12)/SUM(D10:D12)*D54</f>
        <v>-2582153.4316855911</v>
      </c>
      <c r="T54" s="3">
        <f>-S53</f>
        <v>-2220237.4440968144</v>
      </c>
      <c r="U54" s="3">
        <f t="shared" ref="U54:AD54" si="100">-T53</f>
        <v>-1732748.0164248229</v>
      </c>
      <c r="V54" s="3">
        <f t="shared" si="100"/>
        <v>-1298983.9369099897</v>
      </c>
      <c r="W54" s="3">
        <f t="shared" si="100"/>
        <v>-970398.73837320344</v>
      </c>
      <c r="X54" s="3">
        <f t="shared" si="100"/>
        <v>-502894.97312228102</v>
      </c>
      <c r="Y54" s="3">
        <f t="shared" si="100"/>
        <v>-358364.23358427599</v>
      </c>
      <c r="Z54" s="3">
        <f t="shared" si="100"/>
        <v>-335460.37261630141</v>
      </c>
      <c r="AA54" s="3">
        <f t="shared" si="100"/>
        <v>-391448.62421468453</v>
      </c>
      <c r="AB54" s="3">
        <f t="shared" si="100"/>
        <v>-626541.73859230173</v>
      </c>
      <c r="AC54" s="24">
        <f t="shared" si="100"/>
        <v>-1211635.6253339995</v>
      </c>
      <c r="AD54" s="24">
        <f t="shared" si="100"/>
        <v>-1632701.9404968617</v>
      </c>
      <c r="AE54" s="3">
        <f t="shared" si="95"/>
        <v>-13863569.075451128</v>
      </c>
      <c r="AF54" t="s">
        <v>31</v>
      </c>
    </row>
    <row r="55" spans="1:32" x14ac:dyDescent="0.3">
      <c r="B55" t="s">
        <v>25</v>
      </c>
      <c r="D55" s="6">
        <f>D53+D54</f>
        <v>-706130</v>
      </c>
      <c r="E55" s="6">
        <f t="shared" ref="E55:O55" si="101">E53+E54</f>
        <v>-949780</v>
      </c>
      <c r="F55" s="6">
        <f t="shared" si="101"/>
        <v>-841529</v>
      </c>
      <c r="G55" s="6">
        <f t="shared" si="101"/>
        <v>-629469</v>
      </c>
      <c r="H55" s="6">
        <f t="shared" si="101"/>
        <v>-904627</v>
      </c>
      <c r="I55" s="6">
        <f t="shared" si="101"/>
        <v>-267223</v>
      </c>
      <c r="J55" s="6">
        <f t="shared" si="101"/>
        <v>-34309</v>
      </c>
      <c r="K55" s="6">
        <f t="shared" si="101"/>
        <v>121555</v>
      </c>
      <c r="L55" s="6">
        <f t="shared" si="101"/>
        <v>479612</v>
      </c>
      <c r="M55" s="6">
        <f t="shared" si="101"/>
        <v>1168272</v>
      </c>
      <c r="N55" s="20">
        <f t="shared" si="101"/>
        <v>744669</v>
      </c>
      <c r="O55" s="20">
        <f t="shared" si="101"/>
        <v>1280324</v>
      </c>
      <c r="P55" s="2">
        <f t="shared" si="1"/>
        <v>-538635</v>
      </c>
      <c r="Q55" s="2"/>
      <c r="R55" s="14">
        <f>ROUND(SUM(AE10:AE12)/SUM(P10:P12),5)</f>
        <v>0.50522</v>
      </c>
      <c r="S55" s="3">
        <f t="shared" ref="S55:AD55" si="102">$R55*D55</f>
        <v>-356750.99859999999</v>
      </c>
      <c r="T55" s="3">
        <f t="shared" si="102"/>
        <v>-479847.85159999999</v>
      </c>
      <c r="U55" s="3">
        <f t="shared" si="102"/>
        <v>-425157.28138</v>
      </c>
      <c r="V55" s="3">
        <f t="shared" si="102"/>
        <v>-318020.32818000001</v>
      </c>
      <c r="W55" s="3">
        <f t="shared" si="102"/>
        <v>-457035.65294</v>
      </c>
      <c r="X55" s="3">
        <f t="shared" si="102"/>
        <v>-135006.40406</v>
      </c>
      <c r="Y55" s="3">
        <f t="shared" si="102"/>
        <v>-17333.592980000001</v>
      </c>
      <c r="Z55" s="3">
        <f t="shared" si="102"/>
        <v>61412.017099999997</v>
      </c>
      <c r="AA55" s="3">
        <f t="shared" si="102"/>
        <v>242309.57464000001</v>
      </c>
      <c r="AB55" s="3">
        <f t="shared" si="102"/>
        <v>590234.37983999995</v>
      </c>
      <c r="AC55" s="24">
        <f t="shared" si="102"/>
        <v>376221.67217999999</v>
      </c>
      <c r="AD55" s="24">
        <f t="shared" si="102"/>
        <v>646845.29128</v>
      </c>
      <c r="AE55" s="3">
        <f t="shared" si="95"/>
        <v>-272129.17470000056</v>
      </c>
      <c r="AF55" t="s">
        <v>33</v>
      </c>
    </row>
    <row r="56" spans="1:32" ht="15" thickBot="1" x14ac:dyDescent="0.35">
      <c r="A56" t="s">
        <v>67</v>
      </c>
      <c r="B56" t="s">
        <v>26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26">
        <v>11678</v>
      </c>
      <c r="O56" s="26">
        <v>14283</v>
      </c>
      <c r="P56" s="2">
        <f t="shared" si="1"/>
        <v>25961</v>
      </c>
      <c r="Q56" s="2"/>
      <c r="R56" s="14"/>
      <c r="S56" s="30" t="e">
        <f>SUM(S14:S16)/SUM(D14:D16)*D56</f>
        <v>#DIV/0!</v>
      </c>
      <c r="T56" s="30" t="e">
        <f>SUM(T14:T16)/SUM(E14:E16)*E56</f>
        <v>#DIV/0!</v>
      </c>
      <c r="U56" s="30" t="e">
        <f t="shared" ref="U56:AD56" si="103">SUM(U14:U16)/SUM(F14:F16)*F56</f>
        <v>#DIV/0!</v>
      </c>
      <c r="V56" s="30" t="e">
        <f t="shared" si="103"/>
        <v>#DIV/0!</v>
      </c>
      <c r="W56" s="30" t="e">
        <f t="shared" si="103"/>
        <v>#DIV/0!</v>
      </c>
      <c r="X56" s="30" t="e">
        <f t="shared" si="103"/>
        <v>#DIV/0!</v>
      </c>
      <c r="Y56" s="30" t="e">
        <f t="shared" si="103"/>
        <v>#DIV/0!</v>
      </c>
      <c r="Z56" s="30" t="e">
        <f t="shared" si="103"/>
        <v>#DIV/0!</v>
      </c>
      <c r="AA56" s="30" t="e">
        <f t="shared" si="103"/>
        <v>#DIV/0!</v>
      </c>
      <c r="AB56" s="30" t="e">
        <f t="shared" si="103"/>
        <v>#DIV/0!</v>
      </c>
      <c r="AC56" s="24">
        <f t="shared" si="103"/>
        <v>6432.1506933751116</v>
      </c>
      <c r="AD56" s="24">
        <f t="shared" si="103"/>
        <v>7860.9667486845492</v>
      </c>
      <c r="AE56" s="3" t="e">
        <f t="shared" si="95"/>
        <v>#DIV/0!</v>
      </c>
    </row>
    <row r="57" spans="1:32" ht="15" thickBot="1" x14ac:dyDescent="0.35">
      <c r="B57" t="s">
        <v>27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27"/>
      <c r="O57" s="26">
        <v>-11678</v>
      </c>
      <c r="P57" s="2">
        <f t="shared" si="1"/>
        <v>-11678</v>
      </c>
      <c r="Q57" s="2"/>
      <c r="R57" s="14"/>
      <c r="S57" s="3" t="e">
        <f>SUM(S13:S14)/SUM(D13:D14)*D57</f>
        <v>#DIV/0!</v>
      </c>
      <c r="T57" s="3" t="e">
        <f>-S56</f>
        <v>#DIV/0!</v>
      </c>
      <c r="U57" s="3" t="e">
        <f t="shared" ref="U57:AD57" si="104">-T56</f>
        <v>#DIV/0!</v>
      </c>
      <c r="V57" s="3" t="e">
        <f t="shared" si="104"/>
        <v>#DIV/0!</v>
      </c>
      <c r="W57" s="3" t="e">
        <f t="shared" si="104"/>
        <v>#DIV/0!</v>
      </c>
      <c r="X57" s="3" t="e">
        <f t="shared" si="104"/>
        <v>#DIV/0!</v>
      </c>
      <c r="Y57" s="3" t="e">
        <f t="shared" si="104"/>
        <v>#DIV/0!</v>
      </c>
      <c r="Z57" s="3" t="e">
        <f t="shared" si="104"/>
        <v>#DIV/0!</v>
      </c>
      <c r="AA57" s="3" t="e">
        <f t="shared" si="104"/>
        <v>#DIV/0!</v>
      </c>
      <c r="AB57" s="3" t="e">
        <f t="shared" si="104"/>
        <v>#DIV/0!</v>
      </c>
      <c r="AC57" s="24" t="e">
        <f t="shared" si="104"/>
        <v>#DIV/0!</v>
      </c>
      <c r="AD57" s="24">
        <f t="shared" si="104"/>
        <v>-6432.1506933751116</v>
      </c>
      <c r="AE57" s="3" t="e">
        <f t="shared" si="95"/>
        <v>#DIV/0!</v>
      </c>
    </row>
    <row r="58" spans="1:32" x14ac:dyDescent="0.3">
      <c r="B58" t="s">
        <v>25</v>
      </c>
      <c r="D58" s="20">
        <f t="shared" ref="D58:L58" si="105">D56+D57</f>
        <v>0</v>
      </c>
      <c r="E58" s="20">
        <f t="shared" si="105"/>
        <v>0</v>
      </c>
      <c r="F58" s="20">
        <f t="shared" si="105"/>
        <v>0</v>
      </c>
      <c r="G58" s="20">
        <f t="shared" si="105"/>
        <v>0</v>
      </c>
      <c r="H58" s="20">
        <f t="shared" si="105"/>
        <v>0</v>
      </c>
      <c r="I58" s="20">
        <f t="shared" si="105"/>
        <v>0</v>
      </c>
      <c r="J58" s="20">
        <f t="shared" si="105"/>
        <v>0</v>
      </c>
      <c r="K58" s="20">
        <f t="shared" si="105"/>
        <v>0</v>
      </c>
      <c r="L58" s="20">
        <f t="shared" si="105"/>
        <v>0</v>
      </c>
      <c r="M58" s="20">
        <f t="shared" ref="M58:O58" si="106">M56+M57</f>
        <v>0</v>
      </c>
      <c r="N58" s="20">
        <f t="shared" si="106"/>
        <v>11678</v>
      </c>
      <c r="O58" s="20">
        <f t="shared" si="106"/>
        <v>2605</v>
      </c>
      <c r="P58" s="2">
        <f t="shared" si="1"/>
        <v>14283</v>
      </c>
      <c r="Q58" s="2"/>
      <c r="R58" s="14">
        <f>ROUND(SUM(AE14:AE16)/SUM(P14:P16),5)</f>
        <v>0.55074000000000001</v>
      </c>
      <c r="S58" s="3">
        <f>$R58*D58</f>
        <v>0</v>
      </c>
      <c r="T58" s="3">
        <f t="shared" ref="T58" si="107">$R58*E58</f>
        <v>0</v>
      </c>
      <c r="U58" s="3">
        <f t="shared" ref="U58" si="108">$R58*F58</f>
        <v>0</v>
      </c>
      <c r="V58" s="3">
        <f t="shared" ref="V58" si="109">$R58*G58</f>
        <v>0</v>
      </c>
      <c r="W58" s="3">
        <f t="shared" ref="W58" si="110">$R58*H58</f>
        <v>0</v>
      </c>
      <c r="X58" s="3">
        <f t="shared" ref="X58" si="111">$R58*I58</f>
        <v>0</v>
      </c>
      <c r="Y58" s="3">
        <f t="shared" ref="Y58" si="112">$R58*J58</f>
        <v>0</v>
      </c>
      <c r="Z58" s="3">
        <f t="shared" ref="Z58" si="113">$R58*K58</f>
        <v>0</v>
      </c>
      <c r="AA58" s="3">
        <f t="shared" ref="AA58" si="114">$R58*L58</f>
        <v>0</v>
      </c>
      <c r="AB58" s="3">
        <f t="shared" ref="AB58" si="115">$R58*M58</f>
        <v>0</v>
      </c>
      <c r="AC58" s="24">
        <f t="shared" ref="AC58" si="116">$R58*N58</f>
        <v>6431.5417200000002</v>
      </c>
      <c r="AD58" s="24">
        <f t="shared" ref="AD58" si="117">$R58*O58</f>
        <v>1434.6777</v>
      </c>
      <c r="AE58" s="3">
        <f t="shared" si="95"/>
        <v>7866.2194200000004</v>
      </c>
    </row>
    <row r="59" spans="1:32" x14ac:dyDescent="0.3">
      <c r="A59" t="s">
        <v>68</v>
      </c>
      <c r="B59" t="s">
        <v>26</v>
      </c>
      <c r="D59" s="5">
        <v>185159</v>
      </c>
      <c r="E59" s="5">
        <v>183846</v>
      </c>
      <c r="F59" s="5">
        <v>157115</v>
      </c>
      <c r="G59" s="5">
        <v>133807</v>
      </c>
      <c r="H59" s="5">
        <v>98015</v>
      </c>
      <c r="I59" s="5">
        <v>90720</v>
      </c>
      <c r="J59" s="5">
        <v>120236</v>
      </c>
      <c r="K59" s="5">
        <v>154767</v>
      </c>
      <c r="L59" s="5">
        <v>224853</v>
      </c>
      <c r="M59" s="5">
        <v>235795</v>
      </c>
      <c r="N59" s="10">
        <v>283892</v>
      </c>
      <c r="O59" s="10">
        <v>318891</v>
      </c>
      <c r="P59" s="2">
        <f t="shared" si="1"/>
        <v>2187096</v>
      </c>
      <c r="Q59" s="2"/>
      <c r="S59" s="3">
        <f t="shared" ref="S59:AD59" si="118">SUM(S18:S19)/SUM(D18:D19)*D59</f>
        <v>86411.853709999996</v>
      </c>
      <c r="T59" s="3">
        <f t="shared" si="118"/>
        <v>85799.089739999996</v>
      </c>
      <c r="U59" s="3">
        <f t="shared" si="118"/>
        <v>73323.999336858891</v>
      </c>
      <c r="V59" s="3">
        <f t="shared" si="118"/>
        <v>62446.388829999996</v>
      </c>
      <c r="W59" s="3">
        <f t="shared" si="118"/>
        <v>45742.620349999997</v>
      </c>
      <c r="X59" s="3">
        <f t="shared" si="118"/>
        <v>41689.315158064623</v>
      </c>
      <c r="Y59" s="3">
        <f t="shared" si="118"/>
        <v>55850.214171106527</v>
      </c>
      <c r="Z59" s="3">
        <f t="shared" si="118"/>
        <v>72010.03611082623</v>
      </c>
      <c r="AA59" s="3">
        <f t="shared" si="118"/>
        <v>104936.64656999998</v>
      </c>
      <c r="AB59" s="3">
        <f t="shared" si="118"/>
        <v>109989.29169331407</v>
      </c>
      <c r="AC59" s="24">
        <f t="shared" si="118"/>
        <v>132489.55750072689</v>
      </c>
      <c r="AD59" s="24">
        <f t="shared" si="118"/>
        <v>148823.24078999998</v>
      </c>
      <c r="AE59" s="3">
        <f t="shared" si="95"/>
        <v>1019512.2539608972</v>
      </c>
      <c r="AF59" t="s">
        <v>30</v>
      </c>
    </row>
    <row r="60" spans="1:32" x14ac:dyDescent="0.3">
      <c r="B60" t="s">
        <v>27</v>
      </c>
      <c r="D60" s="5">
        <v>-257367</v>
      </c>
      <c r="E60" s="5">
        <v>-185159</v>
      </c>
      <c r="F60" s="5">
        <v>-183846</v>
      </c>
      <c r="G60" s="5">
        <v>-157115</v>
      </c>
      <c r="H60" s="5">
        <v>-133807</v>
      </c>
      <c r="I60" s="5">
        <v>-98015</v>
      </c>
      <c r="J60" s="5">
        <v>-90720</v>
      </c>
      <c r="K60" s="5">
        <v>-120236</v>
      </c>
      <c r="L60" s="5">
        <v>-154767</v>
      </c>
      <c r="M60" s="5">
        <v>-224853</v>
      </c>
      <c r="N60" s="10">
        <v>-235795</v>
      </c>
      <c r="O60" s="10">
        <v>-283892</v>
      </c>
      <c r="P60" s="2">
        <f t="shared" ref="P60:P71" si="119">SUM(D60:O60)</f>
        <v>-2125572</v>
      </c>
      <c r="Q60" s="2"/>
      <c r="S60" s="3">
        <f>SUM(S18:S19)/SUM(D18:D19)*D60</f>
        <v>-120110.60523</v>
      </c>
      <c r="T60" s="3">
        <f>-S59</f>
        <v>-86411.853709999996</v>
      </c>
      <c r="U60" s="3">
        <f t="shared" ref="U60:AD60" si="120">-T59</f>
        <v>-85799.089739999996</v>
      </c>
      <c r="V60" s="3">
        <f t="shared" si="120"/>
        <v>-73323.999336858891</v>
      </c>
      <c r="W60" s="3">
        <f t="shared" si="120"/>
        <v>-62446.388829999996</v>
      </c>
      <c r="X60" s="3">
        <f t="shared" si="120"/>
        <v>-45742.620349999997</v>
      </c>
      <c r="Y60" s="3">
        <f t="shared" si="120"/>
        <v>-41689.315158064623</v>
      </c>
      <c r="Z60" s="3">
        <f t="shared" si="120"/>
        <v>-55850.214171106527</v>
      </c>
      <c r="AA60" s="3">
        <f t="shared" si="120"/>
        <v>-72010.03611082623</v>
      </c>
      <c r="AB60" s="3">
        <f t="shared" si="120"/>
        <v>-104936.64656999998</v>
      </c>
      <c r="AC60" s="24">
        <f t="shared" si="120"/>
        <v>-109989.29169331407</v>
      </c>
      <c r="AD60" s="24">
        <f t="shared" si="120"/>
        <v>-132489.55750072689</v>
      </c>
      <c r="AE60" s="3">
        <f t="shared" si="95"/>
        <v>-990799.61840089725</v>
      </c>
      <c r="AF60" t="s">
        <v>31</v>
      </c>
    </row>
    <row r="61" spans="1:32" x14ac:dyDescent="0.3">
      <c r="B61" t="s">
        <v>25</v>
      </c>
      <c r="D61" s="6">
        <f>D59+D60</f>
        <v>-72208</v>
      </c>
      <c r="E61" s="6">
        <f t="shared" ref="E61:O61" si="121">E59+E60</f>
        <v>-1313</v>
      </c>
      <c r="F61" s="6">
        <f t="shared" si="121"/>
        <v>-26731</v>
      </c>
      <c r="G61" s="6">
        <f t="shared" si="121"/>
        <v>-23308</v>
      </c>
      <c r="H61" s="6">
        <f t="shared" si="121"/>
        <v>-35792</v>
      </c>
      <c r="I61" s="6">
        <f t="shared" si="121"/>
        <v>-7295</v>
      </c>
      <c r="J61" s="6">
        <f t="shared" si="121"/>
        <v>29516</v>
      </c>
      <c r="K61" s="6">
        <f t="shared" si="121"/>
        <v>34531</v>
      </c>
      <c r="L61" s="6">
        <f t="shared" si="121"/>
        <v>70086</v>
      </c>
      <c r="M61" s="6">
        <f t="shared" si="121"/>
        <v>10942</v>
      </c>
      <c r="N61" s="20">
        <f t="shared" si="121"/>
        <v>48097</v>
      </c>
      <c r="O61" s="20">
        <f t="shared" si="121"/>
        <v>34999</v>
      </c>
      <c r="P61" s="2">
        <f t="shared" si="119"/>
        <v>61524</v>
      </c>
      <c r="Q61" s="2"/>
      <c r="R61" s="14">
        <f>ROUND(SUM(AE18:AE22)/SUM(P18:P22),5)</f>
        <v>0.52693000000000001</v>
      </c>
      <c r="S61" s="3">
        <f t="shared" ref="S61:AD61" si="122">$R61*D61</f>
        <v>-38048.561439999998</v>
      </c>
      <c r="T61" s="3">
        <f t="shared" si="122"/>
        <v>-691.85909000000004</v>
      </c>
      <c r="U61" s="3">
        <f t="shared" si="122"/>
        <v>-14085.365830000001</v>
      </c>
      <c r="V61" s="3">
        <f t="shared" si="122"/>
        <v>-12281.684440000001</v>
      </c>
      <c r="W61" s="3">
        <f t="shared" si="122"/>
        <v>-18859.878560000001</v>
      </c>
      <c r="X61" s="3">
        <f t="shared" si="122"/>
        <v>-3843.95435</v>
      </c>
      <c r="Y61" s="3">
        <f t="shared" si="122"/>
        <v>15552.865879999999</v>
      </c>
      <c r="Z61" s="3">
        <f t="shared" si="122"/>
        <v>18195.419829999999</v>
      </c>
      <c r="AA61" s="3">
        <f t="shared" si="122"/>
        <v>36930.415979999998</v>
      </c>
      <c r="AB61" s="3">
        <f t="shared" si="122"/>
        <v>5765.66806</v>
      </c>
      <c r="AC61" s="24">
        <f t="shared" si="122"/>
        <v>25343.752209999999</v>
      </c>
      <c r="AD61" s="24">
        <f t="shared" si="122"/>
        <v>18442.023069999999</v>
      </c>
      <c r="AE61" s="3">
        <f t="shared" si="95"/>
        <v>32418.84132</v>
      </c>
      <c r="AF61" t="s">
        <v>33</v>
      </c>
    </row>
    <row r="62" spans="1:32" x14ac:dyDescent="0.3">
      <c r="A62" t="s">
        <v>72</v>
      </c>
      <c r="B62" t="s">
        <v>26</v>
      </c>
      <c r="D62" s="5">
        <v>4261630</v>
      </c>
      <c r="E62" s="5">
        <v>3513623</v>
      </c>
      <c r="F62" s="5">
        <v>3381923</v>
      </c>
      <c r="G62" s="5">
        <v>2868630</v>
      </c>
      <c r="H62" s="5">
        <v>2501903</v>
      </c>
      <c r="I62" s="5">
        <v>2383889</v>
      </c>
      <c r="J62" s="5">
        <v>2156242</v>
      </c>
      <c r="K62" s="5">
        <v>2338940</v>
      </c>
      <c r="L62" s="5">
        <v>2209861</v>
      </c>
      <c r="M62" s="5">
        <v>3085924</v>
      </c>
      <c r="N62" s="10">
        <v>3406418</v>
      </c>
      <c r="O62" s="10">
        <v>3967685</v>
      </c>
      <c r="P62" s="2">
        <f t="shared" si="119"/>
        <v>36076668</v>
      </c>
      <c r="Q62" s="2"/>
      <c r="S62" s="3">
        <f t="shared" ref="S62:AD62" si="123">SUM(S24:S25)/SUM(D24:D25)*D62</f>
        <v>2034416.9293999998</v>
      </c>
      <c r="T62" s="3">
        <f t="shared" si="123"/>
        <v>1677333.3477399999</v>
      </c>
      <c r="U62" s="3">
        <f t="shared" si="123"/>
        <v>1614462.4017399999</v>
      </c>
      <c r="V62" s="3">
        <f t="shared" si="123"/>
        <v>1369426.5893999999</v>
      </c>
      <c r="W62" s="3">
        <f t="shared" si="123"/>
        <v>1194358.4541399998</v>
      </c>
      <c r="X62" s="3">
        <f t="shared" si="123"/>
        <v>1138020.9308199999</v>
      </c>
      <c r="Y62" s="3">
        <f t="shared" si="123"/>
        <v>1029346.8059599999</v>
      </c>
      <c r="Z62" s="3">
        <f t="shared" si="123"/>
        <v>1116563.1772</v>
      </c>
      <c r="AA62" s="3">
        <f t="shared" si="123"/>
        <v>1054943.4441799999</v>
      </c>
      <c r="AB62" s="3">
        <f t="shared" si="123"/>
        <v>1473158.39912</v>
      </c>
      <c r="AC62" s="24">
        <f t="shared" si="123"/>
        <v>1626155.8248400001</v>
      </c>
      <c r="AD62" s="24">
        <f t="shared" si="123"/>
        <v>1894093.4652999998</v>
      </c>
      <c r="AE62" s="3">
        <f t="shared" si="95"/>
        <v>17222279.769839998</v>
      </c>
      <c r="AF62" t="s">
        <v>30</v>
      </c>
    </row>
    <row r="63" spans="1:32" x14ac:dyDescent="0.3">
      <c r="B63" t="s">
        <v>27</v>
      </c>
      <c r="D63" s="5">
        <v>-3806098</v>
      </c>
      <c r="E63" s="5">
        <v>-4261630</v>
      </c>
      <c r="F63" s="5">
        <v>-3513623</v>
      </c>
      <c r="G63" s="5">
        <v>-3381923</v>
      </c>
      <c r="H63" s="5">
        <v>-2868630</v>
      </c>
      <c r="I63" s="5">
        <v>-2501903</v>
      </c>
      <c r="J63" s="5">
        <v>-2383889</v>
      </c>
      <c r="K63" s="5">
        <v>-2156242</v>
      </c>
      <c r="L63" s="5">
        <v>-2338940</v>
      </c>
      <c r="M63" s="5">
        <v>-2209861</v>
      </c>
      <c r="N63" s="10">
        <v>-3085924</v>
      </c>
      <c r="O63" s="10">
        <v>-3406418</v>
      </c>
      <c r="P63" s="2">
        <f t="shared" si="119"/>
        <v>-35915081</v>
      </c>
      <c r="Q63" s="2"/>
      <c r="S63" s="3">
        <f>SUM(S24:S25)/SUM(D24:D25)*D63</f>
        <v>-1816955.0632399998</v>
      </c>
      <c r="T63" s="3">
        <f>-S62</f>
        <v>-2034416.9293999998</v>
      </c>
      <c r="U63" s="3">
        <f t="shared" ref="U63:AD63" si="124">-T62</f>
        <v>-1677333.3477399999</v>
      </c>
      <c r="V63" s="3">
        <f t="shared" si="124"/>
        <v>-1614462.4017399999</v>
      </c>
      <c r="W63" s="3">
        <f t="shared" si="124"/>
        <v>-1369426.5893999999</v>
      </c>
      <c r="X63" s="3">
        <f t="shared" si="124"/>
        <v>-1194358.4541399998</v>
      </c>
      <c r="Y63" s="3">
        <f t="shared" si="124"/>
        <v>-1138020.9308199999</v>
      </c>
      <c r="Z63" s="3">
        <f t="shared" si="124"/>
        <v>-1029346.8059599999</v>
      </c>
      <c r="AA63" s="3">
        <f t="shared" si="124"/>
        <v>-1116563.1772</v>
      </c>
      <c r="AB63" s="3">
        <f t="shared" si="124"/>
        <v>-1054943.4441799999</v>
      </c>
      <c r="AC63" s="24">
        <f t="shared" si="124"/>
        <v>-1473158.39912</v>
      </c>
      <c r="AD63" s="24">
        <f t="shared" si="124"/>
        <v>-1626155.8248400001</v>
      </c>
      <c r="AE63" s="3">
        <f t="shared" si="95"/>
        <v>-17145141.36778</v>
      </c>
      <c r="AF63" t="s">
        <v>31</v>
      </c>
    </row>
    <row r="64" spans="1:32" x14ac:dyDescent="0.3">
      <c r="B64" t="s">
        <v>25</v>
      </c>
      <c r="D64" s="6">
        <f>D62+D63</f>
        <v>455532</v>
      </c>
      <c r="E64" s="6">
        <f t="shared" ref="E64:O64" si="125">E62+E63</f>
        <v>-748007</v>
      </c>
      <c r="F64" s="6">
        <f t="shared" si="125"/>
        <v>-131700</v>
      </c>
      <c r="G64" s="6">
        <f t="shared" si="125"/>
        <v>-513293</v>
      </c>
      <c r="H64" s="6">
        <f t="shared" si="125"/>
        <v>-366727</v>
      </c>
      <c r="I64" s="6">
        <f t="shared" si="125"/>
        <v>-118014</v>
      </c>
      <c r="J64" s="6">
        <f t="shared" si="125"/>
        <v>-227647</v>
      </c>
      <c r="K64" s="6">
        <f t="shared" si="125"/>
        <v>182698</v>
      </c>
      <c r="L64" s="6">
        <f t="shared" si="125"/>
        <v>-129079</v>
      </c>
      <c r="M64" s="6">
        <f t="shared" si="125"/>
        <v>876063</v>
      </c>
      <c r="N64" s="20">
        <f t="shared" si="125"/>
        <v>320494</v>
      </c>
      <c r="O64" s="20">
        <f t="shared" si="125"/>
        <v>561267</v>
      </c>
      <c r="P64" s="2">
        <f t="shared" si="119"/>
        <v>161587</v>
      </c>
      <c r="Q64" s="2"/>
      <c r="R64" s="14">
        <f>ROUND(SUM(AE40:AE44)/SUM(P40:P44),5)</f>
        <v>8.0329999999999999E-2</v>
      </c>
      <c r="S64" s="3">
        <f t="shared" ref="S64:AD64" si="126">$R64*D64</f>
        <v>36592.885560000002</v>
      </c>
      <c r="T64" s="3">
        <f t="shared" si="126"/>
        <v>-60087.402309999998</v>
      </c>
      <c r="U64" s="3">
        <f t="shared" si="126"/>
        <v>-10579.460999999999</v>
      </c>
      <c r="V64" s="3">
        <f t="shared" si="126"/>
        <v>-41232.826690000002</v>
      </c>
      <c r="W64" s="3">
        <f t="shared" si="126"/>
        <v>-29459.179909999999</v>
      </c>
      <c r="X64" s="3">
        <f t="shared" si="126"/>
        <v>-9480.0646199999992</v>
      </c>
      <c r="Y64" s="3">
        <f t="shared" si="126"/>
        <v>-18286.88351</v>
      </c>
      <c r="Z64" s="3">
        <f t="shared" si="126"/>
        <v>14676.13034</v>
      </c>
      <c r="AA64" s="3">
        <f t="shared" si="126"/>
        <v>-10368.916069999999</v>
      </c>
      <c r="AB64" s="3">
        <f t="shared" si="126"/>
        <v>70374.140790000005</v>
      </c>
      <c r="AC64" s="24">
        <f t="shared" si="126"/>
        <v>25745.283019999999</v>
      </c>
      <c r="AD64" s="24">
        <f t="shared" si="126"/>
        <v>45086.578110000002</v>
      </c>
      <c r="AE64" s="3">
        <f t="shared" si="95"/>
        <v>12980.283710000014</v>
      </c>
      <c r="AF64" t="s">
        <v>33</v>
      </c>
    </row>
    <row r="65" spans="1:34" x14ac:dyDescent="0.3">
      <c r="A65" t="s">
        <v>90</v>
      </c>
      <c r="B65" t="s">
        <v>26</v>
      </c>
      <c r="D65" s="5">
        <v>5186280</v>
      </c>
      <c r="E65" s="5">
        <v>4377752</v>
      </c>
      <c r="F65" s="5">
        <v>4139044</v>
      </c>
      <c r="G65" s="5">
        <v>3981592</v>
      </c>
      <c r="H65" s="5">
        <v>3685020</v>
      </c>
      <c r="I65" s="5">
        <v>3491048</v>
      </c>
      <c r="J65" s="5">
        <v>3294670</v>
      </c>
      <c r="K65" s="5">
        <v>3457127</v>
      </c>
      <c r="L65" s="5">
        <v>3440029</v>
      </c>
      <c r="M65" s="5">
        <v>4033697</v>
      </c>
      <c r="N65" s="10">
        <v>4438690</v>
      </c>
      <c r="O65" s="10">
        <v>4983146</v>
      </c>
      <c r="P65" s="2">
        <f t="shared" si="119"/>
        <v>48508095</v>
      </c>
      <c r="Q65" s="2"/>
      <c r="S65" s="3">
        <f>SUM(S48)/SUM(D48)*D65</f>
        <v>123935.7111750763</v>
      </c>
      <c r="T65" s="3">
        <f t="shared" ref="T65:AD65" si="127">SUM(T48)/SUM(E48)*E65</f>
        <v>104040.61538073531</v>
      </c>
      <c r="U65" s="3">
        <f t="shared" si="127"/>
        <v>102876.42463066889</v>
      </c>
      <c r="V65" s="3">
        <f t="shared" si="127"/>
        <v>97452.858088718072</v>
      </c>
      <c r="W65" s="3">
        <f t="shared" si="127"/>
        <v>95132.227290038762</v>
      </c>
      <c r="X65" s="3">
        <f t="shared" si="127"/>
        <v>93943.629704240419</v>
      </c>
      <c r="Y65" s="3">
        <f t="shared" si="127"/>
        <v>92308.381485445061</v>
      </c>
      <c r="Z65" s="3">
        <f t="shared" si="127"/>
        <v>96268.448231680261</v>
      </c>
      <c r="AA65" s="3">
        <f t="shared" si="127"/>
        <v>96411.097254572946</v>
      </c>
      <c r="AB65" s="3">
        <f t="shared" si="127"/>
        <v>110347.85151738256</v>
      </c>
      <c r="AC65" s="24">
        <f t="shared" si="127"/>
        <v>116427.15527477647</v>
      </c>
      <c r="AD65" s="24">
        <f t="shared" si="127"/>
        <v>126504.54197907941</v>
      </c>
      <c r="AE65" s="3">
        <f t="shared" si="95"/>
        <v>1255648.9420124143</v>
      </c>
      <c r="AF65" t="s">
        <v>30</v>
      </c>
    </row>
    <row r="66" spans="1:34" x14ac:dyDescent="0.3">
      <c r="B66" t="s">
        <v>27</v>
      </c>
      <c r="D66" s="5">
        <v>-5112851</v>
      </c>
      <c r="E66" s="5">
        <v>-5186280</v>
      </c>
      <c r="F66" s="5">
        <v>-4377752</v>
      </c>
      <c r="G66" s="5">
        <v>-4139044</v>
      </c>
      <c r="H66" s="5">
        <v>-3981592</v>
      </c>
      <c r="I66" s="5">
        <v>-3685020</v>
      </c>
      <c r="J66" s="5">
        <v>-3491048</v>
      </c>
      <c r="K66" s="5">
        <v>-3294670</v>
      </c>
      <c r="L66" s="5">
        <v>-3457127</v>
      </c>
      <c r="M66" s="5">
        <v>-3440029</v>
      </c>
      <c r="N66" s="10">
        <v>-4033697</v>
      </c>
      <c r="O66" s="10">
        <v>-4438690</v>
      </c>
      <c r="P66" s="2">
        <f t="shared" si="119"/>
        <v>-48637800</v>
      </c>
      <c r="Q66" s="2"/>
      <c r="S66" s="3">
        <f>SUM(S48)/SUM(D48)*D66</f>
        <v>-122180.99</v>
      </c>
      <c r="T66" s="3">
        <f>-S65</f>
        <v>-123935.7111750763</v>
      </c>
      <c r="U66" s="3">
        <f t="shared" ref="U66:AD66" si="128">-T65</f>
        <v>-104040.61538073531</v>
      </c>
      <c r="V66" s="3">
        <f t="shared" si="128"/>
        <v>-102876.42463066889</v>
      </c>
      <c r="W66" s="3">
        <f t="shared" si="128"/>
        <v>-97452.858088718072</v>
      </c>
      <c r="X66" s="3">
        <f t="shared" si="128"/>
        <v>-95132.227290038762</v>
      </c>
      <c r="Y66" s="3">
        <f t="shared" si="128"/>
        <v>-93943.629704240419</v>
      </c>
      <c r="Z66" s="3">
        <f t="shared" si="128"/>
        <v>-92308.381485445061</v>
      </c>
      <c r="AA66" s="3">
        <f t="shared" si="128"/>
        <v>-96268.448231680261</v>
      </c>
      <c r="AB66" s="3">
        <f t="shared" si="128"/>
        <v>-96411.097254572946</v>
      </c>
      <c r="AC66" s="24">
        <f t="shared" si="128"/>
        <v>-110347.85151738256</v>
      </c>
      <c r="AD66" s="24">
        <f t="shared" si="128"/>
        <v>-116427.15527477647</v>
      </c>
      <c r="AE66" s="3">
        <f t="shared" si="95"/>
        <v>-1251325.390033335</v>
      </c>
      <c r="AF66" t="s">
        <v>31</v>
      </c>
    </row>
    <row r="67" spans="1:34" x14ac:dyDescent="0.3">
      <c r="B67" t="s">
        <v>25</v>
      </c>
      <c r="D67" s="6">
        <f t="shared" ref="D67:O67" si="129">D65+D66</f>
        <v>73429</v>
      </c>
      <c r="E67" s="6">
        <f t="shared" si="129"/>
        <v>-808528</v>
      </c>
      <c r="F67" s="6">
        <f t="shared" si="129"/>
        <v>-238708</v>
      </c>
      <c r="G67" s="6">
        <f t="shared" si="129"/>
        <v>-157452</v>
      </c>
      <c r="H67" s="6">
        <f t="shared" si="129"/>
        <v>-296572</v>
      </c>
      <c r="I67" s="6">
        <f t="shared" si="129"/>
        <v>-193972</v>
      </c>
      <c r="J67" s="6">
        <f t="shared" si="129"/>
        <v>-196378</v>
      </c>
      <c r="K67" s="6">
        <f t="shared" si="129"/>
        <v>162457</v>
      </c>
      <c r="L67" s="6">
        <f t="shared" si="129"/>
        <v>-17098</v>
      </c>
      <c r="M67" s="6">
        <f t="shared" si="129"/>
        <v>593668</v>
      </c>
      <c r="N67" s="20">
        <f t="shared" si="129"/>
        <v>404993</v>
      </c>
      <c r="O67" s="20">
        <f t="shared" si="129"/>
        <v>544456</v>
      </c>
      <c r="P67" s="2">
        <f t="shared" si="119"/>
        <v>-129705</v>
      </c>
      <c r="Q67" s="2"/>
      <c r="R67" s="14">
        <f>ROUND(SUM(AE48)/SUM(P48),5)</f>
        <v>2.5829999999999999E-2</v>
      </c>
      <c r="S67" s="3">
        <f t="shared" ref="S67" si="130">$R67*D67</f>
        <v>1896.6710699999999</v>
      </c>
      <c r="T67" s="3">
        <f t="shared" ref="T67" si="131">$R67*E67</f>
        <v>-20884.27824</v>
      </c>
      <c r="U67" s="3">
        <f t="shared" ref="U67" si="132">$R67*F67</f>
        <v>-6165.8276399999995</v>
      </c>
      <c r="V67" s="3">
        <f t="shared" ref="V67" si="133">$R67*G67</f>
        <v>-4066.9851599999997</v>
      </c>
      <c r="W67" s="3">
        <f t="shared" ref="W67" si="134">$R67*H67</f>
        <v>-7660.4547599999996</v>
      </c>
      <c r="X67" s="3">
        <f t="shared" ref="X67" si="135">$R67*I67</f>
        <v>-5010.2967600000002</v>
      </c>
      <c r="Y67" s="3">
        <f t="shared" ref="Y67" si="136">$R67*J67</f>
        <v>-5072.4437399999997</v>
      </c>
      <c r="Z67" s="3">
        <f t="shared" ref="Z67" si="137">$R67*K67</f>
        <v>4196.2643099999996</v>
      </c>
      <c r="AA67" s="3">
        <f t="shared" ref="AA67" si="138">$R67*L67</f>
        <v>-441.64133999999996</v>
      </c>
      <c r="AB67" s="3">
        <f t="shared" ref="AB67" si="139">$R67*M67</f>
        <v>15334.444439999999</v>
      </c>
      <c r="AC67" s="24">
        <f t="shared" ref="AC67" si="140">$R67*N67</f>
        <v>10460.96919</v>
      </c>
      <c r="AD67" s="24">
        <f t="shared" ref="AD67" si="141">$R67*O67</f>
        <v>14063.298479999999</v>
      </c>
      <c r="AE67" s="3">
        <f t="shared" si="95"/>
        <v>-3350.2801500000005</v>
      </c>
      <c r="AF67" t="s">
        <v>33</v>
      </c>
    </row>
    <row r="69" spans="1:34" x14ac:dyDescent="0.3">
      <c r="A69" t="s">
        <v>64</v>
      </c>
      <c r="B69" t="s">
        <v>28</v>
      </c>
      <c r="D69" s="5">
        <v>-4405283</v>
      </c>
      <c r="E69" s="5">
        <v>-1364837</v>
      </c>
      <c r="F69" s="5">
        <v>516601</v>
      </c>
      <c r="G69" s="5">
        <v>-229036</v>
      </c>
      <c r="H69" s="5">
        <v>524398</v>
      </c>
      <c r="I69" s="5">
        <v>986363</v>
      </c>
      <c r="J69" s="5">
        <v>0</v>
      </c>
      <c r="K69" s="5">
        <v>0</v>
      </c>
      <c r="L69" s="5">
        <v>0</v>
      </c>
      <c r="M69" s="5">
        <v>-463232</v>
      </c>
      <c r="N69" s="10">
        <v>724658</v>
      </c>
      <c r="O69" s="10">
        <v>-694598</v>
      </c>
      <c r="P69" s="2">
        <f t="shared" si="119"/>
        <v>-4404966</v>
      </c>
      <c r="Q69" s="2"/>
      <c r="R69" s="14">
        <f>ROUND((Q4*R4+Q5*R5)/SUM(Q4:Q5),5)</f>
        <v>0.68820000000000003</v>
      </c>
      <c r="S69" s="3">
        <f t="shared" ref="S69:AD71" si="142">$R69*D69</f>
        <v>-3031715.7606000002</v>
      </c>
      <c r="T69" s="3">
        <f t="shared" si="142"/>
        <v>-939280.82339999999</v>
      </c>
      <c r="U69" s="3">
        <f t="shared" si="142"/>
        <v>355524.80820000003</v>
      </c>
      <c r="V69" s="3">
        <f t="shared" si="142"/>
        <v>-157622.57520000002</v>
      </c>
      <c r="W69" s="3">
        <f t="shared" si="142"/>
        <v>360890.70360000001</v>
      </c>
      <c r="X69" s="3">
        <f t="shared" si="142"/>
        <v>678815.01660000009</v>
      </c>
      <c r="Y69" s="3">
        <f t="shared" si="142"/>
        <v>0</v>
      </c>
      <c r="Z69" s="3">
        <f t="shared" si="142"/>
        <v>0</v>
      </c>
      <c r="AA69" s="3">
        <f t="shared" si="142"/>
        <v>0</v>
      </c>
      <c r="AB69" s="3">
        <f t="shared" si="142"/>
        <v>-318796.26240000001</v>
      </c>
      <c r="AC69" s="24">
        <f t="shared" si="142"/>
        <v>498709.63560000004</v>
      </c>
      <c r="AD69" s="24">
        <f t="shared" si="142"/>
        <v>-478022.34360000002</v>
      </c>
      <c r="AE69" s="3">
        <f t="shared" si="95"/>
        <v>-3031497.6011999995</v>
      </c>
    </row>
    <row r="70" spans="1:34" x14ac:dyDescent="0.3">
      <c r="A70" t="s">
        <v>66</v>
      </c>
      <c r="B70" t="s">
        <v>28</v>
      </c>
      <c r="D70" s="5">
        <v>-1371012</v>
      </c>
      <c r="E70" s="5">
        <v>-429665</v>
      </c>
      <c r="F70" s="5">
        <v>163372</v>
      </c>
      <c r="G70" s="5">
        <v>-73483</v>
      </c>
      <c r="H70" s="5">
        <v>167895</v>
      </c>
      <c r="I70" s="5">
        <v>319361</v>
      </c>
      <c r="J70" s="5">
        <v>0</v>
      </c>
      <c r="K70" s="5">
        <v>0</v>
      </c>
      <c r="L70" s="5">
        <v>0</v>
      </c>
      <c r="M70" s="5">
        <v>-147920</v>
      </c>
      <c r="N70" s="10">
        <v>231312</v>
      </c>
      <c r="O70" s="10">
        <v>-220871</v>
      </c>
      <c r="P70" s="2">
        <f t="shared" si="119"/>
        <v>-1361011</v>
      </c>
      <c r="Q70" s="2"/>
      <c r="R70" s="14">
        <f>ROUND((Q10*R10+Q11*R11+Q12*R12)/SUM(Q10:Q12),5)</f>
        <v>0.51973000000000003</v>
      </c>
      <c r="S70" s="3">
        <f t="shared" si="142"/>
        <v>-712556.06676000007</v>
      </c>
      <c r="T70" s="3">
        <f t="shared" si="142"/>
        <v>-223309.79045</v>
      </c>
      <c r="U70" s="3">
        <f t="shared" si="142"/>
        <v>84909.329559999998</v>
      </c>
      <c r="V70" s="3">
        <f t="shared" si="142"/>
        <v>-38191.319589999999</v>
      </c>
      <c r="W70" s="3">
        <f t="shared" si="142"/>
        <v>87260.068350000001</v>
      </c>
      <c r="X70" s="3">
        <f t="shared" si="142"/>
        <v>165981.49253000002</v>
      </c>
      <c r="Y70" s="3">
        <f t="shared" si="142"/>
        <v>0</v>
      </c>
      <c r="Z70" s="3">
        <f t="shared" si="142"/>
        <v>0</v>
      </c>
      <c r="AA70" s="3">
        <f t="shared" si="142"/>
        <v>0</v>
      </c>
      <c r="AB70" s="3">
        <f t="shared" si="142"/>
        <v>-76878.46160000001</v>
      </c>
      <c r="AC70" s="24">
        <f t="shared" si="142"/>
        <v>120219.78576</v>
      </c>
      <c r="AD70" s="24">
        <f t="shared" si="142"/>
        <v>-114793.28483</v>
      </c>
      <c r="AE70" s="3">
        <f t="shared" si="95"/>
        <v>-707358.24703000009</v>
      </c>
    </row>
    <row r="71" spans="1:34" x14ac:dyDescent="0.3">
      <c r="A71" t="s">
        <v>75</v>
      </c>
      <c r="B71" t="s">
        <v>28</v>
      </c>
      <c r="D71" s="5">
        <v>-58162</v>
      </c>
      <c r="E71" s="5">
        <v>-17997</v>
      </c>
      <c r="F71" s="5">
        <v>6804</v>
      </c>
      <c r="G71" s="5">
        <v>-3693</v>
      </c>
      <c r="H71" s="5">
        <v>9241</v>
      </c>
      <c r="I71" s="5">
        <v>17298</v>
      </c>
      <c r="J71" s="5">
        <v>0</v>
      </c>
      <c r="K71" s="5">
        <v>0</v>
      </c>
      <c r="L71" s="5">
        <v>0</v>
      </c>
      <c r="M71" s="5">
        <v>-7721</v>
      </c>
      <c r="N71" s="10">
        <v>6279</v>
      </c>
      <c r="O71" s="10">
        <v>1636</v>
      </c>
      <c r="P71" s="2">
        <f t="shared" si="119"/>
        <v>-46315</v>
      </c>
      <c r="Q71" s="2"/>
      <c r="R71" s="14">
        <f>ROUND((Q18*R18+Q19*R19+Q20*R20+Q21*R21+Q22*R22)/SUM(Q18:Q22),5)</f>
        <v>0.48705999999999999</v>
      </c>
      <c r="S71" s="3">
        <f t="shared" si="142"/>
        <v>-28328.383719999998</v>
      </c>
      <c r="T71" s="3">
        <f t="shared" si="142"/>
        <v>-8765.6188199999997</v>
      </c>
      <c r="U71" s="3">
        <f t="shared" si="142"/>
        <v>3313.95624</v>
      </c>
      <c r="V71" s="3">
        <f t="shared" si="142"/>
        <v>-1798.7125799999999</v>
      </c>
      <c r="W71" s="3">
        <f t="shared" si="142"/>
        <v>4500.9214599999996</v>
      </c>
      <c r="X71" s="3">
        <f t="shared" si="142"/>
        <v>8425.1638800000001</v>
      </c>
      <c r="Y71" s="3">
        <f t="shared" si="142"/>
        <v>0</v>
      </c>
      <c r="Z71" s="3">
        <f t="shared" si="142"/>
        <v>0</v>
      </c>
      <c r="AA71" s="3">
        <f t="shared" si="142"/>
        <v>0</v>
      </c>
      <c r="AB71" s="3">
        <f t="shared" si="142"/>
        <v>-3760.5902599999999</v>
      </c>
      <c r="AC71" s="24">
        <f t="shared" si="142"/>
        <v>3058.2497399999997</v>
      </c>
      <c r="AD71" s="24">
        <f t="shared" si="142"/>
        <v>796.83015999999998</v>
      </c>
      <c r="AE71" s="3">
        <f t="shared" si="95"/>
        <v>-22558.183900000004</v>
      </c>
    </row>
    <row r="73" spans="1:34" x14ac:dyDescent="0.3">
      <c r="A73" t="s">
        <v>45</v>
      </c>
      <c r="C73" t="s">
        <v>82</v>
      </c>
    </row>
    <row r="74" spans="1:34" x14ac:dyDescent="0.3">
      <c r="A74" t="s">
        <v>76</v>
      </c>
      <c r="D74" s="2">
        <f>SUM(D4:D5,D7:D8)+D52+D69</f>
        <v>22894972.862999998</v>
      </c>
      <c r="E74" s="2">
        <f t="shared" ref="E74:O74" si="143">SUM(E4:E5,E7:E8)+E52+E69</f>
        <v>17821786.677000001</v>
      </c>
      <c r="F74" s="2">
        <f t="shared" si="143"/>
        <v>14855476.581999999</v>
      </c>
      <c r="G74" s="2">
        <f t="shared" si="143"/>
        <v>9427786.0820000004</v>
      </c>
      <c r="H74" s="2">
        <f t="shared" si="143"/>
        <v>5474154.6459999997</v>
      </c>
      <c r="I74" s="2">
        <f t="shared" si="143"/>
        <v>3532051.2179999999</v>
      </c>
      <c r="J74" s="2">
        <f t="shared" si="143"/>
        <v>2072778.378</v>
      </c>
      <c r="K74" s="2">
        <f t="shared" si="143"/>
        <v>2083099.9230000002</v>
      </c>
      <c r="L74" s="2">
        <f t="shared" si="143"/>
        <v>3151156.0929999999</v>
      </c>
      <c r="M74" s="2">
        <f t="shared" si="143"/>
        <v>8386603.24278</v>
      </c>
      <c r="N74" s="19">
        <f t="shared" si="143"/>
        <v>15584094.94905</v>
      </c>
      <c r="O74" s="19">
        <f t="shared" si="143"/>
        <v>22094041.07818</v>
      </c>
      <c r="P74" s="6">
        <f>SUM(D74:O74)</f>
        <v>127378001.73200998</v>
      </c>
      <c r="S74" s="3">
        <f>SUM(S3:S8)+S52+S69</f>
        <v>17634566.41336479</v>
      </c>
      <c r="T74" s="3">
        <f t="shared" ref="T74:AD74" si="144">SUM(T3:T8)+T52+T69</f>
        <v>13901865.93838314</v>
      </c>
      <c r="U74" s="3">
        <f t="shared" si="144"/>
        <v>11591229.213379513</v>
      </c>
      <c r="V74" s="3">
        <f t="shared" si="144"/>
        <v>7678769.9360189447</v>
      </c>
      <c r="W74" s="3">
        <f t="shared" si="144"/>
        <v>4973074.1616181545</v>
      </c>
      <c r="X74" s="3">
        <f t="shared" si="144"/>
        <v>3756184.7392523489</v>
      </c>
      <c r="Y74" s="3">
        <f t="shared" si="144"/>
        <v>2811949.1577568986</v>
      </c>
      <c r="Z74" s="3">
        <f t="shared" si="144"/>
        <v>2833776.7502853093</v>
      </c>
      <c r="AA74" s="3">
        <f t="shared" si="144"/>
        <v>3549847.96165815</v>
      </c>
      <c r="AB74" s="3">
        <f t="shared" si="144"/>
        <v>7002576.8048146116</v>
      </c>
      <c r="AC74" s="24">
        <f t="shared" si="144"/>
        <v>11904432.500713006</v>
      </c>
      <c r="AD74" s="24">
        <f t="shared" si="144"/>
        <v>16563727.124730503</v>
      </c>
      <c r="AE74" s="3">
        <f>SUM(S74:AD74)</f>
        <v>104202000.70197538</v>
      </c>
      <c r="AF74" s="3">
        <f>AE74</f>
        <v>104202000.70197538</v>
      </c>
      <c r="AH74" t="s">
        <v>111</v>
      </c>
    </row>
    <row r="75" spans="1:34" x14ac:dyDescent="0.3">
      <c r="A75" t="s">
        <v>77</v>
      </c>
      <c r="D75" s="2">
        <f>SUM(D10:D12,D14:D16)+D55+D58+D70</f>
        <v>7367094.6359999999</v>
      </c>
      <c r="E75" s="2">
        <f t="shared" ref="E75:O75" si="145">SUM(E10:E12,E14:E16)+E55+E58+E70</f>
        <v>6828482.7390000001</v>
      </c>
      <c r="F75" s="2">
        <f t="shared" si="145"/>
        <v>5767339.9859999996</v>
      </c>
      <c r="G75" s="2">
        <f t="shared" si="145"/>
        <v>3948010.7359999996</v>
      </c>
      <c r="H75" s="2">
        <f t="shared" si="145"/>
        <v>2593132.8369999998</v>
      </c>
      <c r="I75" s="2">
        <f t="shared" si="145"/>
        <v>2197736.34</v>
      </c>
      <c r="J75" s="2">
        <f t="shared" si="145"/>
        <v>1446879.2930000001</v>
      </c>
      <c r="K75" s="2">
        <f t="shared" si="145"/>
        <v>1463938.8020000001</v>
      </c>
      <c r="L75" s="2">
        <f t="shared" si="145"/>
        <v>2165313.173</v>
      </c>
      <c r="M75" s="2">
        <f t="shared" si="145"/>
        <v>3481937.9164999998</v>
      </c>
      <c r="N75" s="19">
        <f t="shared" si="145"/>
        <v>5710968.4763500001</v>
      </c>
      <c r="O75" s="19">
        <f t="shared" si="145"/>
        <v>7578686.5694899997</v>
      </c>
      <c r="P75" s="6">
        <f t="shared" ref="P75:P79" si="146">SUM(D75:O75)</f>
        <v>50549521.504340008</v>
      </c>
      <c r="S75" s="3">
        <f>SUM(S9:S16)+S55+S58+S70</f>
        <v>4047769.0515165655</v>
      </c>
      <c r="T75" s="3">
        <f t="shared" ref="T75:AD75" si="147">SUM(T9:T16)+T55+T58+T70</f>
        <v>3782083.2679974376</v>
      </c>
      <c r="U75" s="3">
        <f t="shared" si="147"/>
        <v>3236752.0449802261</v>
      </c>
      <c r="V75" s="3">
        <f t="shared" si="147"/>
        <v>2285874.227128387</v>
      </c>
      <c r="W75" s="3">
        <f t="shared" si="147"/>
        <v>1573230.0064689282</v>
      </c>
      <c r="X75" s="3">
        <f t="shared" si="147"/>
        <v>1355156.8661389444</v>
      </c>
      <c r="Y75" s="3">
        <f t="shared" si="147"/>
        <v>968376.68803699641</v>
      </c>
      <c r="Z75" s="3">
        <f t="shared" si="147"/>
        <v>980388.89285995741</v>
      </c>
      <c r="AA75" s="3">
        <f t="shared" si="147"/>
        <v>1332578.0422812935</v>
      </c>
      <c r="AB75" s="3">
        <f t="shared" si="147"/>
        <v>2001042.8966938411</v>
      </c>
      <c r="AC75" s="24">
        <f t="shared" si="147"/>
        <v>3188998.5439772499</v>
      </c>
      <c r="AD75" s="24">
        <f t="shared" si="147"/>
        <v>4155836.866734481</v>
      </c>
      <c r="AE75" s="3">
        <f t="shared" ref="AE75:AE79" si="148">SUM(S75:AD75)</f>
        <v>28908087.394814305</v>
      </c>
    </row>
    <row r="76" spans="1:34" x14ac:dyDescent="0.3">
      <c r="A76" t="s">
        <v>78</v>
      </c>
      <c r="D76" s="2">
        <f>SUM(D18:D22,D24:D28)+D61+D71</f>
        <v>290762.70300000004</v>
      </c>
      <c r="E76" s="2">
        <f t="shared" ref="E76:O76" si="149">SUM(E18:E22,E24:E28)+E61+E71</f>
        <v>436600.83899999998</v>
      </c>
      <c r="F76" s="2">
        <f t="shared" si="149"/>
        <v>394283.55599999998</v>
      </c>
      <c r="G76" s="2">
        <f t="shared" si="149"/>
        <v>319466.76699999999</v>
      </c>
      <c r="H76" s="2">
        <f t="shared" si="149"/>
        <v>340686.80500000005</v>
      </c>
      <c r="I76" s="2">
        <f t="shared" si="149"/>
        <v>324018.859</v>
      </c>
      <c r="J76" s="2">
        <f t="shared" si="149"/>
        <v>318847.55800000002</v>
      </c>
      <c r="K76" s="2">
        <f t="shared" si="149"/>
        <v>316383.08499999996</v>
      </c>
      <c r="L76" s="2">
        <f t="shared" si="149"/>
        <v>375321.16800000001</v>
      </c>
      <c r="M76" s="2">
        <f t="shared" si="149"/>
        <v>274918.62300000002</v>
      </c>
      <c r="N76" s="19">
        <f t="shared" si="149"/>
        <v>376879.34600000002</v>
      </c>
      <c r="O76" s="19">
        <f t="shared" si="149"/>
        <v>480256.14700000006</v>
      </c>
      <c r="P76" s="6">
        <f t="shared" si="146"/>
        <v>4248425.4560000002</v>
      </c>
      <c r="S76" s="3">
        <f>SUM(S17:S28)+S61+S71</f>
        <v>165417.54291260004</v>
      </c>
      <c r="T76" s="3">
        <f t="shared" ref="T76:AD76" si="150">SUM(T17:T28)+T61+T71</f>
        <v>231781.9063382</v>
      </c>
      <c r="U76" s="3">
        <f t="shared" si="150"/>
        <v>210335.99137947292</v>
      </c>
      <c r="V76" s="3">
        <f t="shared" si="150"/>
        <v>174635.76976250001</v>
      </c>
      <c r="W76" s="3">
        <f t="shared" si="150"/>
        <v>187196.15240523001</v>
      </c>
      <c r="X76" s="3">
        <f t="shared" si="150"/>
        <v>176562.44095398003</v>
      </c>
      <c r="Y76" s="3">
        <f t="shared" si="150"/>
        <v>175303.43149811</v>
      </c>
      <c r="Z76" s="3">
        <f t="shared" si="150"/>
        <v>174976.79709181</v>
      </c>
      <c r="AA76" s="3">
        <f t="shared" si="150"/>
        <v>205449.93279306003</v>
      </c>
      <c r="AB76" s="3">
        <f t="shared" si="150"/>
        <v>157461.70648568001</v>
      </c>
      <c r="AC76" s="24">
        <f t="shared" si="150"/>
        <v>195769.87348059358</v>
      </c>
      <c r="AD76" s="24">
        <f t="shared" si="150"/>
        <v>245778.23905276004</v>
      </c>
      <c r="AE76" s="3">
        <f t="shared" si="148"/>
        <v>2300669.784153997</v>
      </c>
      <c r="AF76" s="3">
        <f>AE75+AE76+AE77-AE82</f>
        <v>30930843.30275641</v>
      </c>
      <c r="AH76" t="s">
        <v>112</v>
      </c>
    </row>
    <row r="77" spans="1:34" x14ac:dyDescent="0.3">
      <c r="A77" t="s">
        <v>79</v>
      </c>
      <c r="D77" s="2">
        <f>SUM(D30:D33)+SUM(D35:D38)</f>
        <v>160387.04699999999</v>
      </c>
      <c r="E77" s="2">
        <f t="shared" ref="E77:O77" si="151">SUM(E30:E33)+SUM(E35:E38)</f>
        <v>131982.32</v>
      </c>
      <c r="F77" s="2">
        <f t="shared" si="151"/>
        <v>102870.54476</v>
      </c>
      <c r="G77" s="2">
        <f t="shared" si="151"/>
        <v>88850.39</v>
      </c>
      <c r="H77" s="2">
        <f t="shared" si="151"/>
        <v>71877.423999999999</v>
      </c>
      <c r="I77" s="2">
        <f t="shared" si="151"/>
        <v>53882.014999999999</v>
      </c>
      <c r="J77" s="2">
        <f t="shared" si="151"/>
        <v>67672.879000000001</v>
      </c>
      <c r="K77" s="2">
        <f t="shared" si="151"/>
        <v>23785.932000000001</v>
      </c>
      <c r="L77" s="2">
        <f t="shared" si="151"/>
        <v>31577.929</v>
      </c>
      <c r="M77" s="2">
        <f t="shared" si="151"/>
        <v>40231.06</v>
      </c>
      <c r="N77" s="19">
        <f t="shared" si="151"/>
        <v>98094.521000000008</v>
      </c>
      <c r="O77" s="19">
        <f t="shared" si="151"/>
        <v>113047.546</v>
      </c>
      <c r="P77" s="6">
        <f t="shared" si="146"/>
        <v>984259.60775999993</v>
      </c>
      <c r="S77" s="3">
        <f>SUM(S29:S38)</f>
        <v>72725.761265929992</v>
      </c>
      <c r="T77" s="3">
        <f t="shared" ref="T77:AD77" si="152">SUM(T29:T38)</f>
        <v>60193.879760800002</v>
      </c>
      <c r="U77" s="3">
        <f t="shared" si="152"/>
        <v>47344.707480914396</v>
      </c>
      <c r="V77" s="3">
        <f t="shared" si="152"/>
        <v>41120.462604599998</v>
      </c>
      <c r="W77" s="3">
        <f t="shared" si="152"/>
        <v>33565.116519359995</v>
      </c>
      <c r="X77" s="3">
        <f t="shared" si="152"/>
        <v>25484.431225800003</v>
      </c>
      <c r="Y77" s="3">
        <f t="shared" si="152"/>
        <v>31693.50535806</v>
      </c>
      <c r="Z77" s="3">
        <f t="shared" si="152"/>
        <v>11405.509106879999</v>
      </c>
      <c r="AA77" s="3">
        <f t="shared" si="152"/>
        <v>14900.342707709999</v>
      </c>
      <c r="AB77" s="3">
        <f t="shared" si="152"/>
        <v>18791.189681399999</v>
      </c>
      <c r="AC77" s="24">
        <f t="shared" si="152"/>
        <v>46699.818552880002</v>
      </c>
      <c r="AD77" s="24">
        <f t="shared" si="152"/>
        <v>51833.433729739991</v>
      </c>
      <c r="AE77" s="3">
        <f t="shared" si="148"/>
        <v>455758.1579940744</v>
      </c>
    </row>
    <row r="78" spans="1:34" x14ac:dyDescent="0.3">
      <c r="A78" t="s">
        <v>80</v>
      </c>
      <c r="D78" s="2">
        <f>SUM(D40:D44)+D64</f>
        <v>4261630</v>
      </c>
      <c r="E78" s="2">
        <f t="shared" ref="E78:O78" si="153">SUM(E40:E44)+E64</f>
        <v>3513623</v>
      </c>
      <c r="F78" s="2">
        <f t="shared" si="153"/>
        <v>3381923</v>
      </c>
      <c r="G78" s="2">
        <f t="shared" si="153"/>
        <v>2868630</v>
      </c>
      <c r="H78" s="2">
        <f t="shared" si="153"/>
        <v>2501903</v>
      </c>
      <c r="I78" s="2">
        <f t="shared" si="153"/>
        <v>2531843</v>
      </c>
      <c r="J78" s="2">
        <f t="shared" si="153"/>
        <v>2144434</v>
      </c>
      <c r="K78" s="2">
        <f t="shared" si="153"/>
        <v>2338940</v>
      </c>
      <c r="L78" s="2">
        <f t="shared" si="153"/>
        <v>2209861</v>
      </c>
      <c r="M78" s="2">
        <f t="shared" si="153"/>
        <v>3085921</v>
      </c>
      <c r="N78" s="19">
        <f t="shared" si="153"/>
        <v>3418526</v>
      </c>
      <c r="O78" s="19">
        <f t="shared" si="153"/>
        <v>3967685</v>
      </c>
      <c r="P78" s="6">
        <f t="shared" si="146"/>
        <v>36224919</v>
      </c>
      <c r="S78" s="3">
        <f>SUM(S39:S44)+S64</f>
        <v>358549.50451</v>
      </c>
      <c r="T78" s="3">
        <f t="shared" ref="T78:AD78" si="154">SUM(T39:T44)+T64</f>
        <v>296676.66961000004</v>
      </c>
      <c r="U78" s="3">
        <f t="shared" si="154"/>
        <v>293401.19084</v>
      </c>
      <c r="V78" s="3">
        <f t="shared" si="154"/>
        <v>251591.07601000002</v>
      </c>
      <c r="W78" s="3">
        <f t="shared" si="154"/>
        <v>226424.11610000004</v>
      </c>
      <c r="X78" s="3">
        <f t="shared" si="154"/>
        <v>228492.27817000001</v>
      </c>
      <c r="Y78" s="3">
        <f t="shared" si="154"/>
        <v>197365.31745999999</v>
      </c>
      <c r="Z78" s="3">
        <f t="shared" si="154"/>
        <v>210946.29435000001</v>
      </c>
      <c r="AA78" s="3">
        <f t="shared" si="154"/>
        <v>200898.89216999998</v>
      </c>
      <c r="AB78" s="3">
        <f t="shared" si="154"/>
        <v>274609.68591</v>
      </c>
      <c r="AC78" s="24">
        <f t="shared" si="154"/>
        <v>297463.36314999993</v>
      </c>
      <c r="AD78" s="24">
        <f t="shared" si="154"/>
        <v>338626.28787</v>
      </c>
      <c r="AE78" s="3">
        <f t="shared" si="148"/>
        <v>3175044.6761500007</v>
      </c>
      <c r="AF78" s="3">
        <f>AE78+AE79+AE82</f>
        <v>5238743.5752659654</v>
      </c>
      <c r="AH78" t="s">
        <v>113</v>
      </c>
    </row>
    <row r="79" spans="1:34" x14ac:dyDescent="0.3">
      <c r="A79" t="s">
        <v>81</v>
      </c>
      <c r="D79" s="2">
        <f>D46+D48+D67</f>
        <v>5330060</v>
      </c>
      <c r="E79" s="2">
        <f t="shared" ref="E79:O79" si="155">E46+E48+E67</f>
        <v>4612480</v>
      </c>
      <c r="F79" s="2">
        <f t="shared" si="155"/>
        <v>4264190</v>
      </c>
      <c r="G79" s="2">
        <f t="shared" si="155"/>
        <v>4177048</v>
      </c>
      <c r="H79" s="2">
        <f t="shared" si="155"/>
        <v>3759388</v>
      </c>
      <c r="I79" s="2">
        <f t="shared" si="155"/>
        <v>3608308</v>
      </c>
      <c r="J79" s="2">
        <f t="shared" si="155"/>
        <v>3461561</v>
      </c>
      <c r="K79" s="2">
        <f t="shared" si="155"/>
        <v>3959479</v>
      </c>
      <c r="L79" s="2">
        <f t="shared" si="155"/>
        <v>4312347</v>
      </c>
      <c r="M79" s="2">
        <f t="shared" si="155"/>
        <v>4331624</v>
      </c>
      <c r="N79" s="19">
        <f t="shared" si="155"/>
        <v>4632784</v>
      </c>
      <c r="O79" s="19">
        <f t="shared" si="155"/>
        <v>5159392</v>
      </c>
      <c r="P79" s="6">
        <f t="shared" si="146"/>
        <v>51608661</v>
      </c>
      <c r="S79" s="3">
        <f>SUM(S45:S48)+S67</f>
        <v>128084.10087000001</v>
      </c>
      <c r="T79" s="3">
        <f t="shared" ref="T79:AD79" si="156">SUM(T45:T48)+T67</f>
        <v>108279.78423999999</v>
      </c>
      <c r="U79" s="3">
        <f t="shared" si="156"/>
        <v>106260.51521999999</v>
      </c>
      <c r="V79" s="3">
        <f t="shared" si="156"/>
        <v>102326.62980000001</v>
      </c>
      <c r="W79" s="3">
        <f t="shared" si="156"/>
        <v>97683.090120000008</v>
      </c>
      <c r="X79" s="3">
        <f t="shared" si="156"/>
        <v>97604.999840000004</v>
      </c>
      <c r="Y79" s="3">
        <f t="shared" si="156"/>
        <v>97227.647069999992</v>
      </c>
      <c r="Z79" s="3">
        <f t="shared" si="156"/>
        <v>107445.05463</v>
      </c>
      <c r="AA79" s="3">
        <f t="shared" si="156"/>
        <v>115688.81804</v>
      </c>
      <c r="AB79" s="3">
        <f t="shared" si="156"/>
        <v>116671.26801</v>
      </c>
      <c r="AC79" s="24">
        <f t="shared" si="156"/>
        <v>121323.63473000001</v>
      </c>
      <c r="AD79" s="24">
        <f t="shared" si="156"/>
        <v>131431.32234000001</v>
      </c>
      <c r="AE79" s="3">
        <f t="shared" si="148"/>
        <v>1330026.86491</v>
      </c>
    </row>
    <row r="80" spans="1:34" x14ac:dyDescent="0.3">
      <c r="A80" t="s">
        <v>52</v>
      </c>
      <c r="D80" s="8">
        <f>SUM(D74:D79)</f>
        <v>40304907.248999998</v>
      </c>
      <c r="E80" s="8">
        <f t="shared" ref="E80:P80" si="157">SUM(E74:E79)</f>
        <v>33344955.575000003</v>
      </c>
      <c r="F80" s="8">
        <f t="shared" si="157"/>
        <v>28766083.668759998</v>
      </c>
      <c r="G80" s="8">
        <f t="shared" si="157"/>
        <v>20829791.975000001</v>
      </c>
      <c r="H80" s="8">
        <f t="shared" si="157"/>
        <v>14741142.711999999</v>
      </c>
      <c r="I80" s="8">
        <f t="shared" si="157"/>
        <v>12247839.432</v>
      </c>
      <c r="J80" s="8">
        <f t="shared" si="157"/>
        <v>9512173.1080000009</v>
      </c>
      <c r="K80" s="8">
        <f t="shared" si="157"/>
        <v>10185626.742000001</v>
      </c>
      <c r="L80" s="8">
        <f t="shared" si="157"/>
        <v>12245576.362999998</v>
      </c>
      <c r="M80" s="8">
        <f t="shared" si="157"/>
        <v>19601235.84228</v>
      </c>
      <c r="N80" s="22">
        <f t="shared" si="157"/>
        <v>29821347.292400002</v>
      </c>
      <c r="O80" s="22">
        <f t="shared" si="157"/>
        <v>39393108.340670004</v>
      </c>
      <c r="P80" s="8">
        <f t="shared" si="157"/>
        <v>270993788.30010998</v>
      </c>
      <c r="S80" s="7">
        <f>SUM(S74:S79)</f>
        <v>22407112.374439884</v>
      </c>
      <c r="T80" s="7">
        <f t="shared" ref="T80:AD80" si="158">SUM(T74:T79)</f>
        <v>18380881.446329579</v>
      </c>
      <c r="U80" s="7">
        <f t="shared" si="158"/>
        <v>15485323.663280128</v>
      </c>
      <c r="V80" s="7">
        <f t="shared" si="158"/>
        <v>10534318.10132443</v>
      </c>
      <c r="W80" s="7">
        <f t="shared" si="158"/>
        <v>7091172.6432316732</v>
      </c>
      <c r="X80" s="7">
        <f t="shared" si="158"/>
        <v>5639485.7555810735</v>
      </c>
      <c r="Y80" s="7">
        <f t="shared" si="158"/>
        <v>4281915.7471800651</v>
      </c>
      <c r="Z80" s="7">
        <f t="shared" si="158"/>
        <v>4318939.2983239572</v>
      </c>
      <c r="AA80" s="7">
        <f t="shared" si="158"/>
        <v>5419363.9896502141</v>
      </c>
      <c r="AB80" s="7">
        <f t="shared" si="158"/>
        <v>9571153.5515955314</v>
      </c>
      <c r="AC80" s="25">
        <f t="shared" si="158"/>
        <v>15754687.734603729</v>
      </c>
      <c r="AD80" s="25">
        <f t="shared" si="158"/>
        <v>21487233.274457488</v>
      </c>
      <c r="AE80" s="7">
        <f>SUM(AE74:AE79)</f>
        <v>140371587.57999775</v>
      </c>
      <c r="AF80" s="3">
        <f>SUM(AF74:AF79)</f>
        <v>140371587.57999775</v>
      </c>
    </row>
    <row r="81" spans="1:31" x14ac:dyDescent="0.3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2"/>
      <c r="O81" s="32"/>
      <c r="P81" s="31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4"/>
      <c r="AD81" s="34"/>
      <c r="AE81" s="33"/>
    </row>
    <row r="82" spans="1:31" x14ac:dyDescent="0.3">
      <c r="A82" t="s">
        <v>114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2"/>
      <c r="O82" s="32"/>
      <c r="P82" s="31"/>
      <c r="S82" s="33">
        <f>SUM(S13:S16,S23:S28,S34:S38,S58)</f>
        <v>106267.64674573</v>
      </c>
      <c r="T82" s="33">
        <f t="shared" ref="T82:AD82" si="159">SUM(T13:T16,T23:T28,T34:T38,T58)</f>
        <v>89343.608304300011</v>
      </c>
      <c r="U82" s="33">
        <f t="shared" si="159"/>
        <v>75428.528056114403</v>
      </c>
      <c r="V82" s="33">
        <f t="shared" si="159"/>
        <v>60700.909141699995</v>
      </c>
      <c r="W82" s="33">
        <f t="shared" si="159"/>
        <v>49881.748916959994</v>
      </c>
      <c r="X82" s="33">
        <f t="shared" si="159"/>
        <v>35743.838538599994</v>
      </c>
      <c r="Y82" s="33">
        <f t="shared" si="159"/>
        <v>54589.655565660003</v>
      </c>
      <c r="Z82" s="33">
        <f t="shared" si="159"/>
        <v>25218.564331080001</v>
      </c>
      <c r="AA82" s="33">
        <f t="shared" si="159"/>
        <v>29882.998076309999</v>
      </c>
      <c r="AB82" s="33">
        <f t="shared" si="159"/>
        <v>37880.004240000002</v>
      </c>
      <c r="AC82" s="33">
        <f t="shared" si="159"/>
        <v>80715.663503910037</v>
      </c>
      <c r="AD82" s="33">
        <f t="shared" si="159"/>
        <v>88018.868785600003</v>
      </c>
      <c r="AE82" s="3">
        <f t="shared" ref="AE82" si="160">SUM(S82:AD82)</f>
        <v>733672.03420596453</v>
      </c>
    </row>
    <row r="84" spans="1:31" x14ac:dyDescent="0.3">
      <c r="A84" t="s">
        <v>54</v>
      </c>
      <c r="C84" t="s">
        <v>55</v>
      </c>
      <c r="R84" s="12" t="s">
        <v>56</v>
      </c>
    </row>
    <row r="85" spans="1:31" x14ac:dyDescent="0.3">
      <c r="A85" t="s">
        <v>76</v>
      </c>
      <c r="D85" s="2">
        <f>D74/(D3+D6)</f>
        <v>146.36389875659259</v>
      </c>
      <c r="E85" s="2">
        <f t="shared" ref="E85:O85" si="161">E74/(E3+E6)</f>
        <v>113.78998006001788</v>
      </c>
      <c r="F85" s="2">
        <f t="shared" si="161"/>
        <v>94.669712284681893</v>
      </c>
      <c r="G85" s="2">
        <f t="shared" si="161"/>
        <v>60.131939165098707</v>
      </c>
      <c r="H85" s="2">
        <f t="shared" si="161"/>
        <v>34.976389023065614</v>
      </c>
      <c r="I85" s="2">
        <f t="shared" si="161"/>
        <v>22.472807902271423</v>
      </c>
      <c r="J85" s="2">
        <f t="shared" si="161"/>
        <v>13.195686134453782</v>
      </c>
      <c r="K85" s="2">
        <f t="shared" si="161"/>
        <v>13.218561720678474</v>
      </c>
      <c r="L85" s="2">
        <f t="shared" si="161"/>
        <v>19.947434643894841</v>
      </c>
      <c r="M85" s="2">
        <f t="shared" si="161"/>
        <v>52.84664009262935</v>
      </c>
      <c r="N85" s="19">
        <f t="shared" si="161"/>
        <v>97.856236532918899</v>
      </c>
      <c r="O85" s="19">
        <f t="shared" si="161"/>
        <v>138.31424631696905</v>
      </c>
      <c r="P85" s="2">
        <f t="shared" ref="P85" si="162">P74/(P3+P6)</f>
        <v>67.368642431280307</v>
      </c>
      <c r="S85" s="3">
        <f t="shared" ref="S85:AE85" si="163">S74/(D3+D6)</f>
        <v>112.73496188821986</v>
      </c>
      <c r="T85" s="3">
        <f t="shared" ref="T85" si="164">T74/(E3+E6)</f>
        <v>88.761754171773333</v>
      </c>
      <c r="U85" s="3">
        <f t="shared" ref="U85" si="165">U74/(F3+F6)</f>
        <v>73.867595468869382</v>
      </c>
      <c r="V85" s="3">
        <f t="shared" ref="V85" si="166">V74/(G3+G6)</f>
        <v>48.976432286372706</v>
      </c>
      <c r="W85" s="3">
        <f t="shared" ref="W85" si="167">W74/(H3+H6)</f>
        <v>31.774801364885022</v>
      </c>
      <c r="X85" s="3">
        <f t="shared" ref="X85" si="168">X74/(I3+I6)</f>
        <v>23.898865809329699</v>
      </c>
      <c r="Y85" s="3">
        <f t="shared" ref="Y85" si="169">Y74/(J3+J6)</f>
        <v>17.901382465984838</v>
      </c>
      <c r="Z85" s="3">
        <f t="shared" ref="Z85" si="170">Z74/(K3+K6)</f>
        <v>17.982072037295175</v>
      </c>
      <c r="AA85" s="3">
        <f t="shared" ref="AA85" si="171">AA74/(L3+L6)</f>
        <v>22.471232183082869</v>
      </c>
      <c r="AB85" s="3">
        <f t="shared" ref="AB85" si="172">AB74/(M3+M6)</f>
        <v>44.125451677187421</v>
      </c>
      <c r="AC85" s="24">
        <f t="shared" ref="AC85" si="173">AC74/(N3+N6)</f>
        <v>74.750761362048323</v>
      </c>
      <c r="AD85" s="24">
        <f t="shared" ref="AD85" si="174">AD74/(O3+O6)</f>
        <v>103.6930919676627</v>
      </c>
      <c r="AE85" s="3">
        <f t="shared" si="163"/>
        <v>55.111143450692801</v>
      </c>
    </row>
    <row r="86" spans="1:31" x14ac:dyDescent="0.3">
      <c r="A86" t="s">
        <v>77</v>
      </c>
      <c r="D86" s="28">
        <f>D75/(D9+D13)</f>
        <v>2590.3989578059072</v>
      </c>
      <c r="E86" s="2">
        <f t="shared" ref="E86:O86" si="175">E75/(E9+E13)</f>
        <v>2371.0009510416667</v>
      </c>
      <c r="F86" s="2">
        <f t="shared" si="175"/>
        <v>1992.8610870767102</v>
      </c>
      <c r="G86" s="2">
        <f t="shared" si="175"/>
        <v>1368.9357614424409</v>
      </c>
      <c r="H86" s="2">
        <f t="shared" si="175"/>
        <v>903.21589585510264</v>
      </c>
      <c r="I86" s="2">
        <f t="shared" si="175"/>
        <v>752.39176309483048</v>
      </c>
      <c r="J86" s="2">
        <f t="shared" si="175"/>
        <v>500.99698511080334</v>
      </c>
      <c r="K86" s="2">
        <f t="shared" si="175"/>
        <v>502.72623695054949</v>
      </c>
      <c r="L86" s="2">
        <f t="shared" si="175"/>
        <v>747.69101277624304</v>
      </c>
      <c r="M86" s="2">
        <f t="shared" si="175"/>
        <v>1199.4274600413364</v>
      </c>
      <c r="N86" s="19">
        <f t="shared" si="175"/>
        <v>1953.8037893773521</v>
      </c>
      <c r="O86" s="19">
        <f t="shared" si="175"/>
        <v>2568.1757266994236</v>
      </c>
      <c r="P86" s="2">
        <f t="shared" ref="P86" si="176">P75/(P9+P13)</f>
        <v>1453.951203852504</v>
      </c>
      <c r="S86" s="3">
        <f t="shared" ref="S86:AE86" si="177">S75/(D9+D13)</f>
        <v>1423.2661925163732</v>
      </c>
      <c r="T86" s="3">
        <f t="shared" ref="T86" si="178">T75/(E9+E13)</f>
        <v>1313.2233569435548</v>
      </c>
      <c r="U86" s="3">
        <f t="shared" ref="U86" si="179">U75/(F9+F13)</f>
        <v>1118.4353990947568</v>
      </c>
      <c r="V86" s="3">
        <f t="shared" ref="V86" si="180">V75/(G9+G13)</f>
        <v>792.60548790859468</v>
      </c>
      <c r="W86" s="3">
        <f t="shared" ref="W86" si="181">W75/(H9+H13)</f>
        <v>547.97283401913205</v>
      </c>
      <c r="X86" s="3">
        <f t="shared" ref="X86" si="182">X75/(I9+I13)</f>
        <v>463.93593500135034</v>
      </c>
      <c r="Y86" s="3">
        <f t="shared" ref="Y86" si="183">Y75/(J9+J13)</f>
        <v>335.31048754743642</v>
      </c>
      <c r="Z86" s="3">
        <f t="shared" ref="Z86" si="184">Z75/(K9+K13)</f>
        <v>336.67200991069967</v>
      </c>
      <c r="AA86" s="3">
        <f t="shared" ref="AA86" si="185">AA75/(L9+L13)</f>
        <v>460.14435161646878</v>
      </c>
      <c r="AB86" s="3">
        <f t="shared" ref="AB86" si="186">AB75/(M9+M13)</f>
        <v>689.30172121730664</v>
      </c>
      <c r="AC86" s="24">
        <f t="shared" ref="AC86" si="187">AC75/(N9+N13)</f>
        <v>1091.0018966737084</v>
      </c>
      <c r="AD86" s="24">
        <f t="shared" ref="AD86" si="188">AD75/(O9+O13)</f>
        <v>1408.2808765620064</v>
      </c>
      <c r="AE86" s="3">
        <f t="shared" si="177"/>
        <v>831.48063953790393</v>
      </c>
    </row>
    <row r="87" spans="1:31" x14ac:dyDescent="0.3">
      <c r="A87" t="s">
        <v>78</v>
      </c>
      <c r="D87" s="2">
        <f>D76/(D17+D23)</f>
        <v>12115.112625000002</v>
      </c>
      <c r="E87" s="2">
        <f t="shared" ref="E87:O87" si="189">E76/(E17+E23)</f>
        <v>18191.701624999998</v>
      </c>
      <c r="F87" s="2">
        <f t="shared" si="189"/>
        <v>16428.481499999998</v>
      </c>
      <c r="G87" s="2">
        <f t="shared" si="189"/>
        <v>13311.115291666667</v>
      </c>
      <c r="H87" s="2">
        <f t="shared" si="189"/>
        <v>12618.029814814816</v>
      </c>
      <c r="I87" s="2">
        <f t="shared" si="189"/>
        <v>12000.69848148148</v>
      </c>
      <c r="J87" s="2">
        <f t="shared" si="189"/>
        <v>11809.168814814815</v>
      </c>
      <c r="K87" s="2">
        <f t="shared" si="189"/>
        <v>11717.892037037036</v>
      </c>
      <c r="L87" s="2">
        <f t="shared" si="189"/>
        <v>14435.429538461538</v>
      </c>
      <c r="M87" s="2">
        <f t="shared" si="189"/>
        <v>10573.793192307694</v>
      </c>
      <c r="N87" s="19">
        <f t="shared" si="189"/>
        <v>25125.289733333335</v>
      </c>
      <c r="O87" s="19">
        <f t="shared" si="189"/>
        <v>-480256.14700000006</v>
      </c>
      <c r="P87" s="2">
        <f t="shared" ref="P87" si="190">P76/(P17+P23)</f>
        <v>15734.909096296296</v>
      </c>
      <c r="S87" s="3">
        <f t="shared" ref="S87:AE87" si="191">S76/(D17+D23)</f>
        <v>6892.3976213583346</v>
      </c>
      <c r="T87" s="3">
        <f t="shared" ref="T87" si="192">T76/(E17+E23)</f>
        <v>9657.5794307583328</v>
      </c>
      <c r="U87" s="3">
        <f t="shared" ref="U87" si="193">U76/(F17+F23)</f>
        <v>8763.9996408113711</v>
      </c>
      <c r="V87" s="3">
        <f t="shared" ref="V87" si="194">V76/(G17+G23)</f>
        <v>7276.4904067708339</v>
      </c>
      <c r="W87" s="3">
        <f t="shared" ref="W87" si="195">W76/(H17+H23)</f>
        <v>6933.1908298233338</v>
      </c>
      <c r="X87" s="3">
        <f t="shared" ref="X87" si="196">X76/(I17+I23)</f>
        <v>6539.349664962223</v>
      </c>
      <c r="Y87" s="3">
        <f t="shared" ref="Y87" si="197">Y76/(J17+J23)</f>
        <v>6492.7196851151857</v>
      </c>
      <c r="Z87" s="3">
        <f t="shared" ref="Z87" si="198">Z76/(K17+K23)</f>
        <v>6480.6221145114814</v>
      </c>
      <c r="AA87" s="3">
        <f t="shared" ref="AA87" si="199">AA76/(L17+L23)</f>
        <v>7901.9204920407701</v>
      </c>
      <c r="AB87" s="3">
        <f t="shared" ref="AB87" si="200">AB76/(M17+M23)</f>
        <v>6056.2194802184622</v>
      </c>
      <c r="AC87" s="24">
        <f t="shared" ref="AC87" si="201">AC76/(N17+N23)</f>
        <v>13051.324898706238</v>
      </c>
      <c r="AD87" s="24">
        <f t="shared" ref="AD87" si="202">AD76/(O17+O23)</f>
        <v>-245778.23905276004</v>
      </c>
      <c r="AE87" s="3">
        <f t="shared" si="191"/>
        <v>8520.9992005703589</v>
      </c>
    </row>
    <row r="88" spans="1:31" x14ac:dyDescent="0.3">
      <c r="A88" t="s">
        <v>79</v>
      </c>
      <c r="D88" s="2">
        <f>D77/(D29+D34)</f>
        <v>80193.523499999996</v>
      </c>
      <c r="E88" s="2">
        <f t="shared" ref="E88:O88" si="203">E77/(E29+E34)</f>
        <v>65991.16</v>
      </c>
      <c r="F88" s="2">
        <f t="shared" si="203"/>
        <v>51435.272380000002</v>
      </c>
      <c r="G88" s="2">
        <f t="shared" si="203"/>
        <v>44425.195</v>
      </c>
      <c r="H88" s="2">
        <f t="shared" si="203"/>
        <v>35938.712</v>
      </c>
      <c r="I88" s="2">
        <f t="shared" si="203"/>
        <v>26941.0075</v>
      </c>
      <c r="J88" s="2">
        <f t="shared" si="203"/>
        <v>33836.4395</v>
      </c>
      <c r="K88" s="2">
        <f t="shared" si="203"/>
        <v>11892.966</v>
      </c>
      <c r="L88" s="2">
        <f t="shared" si="203"/>
        <v>15788.9645</v>
      </c>
      <c r="M88" s="2">
        <f t="shared" si="203"/>
        <v>20115.53</v>
      </c>
      <c r="N88" s="19">
        <f t="shared" si="203"/>
        <v>49047.260500000004</v>
      </c>
      <c r="O88" s="19">
        <f t="shared" si="203"/>
        <v>56523.773000000001</v>
      </c>
      <c r="P88" s="2">
        <f t="shared" ref="P88" si="204">P77/(P29+P34)</f>
        <v>41010.816989999999</v>
      </c>
      <c r="S88" s="3">
        <f>S77/(D29+D34)</f>
        <v>36362.880632964996</v>
      </c>
      <c r="T88" s="3">
        <f t="shared" ref="T88:AD88" si="205">T77/(E29+E34)</f>
        <v>30096.939880400001</v>
      </c>
      <c r="U88" s="3">
        <f t="shared" si="205"/>
        <v>23672.353740457198</v>
      </c>
      <c r="V88" s="3">
        <f t="shared" si="205"/>
        <v>20560.231302299999</v>
      </c>
      <c r="W88" s="3">
        <f t="shared" si="205"/>
        <v>16782.558259679998</v>
      </c>
      <c r="X88" s="3">
        <f t="shared" si="205"/>
        <v>12742.215612900001</v>
      </c>
      <c r="Y88" s="3">
        <f t="shared" si="205"/>
        <v>15846.75267903</v>
      </c>
      <c r="Z88" s="3">
        <f t="shared" si="205"/>
        <v>5702.7545534399997</v>
      </c>
      <c r="AA88" s="3">
        <f t="shared" si="205"/>
        <v>7450.1713538549993</v>
      </c>
      <c r="AB88" s="3">
        <f t="shared" si="205"/>
        <v>9395.5948406999996</v>
      </c>
      <c r="AC88" s="24">
        <f t="shared" si="205"/>
        <v>23349.909276440001</v>
      </c>
      <c r="AD88" s="24">
        <f t="shared" si="205"/>
        <v>25916.716864869995</v>
      </c>
      <c r="AE88" s="3">
        <f>AE77/(P29+P34)</f>
        <v>18989.923249753101</v>
      </c>
    </row>
    <row r="89" spans="1:31" x14ac:dyDescent="0.3">
      <c r="A89" t="s">
        <v>80</v>
      </c>
      <c r="D89" s="2">
        <f>D78/(D39)</f>
        <v>106540.75</v>
      </c>
      <c r="E89" s="2">
        <f t="shared" ref="E89:O89" si="206">E78/(E39)</f>
        <v>87840.574999999997</v>
      </c>
      <c r="F89" s="2">
        <f t="shared" si="206"/>
        <v>84548.074999999997</v>
      </c>
      <c r="G89" s="2">
        <f t="shared" si="206"/>
        <v>71715.75</v>
      </c>
      <c r="H89" s="2">
        <f t="shared" si="206"/>
        <v>62547.574999999997</v>
      </c>
      <c r="I89" s="2">
        <f t="shared" si="206"/>
        <v>63296.074999999997</v>
      </c>
      <c r="J89" s="2">
        <f t="shared" si="206"/>
        <v>53610.85</v>
      </c>
      <c r="K89" s="2">
        <f t="shared" si="206"/>
        <v>58473.5</v>
      </c>
      <c r="L89" s="2">
        <f t="shared" si="206"/>
        <v>55246.525000000001</v>
      </c>
      <c r="M89" s="2">
        <f t="shared" si="206"/>
        <v>77148.024999999994</v>
      </c>
      <c r="N89" s="19">
        <f t="shared" si="206"/>
        <v>83378.682926829264</v>
      </c>
      <c r="O89" s="19">
        <f t="shared" si="206"/>
        <v>96772.804878048773</v>
      </c>
      <c r="P89" s="2">
        <f t="shared" ref="P89" si="207">P78/(P39)</f>
        <v>75155.433609958505</v>
      </c>
      <c r="S89" s="3">
        <f>S78/(D39)</f>
        <v>8963.7376127499992</v>
      </c>
      <c r="T89" s="3">
        <f t="shared" ref="T89:AD89" si="208">T78/(E39)</f>
        <v>7416.9167402500007</v>
      </c>
      <c r="U89" s="3">
        <f t="shared" si="208"/>
        <v>7335.0297709999995</v>
      </c>
      <c r="V89" s="3">
        <f t="shared" si="208"/>
        <v>6289.7769002500008</v>
      </c>
      <c r="W89" s="3">
        <f t="shared" si="208"/>
        <v>5660.6029025000007</v>
      </c>
      <c r="X89" s="3">
        <f t="shared" si="208"/>
        <v>5712.3069542499998</v>
      </c>
      <c r="Y89" s="3">
        <f t="shared" si="208"/>
        <v>4934.1329365000001</v>
      </c>
      <c r="Z89" s="3">
        <f t="shared" si="208"/>
        <v>5273.6573587500006</v>
      </c>
      <c r="AA89" s="3">
        <f t="shared" si="208"/>
        <v>5022.4723042499991</v>
      </c>
      <c r="AB89" s="3">
        <f t="shared" si="208"/>
        <v>6865.2421477500002</v>
      </c>
      <c r="AC89" s="24">
        <f t="shared" si="208"/>
        <v>7255.2039792682908</v>
      </c>
      <c r="AD89" s="24">
        <f t="shared" si="208"/>
        <v>8259.1777529268293</v>
      </c>
      <c r="AE89" s="3">
        <f>AE78/(P39)</f>
        <v>6587.2296185684663</v>
      </c>
    </row>
    <row r="90" spans="1:31" x14ac:dyDescent="0.3">
      <c r="A90" t="s">
        <v>74</v>
      </c>
      <c r="D90" s="17">
        <f>D79/(D45+D47)</f>
        <v>666257.5</v>
      </c>
      <c r="E90" s="17">
        <f t="shared" ref="E90:O90" si="209">E79/(E45+E47)</f>
        <v>576560</v>
      </c>
      <c r="F90" s="17">
        <f t="shared" si="209"/>
        <v>533023.75</v>
      </c>
      <c r="G90" s="17">
        <f t="shared" si="209"/>
        <v>522131</v>
      </c>
      <c r="H90" s="17">
        <f t="shared" si="209"/>
        <v>469923.5</v>
      </c>
      <c r="I90" s="17">
        <f t="shared" si="209"/>
        <v>515472.57142857142</v>
      </c>
      <c r="J90" s="17">
        <f t="shared" si="209"/>
        <v>432695.125</v>
      </c>
      <c r="K90" s="17">
        <f t="shared" si="209"/>
        <v>494934.875</v>
      </c>
      <c r="L90" s="17">
        <f t="shared" si="209"/>
        <v>539043.375</v>
      </c>
      <c r="M90" s="17">
        <f t="shared" si="209"/>
        <v>541453</v>
      </c>
      <c r="N90" s="29">
        <f t="shared" si="209"/>
        <v>579098</v>
      </c>
      <c r="O90" s="29">
        <f t="shared" si="209"/>
        <v>644924</v>
      </c>
      <c r="P90" s="17">
        <f t="shared" ref="P90" si="210">P79/(P45+P47)</f>
        <v>543249.06315789477</v>
      </c>
      <c r="S90" s="3">
        <f>S79/(D45+D47)</f>
        <v>16010.512608750001</v>
      </c>
      <c r="T90" s="3">
        <f t="shared" ref="T90:AD90" si="211">T79/(E45+E47)</f>
        <v>13534.973029999999</v>
      </c>
      <c r="U90" s="3">
        <f t="shared" si="211"/>
        <v>13282.564402499998</v>
      </c>
      <c r="V90" s="3">
        <f t="shared" si="211"/>
        <v>12790.828725000001</v>
      </c>
      <c r="W90" s="3">
        <f t="shared" si="211"/>
        <v>12210.386265000001</v>
      </c>
      <c r="X90" s="3">
        <f t="shared" si="211"/>
        <v>13943.571405714287</v>
      </c>
      <c r="Y90" s="3">
        <f t="shared" si="211"/>
        <v>12153.455883749999</v>
      </c>
      <c r="Z90" s="3">
        <f t="shared" si="211"/>
        <v>13430.63182875</v>
      </c>
      <c r="AA90" s="3">
        <f t="shared" si="211"/>
        <v>14461.102255</v>
      </c>
      <c r="AB90" s="3">
        <f t="shared" si="211"/>
        <v>14583.90850125</v>
      </c>
      <c r="AC90" s="24">
        <f t="shared" si="211"/>
        <v>15165.454341250001</v>
      </c>
      <c r="AD90" s="24">
        <f t="shared" si="211"/>
        <v>16428.915292500002</v>
      </c>
      <c r="AE90" s="3">
        <f>AE79/(P45+P47)</f>
        <v>14000.282788526316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8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zoomScale="83" zoomScaleNormal="83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D39" sqref="D39:O40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91</v>
      </c>
      <c r="AC1" s="18" t="s">
        <v>57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64</v>
      </c>
      <c r="B3" t="s">
        <v>14</v>
      </c>
      <c r="D3" s="5">
        <v>79942</v>
      </c>
      <c r="E3" s="5">
        <v>79924</v>
      </c>
      <c r="F3" s="5">
        <v>80012</v>
      </c>
      <c r="G3" s="5">
        <v>79995</v>
      </c>
      <c r="H3" s="5">
        <v>79923</v>
      </c>
      <c r="I3" s="5">
        <v>80011</v>
      </c>
      <c r="J3" s="5">
        <v>80115</v>
      </c>
      <c r="K3" s="5">
        <v>80326</v>
      </c>
      <c r="L3" s="5">
        <v>80523</v>
      </c>
      <c r="M3" s="5">
        <v>80844</v>
      </c>
      <c r="N3" s="10">
        <v>81251</v>
      </c>
      <c r="O3" s="10">
        <v>81401</v>
      </c>
      <c r="P3" s="2">
        <f>SUM(D3:O3)</f>
        <v>964267</v>
      </c>
      <c r="Q3" s="2">
        <v>10</v>
      </c>
      <c r="R3" s="13">
        <v>6</v>
      </c>
      <c r="S3" s="3">
        <f t="shared" ref="S3:AD14" si="0">$R3*D3</f>
        <v>479652</v>
      </c>
      <c r="T3" s="3">
        <f t="shared" si="0"/>
        <v>479544</v>
      </c>
      <c r="U3" s="3">
        <f t="shared" si="0"/>
        <v>480072</v>
      </c>
      <c r="V3" s="3">
        <f t="shared" si="0"/>
        <v>479970</v>
      </c>
      <c r="W3" s="3">
        <f t="shared" si="0"/>
        <v>479538</v>
      </c>
      <c r="X3" s="3">
        <f t="shared" si="0"/>
        <v>480066</v>
      </c>
      <c r="Y3" s="3">
        <f t="shared" si="0"/>
        <v>480690</v>
      </c>
      <c r="Z3" s="3">
        <f t="shared" si="0"/>
        <v>481956</v>
      </c>
      <c r="AA3" s="3">
        <f t="shared" si="0"/>
        <v>483138</v>
      </c>
      <c r="AB3" s="3">
        <f t="shared" si="0"/>
        <v>485064</v>
      </c>
      <c r="AC3" s="24">
        <f t="shared" si="0"/>
        <v>487506</v>
      </c>
      <c r="AD3" s="24">
        <f t="shared" si="0"/>
        <v>488406</v>
      </c>
      <c r="AE3" s="3">
        <f>SUM(S3:AD3)</f>
        <v>5785602</v>
      </c>
    </row>
    <row r="4" spans="1:31" x14ac:dyDescent="0.3">
      <c r="B4" t="s">
        <v>83</v>
      </c>
      <c r="D4" s="5">
        <v>12955070.419</v>
      </c>
      <c r="E4" s="5">
        <v>10031327.721999999</v>
      </c>
      <c r="F4" s="5">
        <v>8063059.4139999999</v>
      </c>
      <c r="G4" s="5">
        <v>5680633.1059999997</v>
      </c>
      <c r="H4" s="5">
        <v>3845669.5839999998</v>
      </c>
      <c r="I4" s="5">
        <v>1793983.041</v>
      </c>
      <c r="J4" s="5">
        <v>1149455.895</v>
      </c>
      <c r="K4" s="5">
        <v>942424.56099999999</v>
      </c>
      <c r="L4" s="5">
        <v>1107313.959</v>
      </c>
      <c r="M4" s="5">
        <v>2769393.31587</v>
      </c>
      <c r="N4" s="10">
        <v>6001729.3873800002</v>
      </c>
      <c r="O4" s="10">
        <v>8853838.8380699996</v>
      </c>
      <c r="P4" s="2">
        <f t="shared" ref="P4:P31" si="1">SUM(D4:O4)</f>
        <v>63193899.242319994</v>
      </c>
      <c r="Q4" s="2">
        <f>IF(P4-P3*Q3&gt;0,P4-P3*Q3,0)</f>
        <v>53551229.242319994</v>
      </c>
      <c r="R4" s="14">
        <v>0.76234000000000002</v>
      </c>
      <c r="S4" s="3">
        <f t="shared" si="0"/>
        <v>9876168.3832204603</v>
      </c>
      <c r="T4" s="3">
        <f t="shared" si="0"/>
        <v>7647282.3755894797</v>
      </c>
      <c r="U4" s="3">
        <f t="shared" si="0"/>
        <v>6146792.7136687599</v>
      </c>
      <c r="V4" s="3">
        <f t="shared" si="0"/>
        <v>4330573.8420280395</v>
      </c>
      <c r="W4" s="3">
        <f t="shared" si="0"/>
        <v>2931707.7506665601</v>
      </c>
      <c r="X4" s="3">
        <f t="shared" si="0"/>
        <v>1367625.03147594</v>
      </c>
      <c r="Y4" s="3">
        <f t="shared" si="0"/>
        <v>876276.20699430001</v>
      </c>
      <c r="Z4" s="3">
        <f t="shared" si="0"/>
        <v>718447.93983274</v>
      </c>
      <c r="AA4" s="3">
        <f t="shared" si="0"/>
        <v>844149.72350406006</v>
      </c>
      <c r="AB4" s="3">
        <f t="shared" si="0"/>
        <v>2111219.300420336</v>
      </c>
      <c r="AC4" s="24">
        <f t="shared" si="0"/>
        <v>4575358.3811752694</v>
      </c>
      <c r="AD4" s="24">
        <f t="shared" si="0"/>
        <v>6749635.499814284</v>
      </c>
      <c r="AE4" s="3">
        <f t="shared" ref="AE4:AE24" si="2">SUM(S4:AD4)</f>
        <v>48175237.148390234</v>
      </c>
    </row>
    <row r="5" spans="1:31" x14ac:dyDescent="0.3">
      <c r="A5" t="s">
        <v>66</v>
      </c>
      <c r="B5" t="s">
        <v>14</v>
      </c>
      <c r="D5" s="5">
        <v>1440</v>
      </c>
      <c r="E5" s="5">
        <v>1434</v>
      </c>
      <c r="F5" s="5">
        <v>1449</v>
      </c>
      <c r="G5" s="5">
        <v>1443</v>
      </c>
      <c r="H5" s="5">
        <v>1437</v>
      </c>
      <c r="I5" s="5">
        <v>1452</v>
      </c>
      <c r="J5" s="5">
        <v>1440</v>
      </c>
      <c r="K5" s="5">
        <v>1453</v>
      </c>
      <c r="L5" s="5">
        <v>1444</v>
      </c>
      <c r="M5" s="5">
        <v>1453</v>
      </c>
      <c r="N5" s="10">
        <v>1440</v>
      </c>
      <c r="O5" s="10">
        <v>1466</v>
      </c>
      <c r="P5" s="2">
        <f t="shared" si="1"/>
        <v>17351</v>
      </c>
      <c r="Q5" s="2">
        <v>714</v>
      </c>
      <c r="R5" s="13">
        <v>102.73</v>
      </c>
      <c r="S5" s="3">
        <f t="shared" si="0"/>
        <v>147931.20000000001</v>
      </c>
      <c r="T5" s="3">
        <f t="shared" si="0"/>
        <v>147314.82</v>
      </c>
      <c r="U5" s="3">
        <f t="shared" si="0"/>
        <v>148855.77000000002</v>
      </c>
      <c r="V5" s="3">
        <f t="shared" si="0"/>
        <v>148239.39000000001</v>
      </c>
      <c r="W5" s="3">
        <f t="shared" si="0"/>
        <v>147623.01</v>
      </c>
      <c r="X5" s="3">
        <f t="shared" si="0"/>
        <v>149163.96</v>
      </c>
      <c r="Y5" s="3">
        <f t="shared" si="0"/>
        <v>147931.20000000001</v>
      </c>
      <c r="Z5" s="3">
        <f t="shared" si="0"/>
        <v>149266.69</v>
      </c>
      <c r="AA5" s="3">
        <f t="shared" si="0"/>
        <v>148342.12</v>
      </c>
      <c r="AB5" s="3">
        <f t="shared" si="0"/>
        <v>149266.69</v>
      </c>
      <c r="AC5" s="24">
        <f t="shared" si="0"/>
        <v>147931.20000000001</v>
      </c>
      <c r="AD5" s="24">
        <f t="shared" si="0"/>
        <v>150602.18</v>
      </c>
      <c r="AE5" s="3">
        <f t="shared" si="2"/>
        <v>1782468.23</v>
      </c>
    </row>
    <row r="6" spans="1:31" x14ac:dyDescent="0.3">
      <c r="B6" t="s">
        <v>83</v>
      </c>
      <c r="D6" s="5">
        <v>284191.38101999997</v>
      </c>
      <c r="E6" s="5">
        <v>284018.27166999999</v>
      </c>
      <c r="F6" s="5">
        <v>285774.11567000003</v>
      </c>
      <c r="G6" s="5">
        <v>283552.99099999998</v>
      </c>
      <c r="H6" s="5">
        <v>276217.85733000003</v>
      </c>
      <c r="I6" s="5">
        <v>241902.09099999999</v>
      </c>
      <c r="J6" s="5">
        <v>194885.37766</v>
      </c>
      <c r="K6" s="5">
        <v>182244.35733</v>
      </c>
      <c r="L6" s="5">
        <v>192885.13266999999</v>
      </c>
      <c r="M6" s="5">
        <v>260670.58204000001</v>
      </c>
      <c r="N6" s="10">
        <v>284003.57775</v>
      </c>
      <c r="O6" s="10">
        <v>290755.56699999998</v>
      </c>
      <c r="P6" s="2">
        <f t="shared" si="1"/>
        <v>3061101.3021400003</v>
      </c>
      <c r="Q6" s="2">
        <f>IF(P6-P5*Q5&gt;0,P6-P5*Q5,0)</f>
        <v>0</v>
      </c>
      <c r="R6" s="14">
        <v>0.26179999999999998</v>
      </c>
      <c r="S6" s="3">
        <f t="shared" si="0"/>
        <v>74401.303551035991</v>
      </c>
      <c r="T6" s="3">
        <f t="shared" si="0"/>
        <v>74355.983523205985</v>
      </c>
      <c r="U6" s="3">
        <f t="shared" si="0"/>
        <v>74815.663482406002</v>
      </c>
      <c r="V6" s="3">
        <f t="shared" si="0"/>
        <v>74234.173043799994</v>
      </c>
      <c r="W6" s="3">
        <f t="shared" si="0"/>
        <v>72313.835048994006</v>
      </c>
      <c r="X6" s="3">
        <f t="shared" si="0"/>
        <v>63329.967423799993</v>
      </c>
      <c r="Y6" s="3">
        <f t="shared" si="0"/>
        <v>51020.991871387996</v>
      </c>
      <c r="Z6" s="3">
        <f t="shared" si="0"/>
        <v>47711.572748993996</v>
      </c>
      <c r="AA6" s="3">
        <f t="shared" si="0"/>
        <v>50497.327733005994</v>
      </c>
      <c r="AB6" s="3">
        <f t="shared" si="0"/>
        <v>68243.55837807199</v>
      </c>
      <c r="AC6" s="24">
        <f t="shared" si="0"/>
        <v>74352.136654949994</v>
      </c>
      <c r="AD6" s="24">
        <f t="shared" si="0"/>
        <v>76119.807440599994</v>
      </c>
      <c r="AE6" s="3">
        <f t="shared" si="2"/>
        <v>801396.32090025186</v>
      </c>
    </row>
    <row r="7" spans="1:31" x14ac:dyDescent="0.3">
      <c r="B7" t="s">
        <v>84</v>
      </c>
      <c r="D7" s="5">
        <v>1022894.91064</v>
      </c>
      <c r="E7" s="5">
        <v>973565.47065999999</v>
      </c>
      <c r="F7" s="5">
        <v>907573.64199999999</v>
      </c>
      <c r="G7" s="5">
        <v>769388.69033000001</v>
      </c>
      <c r="H7" s="5">
        <v>609966.35433999996</v>
      </c>
      <c r="I7" s="5">
        <v>405690.15700000001</v>
      </c>
      <c r="J7" s="5">
        <v>306014.08033999999</v>
      </c>
      <c r="K7" s="5">
        <v>280450.66034</v>
      </c>
      <c r="L7" s="5">
        <v>304531.79032999999</v>
      </c>
      <c r="M7" s="5">
        <v>465072.88949999999</v>
      </c>
      <c r="N7" s="10">
        <v>775713.40590999997</v>
      </c>
      <c r="O7" s="10">
        <v>947622.62633</v>
      </c>
      <c r="P7" s="2">
        <f t="shared" si="1"/>
        <v>7768484.67772</v>
      </c>
      <c r="Q7" s="2">
        <f>IF(P6+P7-P5*Q5&gt;0,P7+P6-P5*Q5,0)</f>
        <v>0</v>
      </c>
      <c r="R7" s="14">
        <v>0.58399999999999996</v>
      </c>
      <c r="S7" s="3">
        <f t="shared" si="0"/>
        <v>597370.62781375996</v>
      </c>
      <c r="T7" s="3">
        <f t="shared" si="0"/>
        <v>568562.23486543994</v>
      </c>
      <c r="U7" s="3">
        <f t="shared" si="0"/>
        <v>530023.00692800002</v>
      </c>
      <c r="V7" s="3">
        <f t="shared" si="0"/>
        <v>449322.99515271996</v>
      </c>
      <c r="W7" s="3">
        <f t="shared" si="0"/>
        <v>356220.35093455995</v>
      </c>
      <c r="X7" s="3">
        <f t="shared" si="0"/>
        <v>236923.05168799998</v>
      </c>
      <c r="Y7" s="3">
        <f t="shared" si="0"/>
        <v>178712.22291855997</v>
      </c>
      <c r="Z7" s="3">
        <f t="shared" si="0"/>
        <v>163783.18563855998</v>
      </c>
      <c r="AA7" s="3">
        <f t="shared" si="0"/>
        <v>177846.56555271999</v>
      </c>
      <c r="AB7" s="3">
        <f t="shared" si="0"/>
        <v>271602.56746799999</v>
      </c>
      <c r="AC7" s="24">
        <f t="shared" si="0"/>
        <v>453016.62905143993</v>
      </c>
      <c r="AD7" s="24">
        <f t="shared" si="0"/>
        <v>553411.61377672001</v>
      </c>
      <c r="AE7" s="3">
        <f t="shared" si="2"/>
        <v>4536795.0517884791</v>
      </c>
    </row>
    <row r="8" spans="1:31" x14ac:dyDescent="0.3">
      <c r="B8" t="s">
        <v>85</v>
      </c>
      <c r="D8" s="5">
        <v>2291685.9323399998</v>
      </c>
      <c r="E8" s="5">
        <v>1721682.9956700001</v>
      </c>
      <c r="F8" s="5">
        <v>1353858.06033</v>
      </c>
      <c r="G8" s="5">
        <v>893180.81666999997</v>
      </c>
      <c r="H8" s="5">
        <v>623920.71233000001</v>
      </c>
      <c r="I8" s="5">
        <v>417553.55099999998</v>
      </c>
      <c r="J8" s="5">
        <v>303970.864</v>
      </c>
      <c r="K8" s="5">
        <v>293499.33766000002</v>
      </c>
      <c r="L8" s="5">
        <v>261957.777</v>
      </c>
      <c r="M8" s="5">
        <v>469992.77666999999</v>
      </c>
      <c r="N8" s="10">
        <v>920123.18035000004</v>
      </c>
      <c r="O8" s="10">
        <v>1466204.74649</v>
      </c>
      <c r="P8" s="2">
        <f t="shared" si="1"/>
        <v>11017630.750509998</v>
      </c>
      <c r="Q8" s="2">
        <f>IF(P6+P7+P8-P5*Q5&gt;0,P8+P7+P6-P5*Q5,P8)</f>
        <v>9458602.73037</v>
      </c>
      <c r="R8" s="14">
        <v>0.50161</v>
      </c>
      <c r="S8" s="3">
        <f t="shared" si="0"/>
        <v>1149532.5805210674</v>
      </c>
      <c r="T8" s="3">
        <f t="shared" si="0"/>
        <v>863613.40745802876</v>
      </c>
      <c r="U8" s="3">
        <f t="shared" si="0"/>
        <v>679108.74164213135</v>
      </c>
      <c r="V8" s="3">
        <f t="shared" si="0"/>
        <v>448028.4294498387</v>
      </c>
      <c r="W8" s="3">
        <f t="shared" si="0"/>
        <v>312964.86851185129</v>
      </c>
      <c r="X8" s="3">
        <f t="shared" si="0"/>
        <v>209449.03671710999</v>
      </c>
      <c r="Y8" s="3">
        <f t="shared" si="0"/>
        <v>152474.82509103999</v>
      </c>
      <c r="Z8" s="3">
        <f t="shared" si="0"/>
        <v>147222.20276363261</v>
      </c>
      <c r="AA8" s="3">
        <f t="shared" si="0"/>
        <v>131400.64052096999</v>
      </c>
      <c r="AB8" s="3">
        <f t="shared" si="0"/>
        <v>235753.0767054387</v>
      </c>
      <c r="AC8" s="24">
        <f t="shared" si="0"/>
        <v>461542.9884953635</v>
      </c>
      <c r="AD8" s="24">
        <f t="shared" si="0"/>
        <v>735462.96288684895</v>
      </c>
      <c r="AE8" s="3">
        <f t="shared" si="2"/>
        <v>5526553.7607633211</v>
      </c>
    </row>
    <row r="9" spans="1:31" x14ac:dyDescent="0.3">
      <c r="B9" t="s">
        <v>86</v>
      </c>
      <c r="D9" s="5">
        <v>537948.61399999994</v>
      </c>
      <c r="E9" s="5">
        <v>502333.40695999999</v>
      </c>
      <c r="F9" s="5">
        <v>280305.25400000002</v>
      </c>
      <c r="G9" s="5">
        <v>191263.22500000001</v>
      </c>
      <c r="H9" s="5">
        <v>167852.655</v>
      </c>
      <c r="I9" s="5">
        <v>285932.03999999998</v>
      </c>
      <c r="J9" s="5">
        <v>139614.30499999999</v>
      </c>
      <c r="K9" s="5">
        <v>354270.05767000001</v>
      </c>
      <c r="L9" s="5">
        <v>171732.54399999999</v>
      </c>
      <c r="M9" s="5">
        <v>181665.43700000001</v>
      </c>
      <c r="N9" s="10">
        <v>242013.7</v>
      </c>
      <c r="O9" s="10">
        <v>317599.30900000001</v>
      </c>
      <c r="P9" s="2">
        <f t="shared" si="1"/>
        <v>3372530.5476300004</v>
      </c>
      <c r="Q9" s="2">
        <f>P9</f>
        <v>3372530.5476300004</v>
      </c>
      <c r="R9" s="14">
        <v>0.44713999999999998</v>
      </c>
      <c r="S9" s="3">
        <f t="shared" si="0"/>
        <v>240538.34326395998</v>
      </c>
      <c r="T9" s="3">
        <f t="shared" si="0"/>
        <v>224613.35958809438</v>
      </c>
      <c r="U9" s="3">
        <f t="shared" si="0"/>
        <v>125335.69127356001</v>
      </c>
      <c r="V9" s="3">
        <f t="shared" si="0"/>
        <v>85521.438426499997</v>
      </c>
      <c r="W9" s="3">
        <f t="shared" si="0"/>
        <v>75053.636156699999</v>
      </c>
      <c r="X9" s="3">
        <f t="shared" si="0"/>
        <v>127851.65236559999</v>
      </c>
      <c r="Y9" s="3">
        <f t="shared" si="0"/>
        <v>62427.140337699995</v>
      </c>
      <c r="Z9" s="3">
        <f t="shared" si="0"/>
        <v>158408.3135865638</v>
      </c>
      <c r="AA9" s="3">
        <f t="shared" si="0"/>
        <v>76788.489724159997</v>
      </c>
      <c r="AB9" s="3">
        <f t="shared" si="0"/>
        <v>81229.883500180003</v>
      </c>
      <c r="AC9" s="24">
        <f t="shared" si="0"/>
        <v>108214.00581800001</v>
      </c>
      <c r="AD9" s="24">
        <f t="shared" si="0"/>
        <v>142011.35502625999</v>
      </c>
      <c r="AE9" s="3">
        <f t="shared" si="2"/>
        <v>1507993.3090672782</v>
      </c>
    </row>
    <row r="10" spans="1:31" x14ac:dyDescent="0.3">
      <c r="A10" t="s">
        <v>67</v>
      </c>
      <c r="B10" t="s">
        <v>14</v>
      </c>
      <c r="D10" s="5">
        <v>3</v>
      </c>
      <c r="E10" s="5">
        <v>3</v>
      </c>
      <c r="F10" s="5">
        <v>3</v>
      </c>
      <c r="G10" s="5">
        <v>3</v>
      </c>
      <c r="H10" s="5">
        <v>3</v>
      </c>
      <c r="I10" s="5">
        <v>3</v>
      </c>
      <c r="J10" s="5">
        <v>2</v>
      </c>
      <c r="K10" s="5">
        <v>2</v>
      </c>
      <c r="L10" s="5">
        <v>2</v>
      </c>
      <c r="M10" s="5">
        <v>2</v>
      </c>
      <c r="N10" s="10">
        <v>2</v>
      </c>
      <c r="O10" s="10">
        <v>2</v>
      </c>
      <c r="P10" s="2">
        <f t="shared" si="1"/>
        <v>30</v>
      </c>
      <c r="Q10" s="2"/>
      <c r="R10" s="13">
        <v>102.73</v>
      </c>
      <c r="S10" s="3">
        <f t="shared" si="0"/>
        <v>308.19</v>
      </c>
      <c r="T10" s="3">
        <f t="shared" si="0"/>
        <v>308.19</v>
      </c>
      <c r="U10" s="3">
        <f t="shared" si="0"/>
        <v>308.19</v>
      </c>
      <c r="V10" s="3">
        <f t="shared" si="0"/>
        <v>308.19</v>
      </c>
      <c r="W10" s="3">
        <f t="shared" si="0"/>
        <v>308.19</v>
      </c>
      <c r="X10" s="3">
        <f t="shared" si="0"/>
        <v>308.19</v>
      </c>
      <c r="Y10" s="3">
        <f t="shared" si="0"/>
        <v>205.46</v>
      </c>
      <c r="Z10" s="3">
        <f t="shared" si="0"/>
        <v>205.46</v>
      </c>
      <c r="AA10" s="3">
        <f t="shared" si="0"/>
        <v>205.46</v>
      </c>
      <c r="AB10" s="3">
        <f t="shared" si="0"/>
        <v>205.46</v>
      </c>
      <c r="AC10" s="24">
        <f t="shared" si="0"/>
        <v>205.46</v>
      </c>
      <c r="AD10" s="24">
        <f t="shared" si="0"/>
        <v>205.46</v>
      </c>
      <c r="AE10" s="3">
        <f t="shared" si="2"/>
        <v>3081.9</v>
      </c>
    </row>
    <row r="11" spans="1:31" x14ac:dyDescent="0.3">
      <c r="B11" t="s">
        <v>83</v>
      </c>
      <c r="D11" s="5">
        <v>210.483</v>
      </c>
      <c r="E11" s="5">
        <v>400</v>
      </c>
      <c r="F11" s="5">
        <v>200</v>
      </c>
      <c r="G11" s="5">
        <v>400</v>
      </c>
      <c r="H11" s="5">
        <v>400</v>
      </c>
      <c r="I11" s="5">
        <v>209.352</v>
      </c>
      <c r="J11" s="5">
        <v>200</v>
      </c>
      <c r="K11" s="5">
        <v>200</v>
      </c>
      <c r="L11" s="5">
        <v>200</v>
      </c>
      <c r="M11" s="5">
        <v>257.77199999999999</v>
      </c>
      <c r="N11" s="10">
        <v>400</v>
      </c>
      <c r="O11" s="10">
        <v>400</v>
      </c>
      <c r="P11" s="2">
        <f t="shared" si="1"/>
        <v>3477.607</v>
      </c>
      <c r="Q11" s="2"/>
      <c r="R11" s="14">
        <v>0.35042000000000001</v>
      </c>
      <c r="S11" s="3">
        <f t="shared" si="0"/>
        <v>73.757452860000001</v>
      </c>
      <c r="T11" s="3">
        <f t="shared" si="0"/>
        <v>140.16800000000001</v>
      </c>
      <c r="U11" s="3">
        <f t="shared" si="0"/>
        <v>70.084000000000003</v>
      </c>
      <c r="V11" s="3">
        <f t="shared" si="0"/>
        <v>140.16800000000001</v>
      </c>
      <c r="W11" s="3">
        <f t="shared" si="0"/>
        <v>140.16800000000001</v>
      </c>
      <c r="X11" s="3">
        <f t="shared" si="0"/>
        <v>73.361127840000009</v>
      </c>
      <c r="Y11" s="3">
        <f t="shared" si="0"/>
        <v>70.084000000000003</v>
      </c>
      <c r="Z11" s="3">
        <f t="shared" si="0"/>
        <v>70.084000000000003</v>
      </c>
      <c r="AA11" s="3">
        <f t="shared" si="0"/>
        <v>70.084000000000003</v>
      </c>
      <c r="AB11" s="3">
        <f t="shared" si="0"/>
        <v>90.328464240000002</v>
      </c>
      <c r="AC11" s="24">
        <f t="shared" si="0"/>
        <v>140.16800000000001</v>
      </c>
      <c r="AD11" s="24">
        <f t="shared" si="0"/>
        <v>140.16800000000001</v>
      </c>
      <c r="AE11" s="3">
        <f t="shared" si="2"/>
        <v>1218.62304494</v>
      </c>
    </row>
    <row r="12" spans="1:31" x14ac:dyDescent="0.3">
      <c r="B12" t="s">
        <v>84</v>
      </c>
      <c r="D12" s="5">
        <v>800</v>
      </c>
      <c r="E12" s="5">
        <v>1600</v>
      </c>
      <c r="F12" s="5">
        <v>800</v>
      </c>
      <c r="G12" s="5">
        <v>1600</v>
      </c>
      <c r="H12" s="5">
        <v>1121.136</v>
      </c>
      <c r="I12" s="5">
        <v>800</v>
      </c>
      <c r="J12" s="5">
        <v>800</v>
      </c>
      <c r="K12" s="5">
        <v>800</v>
      </c>
      <c r="L12" s="5">
        <v>800</v>
      </c>
      <c r="M12" s="5">
        <v>800</v>
      </c>
      <c r="N12" s="10">
        <v>1600</v>
      </c>
      <c r="O12" s="10">
        <v>907.51800000000003</v>
      </c>
      <c r="P12" s="2">
        <f t="shared" si="1"/>
        <v>12428.654</v>
      </c>
      <c r="Q12" s="2"/>
      <c r="R12" s="14">
        <v>0.67262</v>
      </c>
      <c r="S12" s="3">
        <f t="shared" si="0"/>
        <v>538.096</v>
      </c>
      <c r="T12" s="3">
        <f t="shared" si="0"/>
        <v>1076.192</v>
      </c>
      <c r="U12" s="3">
        <f t="shared" si="0"/>
        <v>538.096</v>
      </c>
      <c r="V12" s="3">
        <f t="shared" si="0"/>
        <v>1076.192</v>
      </c>
      <c r="W12" s="3">
        <f t="shared" si="0"/>
        <v>754.09849631999998</v>
      </c>
      <c r="X12" s="3">
        <f t="shared" si="0"/>
        <v>538.096</v>
      </c>
      <c r="Y12" s="3">
        <f t="shared" si="0"/>
        <v>538.096</v>
      </c>
      <c r="Z12" s="3">
        <f t="shared" si="0"/>
        <v>538.096</v>
      </c>
      <c r="AA12" s="3">
        <f t="shared" si="0"/>
        <v>538.096</v>
      </c>
      <c r="AB12" s="3">
        <f t="shared" si="0"/>
        <v>538.096</v>
      </c>
      <c r="AC12" s="24">
        <f t="shared" si="0"/>
        <v>1076.192</v>
      </c>
      <c r="AD12" s="24">
        <f t="shared" si="0"/>
        <v>610.41475716000002</v>
      </c>
      <c r="AE12" s="3">
        <f t="shared" si="2"/>
        <v>8359.7612534799973</v>
      </c>
    </row>
    <row r="13" spans="1:31" x14ac:dyDescent="0.3">
      <c r="B13" t="s">
        <v>85</v>
      </c>
      <c r="D13" s="5">
        <v>3660.4479999999999</v>
      </c>
      <c r="E13" s="5">
        <v>8876.3960000000006</v>
      </c>
      <c r="F13" s="5">
        <v>1901.54</v>
      </c>
      <c r="G13" s="5">
        <v>5675.14</v>
      </c>
      <c r="H13" s="5">
        <v>9000</v>
      </c>
      <c r="I13" s="5">
        <v>9000</v>
      </c>
      <c r="J13" s="5">
        <v>9000</v>
      </c>
      <c r="K13" s="5">
        <v>9000</v>
      </c>
      <c r="L13" s="5">
        <v>9000</v>
      </c>
      <c r="M13" s="5">
        <v>9000</v>
      </c>
      <c r="N13" s="10">
        <v>9714.634</v>
      </c>
      <c r="O13" s="10">
        <v>1368.8</v>
      </c>
      <c r="P13" s="2">
        <f t="shared" si="1"/>
        <v>85196.958000000013</v>
      </c>
      <c r="Q13" s="2"/>
      <c r="R13" s="14">
        <v>0.59023000000000003</v>
      </c>
      <c r="S13" s="3">
        <f t="shared" si="0"/>
        <v>2160.5062230399999</v>
      </c>
      <c r="T13" s="3">
        <f t="shared" si="0"/>
        <v>5239.1152110800003</v>
      </c>
      <c r="U13" s="3">
        <f t="shared" si="0"/>
        <v>1122.3459542000001</v>
      </c>
      <c r="V13" s="3">
        <f t="shared" si="0"/>
        <v>3349.6378822000006</v>
      </c>
      <c r="W13" s="3">
        <f t="shared" si="0"/>
        <v>5312.0700000000006</v>
      </c>
      <c r="X13" s="3">
        <f t="shared" si="0"/>
        <v>5312.0700000000006</v>
      </c>
      <c r="Y13" s="3">
        <f t="shared" si="0"/>
        <v>5312.0700000000006</v>
      </c>
      <c r="Z13" s="3">
        <f t="shared" si="0"/>
        <v>5312.0700000000006</v>
      </c>
      <c r="AA13" s="3">
        <f t="shared" si="0"/>
        <v>5312.0700000000006</v>
      </c>
      <c r="AB13" s="3">
        <f t="shared" si="0"/>
        <v>5312.0700000000006</v>
      </c>
      <c r="AC13" s="24">
        <f t="shared" si="0"/>
        <v>5733.8684258200001</v>
      </c>
      <c r="AD13" s="24">
        <f t="shared" si="0"/>
        <v>807.90682400000003</v>
      </c>
      <c r="AE13" s="3">
        <f t="shared" si="2"/>
        <v>50285.800520340003</v>
      </c>
    </row>
    <row r="14" spans="1:31" x14ac:dyDescent="0.3">
      <c r="B14" t="s">
        <v>86</v>
      </c>
      <c r="D14" s="5"/>
      <c r="E14" s="5"/>
      <c r="F14" s="5"/>
      <c r="G14" s="5"/>
      <c r="H14" s="5">
        <v>18647.074000000001</v>
      </c>
      <c r="I14" s="5">
        <v>45483.896000000001</v>
      </c>
      <c r="J14" s="5">
        <v>60834.175999999999</v>
      </c>
      <c r="K14" s="5">
        <v>72238.944000000003</v>
      </c>
      <c r="L14" s="5">
        <v>61733.001510000002</v>
      </c>
      <c r="M14" s="5">
        <v>37657.625999999997</v>
      </c>
      <c r="N14" s="10">
        <v>23508.66</v>
      </c>
      <c r="O14" s="10">
        <v>0</v>
      </c>
      <c r="P14" s="2">
        <f t="shared" si="1"/>
        <v>320103.37751000002</v>
      </c>
      <c r="Q14" s="2"/>
      <c r="R14" s="14">
        <v>0.53576000000000001</v>
      </c>
      <c r="S14" s="3">
        <f t="shared" si="0"/>
        <v>0</v>
      </c>
      <c r="T14" s="3">
        <f t="shared" si="0"/>
        <v>0</v>
      </c>
      <c r="U14" s="3">
        <f t="shared" si="0"/>
        <v>0</v>
      </c>
      <c r="V14" s="3">
        <f t="shared" si="0"/>
        <v>0</v>
      </c>
      <c r="W14" s="3">
        <f t="shared" si="0"/>
        <v>9990.3563662400011</v>
      </c>
      <c r="X14" s="3">
        <f t="shared" si="0"/>
        <v>24368.452120960003</v>
      </c>
      <c r="Y14" s="3">
        <f t="shared" si="0"/>
        <v>32592.518133760001</v>
      </c>
      <c r="Z14" s="3">
        <f t="shared" si="0"/>
        <v>38702.736637440001</v>
      </c>
      <c r="AA14" s="3">
        <f t="shared" si="0"/>
        <v>33074.072888997602</v>
      </c>
      <c r="AB14" s="3">
        <f t="shared" si="0"/>
        <v>20175.449705759998</v>
      </c>
      <c r="AC14" s="24">
        <f t="shared" si="0"/>
        <v>12594.9996816</v>
      </c>
      <c r="AD14" s="24">
        <f t="shared" si="0"/>
        <v>0</v>
      </c>
      <c r="AE14" s="3">
        <f t="shared" si="2"/>
        <v>171498.58553475759</v>
      </c>
    </row>
    <row r="15" spans="1:31" x14ac:dyDescent="0.3">
      <c r="A15" t="s">
        <v>70</v>
      </c>
      <c r="B15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/>
      <c r="O15" s="10"/>
      <c r="P15" s="2">
        <f t="shared" si="1"/>
        <v>0</v>
      </c>
      <c r="Q15" s="2"/>
      <c r="R15" s="13">
        <v>0</v>
      </c>
      <c r="S15" s="3">
        <f t="shared" ref="S15:AD17" si="3">$R15*D15</f>
        <v>0</v>
      </c>
      <c r="T15" s="3">
        <f t="shared" si="3"/>
        <v>0</v>
      </c>
      <c r="U15" s="3">
        <f t="shared" si="3"/>
        <v>0</v>
      </c>
      <c r="V15" s="3">
        <f t="shared" si="3"/>
        <v>0</v>
      </c>
      <c r="W15" s="3">
        <f t="shared" si="3"/>
        <v>0</v>
      </c>
      <c r="X15" s="3">
        <f t="shared" si="3"/>
        <v>0</v>
      </c>
      <c r="Y15" s="3">
        <f t="shared" si="3"/>
        <v>0</v>
      </c>
      <c r="Z15" s="3">
        <f t="shared" si="3"/>
        <v>0</v>
      </c>
      <c r="AA15" s="3">
        <f t="shared" si="3"/>
        <v>0</v>
      </c>
      <c r="AB15" s="3">
        <f t="shared" si="3"/>
        <v>0</v>
      </c>
      <c r="AC15" s="24">
        <f t="shared" si="3"/>
        <v>0</v>
      </c>
      <c r="AD15" s="24">
        <f t="shared" si="3"/>
        <v>0</v>
      </c>
      <c r="AE15" s="3">
        <f t="shared" si="2"/>
        <v>0</v>
      </c>
    </row>
    <row r="16" spans="1:31" x14ac:dyDescent="0.3">
      <c r="B16" t="s">
        <v>83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/>
      <c r="O16" s="10"/>
      <c r="P16" s="2">
        <f t="shared" si="1"/>
        <v>0</v>
      </c>
      <c r="Q16" s="2"/>
      <c r="R16" s="14">
        <v>0.45478000000000002</v>
      </c>
      <c r="S16" s="3">
        <f t="shared" si="3"/>
        <v>0</v>
      </c>
      <c r="T16" s="3">
        <f t="shared" si="3"/>
        <v>0</v>
      </c>
      <c r="U16" s="3">
        <f t="shared" si="3"/>
        <v>0</v>
      </c>
      <c r="V16" s="3">
        <f t="shared" si="3"/>
        <v>0</v>
      </c>
      <c r="W16" s="3">
        <f t="shared" si="3"/>
        <v>0</v>
      </c>
      <c r="X16" s="3">
        <f t="shared" si="3"/>
        <v>0</v>
      </c>
      <c r="Y16" s="3">
        <f t="shared" si="3"/>
        <v>0</v>
      </c>
      <c r="Z16" s="3">
        <f t="shared" si="3"/>
        <v>0</v>
      </c>
      <c r="AA16" s="3">
        <f t="shared" si="3"/>
        <v>0</v>
      </c>
      <c r="AB16" s="3">
        <f t="shared" si="3"/>
        <v>0</v>
      </c>
      <c r="AC16" s="24">
        <f t="shared" si="3"/>
        <v>0</v>
      </c>
      <c r="AD16" s="24">
        <f t="shared" si="3"/>
        <v>0</v>
      </c>
      <c r="AE16" s="3">
        <f t="shared" si="2"/>
        <v>0</v>
      </c>
    </row>
    <row r="17" spans="1:32" x14ac:dyDescent="0.3">
      <c r="A17" t="s">
        <v>71</v>
      </c>
      <c r="B17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10"/>
      <c r="O17" s="10"/>
      <c r="P17" s="2">
        <f t="shared" si="1"/>
        <v>0</v>
      </c>
      <c r="Q17" s="2"/>
      <c r="R17" s="13">
        <v>0</v>
      </c>
      <c r="S17" s="3">
        <f t="shared" si="3"/>
        <v>0</v>
      </c>
      <c r="T17" s="3">
        <f t="shared" si="3"/>
        <v>0</v>
      </c>
      <c r="U17" s="3">
        <f t="shared" si="3"/>
        <v>0</v>
      </c>
      <c r="V17" s="3">
        <f t="shared" si="3"/>
        <v>0</v>
      </c>
      <c r="W17" s="3">
        <f t="shared" si="3"/>
        <v>0</v>
      </c>
      <c r="X17" s="3">
        <f t="shared" si="3"/>
        <v>0</v>
      </c>
      <c r="Y17" s="3">
        <f t="shared" si="3"/>
        <v>0</v>
      </c>
      <c r="Z17" s="3">
        <f t="shared" si="3"/>
        <v>0</v>
      </c>
      <c r="AA17" s="3">
        <f t="shared" si="3"/>
        <v>0</v>
      </c>
      <c r="AB17" s="3">
        <f t="shared" si="3"/>
        <v>0</v>
      </c>
      <c r="AC17" s="24">
        <f t="shared" si="3"/>
        <v>0</v>
      </c>
      <c r="AD17" s="24">
        <f t="shared" si="3"/>
        <v>0</v>
      </c>
      <c r="AE17" s="3">
        <f t="shared" si="2"/>
        <v>0</v>
      </c>
    </row>
    <row r="18" spans="1:32" x14ac:dyDescent="0.3">
      <c r="B18" t="s">
        <v>83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10"/>
      <c r="P18" s="2">
        <f t="shared" si="1"/>
        <v>0</v>
      </c>
      <c r="Q18" s="2"/>
      <c r="R18" s="14">
        <v>0.45478000000000002</v>
      </c>
      <c r="S18" s="3">
        <f t="shared" ref="S18:AD23" si="4">$R18*D18</f>
        <v>0</v>
      </c>
      <c r="T18" s="3">
        <f t="shared" si="4"/>
        <v>0</v>
      </c>
      <c r="U18" s="3">
        <f t="shared" si="4"/>
        <v>0</v>
      </c>
      <c r="V18" s="3">
        <f t="shared" si="4"/>
        <v>0</v>
      </c>
      <c r="W18" s="3">
        <f t="shared" si="4"/>
        <v>0</v>
      </c>
      <c r="X18" s="3">
        <f t="shared" si="4"/>
        <v>0</v>
      </c>
      <c r="Y18" s="3">
        <f t="shared" si="4"/>
        <v>0</v>
      </c>
      <c r="Z18" s="3">
        <f t="shared" si="4"/>
        <v>0</v>
      </c>
      <c r="AA18" s="3">
        <f t="shared" si="4"/>
        <v>0</v>
      </c>
      <c r="AB18" s="3">
        <f t="shared" si="4"/>
        <v>0</v>
      </c>
      <c r="AC18" s="24">
        <f t="shared" si="4"/>
        <v>0</v>
      </c>
      <c r="AD18" s="24">
        <f t="shared" si="4"/>
        <v>0</v>
      </c>
      <c r="AE18" s="3">
        <f t="shared" si="2"/>
        <v>0</v>
      </c>
    </row>
    <row r="19" spans="1:32" x14ac:dyDescent="0.3">
      <c r="A19" t="s">
        <v>72</v>
      </c>
      <c r="B19" t="s">
        <v>14</v>
      </c>
      <c r="D19" s="5">
        <v>6</v>
      </c>
      <c r="E19" s="5">
        <v>6</v>
      </c>
      <c r="F19" s="5">
        <v>6</v>
      </c>
      <c r="G19" s="5">
        <v>6</v>
      </c>
      <c r="H19" s="5">
        <v>6</v>
      </c>
      <c r="I19" s="5">
        <v>6</v>
      </c>
      <c r="J19" s="5">
        <v>6</v>
      </c>
      <c r="K19" s="5">
        <v>6</v>
      </c>
      <c r="L19" s="5">
        <v>6</v>
      </c>
      <c r="M19" s="5">
        <v>6</v>
      </c>
      <c r="N19" s="10">
        <v>6</v>
      </c>
      <c r="O19" s="10">
        <v>6</v>
      </c>
      <c r="P19" s="2">
        <f t="shared" si="1"/>
        <v>72</v>
      </c>
      <c r="Q19" s="2"/>
      <c r="R19" s="13">
        <v>250</v>
      </c>
      <c r="S19" s="3">
        <f t="shared" si="4"/>
        <v>1500</v>
      </c>
      <c r="T19" s="3">
        <f t="shared" si="4"/>
        <v>1500</v>
      </c>
      <c r="U19" s="3">
        <f t="shared" si="4"/>
        <v>1500</v>
      </c>
      <c r="V19" s="3">
        <f t="shared" si="4"/>
        <v>1500</v>
      </c>
      <c r="W19" s="3">
        <f t="shared" si="4"/>
        <v>1500</v>
      </c>
      <c r="X19" s="3">
        <f t="shared" si="4"/>
        <v>1500</v>
      </c>
      <c r="Y19" s="3">
        <f t="shared" si="4"/>
        <v>1500</v>
      </c>
      <c r="Z19" s="3">
        <f t="shared" si="4"/>
        <v>1500</v>
      </c>
      <c r="AA19" s="3">
        <f t="shared" si="4"/>
        <v>1500</v>
      </c>
      <c r="AB19" s="3">
        <f t="shared" si="4"/>
        <v>1500</v>
      </c>
      <c r="AC19" s="24">
        <f t="shared" si="4"/>
        <v>1500</v>
      </c>
      <c r="AD19" s="24">
        <f t="shared" si="4"/>
        <v>1500</v>
      </c>
      <c r="AE19" s="3">
        <f t="shared" si="2"/>
        <v>18000</v>
      </c>
    </row>
    <row r="20" spans="1:32" x14ac:dyDescent="0.3">
      <c r="B20" t="s">
        <v>83</v>
      </c>
      <c r="D20" s="5">
        <v>333462</v>
      </c>
      <c r="E20" s="5">
        <v>397832</v>
      </c>
      <c r="F20" s="5">
        <v>291918</v>
      </c>
      <c r="G20" s="5">
        <v>329459</v>
      </c>
      <c r="H20" s="5">
        <v>326955</v>
      </c>
      <c r="I20" s="5">
        <v>333392</v>
      </c>
      <c r="J20" s="5">
        <v>254664</v>
      </c>
      <c r="K20" s="5">
        <v>248248</v>
      </c>
      <c r="L20" s="5">
        <v>216245</v>
      </c>
      <c r="M20" s="5">
        <v>305145</v>
      </c>
      <c r="N20" s="10">
        <v>276043</v>
      </c>
      <c r="O20" s="10">
        <v>273528</v>
      </c>
      <c r="P20" s="2">
        <f t="shared" si="1"/>
        <v>3586891</v>
      </c>
      <c r="Q20" s="2"/>
      <c r="R20" s="14">
        <v>0.13077</v>
      </c>
      <c r="S20" s="3">
        <f t="shared" si="4"/>
        <v>43606.82574</v>
      </c>
      <c r="T20" s="3">
        <f t="shared" si="4"/>
        <v>52024.490639999996</v>
      </c>
      <c r="U20" s="3">
        <f t="shared" si="4"/>
        <v>38174.116860000002</v>
      </c>
      <c r="V20" s="3">
        <f t="shared" si="4"/>
        <v>43083.353429999996</v>
      </c>
      <c r="W20" s="3">
        <f t="shared" si="4"/>
        <v>42755.905350000001</v>
      </c>
      <c r="X20" s="3">
        <f t="shared" si="4"/>
        <v>43597.671840000003</v>
      </c>
      <c r="Y20" s="3">
        <f t="shared" si="4"/>
        <v>33302.41128</v>
      </c>
      <c r="Z20" s="3">
        <f t="shared" si="4"/>
        <v>32463.390960000001</v>
      </c>
      <c r="AA20" s="3">
        <f t="shared" si="4"/>
        <v>28278.358649999998</v>
      </c>
      <c r="AB20" s="3">
        <f t="shared" si="4"/>
        <v>39903.811649999996</v>
      </c>
      <c r="AC20" s="24">
        <f t="shared" si="4"/>
        <v>36098.143109999997</v>
      </c>
      <c r="AD20" s="24">
        <f t="shared" si="4"/>
        <v>35769.256560000002</v>
      </c>
      <c r="AE20" s="3">
        <f t="shared" si="2"/>
        <v>469057.73607000004</v>
      </c>
    </row>
    <row r="21" spans="1:32" ht="14.4" customHeight="1" x14ac:dyDescent="0.3">
      <c r="A21" s="16" t="s">
        <v>73</v>
      </c>
      <c r="B21" t="s">
        <v>14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10">
        <v>1</v>
      </c>
      <c r="O21" s="10">
        <v>1</v>
      </c>
      <c r="P21" s="2">
        <f t="shared" si="1"/>
        <v>12</v>
      </c>
      <c r="Q21" s="2"/>
      <c r="R21" s="13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4">
        <f t="shared" si="4"/>
        <v>0</v>
      </c>
      <c r="AD21" s="24">
        <f t="shared" si="4"/>
        <v>0</v>
      </c>
      <c r="AE21" s="3">
        <f t="shared" si="2"/>
        <v>0</v>
      </c>
    </row>
    <row r="22" spans="1:32" x14ac:dyDescent="0.3">
      <c r="A22" s="16"/>
      <c r="B22" t="s">
        <v>88</v>
      </c>
      <c r="D22" s="5">
        <v>114127</v>
      </c>
      <c r="E22" s="5">
        <v>134053</v>
      </c>
      <c r="F22" s="5">
        <v>118931</v>
      </c>
      <c r="G22" s="5">
        <v>130966</v>
      </c>
      <c r="H22" s="5">
        <v>135545</v>
      </c>
      <c r="I22" s="5">
        <v>134733</v>
      </c>
      <c r="J22" s="5">
        <v>143947</v>
      </c>
      <c r="K22" s="5">
        <v>139922</v>
      </c>
      <c r="L22" s="5">
        <v>144429</v>
      </c>
      <c r="M22" s="5">
        <v>125638</v>
      </c>
      <c r="N22" s="10">
        <v>151469</v>
      </c>
      <c r="O22" s="10">
        <v>150274</v>
      </c>
      <c r="P22" s="2">
        <f t="shared" si="1"/>
        <v>1624034</v>
      </c>
      <c r="Q22" s="2"/>
      <c r="R22" s="15">
        <v>0.02</v>
      </c>
      <c r="S22" s="3">
        <f t="shared" ref="S22" si="5">$R22*D22</f>
        <v>2282.54</v>
      </c>
      <c r="T22" s="3">
        <f t="shared" ref="T22" si="6">$R22*E22</f>
        <v>2681.06</v>
      </c>
      <c r="U22" s="3">
        <f t="shared" ref="U22" si="7">$R22*F22</f>
        <v>2378.62</v>
      </c>
      <c r="V22" s="3">
        <f t="shared" ref="V22" si="8">$R22*G22</f>
        <v>2619.3200000000002</v>
      </c>
      <c r="W22" s="3">
        <f t="shared" ref="W22" si="9">$R22*H22</f>
        <v>2710.9</v>
      </c>
      <c r="X22" s="3">
        <f t="shared" ref="X22" si="10">$R22*I22</f>
        <v>2694.66</v>
      </c>
      <c r="Y22" s="3">
        <f t="shared" ref="Y22" si="11">$R22*J22</f>
        <v>2878.94</v>
      </c>
      <c r="Z22" s="3">
        <f t="shared" ref="Z22" si="12">$R22*K22</f>
        <v>2798.44</v>
      </c>
      <c r="AA22" s="3">
        <f t="shared" ref="AA22" si="13">$R22*L22</f>
        <v>2888.58</v>
      </c>
      <c r="AB22" s="3">
        <f t="shared" ref="AB22" si="14">$R22*M22</f>
        <v>2512.7600000000002</v>
      </c>
      <c r="AC22" s="24">
        <f t="shared" ref="AC22" si="15">$R22*N22</f>
        <v>3029.38</v>
      </c>
      <c r="AD22" s="24">
        <f t="shared" ref="AD22" si="16">$R22*O22</f>
        <v>3005.48</v>
      </c>
      <c r="AE22" s="3">
        <f t="shared" si="2"/>
        <v>32480.68</v>
      </c>
    </row>
    <row r="23" spans="1:32" x14ac:dyDescent="0.3">
      <c r="A23" s="16" t="s">
        <v>92</v>
      </c>
      <c r="B23" t="s">
        <v>14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10">
        <v>1</v>
      </c>
      <c r="O23" s="10">
        <v>1</v>
      </c>
      <c r="P23" s="2">
        <f t="shared" si="1"/>
        <v>12</v>
      </c>
      <c r="Q23" s="2"/>
      <c r="R23" s="13">
        <v>6166.67</v>
      </c>
      <c r="S23" s="3">
        <f t="shared" si="4"/>
        <v>6166.67</v>
      </c>
      <c r="T23" s="3">
        <f t="shared" si="4"/>
        <v>6166.67</v>
      </c>
      <c r="U23" s="3">
        <f t="shared" si="4"/>
        <v>6166.67</v>
      </c>
      <c r="V23" s="3">
        <f t="shared" si="4"/>
        <v>6166.67</v>
      </c>
      <c r="W23" s="3">
        <f t="shared" si="4"/>
        <v>6166.67</v>
      </c>
      <c r="X23" s="3">
        <f t="shared" si="4"/>
        <v>6166.67</v>
      </c>
      <c r="Y23" s="3">
        <f t="shared" si="4"/>
        <v>6166.67</v>
      </c>
      <c r="Z23" s="3">
        <f t="shared" si="4"/>
        <v>6166.67</v>
      </c>
      <c r="AA23" s="3">
        <f t="shared" si="4"/>
        <v>6166.67</v>
      </c>
      <c r="AB23" s="3">
        <f t="shared" si="4"/>
        <v>6166.67</v>
      </c>
      <c r="AC23" s="24">
        <f t="shared" si="4"/>
        <v>6166.67</v>
      </c>
      <c r="AD23" s="24">
        <f t="shared" si="4"/>
        <v>6166.67</v>
      </c>
      <c r="AE23" s="3">
        <f t="shared" si="2"/>
        <v>74000.039999999994</v>
      </c>
    </row>
    <row r="24" spans="1:32" x14ac:dyDescent="0.3">
      <c r="A24" s="16"/>
      <c r="B24" t="s">
        <v>88</v>
      </c>
      <c r="D24" s="5">
        <v>7010110</v>
      </c>
      <c r="E24" s="5">
        <v>4998550</v>
      </c>
      <c r="F24" s="5">
        <v>4539626</v>
      </c>
      <c r="G24" s="5">
        <v>4319998</v>
      </c>
      <c r="H24" s="5">
        <v>4312624</v>
      </c>
      <c r="I24" s="5">
        <v>2590032</v>
      </c>
      <c r="J24" s="5">
        <v>3871678</v>
      </c>
      <c r="K24" s="5">
        <v>3621995</v>
      </c>
      <c r="L24" s="5">
        <v>4077312</v>
      </c>
      <c r="M24" s="5">
        <v>3730037</v>
      </c>
      <c r="N24" s="10">
        <v>2799332</v>
      </c>
      <c r="O24" s="10">
        <v>3872962</v>
      </c>
      <c r="P24" s="2">
        <f t="shared" si="1"/>
        <v>49744256</v>
      </c>
      <c r="Q24" s="2"/>
      <c r="R24" s="15">
        <v>0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11"/>
      <c r="AD24" s="11"/>
      <c r="AE24" s="3">
        <f t="shared" si="2"/>
        <v>0</v>
      </c>
    </row>
    <row r="26" spans="1:32" x14ac:dyDescent="0.3">
      <c r="A26" t="s">
        <v>64</v>
      </c>
      <c r="B26" t="s">
        <v>26</v>
      </c>
      <c r="D26" s="5">
        <v>6193274</v>
      </c>
      <c r="E26" s="5">
        <v>4367051</v>
      </c>
      <c r="F26" s="5">
        <v>3322796</v>
      </c>
      <c r="G26" s="5">
        <v>2449804</v>
      </c>
      <c r="H26" s="5">
        <v>1217928</v>
      </c>
      <c r="I26" s="5">
        <v>657142</v>
      </c>
      <c r="J26" s="5">
        <v>595530</v>
      </c>
      <c r="K26" s="5">
        <v>639380</v>
      </c>
      <c r="L26" s="5">
        <v>977504</v>
      </c>
      <c r="M26" s="5">
        <v>3003214</v>
      </c>
      <c r="N26" s="10">
        <v>4460203</v>
      </c>
      <c r="O26" s="10">
        <v>6473362</v>
      </c>
      <c r="P26" s="2">
        <f t="shared" si="1"/>
        <v>34357188</v>
      </c>
      <c r="Q26" s="2"/>
      <c r="S26" s="3">
        <f t="shared" ref="S26:AD26" si="17">SUM(S4:S4)/SUM(D4:D4)*D26</f>
        <v>4721380.5011600005</v>
      </c>
      <c r="T26" s="3">
        <f t="shared" si="17"/>
        <v>3329177.6593400002</v>
      </c>
      <c r="U26" s="3">
        <f t="shared" si="17"/>
        <v>2533100.3026399999</v>
      </c>
      <c r="V26" s="3">
        <f t="shared" si="17"/>
        <v>1867583.5813599997</v>
      </c>
      <c r="W26" s="3">
        <f t="shared" si="17"/>
        <v>928475.23152000015</v>
      </c>
      <c r="X26" s="3">
        <f t="shared" si="17"/>
        <v>500965.63228000002</v>
      </c>
      <c r="Y26" s="3">
        <f t="shared" si="17"/>
        <v>453996.34020000004</v>
      </c>
      <c r="Z26" s="3">
        <f t="shared" si="17"/>
        <v>487424.94920000003</v>
      </c>
      <c r="AA26" s="3">
        <f t="shared" si="17"/>
        <v>745190.39936000004</v>
      </c>
      <c r="AB26" s="3">
        <f t="shared" si="17"/>
        <v>2289470.1607599999</v>
      </c>
      <c r="AC26" s="24">
        <f t="shared" si="17"/>
        <v>3400191.1550199999</v>
      </c>
      <c r="AD26" s="24">
        <f t="shared" si="17"/>
        <v>4934902.7870800002</v>
      </c>
      <c r="AE26" s="3">
        <f t="shared" ref="AE26:AE40" si="18">SUM(S26:AD26)</f>
        <v>26191858.699919999</v>
      </c>
      <c r="AF26" t="s">
        <v>30</v>
      </c>
    </row>
    <row r="27" spans="1:32" x14ac:dyDescent="0.3">
      <c r="B27" t="s">
        <v>27</v>
      </c>
      <c r="D27" s="5">
        <v>-7118014</v>
      </c>
      <c r="E27" s="5">
        <v>-6193274</v>
      </c>
      <c r="F27" s="5">
        <v>-4367051</v>
      </c>
      <c r="G27" s="5">
        <v>-3322796</v>
      </c>
      <c r="H27" s="5">
        <v>-2449804</v>
      </c>
      <c r="I27" s="5">
        <v>-1217928</v>
      </c>
      <c r="J27" s="5">
        <v>-657142</v>
      </c>
      <c r="K27" s="5">
        <v>-595530</v>
      </c>
      <c r="L27" s="5">
        <v>-639380</v>
      </c>
      <c r="M27" s="5">
        <v>-977504</v>
      </c>
      <c r="N27" s="10">
        <v>-3003214</v>
      </c>
      <c r="O27" s="10">
        <v>-4460203</v>
      </c>
      <c r="P27" s="2">
        <f t="shared" si="1"/>
        <v>-35001840</v>
      </c>
      <c r="Q27" s="2"/>
      <c r="S27" s="3">
        <f>SUM(S4:S4)/SUM(D4:D4)*D27</f>
        <v>-5426346.7927600006</v>
      </c>
      <c r="T27" s="3">
        <f>-S26</f>
        <v>-4721380.5011600005</v>
      </c>
      <c r="U27" s="3">
        <f t="shared" ref="U27:AD27" si="19">-T26</f>
        <v>-3329177.6593400002</v>
      </c>
      <c r="V27" s="3">
        <f t="shared" si="19"/>
        <v>-2533100.3026399999</v>
      </c>
      <c r="W27" s="3">
        <f t="shared" si="19"/>
        <v>-1867583.5813599997</v>
      </c>
      <c r="X27" s="3">
        <f t="shared" si="19"/>
        <v>-928475.23152000015</v>
      </c>
      <c r="Y27" s="3">
        <f t="shared" si="19"/>
        <v>-500965.63228000002</v>
      </c>
      <c r="Z27" s="3">
        <f t="shared" si="19"/>
        <v>-453996.34020000004</v>
      </c>
      <c r="AA27" s="3">
        <f t="shared" si="19"/>
        <v>-487424.94920000003</v>
      </c>
      <c r="AB27" s="3">
        <f t="shared" si="19"/>
        <v>-745190.39936000004</v>
      </c>
      <c r="AC27" s="24">
        <f t="shared" si="19"/>
        <v>-2289470.1607599999</v>
      </c>
      <c r="AD27" s="24">
        <f t="shared" si="19"/>
        <v>-3400191.1550199999</v>
      </c>
      <c r="AE27" s="3">
        <f t="shared" si="18"/>
        <v>-26683302.705600001</v>
      </c>
      <c r="AF27" t="s">
        <v>31</v>
      </c>
    </row>
    <row r="28" spans="1:32" x14ac:dyDescent="0.3">
      <c r="B28" t="s">
        <v>25</v>
      </c>
      <c r="D28" s="6">
        <f>D26+D27</f>
        <v>-924740</v>
      </c>
      <c r="E28" s="6">
        <f t="shared" ref="E28:O28" si="20">E26+E27</f>
        <v>-1826223</v>
      </c>
      <c r="F28" s="6">
        <f t="shared" si="20"/>
        <v>-1044255</v>
      </c>
      <c r="G28" s="6">
        <f t="shared" si="20"/>
        <v>-872992</v>
      </c>
      <c r="H28" s="6">
        <f t="shared" si="20"/>
        <v>-1231876</v>
      </c>
      <c r="I28" s="6">
        <f t="shared" si="20"/>
        <v>-560786</v>
      </c>
      <c r="J28" s="6">
        <f t="shared" si="20"/>
        <v>-61612</v>
      </c>
      <c r="K28" s="6">
        <f t="shared" si="20"/>
        <v>43850</v>
      </c>
      <c r="L28" s="6">
        <f t="shared" si="20"/>
        <v>338124</v>
      </c>
      <c r="M28" s="6">
        <f t="shared" si="20"/>
        <v>2025710</v>
      </c>
      <c r="N28" s="20">
        <f t="shared" si="20"/>
        <v>1456989</v>
      </c>
      <c r="O28" s="20">
        <f t="shared" si="20"/>
        <v>2013159</v>
      </c>
      <c r="P28" s="2">
        <f t="shared" si="1"/>
        <v>-644652</v>
      </c>
      <c r="Q28" s="2"/>
      <c r="R28" s="14">
        <f>ROUND(SUM(AE4:AE4)/SUM(P4:P4),5)</f>
        <v>0.76234000000000002</v>
      </c>
      <c r="S28" s="3">
        <f t="shared" ref="S28:AD28" si="21">$R28*D28</f>
        <v>-704966.2916</v>
      </c>
      <c r="T28" s="3">
        <f t="shared" si="21"/>
        <v>-1392202.84182</v>
      </c>
      <c r="U28" s="3">
        <f t="shared" si="21"/>
        <v>-796077.3567</v>
      </c>
      <c r="V28" s="3">
        <f t="shared" si="21"/>
        <v>-665516.72128000006</v>
      </c>
      <c r="W28" s="3">
        <f t="shared" si="21"/>
        <v>-939108.34984000004</v>
      </c>
      <c r="X28" s="3">
        <f t="shared" si="21"/>
        <v>-427509.59924000001</v>
      </c>
      <c r="Y28" s="3">
        <f t="shared" si="21"/>
        <v>-46969.292079999999</v>
      </c>
      <c r="Z28" s="3">
        <f t="shared" si="21"/>
        <v>33428.609000000004</v>
      </c>
      <c r="AA28" s="3">
        <f t="shared" si="21"/>
        <v>257765.45016000001</v>
      </c>
      <c r="AB28" s="3">
        <f t="shared" si="21"/>
        <v>1544279.7614</v>
      </c>
      <c r="AC28" s="24">
        <f t="shared" si="21"/>
        <v>1110720.9942600001</v>
      </c>
      <c r="AD28" s="24">
        <f t="shared" si="21"/>
        <v>1534711.63206</v>
      </c>
      <c r="AE28" s="3">
        <f t="shared" si="18"/>
        <v>-491444.00568000018</v>
      </c>
      <c r="AF28" t="s">
        <v>33</v>
      </c>
    </row>
    <row r="29" spans="1:32" x14ac:dyDescent="0.3">
      <c r="A29" t="s">
        <v>66</v>
      </c>
      <c r="B29" t="s">
        <v>26</v>
      </c>
      <c r="D29" s="5">
        <v>1858305</v>
      </c>
      <c r="E29" s="5">
        <v>1348985</v>
      </c>
      <c r="F29" s="5">
        <v>1080008</v>
      </c>
      <c r="G29" s="5">
        <v>852709</v>
      </c>
      <c r="H29" s="5">
        <v>490246</v>
      </c>
      <c r="I29" s="5">
        <v>458738</v>
      </c>
      <c r="J29" s="5">
        <v>445424</v>
      </c>
      <c r="K29" s="5">
        <v>701601</v>
      </c>
      <c r="L29" s="5">
        <v>762447</v>
      </c>
      <c r="M29" s="5">
        <v>1351794</v>
      </c>
      <c r="N29" s="10">
        <v>1492290</v>
      </c>
      <c r="O29" s="10">
        <v>2017407</v>
      </c>
      <c r="P29" s="2">
        <f t="shared" si="1"/>
        <v>12859954</v>
      </c>
      <c r="Q29" s="2"/>
      <c r="S29" s="3">
        <f t="shared" ref="S29:AD29" si="22">SUM(S6:S7)/SUM(D6:D7)*D29</f>
        <v>955068.64916274429</v>
      </c>
      <c r="T29" s="3">
        <f t="shared" si="22"/>
        <v>689645.55094051501</v>
      </c>
      <c r="U29" s="3">
        <f t="shared" si="22"/>
        <v>547393.32986054989</v>
      </c>
      <c r="V29" s="3">
        <f t="shared" si="22"/>
        <v>423994.90612981824</v>
      </c>
      <c r="W29" s="3">
        <f t="shared" si="22"/>
        <v>237069.4126289922</v>
      </c>
      <c r="X29" s="3">
        <f t="shared" si="22"/>
        <v>212691.65884349635</v>
      </c>
      <c r="Y29" s="3">
        <f t="shared" si="22"/>
        <v>204289.8746051304</v>
      </c>
      <c r="Z29" s="3">
        <f t="shared" si="22"/>
        <v>320697.06461653818</v>
      </c>
      <c r="AA29" s="3">
        <f t="shared" si="22"/>
        <v>350008.43026006559</v>
      </c>
      <c r="AB29" s="3">
        <f t="shared" si="22"/>
        <v>633008.73084966443</v>
      </c>
      <c r="AC29" s="24">
        <f t="shared" si="22"/>
        <v>742638.97579326329</v>
      </c>
      <c r="AD29" s="24">
        <f t="shared" si="22"/>
        <v>1025551.8893373617</v>
      </c>
      <c r="AE29" s="3">
        <f t="shared" si="18"/>
        <v>6342058.4730281392</v>
      </c>
      <c r="AF29" t="s">
        <v>30</v>
      </c>
    </row>
    <row r="30" spans="1:32" x14ac:dyDescent="0.3">
      <c r="B30" t="s">
        <v>27</v>
      </c>
      <c r="D30" s="5">
        <v>-2064150</v>
      </c>
      <c r="E30" s="5">
        <v>-1858305</v>
      </c>
      <c r="F30" s="5">
        <v>-1348985</v>
      </c>
      <c r="G30" s="5">
        <v>-1080008</v>
      </c>
      <c r="H30" s="5">
        <v>-852709</v>
      </c>
      <c r="I30" s="5">
        <v>-490246</v>
      </c>
      <c r="J30" s="5">
        <v>-458738</v>
      </c>
      <c r="K30" s="5">
        <v>-445424</v>
      </c>
      <c r="L30" s="5">
        <v>-701601</v>
      </c>
      <c r="M30" s="5">
        <v>-762447</v>
      </c>
      <c r="N30" s="10">
        <v>-1351794</v>
      </c>
      <c r="O30" s="10">
        <v>-1492290</v>
      </c>
      <c r="P30" s="2">
        <f t="shared" si="1"/>
        <v>-12906697</v>
      </c>
      <c r="Q30" s="2"/>
      <c r="S30" s="3">
        <f>SUM(S6:S7)/SUM(D6:D7)*D30</f>
        <v>-1060861.8887476914</v>
      </c>
      <c r="T30" s="3">
        <f>-S29</f>
        <v>-955068.64916274429</v>
      </c>
      <c r="U30" s="3">
        <f t="shared" ref="U30:AD30" si="23">-T29</f>
        <v>-689645.55094051501</v>
      </c>
      <c r="V30" s="3">
        <f t="shared" si="23"/>
        <v>-547393.32986054989</v>
      </c>
      <c r="W30" s="3">
        <f t="shared" si="23"/>
        <v>-423994.90612981824</v>
      </c>
      <c r="X30" s="3">
        <f t="shared" si="23"/>
        <v>-237069.4126289922</v>
      </c>
      <c r="Y30" s="3">
        <f t="shared" si="23"/>
        <v>-212691.65884349635</v>
      </c>
      <c r="Z30" s="3">
        <f t="shared" si="23"/>
        <v>-204289.8746051304</v>
      </c>
      <c r="AA30" s="3">
        <f t="shared" si="23"/>
        <v>-320697.06461653818</v>
      </c>
      <c r="AB30" s="3">
        <f t="shared" si="23"/>
        <v>-350008.43026006559</v>
      </c>
      <c r="AC30" s="24">
        <f t="shared" si="23"/>
        <v>-633008.73084966443</v>
      </c>
      <c r="AD30" s="24">
        <f t="shared" si="23"/>
        <v>-742638.97579326329</v>
      </c>
      <c r="AE30" s="3">
        <f t="shared" si="18"/>
        <v>-6377368.4724384695</v>
      </c>
      <c r="AF30" t="s">
        <v>31</v>
      </c>
    </row>
    <row r="31" spans="1:32" x14ac:dyDescent="0.3">
      <c r="B31" t="s">
        <v>25</v>
      </c>
      <c r="D31" s="6">
        <f>D29+D30</f>
        <v>-205845</v>
      </c>
      <c r="E31" s="6">
        <f t="shared" ref="E31:O31" si="24">E29+E30</f>
        <v>-509320</v>
      </c>
      <c r="F31" s="6">
        <f t="shared" si="24"/>
        <v>-268977</v>
      </c>
      <c r="G31" s="6">
        <f t="shared" si="24"/>
        <v>-227299</v>
      </c>
      <c r="H31" s="6">
        <f t="shared" si="24"/>
        <v>-362463</v>
      </c>
      <c r="I31" s="6">
        <f t="shared" si="24"/>
        <v>-31508</v>
      </c>
      <c r="J31" s="6">
        <f t="shared" si="24"/>
        <v>-13314</v>
      </c>
      <c r="K31" s="6">
        <f t="shared" si="24"/>
        <v>256177</v>
      </c>
      <c r="L31" s="6">
        <f t="shared" si="24"/>
        <v>60846</v>
      </c>
      <c r="M31" s="6">
        <f t="shared" si="24"/>
        <v>589347</v>
      </c>
      <c r="N31" s="20">
        <f t="shared" si="24"/>
        <v>140496</v>
      </c>
      <c r="O31" s="20">
        <f t="shared" si="24"/>
        <v>525117</v>
      </c>
      <c r="P31" s="2">
        <f t="shared" si="1"/>
        <v>-46743</v>
      </c>
      <c r="Q31" s="2"/>
      <c r="R31" s="14">
        <f>ROUND(SUM(AE6:AE9)/SUM(P6:P9),5)</f>
        <v>0.49059999999999998</v>
      </c>
      <c r="S31" s="3">
        <f t="shared" ref="S31:AD31" si="25">$R31*D31</f>
        <v>-100987.557</v>
      </c>
      <c r="T31" s="3">
        <f t="shared" si="25"/>
        <v>-249872.39199999999</v>
      </c>
      <c r="U31" s="3">
        <f t="shared" si="25"/>
        <v>-131960.11619999999</v>
      </c>
      <c r="V31" s="3">
        <f t="shared" si="25"/>
        <v>-111512.8894</v>
      </c>
      <c r="W31" s="3">
        <f t="shared" si="25"/>
        <v>-177824.34779999999</v>
      </c>
      <c r="X31" s="3">
        <f t="shared" si="25"/>
        <v>-15457.824799999999</v>
      </c>
      <c r="Y31" s="3">
        <f t="shared" si="25"/>
        <v>-6531.8483999999999</v>
      </c>
      <c r="Z31" s="3">
        <f t="shared" si="25"/>
        <v>125680.4362</v>
      </c>
      <c r="AA31" s="3">
        <f t="shared" si="25"/>
        <v>29851.047599999998</v>
      </c>
      <c r="AB31" s="3">
        <f t="shared" si="25"/>
        <v>289133.63819999999</v>
      </c>
      <c r="AC31" s="24">
        <f t="shared" si="25"/>
        <v>68927.337599999999</v>
      </c>
      <c r="AD31" s="24">
        <f t="shared" si="25"/>
        <v>257622.4002</v>
      </c>
      <c r="AE31" s="3">
        <f t="shared" si="18"/>
        <v>-22932.115799999941</v>
      </c>
      <c r="AF31" t="s">
        <v>33</v>
      </c>
    </row>
    <row r="32" spans="1:32" x14ac:dyDescent="0.3">
      <c r="A32" t="s">
        <v>72</v>
      </c>
      <c r="B32" t="s">
        <v>26</v>
      </c>
      <c r="D32" s="5">
        <v>397832</v>
      </c>
      <c r="E32" s="5">
        <v>291918</v>
      </c>
      <c r="F32" s="5">
        <v>329459</v>
      </c>
      <c r="G32" s="5">
        <v>326955</v>
      </c>
      <c r="H32" s="5">
        <v>333392</v>
      </c>
      <c r="I32" s="5">
        <v>254664</v>
      </c>
      <c r="J32" s="5">
        <v>248248</v>
      </c>
      <c r="K32" s="5">
        <v>216245</v>
      </c>
      <c r="L32" s="5">
        <v>305145</v>
      </c>
      <c r="M32" s="5">
        <v>276043</v>
      </c>
      <c r="N32" s="10">
        <v>273528</v>
      </c>
      <c r="O32" s="10">
        <v>294520</v>
      </c>
      <c r="P32" s="2">
        <f t="shared" ref="P32:P40" si="26">SUM(D32:O32)</f>
        <v>3547949</v>
      </c>
      <c r="Q32" s="2"/>
      <c r="S32" s="3">
        <f>SUM(S20)/SUM(D20)*D32</f>
        <v>52024.490639999996</v>
      </c>
      <c r="T32" s="3">
        <f t="shared" ref="T32:AD32" si="27">SUM(T20)/SUM(E20)*E32</f>
        <v>38174.116860000002</v>
      </c>
      <c r="U32" s="3">
        <f t="shared" si="27"/>
        <v>43083.353429999996</v>
      </c>
      <c r="V32" s="3">
        <f t="shared" si="27"/>
        <v>42755.905350000001</v>
      </c>
      <c r="W32" s="3">
        <f t="shared" si="27"/>
        <v>43597.671840000003</v>
      </c>
      <c r="X32" s="3">
        <f t="shared" si="27"/>
        <v>33302.41128</v>
      </c>
      <c r="Y32" s="3">
        <f t="shared" si="27"/>
        <v>32463.390960000001</v>
      </c>
      <c r="Z32" s="3">
        <f t="shared" si="27"/>
        <v>28278.358649999998</v>
      </c>
      <c r="AA32" s="3">
        <f t="shared" si="27"/>
        <v>39903.811649999996</v>
      </c>
      <c r="AB32" s="3">
        <f t="shared" si="27"/>
        <v>36098.143109999997</v>
      </c>
      <c r="AC32" s="24">
        <f t="shared" si="27"/>
        <v>35769.256560000002</v>
      </c>
      <c r="AD32" s="24">
        <f t="shared" si="27"/>
        <v>38514.380400000002</v>
      </c>
      <c r="AE32" s="3">
        <f t="shared" si="18"/>
        <v>463965.29073000007</v>
      </c>
      <c r="AF32" t="s">
        <v>30</v>
      </c>
    </row>
    <row r="33" spans="1:34" x14ac:dyDescent="0.3">
      <c r="B33" t="s">
        <v>27</v>
      </c>
      <c r="D33" s="5">
        <v>-333462</v>
      </c>
      <c r="E33" s="5">
        <v>-397832</v>
      </c>
      <c r="F33" s="5">
        <v>-291918</v>
      </c>
      <c r="G33" s="5">
        <v>-329459</v>
      </c>
      <c r="H33" s="5">
        <v>-326955</v>
      </c>
      <c r="I33" s="5">
        <v>-333392</v>
      </c>
      <c r="J33" s="5">
        <v>-254664</v>
      </c>
      <c r="K33" s="5">
        <v>-248248</v>
      </c>
      <c r="L33" s="5">
        <v>-216245</v>
      </c>
      <c r="M33" s="5">
        <v>-305145</v>
      </c>
      <c r="N33" s="10">
        <v>-276043</v>
      </c>
      <c r="O33" s="10">
        <v>-273528</v>
      </c>
      <c r="P33" s="2">
        <f t="shared" si="26"/>
        <v>-3586891</v>
      </c>
      <c r="Q33" s="2"/>
      <c r="S33" s="3">
        <f>SUM(S20)/SUM(D20)*D33</f>
        <v>-43606.82574</v>
      </c>
      <c r="T33" s="3">
        <f>-S32</f>
        <v>-52024.490639999996</v>
      </c>
      <c r="U33" s="3">
        <f t="shared" ref="U33:AD33" si="28">-T32</f>
        <v>-38174.116860000002</v>
      </c>
      <c r="V33" s="3">
        <f t="shared" si="28"/>
        <v>-43083.353429999996</v>
      </c>
      <c r="W33" s="3">
        <f t="shared" si="28"/>
        <v>-42755.905350000001</v>
      </c>
      <c r="X33" s="3">
        <f t="shared" si="28"/>
        <v>-43597.671840000003</v>
      </c>
      <c r="Y33" s="3">
        <f t="shared" si="28"/>
        <v>-33302.41128</v>
      </c>
      <c r="Z33" s="3">
        <f t="shared" si="28"/>
        <v>-32463.390960000001</v>
      </c>
      <c r="AA33" s="3">
        <f t="shared" si="28"/>
        <v>-28278.358649999998</v>
      </c>
      <c r="AB33" s="3">
        <f t="shared" si="28"/>
        <v>-39903.811649999996</v>
      </c>
      <c r="AC33" s="24">
        <f t="shared" si="28"/>
        <v>-36098.143109999997</v>
      </c>
      <c r="AD33" s="24">
        <f t="shared" si="28"/>
        <v>-35769.256560000002</v>
      </c>
      <c r="AE33" s="3">
        <f t="shared" si="18"/>
        <v>-469057.73607000004</v>
      </c>
      <c r="AF33" t="s">
        <v>31</v>
      </c>
    </row>
    <row r="34" spans="1:34" x14ac:dyDescent="0.3">
      <c r="B34" t="s">
        <v>25</v>
      </c>
      <c r="D34" s="6">
        <f>D32+D33</f>
        <v>64370</v>
      </c>
      <c r="E34" s="6">
        <f t="shared" ref="E34:O34" si="29">E32+E33</f>
        <v>-105914</v>
      </c>
      <c r="F34" s="6">
        <f t="shared" si="29"/>
        <v>37541</v>
      </c>
      <c r="G34" s="6">
        <f t="shared" si="29"/>
        <v>-2504</v>
      </c>
      <c r="H34" s="6">
        <f t="shared" si="29"/>
        <v>6437</v>
      </c>
      <c r="I34" s="6">
        <f t="shared" si="29"/>
        <v>-78728</v>
      </c>
      <c r="J34" s="6">
        <f t="shared" si="29"/>
        <v>-6416</v>
      </c>
      <c r="K34" s="6">
        <f t="shared" si="29"/>
        <v>-32003</v>
      </c>
      <c r="L34" s="6">
        <f t="shared" si="29"/>
        <v>88900</v>
      </c>
      <c r="M34" s="6">
        <f t="shared" si="29"/>
        <v>-29102</v>
      </c>
      <c r="N34" s="20">
        <f t="shared" si="29"/>
        <v>-2515</v>
      </c>
      <c r="O34" s="20">
        <f t="shared" si="29"/>
        <v>20992</v>
      </c>
      <c r="P34" s="2">
        <f t="shared" si="26"/>
        <v>-38942</v>
      </c>
      <c r="Q34" s="2"/>
      <c r="R34" s="14">
        <f>ROUND(SUM(AE20:AE20)/SUM(P20:P20),5)</f>
        <v>0.13077</v>
      </c>
      <c r="S34" s="3">
        <f t="shared" ref="S34:AD34" si="30">$R34*D34</f>
        <v>8417.6648999999998</v>
      </c>
      <c r="T34" s="3">
        <f t="shared" si="30"/>
        <v>-13850.37378</v>
      </c>
      <c r="U34" s="3">
        <f t="shared" si="30"/>
        <v>4909.23657</v>
      </c>
      <c r="V34" s="3">
        <f t="shared" si="30"/>
        <v>-327.44808</v>
      </c>
      <c r="W34" s="3">
        <f t="shared" si="30"/>
        <v>841.76648999999998</v>
      </c>
      <c r="X34" s="3">
        <f t="shared" si="30"/>
        <v>-10295.260560000001</v>
      </c>
      <c r="Y34" s="3">
        <f t="shared" si="30"/>
        <v>-839.02031999999997</v>
      </c>
      <c r="Z34" s="3">
        <f t="shared" si="30"/>
        <v>-4185.0323099999996</v>
      </c>
      <c r="AA34" s="3">
        <f t="shared" si="30"/>
        <v>11625.453</v>
      </c>
      <c r="AB34" s="3">
        <f t="shared" si="30"/>
        <v>-3805.6685400000001</v>
      </c>
      <c r="AC34" s="24">
        <f t="shared" si="30"/>
        <v>-328.88655</v>
      </c>
      <c r="AD34" s="24">
        <f t="shared" si="30"/>
        <v>2745.1238399999997</v>
      </c>
      <c r="AE34" s="3">
        <f t="shared" si="18"/>
        <v>-5092.4453400000002</v>
      </c>
      <c r="AF34" t="s">
        <v>33</v>
      </c>
    </row>
    <row r="35" spans="1:34" x14ac:dyDescent="0.3">
      <c r="A35" t="s">
        <v>73</v>
      </c>
      <c r="B35" t="s">
        <v>26</v>
      </c>
      <c r="D35" s="5">
        <v>134053</v>
      </c>
      <c r="E35" s="5">
        <v>118931</v>
      </c>
      <c r="F35" s="5">
        <v>130966</v>
      </c>
      <c r="G35" s="5">
        <v>135545</v>
      </c>
      <c r="H35" s="5">
        <v>134733</v>
      </c>
      <c r="I35" s="5">
        <v>143947</v>
      </c>
      <c r="J35" s="5">
        <v>139922</v>
      </c>
      <c r="K35" s="5">
        <v>144429</v>
      </c>
      <c r="L35" s="5">
        <v>125638</v>
      </c>
      <c r="M35" s="5">
        <v>151469</v>
      </c>
      <c r="N35" s="10">
        <v>150274</v>
      </c>
      <c r="O35" s="10">
        <v>159175</v>
      </c>
      <c r="P35" s="2">
        <f t="shared" si="26"/>
        <v>1669082</v>
      </c>
      <c r="Q35" s="2"/>
      <c r="S35" s="3">
        <f>SUM(S22)/SUM(D22)*D35</f>
        <v>2681.06</v>
      </c>
      <c r="T35" s="3">
        <f>SUM(T22)/SUM(E22)*E35</f>
        <v>2378.62</v>
      </c>
      <c r="U35" s="3">
        <f t="shared" ref="U35:AD35" si="31">SUM(U22)/SUM(F22)*F35</f>
        <v>2619.3200000000002</v>
      </c>
      <c r="V35" s="3">
        <f t="shared" si="31"/>
        <v>2710.9</v>
      </c>
      <c r="W35" s="3">
        <f t="shared" si="31"/>
        <v>2694.66</v>
      </c>
      <c r="X35" s="3">
        <f t="shared" si="31"/>
        <v>2878.94</v>
      </c>
      <c r="Y35" s="3">
        <f t="shared" si="31"/>
        <v>2798.44</v>
      </c>
      <c r="Z35" s="3">
        <f t="shared" si="31"/>
        <v>2888.58</v>
      </c>
      <c r="AA35" s="3">
        <f t="shared" si="31"/>
        <v>2512.7600000000002</v>
      </c>
      <c r="AB35" s="3">
        <f t="shared" si="31"/>
        <v>3029.38</v>
      </c>
      <c r="AC35" s="3">
        <f t="shared" si="31"/>
        <v>3005.48</v>
      </c>
      <c r="AD35" s="3">
        <f t="shared" si="31"/>
        <v>3183.5</v>
      </c>
      <c r="AE35" s="3">
        <f t="shared" si="18"/>
        <v>33381.64</v>
      </c>
      <c r="AF35" t="s">
        <v>30</v>
      </c>
    </row>
    <row r="36" spans="1:34" x14ac:dyDescent="0.3">
      <c r="B36" t="s">
        <v>27</v>
      </c>
      <c r="D36" s="5">
        <v>-114127</v>
      </c>
      <c r="E36" s="5">
        <v>-134053</v>
      </c>
      <c r="F36" s="5">
        <v>-118931</v>
      </c>
      <c r="G36" s="5">
        <v>-130966</v>
      </c>
      <c r="H36" s="5">
        <v>-135545</v>
      </c>
      <c r="I36" s="5">
        <v>-134733</v>
      </c>
      <c r="J36" s="5">
        <v>-143947</v>
      </c>
      <c r="K36" s="5">
        <v>-139922</v>
      </c>
      <c r="L36" s="5">
        <v>-144429</v>
      </c>
      <c r="M36" s="5">
        <v>-125638</v>
      </c>
      <c r="N36" s="10">
        <v>-151469</v>
      </c>
      <c r="O36" s="10">
        <v>-150274</v>
      </c>
      <c r="P36" s="2">
        <f t="shared" si="26"/>
        <v>-1624034</v>
      </c>
      <c r="Q36" s="2"/>
      <c r="S36" s="3">
        <f>SUM(S22)/SUM(D22)*D36</f>
        <v>-2282.54</v>
      </c>
      <c r="T36" s="3">
        <f>-S35</f>
        <v>-2681.06</v>
      </c>
      <c r="U36" s="3">
        <f t="shared" ref="U36:AD36" si="32">-T35</f>
        <v>-2378.62</v>
      </c>
      <c r="V36" s="3">
        <f t="shared" si="32"/>
        <v>-2619.3200000000002</v>
      </c>
      <c r="W36" s="3">
        <f t="shared" si="32"/>
        <v>-2710.9</v>
      </c>
      <c r="X36" s="3">
        <f t="shared" si="32"/>
        <v>-2694.66</v>
      </c>
      <c r="Y36" s="3">
        <f t="shared" si="32"/>
        <v>-2878.94</v>
      </c>
      <c r="Z36" s="3">
        <f t="shared" si="32"/>
        <v>-2798.44</v>
      </c>
      <c r="AA36" s="3">
        <f t="shared" si="32"/>
        <v>-2888.58</v>
      </c>
      <c r="AB36" s="3">
        <f t="shared" si="32"/>
        <v>-2512.7600000000002</v>
      </c>
      <c r="AC36" s="24">
        <f t="shared" si="32"/>
        <v>-3029.38</v>
      </c>
      <c r="AD36" s="24">
        <f t="shared" si="32"/>
        <v>-3005.48</v>
      </c>
      <c r="AE36" s="3">
        <f t="shared" si="18"/>
        <v>-32480.68</v>
      </c>
      <c r="AF36" t="s">
        <v>31</v>
      </c>
    </row>
    <row r="37" spans="1:34" x14ac:dyDescent="0.3">
      <c r="B37" t="s">
        <v>25</v>
      </c>
      <c r="D37" s="6">
        <f t="shared" ref="D37:O37" si="33">D35+D36</f>
        <v>19926</v>
      </c>
      <c r="E37" s="6">
        <f t="shared" si="33"/>
        <v>-15122</v>
      </c>
      <c r="F37" s="6">
        <f t="shared" si="33"/>
        <v>12035</v>
      </c>
      <c r="G37" s="6">
        <f t="shared" si="33"/>
        <v>4579</v>
      </c>
      <c r="H37" s="6">
        <f t="shared" si="33"/>
        <v>-812</v>
      </c>
      <c r="I37" s="6">
        <f t="shared" si="33"/>
        <v>9214</v>
      </c>
      <c r="J37" s="6">
        <f t="shared" si="33"/>
        <v>-4025</v>
      </c>
      <c r="K37" s="6">
        <f t="shared" si="33"/>
        <v>4507</v>
      </c>
      <c r="L37" s="6">
        <f t="shared" si="33"/>
        <v>-18791</v>
      </c>
      <c r="M37" s="6">
        <f t="shared" si="33"/>
        <v>25831</v>
      </c>
      <c r="N37" s="20">
        <f t="shared" si="33"/>
        <v>-1195</v>
      </c>
      <c r="O37" s="20">
        <f t="shared" si="33"/>
        <v>8901</v>
      </c>
      <c r="P37" s="2">
        <f t="shared" si="26"/>
        <v>45048</v>
      </c>
      <c r="Q37" s="2"/>
      <c r="R37" s="14">
        <f>ROUND(SUM(AE22)/SUM(P22),5)</f>
        <v>0.02</v>
      </c>
      <c r="S37" s="3">
        <f t="shared" ref="S37:AD37" si="34">$R37*D37</f>
        <v>398.52</v>
      </c>
      <c r="T37" s="3">
        <f t="shared" si="34"/>
        <v>-302.44</v>
      </c>
      <c r="U37" s="3">
        <f t="shared" si="34"/>
        <v>240.70000000000002</v>
      </c>
      <c r="V37" s="3">
        <f t="shared" si="34"/>
        <v>91.58</v>
      </c>
      <c r="W37" s="3">
        <f t="shared" si="34"/>
        <v>-16.240000000000002</v>
      </c>
      <c r="X37" s="3">
        <f t="shared" si="34"/>
        <v>184.28</v>
      </c>
      <c r="Y37" s="3">
        <f t="shared" si="34"/>
        <v>-80.5</v>
      </c>
      <c r="Z37" s="3">
        <f t="shared" si="34"/>
        <v>90.14</v>
      </c>
      <c r="AA37" s="3">
        <f t="shared" si="34"/>
        <v>-375.82</v>
      </c>
      <c r="AB37" s="3">
        <f t="shared" si="34"/>
        <v>516.62</v>
      </c>
      <c r="AC37" s="24">
        <f t="shared" si="34"/>
        <v>-23.900000000000002</v>
      </c>
      <c r="AD37" s="24">
        <f t="shared" si="34"/>
        <v>178.02</v>
      </c>
      <c r="AE37" s="3">
        <f t="shared" si="18"/>
        <v>900.95999999999992</v>
      </c>
      <c r="AF37" t="s">
        <v>33</v>
      </c>
    </row>
    <row r="39" spans="1:34" x14ac:dyDescent="0.3">
      <c r="A39" t="s">
        <v>64</v>
      </c>
      <c r="B39" t="s">
        <v>28</v>
      </c>
      <c r="D39" s="5">
        <v>-2030863</v>
      </c>
      <c r="E39" s="5">
        <v>-628466</v>
      </c>
      <c r="F39" s="5">
        <v>237669</v>
      </c>
      <c r="G39" s="5">
        <v>-106977</v>
      </c>
      <c r="H39" s="5">
        <v>245238</v>
      </c>
      <c r="I39" s="5">
        <v>459555</v>
      </c>
      <c r="J39" s="5">
        <v>0</v>
      </c>
      <c r="K39" s="5">
        <v>0</v>
      </c>
      <c r="L39" s="5">
        <v>0</v>
      </c>
      <c r="M39" s="5">
        <v>-216122</v>
      </c>
      <c r="N39" s="10">
        <v>338638</v>
      </c>
      <c r="O39" s="10">
        <v>-319597</v>
      </c>
      <c r="P39" s="2">
        <f t="shared" si="26"/>
        <v>-2020925</v>
      </c>
      <c r="Q39" s="2"/>
      <c r="R39" s="14">
        <f>ROUND((Q4*R4)/SUM(Q4:Q4),5)</f>
        <v>0.76234000000000002</v>
      </c>
      <c r="S39" s="3">
        <f t="shared" ref="S39:AD40" si="35">$R39*D39</f>
        <v>-1548208.0994200001</v>
      </c>
      <c r="T39" s="3">
        <f t="shared" si="35"/>
        <v>-479104.77043999999</v>
      </c>
      <c r="U39" s="3">
        <f t="shared" si="35"/>
        <v>181184.58546</v>
      </c>
      <c r="V39" s="3">
        <f t="shared" si="35"/>
        <v>-81552.846180000008</v>
      </c>
      <c r="W39" s="3">
        <f t="shared" si="35"/>
        <v>186954.73692</v>
      </c>
      <c r="X39" s="3">
        <f t="shared" si="35"/>
        <v>350337.15870000003</v>
      </c>
      <c r="Y39" s="3">
        <f t="shared" si="35"/>
        <v>0</v>
      </c>
      <c r="Z39" s="3">
        <f t="shared" si="35"/>
        <v>0</v>
      </c>
      <c r="AA39" s="3">
        <f t="shared" si="35"/>
        <v>0</v>
      </c>
      <c r="AB39" s="3">
        <f t="shared" si="35"/>
        <v>-164758.44547999999</v>
      </c>
      <c r="AC39" s="24">
        <f t="shared" si="35"/>
        <v>258157.29292000001</v>
      </c>
      <c r="AD39" s="24">
        <f t="shared" si="35"/>
        <v>-243641.57698000001</v>
      </c>
      <c r="AE39" s="3">
        <f t="shared" si="18"/>
        <v>-1540631.9645000002</v>
      </c>
    </row>
    <row r="40" spans="1:34" x14ac:dyDescent="0.3">
      <c r="A40" t="s">
        <v>66</v>
      </c>
      <c r="B40" t="s">
        <v>28</v>
      </c>
      <c r="D40" s="5">
        <v>-448235</v>
      </c>
      <c r="E40" s="5">
        <v>-138154</v>
      </c>
      <c r="F40" s="5">
        <v>52771</v>
      </c>
      <c r="G40" s="5">
        <v>-20014</v>
      </c>
      <c r="H40" s="5">
        <v>45742</v>
      </c>
      <c r="I40" s="5">
        <v>86496</v>
      </c>
      <c r="J40" s="5">
        <v>0</v>
      </c>
      <c r="K40" s="5">
        <v>0</v>
      </c>
      <c r="L40" s="5">
        <v>0</v>
      </c>
      <c r="M40" s="5">
        <v>-40285</v>
      </c>
      <c r="N40" s="10">
        <v>62229</v>
      </c>
      <c r="O40" s="10">
        <v>-70490</v>
      </c>
      <c r="P40" s="2">
        <f t="shared" si="26"/>
        <v>-469940</v>
      </c>
      <c r="Q40" s="2"/>
      <c r="R40" s="14">
        <f>ROUND((Q6*R6+Q7*R7+Q9*R9)/SUM(Q6:Q9),5)</f>
        <v>0.11753</v>
      </c>
      <c r="S40" s="3">
        <f t="shared" si="35"/>
        <v>-52681.059549999998</v>
      </c>
      <c r="T40" s="3">
        <f t="shared" si="35"/>
        <v>-16237.23962</v>
      </c>
      <c r="U40" s="3">
        <f t="shared" si="35"/>
        <v>6202.1756299999997</v>
      </c>
      <c r="V40" s="3">
        <f t="shared" si="35"/>
        <v>-2352.2454199999997</v>
      </c>
      <c r="W40" s="3">
        <f t="shared" si="35"/>
        <v>5376.0572599999996</v>
      </c>
      <c r="X40" s="3">
        <f t="shared" si="35"/>
        <v>10165.874879999999</v>
      </c>
      <c r="Y40" s="3">
        <f t="shared" si="35"/>
        <v>0</v>
      </c>
      <c r="Z40" s="3">
        <f t="shared" si="35"/>
        <v>0</v>
      </c>
      <c r="AA40" s="3">
        <f t="shared" si="35"/>
        <v>0</v>
      </c>
      <c r="AB40" s="3">
        <f t="shared" si="35"/>
        <v>-4734.6960499999996</v>
      </c>
      <c r="AC40" s="24">
        <f t="shared" si="35"/>
        <v>7313.7743700000001</v>
      </c>
      <c r="AD40" s="24">
        <f t="shared" si="35"/>
        <v>-8284.689699999999</v>
      </c>
      <c r="AE40" s="3">
        <f t="shared" si="18"/>
        <v>-55232.048200000005</v>
      </c>
    </row>
    <row r="42" spans="1:34" x14ac:dyDescent="0.3">
      <c r="A42" t="s">
        <v>45</v>
      </c>
      <c r="C42" t="s">
        <v>82</v>
      </c>
    </row>
    <row r="43" spans="1:34" x14ac:dyDescent="0.3">
      <c r="A43" t="s">
        <v>76</v>
      </c>
      <c r="D43" s="2">
        <f t="shared" ref="D43:O43" si="36">SUM(D4:D4)+D28+D39</f>
        <v>9999467.4189999998</v>
      </c>
      <c r="E43" s="2">
        <f t="shared" si="36"/>
        <v>7576638.7219999991</v>
      </c>
      <c r="F43" s="2">
        <f t="shared" si="36"/>
        <v>7256473.4139999999</v>
      </c>
      <c r="G43" s="2">
        <f t="shared" si="36"/>
        <v>4700664.1059999997</v>
      </c>
      <c r="H43" s="2">
        <f t="shared" si="36"/>
        <v>2859031.5839999998</v>
      </c>
      <c r="I43" s="2">
        <f t="shared" si="36"/>
        <v>1692752.041</v>
      </c>
      <c r="J43" s="2">
        <f t="shared" si="36"/>
        <v>1087843.895</v>
      </c>
      <c r="K43" s="2">
        <f t="shared" si="36"/>
        <v>986274.56099999999</v>
      </c>
      <c r="L43" s="2">
        <f t="shared" si="36"/>
        <v>1445437.959</v>
      </c>
      <c r="M43" s="2">
        <f t="shared" si="36"/>
        <v>4578981.31587</v>
      </c>
      <c r="N43" s="19">
        <f t="shared" si="36"/>
        <v>7797356.3873800002</v>
      </c>
      <c r="O43" s="19">
        <f t="shared" si="36"/>
        <v>10547400.83807</v>
      </c>
      <c r="P43" s="6">
        <f>SUM(D43:O43)</f>
        <v>60528322.242319994</v>
      </c>
      <c r="S43" s="3">
        <f t="shared" ref="S43:AD43" si="37">SUM(S3:S4)+S28+S39</f>
        <v>8102645.9922004603</v>
      </c>
      <c r="T43" s="3">
        <f t="shared" si="37"/>
        <v>6255518.7633294798</v>
      </c>
      <c r="U43" s="3">
        <f t="shared" si="37"/>
        <v>6011971.9424287593</v>
      </c>
      <c r="V43" s="3">
        <f t="shared" si="37"/>
        <v>4063474.2745680395</v>
      </c>
      <c r="W43" s="3">
        <f t="shared" si="37"/>
        <v>2659092.1377465604</v>
      </c>
      <c r="X43" s="3">
        <f t="shared" si="37"/>
        <v>1770518.5909359399</v>
      </c>
      <c r="Y43" s="3">
        <f t="shared" si="37"/>
        <v>1309996.9149143</v>
      </c>
      <c r="Z43" s="3">
        <f t="shared" si="37"/>
        <v>1233832.5488327399</v>
      </c>
      <c r="AA43" s="3">
        <f t="shared" si="37"/>
        <v>1585053.17366406</v>
      </c>
      <c r="AB43" s="3">
        <f t="shared" si="37"/>
        <v>3975804.6163403355</v>
      </c>
      <c r="AC43" s="24">
        <f t="shared" si="37"/>
        <v>6431742.6683552694</v>
      </c>
      <c r="AD43" s="24">
        <f t="shared" si="37"/>
        <v>8529111.5548942834</v>
      </c>
      <c r="AE43" s="3">
        <f>SUM(S43:AD43)</f>
        <v>51928763.178210229</v>
      </c>
      <c r="AF43" s="3">
        <f>AE43</f>
        <v>51928763.178210229</v>
      </c>
      <c r="AH43" t="s">
        <v>111</v>
      </c>
    </row>
    <row r="44" spans="1:34" x14ac:dyDescent="0.3">
      <c r="A44" t="s">
        <v>77</v>
      </c>
      <c r="D44" s="2">
        <f t="shared" ref="D44:O44" si="38">SUM(D6:D9,D11:D14)+D31+D40</f>
        <v>3487311.7689999999</v>
      </c>
      <c r="E44" s="2">
        <f t="shared" si="38"/>
        <v>2845002.5409599999</v>
      </c>
      <c r="F44" s="2">
        <f t="shared" si="38"/>
        <v>2614206.6120000002</v>
      </c>
      <c r="G44" s="2">
        <f t="shared" si="38"/>
        <v>1897747.8630000004</v>
      </c>
      <c r="H44" s="2">
        <f t="shared" si="38"/>
        <v>1390404.7890000001</v>
      </c>
      <c r="I44" s="2">
        <f t="shared" si="38"/>
        <v>1461559.0870000001</v>
      </c>
      <c r="J44" s="2">
        <f t="shared" si="38"/>
        <v>1002004.8029999998</v>
      </c>
      <c r="K44" s="2">
        <f t="shared" si="38"/>
        <v>1448880.3569999998</v>
      </c>
      <c r="L44" s="2">
        <f t="shared" si="38"/>
        <v>1063686.2455099998</v>
      </c>
      <c r="M44" s="2">
        <f t="shared" si="38"/>
        <v>1974179.0832100001</v>
      </c>
      <c r="N44" s="19">
        <f t="shared" si="38"/>
        <v>2459802.1580100004</v>
      </c>
      <c r="O44" s="19">
        <f t="shared" si="38"/>
        <v>3479485.5668199998</v>
      </c>
      <c r="P44" s="6">
        <f t="shared" ref="P44:P47" si="39">SUM(D44:O44)</f>
        <v>25124270.874510001</v>
      </c>
      <c r="S44" s="3">
        <f t="shared" ref="S44:AD44" si="40">SUM(S5:S14)+S31+S40</f>
        <v>2059185.9882757235</v>
      </c>
      <c r="T44" s="3">
        <f t="shared" si="40"/>
        <v>1619113.8390258492</v>
      </c>
      <c r="U44" s="3">
        <f t="shared" si="40"/>
        <v>1434419.6487102972</v>
      </c>
      <c r="V44" s="3">
        <f t="shared" si="40"/>
        <v>1096355.4791350586</v>
      </c>
      <c r="W44" s="3">
        <f t="shared" si="40"/>
        <v>808232.29297466506</v>
      </c>
      <c r="X44" s="3">
        <f t="shared" si="40"/>
        <v>812025.88752330991</v>
      </c>
      <c r="Y44" s="3">
        <f t="shared" si="40"/>
        <v>624752.75995244784</v>
      </c>
      <c r="Z44" s="3">
        <f t="shared" si="40"/>
        <v>836900.84757519036</v>
      </c>
      <c r="AA44" s="3">
        <f t="shared" si="40"/>
        <v>653925.97401985351</v>
      </c>
      <c r="AB44" s="3">
        <f t="shared" si="40"/>
        <v>1116816.1223716906</v>
      </c>
      <c r="AC44" s="24">
        <f t="shared" si="40"/>
        <v>1341048.7600971733</v>
      </c>
      <c r="AD44" s="24">
        <f t="shared" si="40"/>
        <v>1908709.5792115889</v>
      </c>
      <c r="AE44" s="3">
        <f t="shared" ref="AE44:AE47" si="41">SUM(S44:AD44)</f>
        <v>14311487.178872848</v>
      </c>
    </row>
    <row r="45" spans="1:34" x14ac:dyDescent="0.3">
      <c r="A45" t="s">
        <v>79</v>
      </c>
      <c r="D45" s="2">
        <f t="shared" ref="D45:O45" si="42">SUM(D16:D16)+SUM(D18:D18)</f>
        <v>0</v>
      </c>
      <c r="E45" s="2">
        <f t="shared" si="42"/>
        <v>0</v>
      </c>
      <c r="F45" s="2">
        <f t="shared" si="42"/>
        <v>0</v>
      </c>
      <c r="G45" s="2">
        <f t="shared" si="42"/>
        <v>0</v>
      </c>
      <c r="H45" s="2">
        <f t="shared" si="42"/>
        <v>0</v>
      </c>
      <c r="I45" s="2">
        <f t="shared" si="42"/>
        <v>0</v>
      </c>
      <c r="J45" s="2">
        <f t="shared" si="42"/>
        <v>0</v>
      </c>
      <c r="K45" s="2">
        <f t="shared" si="42"/>
        <v>0</v>
      </c>
      <c r="L45" s="2">
        <f t="shared" si="42"/>
        <v>0</v>
      </c>
      <c r="M45" s="2">
        <f t="shared" si="42"/>
        <v>0</v>
      </c>
      <c r="N45" s="19">
        <f t="shared" si="42"/>
        <v>0</v>
      </c>
      <c r="O45" s="19">
        <f t="shared" si="42"/>
        <v>0</v>
      </c>
      <c r="P45" s="6">
        <f t="shared" si="39"/>
        <v>0</v>
      </c>
      <c r="S45" s="3">
        <f t="shared" ref="S45:AD45" si="43">SUM(S15:S18)</f>
        <v>0</v>
      </c>
      <c r="T45" s="3">
        <f t="shared" si="43"/>
        <v>0</v>
      </c>
      <c r="U45" s="3">
        <f t="shared" si="43"/>
        <v>0</v>
      </c>
      <c r="V45" s="3">
        <f t="shared" si="43"/>
        <v>0</v>
      </c>
      <c r="W45" s="3">
        <f t="shared" si="43"/>
        <v>0</v>
      </c>
      <c r="X45" s="3">
        <f t="shared" si="43"/>
        <v>0</v>
      </c>
      <c r="Y45" s="3">
        <f t="shared" si="43"/>
        <v>0</v>
      </c>
      <c r="Z45" s="3">
        <f t="shared" si="43"/>
        <v>0</v>
      </c>
      <c r="AA45" s="3">
        <f t="shared" si="43"/>
        <v>0</v>
      </c>
      <c r="AB45" s="3">
        <f t="shared" si="43"/>
        <v>0</v>
      </c>
      <c r="AC45" s="24">
        <f t="shared" si="43"/>
        <v>0</v>
      </c>
      <c r="AD45" s="24">
        <f t="shared" si="43"/>
        <v>0</v>
      </c>
      <c r="AE45" s="3">
        <f t="shared" si="41"/>
        <v>0</v>
      </c>
      <c r="AF45" s="3">
        <f>AE44+AE45</f>
        <v>14311487.178872848</v>
      </c>
      <c r="AH45" t="s">
        <v>112</v>
      </c>
    </row>
    <row r="46" spans="1:34" x14ac:dyDescent="0.3">
      <c r="A46" t="s">
        <v>80</v>
      </c>
      <c r="D46" s="2">
        <f t="shared" ref="D46:O46" si="44">SUM(D20:D20)+D34</f>
        <v>397832</v>
      </c>
      <c r="E46" s="2">
        <f t="shared" si="44"/>
        <v>291918</v>
      </c>
      <c r="F46" s="2">
        <f t="shared" si="44"/>
        <v>329459</v>
      </c>
      <c r="G46" s="2">
        <f t="shared" si="44"/>
        <v>326955</v>
      </c>
      <c r="H46" s="2">
        <f t="shared" si="44"/>
        <v>333392</v>
      </c>
      <c r="I46" s="2">
        <f t="shared" si="44"/>
        <v>254664</v>
      </c>
      <c r="J46" s="2">
        <f t="shared" si="44"/>
        <v>248248</v>
      </c>
      <c r="K46" s="2">
        <f t="shared" si="44"/>
        <v>216245</v>
      </c>
      <c r="L46" s="2">
        <f t="shared" si="44"/>
        <v>305145</v>
      </c>
      <c r="M46" s="2">
        <f t="shared" si="44"/>
        <v>276043</v>
      </c>
      <c r="N46" s="19">
        <f t="shared" si="44"/>
        <v>273528</v>
      </c>
      <c r="O46" s="19">
        <f t="shared" si="44"/>
        <v>294520</v>
      </c>
      <c r="P46" s="6">
        <f t="shared" si="39"/>
        <v>3547949</v>
      </c>
      <c r="S46" s="3">
        <f t="shared" ref="S46:AD46" si="45">SUM(S19:S20)+S34</f>
        <v>53524.490640000004</v>
      </c>
      <c r="T46" s="3">
        <f t="shared" si="45"/>
        <v>39674.116859999995</v>
      </c>
      <c r="U46" s="3">
        <f t="shared" si="45"/>
        <v>44583.353430000003</v>
      </c>
      <c r="V46" s="3">
        <f t="shared" si="45"/>
        <v>44255.905349999994</v>
      </c>
      <c r="W46" s="3">
        <f t="shared" si="45"/>
        <v>45097.671840000003</v>
      </c>
      <c r="X46" s="3">
        <f t="shared" si="45"/>
        <v>34802.41128</v>
      </c>
      <c r="Y46" s="3">
        <f t="shared" si="45"/>
        <v>33963.390959999997</v>
      </c>
      <c r="Z46" s="3">
        <f t="shared" si="45"/>
        <v>29778.358650000006</v>
      </c>
      <c r="AA46" s="3">
        <f t="shared" si="45"/>
        <v>41403.811649999996</v>
      </c>
      <c r="AB46" s="3">
        <f t="shared" si="45"/>
        <v>37598.143109999997</v>
      </c>
      <c r="AC46" s="24">
        <f t="shared" si="45"/>
        <v>37269.256559999994</v>
      </c>
      <c r="AD46" s="24">
        <f t="shared" si="45"/>
        <v>40014.380400000002</v>
      </c>
      <c r="AE46" s="3">
        <f t="shared" si="41"/>
        <v>481965.29073000001</v>
      </c>
    </row>
    <row r="47" spans="1:34" x14ac:dyDescent="0.3">
      <c r="A47" t="s">
        <v>81</v>
      </c>
      <c r="D47" s="2">
        <f t="shared" ref="D47:O47" si="46">D22+D24+D37</f>
        <v>7144163</v>
      </c>
      <c r="E47" s="2">
        <f t="shared" si="46"/>
        <v>5117481</v>
      </c>
      <c r="F47" s="2">
        <f t="shared" si="46"/>
        <v>4670592</v>
      </c>
      <c r="G47" s="2">
        <f t="shared" si="46"/>
        <v>4455543</v>
      </c>
      <c r="H47" s="2">
        <f t="shared" si="46"/>
        <v>4447357</v>
      </c>
      <c r="I47" s="2">
        <f t="shared" si="46"/>
        <v>2733979</v>
      </c>
      <c r="J47" s="2">
        <f t="shared" si="46"/>
        <v>4011600</v>
      </c>
      <c r="K47" s="2">
        <f t="shared" si="46"/>
        <v>3766424</v>
      </c>
      <c r="L47" s="2">
        <f t="shared" si="46"/>
        <v>4202950</v>
      </c>
      <c r="M47" s="2">
        <f t="shared" si="46"/>
        <v>3881506</v>
      </c>
      <c r="N47" s="19">
        <f t="shared" si="46"/>
        <v>2949606</v>
      </c>
      <c r="O47" s="19">
        <f t="shared" si="46"/>
        <v>4032137</v>
      </c>
      <c r="P47" s="6">
        <f t="shared" si="39"/>
        <v>51413338</v>
      </c>
      <c r="S47" s="3">
        <f t="shared" ref="S47:AD47" si="47">SUM(S21:S24)+S37</f>
        <v>8847.73</v>
      </c>
      <c r="T47" s="3">
        <f t="shared" si="47"/>
        <v>8545.2899999999991</v>
      </c>
      <c r="U47" s="3">
        <f t="shared" si="47"/>
        <v>8785.9900000000016</v>
      </c>
      <c r="V47" s="3">
        <f t="shared" si="47"/>
        <v>8877.57</v>
      </c>
      <c r="W47" s="3">
        <f t="shared" si="47"/>
        <v>8861.33</v>
      </c>
      <c r="X47" s="3">
        <f t="shared" si="47"/>
        <v>9045.61</v>
      </c>
      <c r="Y47" s="3">
        <f t="shared" si="47"/>
        <v>8965.11</v>
      </c>
      <c r="Z47" s="3">
        <f t="shared" si="47"/>
        <v>9055.25</v>
      </c>
      <c r="AA47" s="3">
        <f t="shared" si="47"/>
        <v>8679.43</v>
      </c>
      <c r="AB47" s="3">
        <f t="shared" si="47"/>
        <v>9196.0500000000011</v>
      </c>
      <c r="AC47" s="24">
        <f t="shared" si="47"/>
        <v>9172.15</v>
      </c>
      <c r="AD47" s="24">
        <f t="shared" si="47"/>
        <v>9350.17</v>
      </c>
      <c r="AE47" s="3">
        <f t="shared" si="41"/>
        <v>107381.68</v>
      </c>
      <c r="AF47" s="3">
        <f>AE46+AE47</f>
        <v>589346.97072999994</v>
      </c>
      <c r="AH47" t="s">
        <v>113</v>
      </c>
    </row>
    <row r="48" spans="1:34" x14ac:dyDescent="0.3">
      <c r="A48" t="s">
        <v>52</v>
      </c>
      <c r="D48" s="8">
        <f t="shared" ref="D48:P48" si="48">SUM(D43:D47)</f>
        <v>21028774.188000001</v>
      </c>
      <c r="E48" s="8">
        <f t="shared" si="48"/>
        <v>15831040.262959998</v>
      </c>
      <c r="F48" s="8">
        <f t="shared" si="48"/>
        <v>14870731.026000001</v>
      </c>
      <c r="G48" s="8">
        <f t="shared" si="48"/>
        <v>11380909.969000001</v>
      </c>
      <c r="H48" s="8">
        <f t="shared" si="48"/>
        <v>9030185.3729999997</v>
      </c>
      <c r="I48" s="8">
        <f t="shared" si="48"/>
        <v>6142954.1280000005</v>
      </c>
      <c r="J48" s="8">
        <f t="shared" si="48"/>
        <v>6349696.6979999999</v>
      </c>
      <c r="K48" s="8">
        <f t="shared" si="48"/>
        <v>6417823.9179999996</v>
      </c>
      <c r="L48" s="8">
        <f t="shared" si="48"/>
        <v>7017219.2045099996</v>
      </c>
      <c r="M48" s="8">
        <f t="shared" si="48"/>
        <v>10710709.399080001</v>
      </c>
      <c r="N48" s="22">
        <f t="shared" si="48"/>
        <v>13480292.545390001</v>
      </c>
      <c r="O48" s="22">
        <f t="shared" si="48"/>
        <v>18353543.404890001</v>
      </c>
      <c r="P48" s="8">
        <f t="shared" si="48"/>
        <v>140613880.11682999</v>
      </c>
      <c r="S48" s="7">
        <f>SUM(S43:S47)</f>
        <v>10224204.201116184</v>
      </c>
      <c r="T48" s="7">
        <f t="shared" ref="T48:AD48" si="49">SUM(T43:T47)</f>
        <v>7922852.0092153298</v>
      </c>
      <c r="U48" s="7">
        <f t="shared" si="49"/>
        <v>7499760.9345690571</v>
      </c>
      <c r="V48" s="7">
        <f t="shared" si="49"/>
        <v>5212963.2290530978</v>
      </c>
      <c r="W48" s="7">
        <f t="shared" si="49"/>
        <v>3521283.4325612253</v>
      </c>
      <c r="X48" s="7">
        <f t="shared" si="49"/>
        <v>2626392.4997392497</v>
      </c>
      <c r="Y48" s="7">
        <f t="shared" si="49"/>
        <v>1977678.1758267479</v>
      </c>
      <c r="Z48" s="7">
        <f t="shared" si="49"/>
        <v>2109567.00505793</v>
      </c>
      <c r="AA48" s="7">
        <f t="shared" si="49"/>
        <v>2289062.3893339136</v>
      </c>
      <c r="AB48" s="7">
        <f t="shared" si="49"/>
        <v>5139414.9318220252</v>
      </c>
      <c r="AC48" s="25">
        <f t="shared" si="49"/>
        <v>7819232.8350124424</v>
      </c>
      <c r="AD48" s="25">
        <f t="shared" si="49"/>
        <v>10487185.684505872</v>
      </c>
      <c r="AE48" s="7">
        <f>SUM(AE43:AE47)</f>
        <v>66829597.327813074</v>
      </c>
    </row>
    <row r="49" spans="1:32" x14ac:dyDescent="0.3">
      <c r="AF49" s="3">
        <f>SUM(AF43:AF48)</f>
        <v>66829597.327813074</v>
      </c>
    </row>
    <row r="50" spans="1:32" x14ac:dyDescent="0.3">
      <c r="A50" t="s">
        <v>54</v>
      </c>
      <c r="C50" t="s">
        <v>55</v>
      </c>
      <c r="R50" s="12" t="s">
        <v>56</v>
      </c>
    </row>
    <row r="51" spans="1:32" x14ac:dyDescent="0.3">
      <c r="A51" t="s">
        <v>76</v>
      </c>
      <c r="D51" s="2">
        <f t="shared" ref="D51:P51" si="50">D43/(D3)</f>
        <v>125.08402865827725</v>
      </c>
      <c r="E51" s="2">
        <f t="shared" si="50"/>
        <v>94.798042165056799</v>
      </c>
      <c r="F51" s="2">
        <f t="shared" si="50"/>
        <v>90.692313827925815</v>
      </c>
      <c r="G51" s="2">
        <f t="shared" si="50"/>
        <v>58.761973948371768</v>
      </c>
      <c r="H51" s="2">
        <f t="shared" si="50"/>
        <v>35.77232566345107</v>
      </c>
      <c r="I51" s="2">
        <f t="shared" si="50"/>
        <v>21.156491494919447</v>
      </c>
      <c r="J51" s="2">
        <f t="shared" si="50"/>
        <v>13.57852955127005</v>
      </c>
      <c r="K51" s="2">
        <f t="shared" si="50"/>
        <v>12.278397542514254</v>
      </c>
      <c r="L51" s="2">
        <f t="shared" si="50"/>
        <v>17.950622294251332</v>
      </c>
      <c r="M51" s="2">
        <f t="shared" si="50"/>
        <v>56.639717429493842</v>
      </c>
      <c r="N51" s="19">
        <f t="shared" si="50"/>
        <v>95.966282105820241</v>
      </c>
      <c r="O51" s="19">
        <f t="shared" si="50"/>
        <v>129.57335706035551</v>
      </c>
      <c r="P51" s="2">
        <f t="shared" si="50"/>
        <v>62.771330183776897</v>
      </c>
      <c r="S51" s="3">
        <f>S43/(D3)</f>
        <v>101.35655840735109</v>
      </c>
      <c r="T51" s="3">
        <f t="shared" ref="T51:AE51" si="51">T43/(E3)</f>
        <v>78.268339464109403</v>
      </c>
      <c r="U51" s="3">
        <f t="shared" si="51"/>
        <v>75.138378523580954</v>
      </c>
      <c r="V51" s="3">
        <f t="shared" si="51"/>
        <v>50.796603219801732</v>
      </c>
      <c r="W51" s="3">
        <f t="shared" si="51"/>
        <v>33.270674746275297</v>
      </c>
      <c r="X51" s="3">
        <f t="shared" si="51"/>
        <v>22.128439726236891</v>
      </c>
      <c r="Y51" s="3">
        <f t="shared" si="51"/>
        <v>16.35145621811521</v>
      </c>
      <c r="Z51" s="3">
        <f t="shared" si="51"/>
        <v>15.360313582560316</v>
      </c>
      <c r="AA51" s="3">
        <f t="shared" si="51"/>
        <v>19.684477399799558</v>
      </c>
      <c r="AB51" s="3">
        <f t="shared" si="51"/>
        <v>49.178722185200328</v>
      </c>
      <c r="AC51" s="24">
        <f t="shared" si="51"/>
        <v>79.158935500550996</v>
      </c>
      <c r="AD51" s="24">
        <f t="shared" si="51"/>
        <v>104.77895302139143</v>
      </c>
      <c r="AE51" s="3">
        <f t="shared" si="51"/>
        <v>53.853095852300484</v>
      </c>
    </row>
    <row r="52" spans="1:32" x14ac:dyDescent="0.3">
      <c r="A52" t="s">
        <v>77</v>
      </c>
      <c r="D52" s="2">
        <f t="shared" ref="D52:P52" si="52">D44/(D5+D10)</f>
        <v>2416.7094726264727</v>
      </c>
      <c r="E52" s="2">
        <f t="shared" si="52"/>
        <v>1979.8208357411272</v>
      </c>
      <c r="F52" s="2">
        <f t="shared" si="52"/>
        <v>1800.4177768595043</v>
      </c>
      <c r="G52" s="2">
        <f t="shared" si="52"/>
        <v>1312.4120767634856</v>
      </c>
      <c r="H52" s="2">
        <f t="shared" si="52"/>
        <v>965.55888125000013</v>
      </c>
      <c r="I52" s="2">
        <f t="shared" si="52"/>
        <v>1004.5079635738832</v>
      </c>
      <c r="J52" s="2">
        <f t="shared" si="52"/>
        <v>694.87156934812754</v>
      </c>
      <c r="K52" s="2">
        <f t="shared" si="52"/>
        <v>995.79405979381431</v>
      </c>
      <c r="L52" s="2">
        <f t="shared" si="52"/>
        <v>735.60597891424607</v>
      </c>
      <c r="M52" s="2">
        <f t="shared" si="52"/>
        <v>1356.8241121718213</v>
      </c>
      <c r="N52" s="19">
        <f t="shared" si="52"/>
        <v>1705.8267392579753</v>
      </c>
      <c r="O52" s="19">
        <f t="shared" si="52"/>
        <v>2370.2217757629428</v>
      </c>
      <c r="P52" s="2">
        <f t="shared" si="52"/>
        <v>1445.5020352402048</v>
      </c>
      <c r="S52" s="3">
        <f t="shared" ref="S52:AE52" si="53">S44/(D5+D10)</f>
        <v>1427.0173168923934</v>
      </c>
      <c r="T52" s="3">
        <f t="shared" si="53"/>
        <v>1126.7319687027482</v>
      </c>
      <c r="U52" s="3">
        <f t="shared" si="53"/>
        <v>987.89232004841404</v>
      </c>
      <c r="V52" s="3">
        <f t="shared" si="53"/>
        <v>758.19880991359514</v>
      </c>
      <c r="W52" s="3">
        <f t="shared" si="53"/>
        <v>561.27242567685073</v>
      </c>
      <c r="X52" s="3">
        <f t="shared" si="53"/>
        <v>558.0933934868109</v>
      </c>
      <c r="Y52" s="3">
        <f t="shared" si="53"/>
        <v>433.25434115981125</v>
      </c>
      <c r="Z52" s="3">
        <f t="shared" si="53"/>
        <v>575.18958596233017</v>
      </c>
      <c r="AA52" s="3">
        <f t="shared" si="53"/>
        <v>452.23096405245747</v>
      </c>
      <c r="AB52" s="3">
        <f t="shared" si="53"/>
        <v>767.57121812487321</v>
      </c>
      <c r="AC52" s="24">
        <f t="shared" si="53"/>
        <v>929.99220533784558</v>
      </c>
      <c r="AD52" s="24">
        <f t="shared" si="53"/>
        <v>1300.2108850215184</v>
      </c>
      <c r="AE52" s="3">
        <f t="shared" si="53"/>
        <v>823.39837632316028</v>
      </c>
    </row>
    <row r="53" spans="1:32" x14ac:dyDescent="0.3">
      <c r="A53" t="s">
        <v>79</v>
      </c>
      <c r="D53" s="2" t="e">
        <f t="shared" ref="D53:P53" si="54">D45/(D15+D17)</f>
        <v>#DIV/0!</v>
      </c>
      <c r="E53" s="2" t="e">
        <f t="shared" si="54"/>
        <v>#DIV/0!</v>
      </c>
      <c r="F53" s="2" t="e">
        <f t="shared" si="54"/>
        <v>#DIV/0!</v>
      </c>
      <c r="G53" s="2" t="e">
        <f t="shared" si="54"/>
        <v>#DIV/0!</v>
      </c>
      <c r="H53" s="2" t="e">
        <f t="shared" si="54"/>
        <v>#DIV/0!</v>
      </c>
      <c r="I53" s="2" t="e">
        <f t="shared" si="54"/>
        <v>#DIV/0!</v>
      </c>
      <c r="J53" s="2" t="e">
        <f t="shared" si="54"/>
        <v>#DIV/0!</v>
      </c>
      <c r="K53" s="2" t="e">
        <f t="shared" si="54"/>
        <v>#DIV/0!</v>
      </c>
      <c r="L53" s="2" t="e">
        <f t="shared" si="54"/>
        <v>#DIV/0!</v>
      </c>
      <c r="M53" s="2" t="e">
        <f t="shared" si="54"/>
        <v>#DIV/0!</v>
      </c>
      <c r="N53" s="19" t="e">
        <f t="shared" si="54"/>
        <v>#DIV/0!</v>
      </c>
      <c r="O53" s="19" t="e">
        <f t="shared" si="54"/>
        <v>#DIV/0!</v>
      </c>
      <c r="P53" s="2" t="e">
        <f t="shared" si="54"/>
        <v>#DIV/0!</v>
      </c>
      <c r="S53" s="3" t="e">
        <f t="shared" ref="S53:AE53" si="55">S45/(D15+D17)</f>
        <v>#DIV/0!</v>
      </c>
      <c r="T53" s="3" t="e">
        <f t="shared" si="55"/>
        <v>#DIV/0!</v>
      </c>
      <c r="U53" s="3" t="e">
        <f t="shared" si="55"/>
        <v>#DIV/0!</v>
      </c>
      <c r="V53" s="3" t="e">
        <f t="shared" si="55"/>
        <v>#DIV/0!</v>
      </c>
      <c r="W53" s="3" t="e">
        <f t="shared" si="55"/>
        <v>#DIV/0!</v>
      </c>
      <c r="X53" s="3" t="e">
        <f t="shared" si="55"/>
        <v>#DIV/0!</v>
      </c>
      <c r="Y53" s="3" t="e">
        <f t="shared" si="55"/>
        <v>#DIV/0!</v>
      </c>
      <c r="Z53" s="3" t="e">
        <f t="shared" si="55"/>
        <v>#DIV/0!</v>
      </c>
      <c r="AA53" s="3" t="e">
        <f t="shared" si="55"/>
        <v>#DIV/0!</v>
      </c>
      <c r="AB53" s="3" t="e">
        <f t="shared" si="55"/>
        <v>#DIV/0!</v>
      </c>
      <c r="AC53" s="24" t="e">
        <f t="shared" si="55"/>
        <v>#DIV/0!</v>
      </c>
      <c r="AD53" s="24" t="e">
        <f t="shared" si="55"/>
        <v>#DIV/0!</v>
      </c>
      <c r="AE53" s="3" t="e">
        <f t="shared" si="55"/>
        <v>#DIV/0!</v>
      </c>
    </row>
    <row r="54" spans="1:32" x14ac:dyDescent="0.3">
      <c r="A54" t="s">
        <v>80</v>
      </c>
      <c r="D54" s="2">
        <f t="shared" ref="D54:P54" si="56">D46/(D19)</f>
        <v>66305.333333333328</v>
      </c>
      <c r="E54" s="2">
        <f t="shared" si="56"/>
        <v>48653</v>
      </c>
      <c r="F54" s="2">
        <f t="shared" si="56"/>
        <v>54909.833333333336</v>
      </c>
      <c r="G54" s="2">
        <f t="shared" si="56"/>
        <v>54492.5</v>
      </c>
      <c r="H54" s="2">
        <f t="shared" si="56"/>
        <v>55565.333333333336</v>
      </c>
      <c r="I54" s="2">
        <f t="shared" si="56"/>
        <v>42444</v>
      </c>
      <c r="J54" s="2">
        <f t="shared" si="56"/>
        <v>41374.666666666664</v>
      </c>
      <c r="K54" s="2">
        <f t="shared" si="56"/>
        <v>36040.833333333336</v>
      </c>
      <c r="L54" s="2">
        <f t="shared" si="56"/>
        <v>50857.5</v>
      </c>
      <c r="M54" s="2">
        <f t="shared" si="56"/>
        <v>46007.166666666664</v>
      </c>
      <c r="N54" s="19">
        <f t="shared" si="56"/>
        <v>45588</v>
      </c>
      <c r="O54" s="19">
        <f t="shared" si="56"/>
        <v>49086.666666666664</v>
      </c>
      <c r="P54" s="2">
        <f t="shared" si="56"/>
        <v>49277.069444444445</v>
      </c>
      <c r="S54" s="3">
        <f t="shared" ref="S54:AE54" si="57">S46/(D19)</f>
        <v>8920.7484400000012</v>
      </c>
      <c r="T54" s="3">
        <f t="shared" si="57"/>
        <v>6612.3528099999994</v>
      </c>
      <c r="U54" s="3">
        <f t="shared" si="57"/>
        <v>7430.5589050000008</v>
      </c>
      <c r="V54" s="3">
        <f t="shared" si="57"/>
        <v>7375.9842249999992</v>
      </c>
      <c r="W54" s="3">
        <f t="shared" si="57"/>
        <v>7516.2786400000005</v>
      </c>
      <c r="X54" s="3">
        <f t="shared" si="57"/>
        <v>5800.4018800000003</v>
      </c>
      <c r="Y54" s="3">
        <f t="shared" si="57"/>
        <v>5660.5651599999992</v>
      </c>
      <c r="Z54" s="3">
        <f t="shared" si="57"/>
        <v>4963.0597750000006</v>
      </c>
      <c r="AA54" s="3">
        <f t="shared" si="57"/>
        <v>6900.6352749999996</v>
      </c>
      <c r="AB54" s="3">
        <f t="shared" si="57"/>
        <v>6266.3571849999998</v>
      </c>
      <c r="AC54" s="24">
        <f t="shared" si="57"/>
        <v>6211.5427599999994</v>
      </c>
      <c r="AD54" s="24">
        <f t="shared" si="57"/>
        <v>6669.0634</v>
      </c>
      <c r="AE54" s="3">
        <f t="shared" si="57"/>
        <v>6693.9623712499997</v>
      </c>
    </row>
    <row r="55" spans="1:32" x14ac:dyDescent="0.3">
      <c r="A55" t="s">
        <v>74</v>
      </c>
      <c r="D55" s="17">
        <f t="shared" ref="D55:P55" si="58">D47/(D21+D23)</f>
        <v>3572081.5</v>
      </c>
      <c r="E55" s="17">
        <f t="shared" si="58"/>
        <v>2558740.5</v>
      </c>
      <c r="F55" s="17">
        <f t="shared" si="58"/>
        <v>2335296</v>
      </c>
      <c r="G55" s="17">
        <f t="shared" si="58"/>
        <v>2227771.5</v>
      </c>
      <c r="H55" s="17">
        <f t="shared" si="58"/>
        <v>2223678.5</v>
      </c>
      <c r="I55" s="17">
        <f t="shared" si="58"/>
        <v>1366989.5</v>
      </c>
      <c r="J55" s="17">
        <f t="shared" si="58"/>
        <v>2005800</v>
      </c>
      <c r="K55" s="17">
        <f t="shared" si="58"/>
        <v>1883212</v>
      </c>
      <c r="L55" s="17">
        <f t="shared" si="58"/>
        <v>2101475</v>
      </c>
      <c r="M55" s="17">
        <f t="shared" si="58"/>
        <v>1940753</v>
      </c>
      <c r="N55" s="29">
        <f t="shared" si="58"/>
        <v>1474803</v>
      </c>
      <c r="O55" s="29">
        <f t="shared" si="58"/>
        <v>2016068.5</v>
      </c>
      <c r="P55" s="17">
        <f t="shared" si="58"/>
        <v>2142222.4166666665</v>
      </c>
      <c r="S55" s="3">
        <f t="shared" ref="S55:AE55" si="59">S47/(D21+D23)</f>
        <v>4423.8649999999998</v>
      </c>
      <c r="T55" s="3">
        <f t="shared" si="59"/>
        <v>4272.6449999999995</v>
      </c>
      <c r="U55" s="3">
        <f t="shared" si="59"/>
        <v>4392.9950000000008</v>
      </c>
      <c r="V55" s="3">
        <f t="shared" si="59"/>
        <v>4438.7849999999999</v>
      </c>
      <c r="W55" s="3">
        <f t="shared" si="59"/>
        <v>4430.665</v>
      </c>
      <c r="X55" s="3">
        <f t="shared" si="59"/>
        <v>4522.8050000000003</v>
      </c>
      <c r="Y55" s="3">
        <f t="shared" si="59"/>
        <v>4482.5550000000003</v>
      </c>
      <c r="Z55" s="3">
        <f t="shared" si="59"/>
        <v>4527.625</v>
      </c>
      <c r="AA55" s="3">
        <f t="shared" si="59"/>
        <v>4339.7150000000001</v>
      </c>
      <c r="AB55" s="3">
        <f t="shared" si="59"/>
        <v>4598.0250000000005</v>
      </c>
      <c r="AC55" s="24">
        <f t="shared" si="59"/>
        <v>4586.0749999999998</v>
      </c>
      <c r="AD55" s="24">
        <f t="shared" si="59"/>
        <v>4675.085</v>
      </c>
      <c r="AE55" s="3">
        <f t="shared" si="59"/>
        <v>4474.2366666666667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24" max="16383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83" zoomScaleNormal="83" workbookViewId="0">
      <pane xSplit="2" ySplit="2" topLeftCell="K33" activePane="bottomRight" state="frozen"/>
      <selection pane="topRight" activeCell="C1" sqref="C1"/>
      <selection pane="bottomLeft" activeCell="A3" sqref="A3"/>
      <selection pane="bottomRight" activeCell="P69" sqref="P69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93</v>
      </c>
      <c r="N1" s="18" t="s">
        <v>57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/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94</v>
      </c>
      <c r="B3" t="s">
        <v>14</v>
      </c>
      <c r="D3" s="5">
        <v>88976</v>
      </c>
      <c r="E3" s="5">
        <v>88964</v>
      </c>
      <c r="F3" s="5">
        <v>89025</v>
      </c>
      <c r="G3" s="5">
        <v>88868</v>
      </c>
      <c r="H3" s="5">
        <v>88850</v>
      </c>
      <c r="I3" s="5">
        <v>88630</v>
      </c>
      <c r="J3" s="5">
        <v>88310</v>
      </c>
      <c r="K3" s="5">
        <v>88128</v>
      </c>
      <c r="L3" s="5">
        <v>88065</v>
      </c>
      <c r="M3" s="5">
        <v>88725</v>
      </c>
      <c r="N3" s="10">
        <v>89472</v>
      </c>
      <c r="O3" s="10">
        <v>89821</v>
      </c>
      <c r="P3" s="2">
        <f>SUM(D3:O3)</f>
        <v>1065834</v>
      </c>
      <c r="Q3" s="2"/>
      <c r="R3" s="13">
        <v>10</v>
      </c>
      <c r="S3" s="3">
        <f t="shared" ref="S3:AD8" si="0">$R3*D3</f>
        <v>889760</v>
      </c>
      <c r="T3" s="3">
        <f t="shared" si="0"/>
        <v>889640</v>
      </c>
      <c r="U3" s="3">
        <f t="shared" si="0"/>
        <v>890250</v>
      </c>
      <c r="V3" s="3">
        <f t="shared" si="0"/>
        <v>888680</v>
      </c>
      <c r="W3" s="3">
        <f t="shared" si="0"/>
        <v>888500</v>
      </c>
      <c r="X3" s="3">
        <f t="shared" si="0"/>
        <v>886300</v>
      </c>
      <c r="Y3" s="3">
        <f t="shared" si="0"/>
        <v>883100</v>
      </c>
      <c r="Z3" s="3">
        <f t="shared" si="0"/>
        <v>881280</v>
      </c>
      <c r="AA3" s="3">
        <f t="shared" si="0"/>
        <v>880650</v>
      </c>
      <c r="AB3" s="3">
        <f t="shared" si="0"/>
        <v>887250</v>
      </c>
      <c r="AC3" s="24">
        <f t="shared" si="0"/>
        <v>894720</v>
      </c>
      <c r="AD3" s="24">
        <f t="shared" si="0"/>
        <v>898210</v>
      </c>
      <c r="AE3" s="3">
        <f>SUM(S3:AD3)</f>
        <v>10658340</v>
      </c>
    </row>
    <row r="4" spans="1:31" x14ac:dyDescent="0.3">
      <c r="B4" t="s">
        <v>83</v>
      </c>
      <c r="D4" s="5">
        <v>10272377.226</v>
      </c>
      <c r="E4" s="5">
        <v>8162810.3540000003</v>
      </c>
      <c r="F4" s="5">
        <v>6676659.0020000003</v>
      </c>
      <c r="G4" s="5">
        <v>4633015.8830000004</v>
      </c>
      <c r="H4" s="5">
        <v>3555969.9049999998</v>
      </c>
      <c r="I4" s="5">
        <v>1787729.6329999999</v>
      </c>
      <c r="J4" s="5">
        <v>1187166.27</v>
      </c>
      <c r="K4" s="5">
        <v>932509.402</v>
      </c>
      <c r="L4" s="5">
        <v>1084923.4080000001</v>
      </c>
      <c r="M4" s="5">
        <v>2299971.99101</v>
      </c>
      <c r="N4" s="10">
        <v>4340953.2687400002</v>
      </c>
      <c r="O4" s="10">
        <v>7631282.9379799999</v>
      </c>
      <c r="P4" s="2">
        <f t="shared" ref="P4:P32" si="1">SUM(D4:O4)</f>
        <v>52565369.280730009</v>
      </c>
      <c r="Q4" s="2"/>
      <c r="R4" s="14">
        <v>0.99468000000000001</v>
      </c>
      <c r="S4" s="3">
        <f t="shared" si="0"/>
        <v>10217728.17915768</v>
      </c>
      <c r="T4" s="3">
        <f t="shared" si="0"/>
        <v>8119384.20291672</v>
      </c>
      <c r="U4" s="3">
        <f t="shared" si="0"/>
        <v>6641139.1761093605</v>
      </c>
      <c r="V4" s="3">
        <f t="shared" si="0"/>
        <v>4608368.23850244</v>
      </c>
      <c r="W4" s="3">
        <f t="shared" si="0"/>
        <v>3537052.1451053997</v>
      </c>
      <c r="X4" s="3">
        <f t="shared" si="0"/>
        <v>1778218.91135244</v>
      </c>
      <c r="Y4" s="3">
        <f t="shared" si="0"/>
        <v>1180850.5454436</v>
      </c>
      <c r="Z4" s="3">
        <f t="shared" si="0"/>
        <v>927548.45198135998</v>
      </c>
      <c r="AA4" s="3">
        <f t="shared" si="0"/>
        <v>1079151.6154694401</v>
      </c>
      <c r="AB4" s="3">
        <f t="shared" si="0"/>
        <v>2287736.140017827</v>
      </c>
      <c r="AC4" s="24">
        <f t="shared" si="0"/>
        <v>4317859.3973503038</v>
      </c>
      <c r="AD4" s="24">
        <f t="shared" si="0"/>
        <v>7590684.5127499467</v>
      </c>
      <c r="AE4" s="3">
        <f t="shared" ref="AE4:AE24" si="2">SUM(S4:AD4)</f>
        <v>52285721.516156517</v>
      </c>
    </row>
    <row r="5" spans="1:31" x14ac:dyDescent="0.3">
      <c r="A5" t="s">
        <v>95</v>
      </c>
      <c r="B5" t="s">
        <v>14</v>
      </c>
      <c r="D5" s="5">
        <v>11765</v>
      </c>
      <c r="E5" s="5">
        <v>11738</v>
      </c>
      <c r="F5" s="5">
        <v>11753</v>
      </c>
      <c r="G5" s="5">
        <v>11734</v>
      </c>
      <c r="H5" s="5">
        <v>11712</v>
      </c>
      <c r="I5" s="5">
        <v>11715</v>
      </c>
      <c r="J5" s="5">
        <v>11630</v>
      </c>
      <c r="K5" s="5">
        <v>11605</v>
      </c>
      <c r="L5" s="5">
        <v>11606</v>
      </c>
      <c r="M5" s="5">
        <v>11635</v>
      </c>
      <c r="N5" s="10">
        <v>11681</v>
      </c>
      <c r="O5" s="10">
        <v>11725</v>
      </c>
      <c r="P5" s="2">
        <f t="shared" si="1"/>
        <v>140299</v>
      </c>
      <c r="Q5" s="2"/>
      <c r="R5" s="13">
        <v>17</v>
      </c>
      <c r="S5" s="3">
        <f t="shared" si="0"/>
        <v>200005</v>
      </c>
      <c r="T5" s="3">
        <f t="shared" si="0"/>
        <v>199546</v>
      </c>
      <c r="U5" s="3">
        <f t="shared" si="0"/>
        <v>199801</v>
      </c>
      <c r="V5" s="3">
        <f t="shared" si="0"/>
        <v>199478</v>
      </c>
      <c r="W5" s="3">
        <f t="shared" si="0"/>
        <v>199104</v>
      </c>
      <c r="X5" s="3">
        <f t="shared" si="0"/>
        <v>199155</v>
      </c>
      <c r="Y5" s="3">
        <f t="shared" si="0"/>
        <v>197710</v>
      </c>
      <c r="Z5" s="3">
        <f t="shared" si="0"/>
        <v>197285</v>
      </c>
      <c r="AA5" s="3">
        <f t="shared" si="0"/>
        <v>197302</v>
      </c>
      <c r="AB5" s="3">
        <f t="shared" si="0"/>
        <v>197795</v>
      </c>
      <c r="AC5" s="24">
        <f t="shared" si="0"/>
        <v>198577</v>
      </c>
      <c r="AD5" s="24">
        <f t="shared" si="0"/>
        <v>199325</v>
      </c>
      <c r="AE5" s="3">
        <f t="shared" si="2"/>
        <v>2385083</v>
      </c>
    </row>
    <row r="6" spans="1:31" x14ac:dyDescent="0.3">
      <c r="B6" t="s">
        <v>83</v>
      </c>
      <c r="D6" s="5">
        <v>5450732.5010000002</v>
      </c>
      <c r="E6" s="5">
        <v>4527842.9179999996</v>
      </c>
      <c r="F6" s="5">
        <v>3572419.7349999999</v>
      </c>
      <c r="G6" s="5">
        <v>2527987.1570000001</v>
      </c>
      <c r="H6" s="5">
        <v>1811702.713</v>
      </c>
      <c r="I6" s="5">
        <v>1131728.6459999999</v>
      </c>
      <c r="J6" s="5">
        <v>863449.05099999998</v>
      </c>
      <c r="K6" s="5">
        <v>764635.30900000001</v>
      </c>
      <c r="L6" s="5">
        <v>839617.86800000002</v>
      </c>
      <c r="M6" s="5">
        <v>1288089.68016</v>
      </c>
      <c r="N6" s="10">
        <v>2236423.0887500001</v>
      </c>
      <c r="O6" s="10">
        <v>3950958.0588000002</v>
      </c>
      <c r="P6" s="2">
        <f t="shared" si="1"/>
        <v>28965586.725710005</v>
      </c>
      <c r="Q6" s="2"/>
      <c r="R6" s="14">
        <v>0.93845999999999996</v>
      </c>
      <c r="S6" s="3">
        <f t="shared" si="0"/>
        <v>5115294.4228884596</v>
      </c>
      <c r="T6" s="3">
        <f t="shared" si="0"/>
        <v>4249199.4648262793</v>
      </c>
      <c r="U6" s="3">
        <f t="shared" si="0"/>
        <v>3352573.0245080995</v>
      </c>
      <c r="V6" s="3">
        <f t="shared" si="0"/>
        <v>2372414.8273582202</v>
      </c>
      <c r="W6" s="3">
        <f t="shared" si="0"/>
        <v>1700210.52804198</v>
      </c>
      <c r="X6" s="3">
        <f t="shared" si="0"/>
        <v>1062082.0651251599</v>
      </c>
      <c r="Y6" s="3">
        <f t="shared" si="0"/>
        <v>810312.39640145993</v>
      </c>
      <c r="Z6" s="3">
        <f t="shared" si="0"/>
        <v>717579.65208413999</v>
      </c>
      <c r="AA6" s="3">
        <f t="shared" si="0"/>
        <v>787947.78440328001</v>
      </c>
      <c r="AB6" s="3">
        <f t="shared" si="0"/>
        <v>1208820.6412429535</v>
      </c>
      <c r="AC6" s="24">
        <f t="shared" si="0"/>
        <v>2098793.6118683252</v>
      </c>
      <c r="AD6" s="24">
        <f t="shared" si="0"/>
        <v>3707816.0998614482</v>
      </c>
      <c r="AE6" s="3">
        <f t="shared" si="2"/>
        <v>27183044.518609807</v>
      </c>
    </row>
    <row r="7" spans="1:31" x14ac:dyDescent="0.3">
      <c r="A7" t="s">
        <v>96</v>
      </c>
      <c r="B7" t="s">
        <v>14</v>
      </c>
      <c r="D7" s="5">
        <v>81</v>
      </c>
      <c r="E7" s="5">
        <v>82</v>
      </c>
      <c r="F7" s="5">
        <v>84</v>
      </c>
      <c r="G7" s="5">
        <v>83</v>
      </c>
      <c r="H7" s="5">
        <v>83</v>
      </c>
      <c r="I7" s="5">
        <v>83</v>
      </c>
      <c r="J7" s="5">
        <v>83</v>
      </c>
      <c r="K7" s="5">
        <v>83</v>
      </c>
      <c r="L7" s="5">
        <v>82</v>
      </c>
      <c r="M7" s="5">
        <v>84</v>
      </c>
      <c r="N7" s="10">
        <v>81</v>
      </c>
      <c r="O7" s="10">
        <v>83</v>
      </c>
      <c r="P7" s="2">
        <f t="shared" si="1"/>
        <v>992</v>
      </c>
      <c r="Q7" s="2"/>
      <c r="R7" s="13">
        <v>50</v>
      </c>
      <c r="S7" s="3">
        <f t="shared" si="0"/>
        <v>4050</v>
      </c>
      <c r="T7" s="3">
        <f t="shared" si="0"/>
        <v>4100</v>
      </c>
      <c r="U7" s="3">
        <f t="shared" si="0"/>
        <v>4200</v>
      </c>
      <c r="V7" s="3">
        <f t="shared" si="0"/>
        <v>4150</v>
      </c>
      <c r="W7" s="3">
        <f t="shared" si="0"/>
        <v>4150</v>
      </c>
      <c r="X7" s="3">
        <f t="shared" si="0"/>
        <v>4150</v>
      </c>
      <c r="Y7" s="3">
        <f t="shared" si="0"/>
        <v>4150</v>
      </c>
      <c r="Z7" s="3">
        <f t="shared" si="0"/>
        <v>4150</v>
      </c>
      <c r="AA7" s="3">
        <f t="shared" si="0"/>
        <v>4100</v>
      </c>
      <c r="AB7" s="3">
        <f t="shared" si="0"/>
        <v>4200</v>
      </c>
      <c r="AC7" s="24">
        <f t="shared" si="0"/>
        <v>4050</v>
      </c>
      <c r="AD7" s="24">
        <f t="shared" si="0"/>
        <v>4150</v>
      </c>
      <c r="AE7" s="3">
        <f t="shared" si="2"/>
        <v>49600</v>
      </c>
    </row>
    <row r="8" spans="1:31" x14ac:dyDescent="0.3">
      <c r="B8" t="s">
        <v>83</v>
      </c>
      <c r="D8" s="5">
        <v>495394.29</v>
      </c>
      <c r="E8" s="5">
        <v>485187.43900000001</v>
      </c>
      <c r="F8" s="5">
        <v>430828.723</v>
      </c>
      <c r="G8" s="5">
        <v>378146.49</v>
      </c>
      <c r="H8" s="5">
        <v>360551.09399999998</v>
      </c>
      <c r="I8" s="5">
        <v>272374.85600000003</v>
      </c>
      <c r="J8" s="5">
        <v>230594.21599999999</v>
      </c>
      <c r="K8" s="5">
        <v>217421.10699999999</v>
      </c>
      <c r="L8" s="5">
        <v>221397.04800000001</v>
      </c>
      <c r="M8" s="5">
        <v>270351.53619000001</v>
      </c>
      <c r="N8" s="10">
        <v>343743.38900000002</v>
      </c>
      <c r="O8" s="10">
        <v>443958.10800000001</v>
      </c>
      <c r="P8" s="2">
        <f t="shared" si="1"/>
        <v>4149948.2961899997</v>
      </c>
      <c r="Q8" s="2"/>
      <c r="R8" s="14">
        <v>0.52148000000000005</v>
      </c>
      <c r="S8" s="3">
        <f t="shared" si="0"/>
        <v>258338.21434920002</v>
      </c>
      <c r="T8" s="3">
        <f t="shared" si="0"/>
        <v>253015.54568972002</v>
      </c>
      <c r="U8" s="3">
        <f t="shared" si="0"/>
        <v>224668.56247004002</v>
      </c>
      <c r="V8" s="3">
        <f t="shared" si="0"/>
        <v>197195.83160520002</v>
      </c>
      <c r="W8" s="3">
        <f t="shared" si="0"/>
        <v>188020.18449912002</v>
      </c>
      <c r="X8" s="3">
        <f t="shared" si="0"/>
        <v>142038.03990688003</v>
      </c>
      <c r="Y8" s="3">
        <f t="shared" si="0"/>
        <v>120250.27175968001</v>
      </c>
      <c r="Z8" s="3">
        <f t="shared" si="0"/>
        <v>113380.75887836001</v>
      </c>
      <c r="AA8" s="3">
        <f t="shared" si="0"/>
        <v>115454.13259104002</v>
      </c>
      <c r="AB8" s="3">
        <f t="shared" si="0"/>
        <v>140982.91909236123</v>
      </c>
      <c r="AC8" s="24">
        <f t="shared" si="0"/>
        <v>179255.30249572004</v>
      </c>
      <c r="AD8" s="24">
        <f t="shared" si="0"/>
        <v>231515.27415984002</v>
      </c>
      <c r="AE8" s="3">
        <f t="shared" si="2"/>
        <v>2164115.0374971619</v>
      </c>
    </row>
    <row r="9" spans="1:31" x14ac:dyDescent="0.3">
      <c r="A9" t="s">
        <v>97</v>
      </c>
      <c r="B9" t="s">
        <v>14</v>
      </c>
      <c r="D9" s="5">
        <v>35</v>
      </c>
      <c r="E9" s="5">
        <v>35</v>
      </c>
      <c r="F9" s="5">
        <v>33</v>
      </c>
      <c r="G9" s="5">
        <v>33</v>
      </c>
      <c r="H9" s="5">
        <v>41</v>
      </c>
      <c r="I9" s="5">
        <v>34</v>
      </c>
      <c r="J9" s="5">
        <v>35</v>
      </c>
      <c r="K9" s="5">
        <v>33</v>
      </c>
      <c r="L9" s="5">
        <v>37</v>
      </c>
      <c r="M9" s="5">
        <v>37</v>
      </c>
      <c r="N9" s="10">
        <v>35</v>
      </c>
      <c r="O9" s="10">
        <v>36</v>
      </c>
      <c r="P9" s="2">
        <f t="shared" si="1"/>
        <v>424</v>
      </c>
      <c r="Q9" s="2"/>
      <c r="R9" s="13">
        <v>0</v>
      </c>
      <c r="S9" s="3">
        <f t="shared" ref="S9:AD11" si="3">$R9*D9</f>
        <v>0</v>
      </c>
      <c r="T9" s="3">
        <f t="shared" si="3"/>
        <v>0</v>
      </c>
      <c r="U9" s="3">
        <f t="shared" si="3"/>
        <v>0</v>
      </c>
      <c r="V9" s="3">
        <f t="shared" si="3"/>
        <v>0</v>
      </c>
      <c r="W9" s="3">
        <f t="shared" si="3"/>
        <v>0</v>
      </c>
      <c r="X9" s="3">
        <f t="shared" si="3"/>
        <v>0</v>
      </c>
      <c r="Y9" s="3">
        <f t="shared" si="3"/>
        <v>0</v>
      </c>
      <c r="Z9" s="3">
        <f t="shared" si="3"/>
        <v>0</v>
      </c>
      <c r="AA9" s="3">
        <f t="shared" si="3"/>
        <v>0</v>
      </c>
      <c r="AB9" s="3">
        <f t="shared" si="3"/>
        <v>0</v>
      </c>
      <c r="AC9" s="24">
        <f t="shared" si="3"/>
        <v>0</v>
      </c>
      <c r="AD9" s="24">
        <f t="shared" si="3"/>
        <v>0</v>
      </c>
      <c r="AE9" s="3">
        <f t="shared" si="2"/>
        <v>0</v>
      </c>
    </row>
    <row r="10" spans="1:31" x14ac:dyDescent="0.3">
      <c r="B10" t="s">
        <v>83</v>
      </c>
      <c r="D10" s="5">
        <v>494043.386</v>
      </c>
      <c r="E10" s="5">
        <v>469772.85100000002</v>
      </c>
      <c r="F10" s="5">
        <v>383541.7</v>
      </c>
      <c r="G10" s="5">
        <v>343660.99400000001</v>
      </c>
      <c r="H10" s="5">
        <v>485559.89600000001</v>
      </c>
      <c r="I10" s="5">
        <v>332743.05099999998</v>
      </c>
      <c r="J10" s="5">
        <v>300399.59600000002</v>
      </c>
      <c r="K10" s="5">
        <v>295017.44</v>
      </c>
      <c r="L10" s="5">
        <v>391757.52500000002</v>
      </c>
      <c r="M10" s="5">
        <v>283526.96899999998</v>
      </c>
      <c r="N10" s="10">
        <v>351155.04499999998</v>
      </c>
      <c r="O10" s="10">
        <v>392856.538</v>
      </c>
      <c r="P10" s="2">
        <f t="shared" si="1"/>
        <v>4524034.9909999995</v>
      </c>
      <c r="Q10" s="2"/>
      <c r="R10" s="14">
        <v>0.32871</v>
      </c>
      <c r="S10" s="3">
        <f t="shared" si="3"/>
        <v>162397.00141206</v>
      </c>
      <c r="T10" s="3">
        <f t="shared" si="3"/>
        <v>154419.03385221001</v>
      </c>
      <c r="U10" s="3">
        <f t="shared" si="3"/>
        <v>126073.992207</v>
      </c>
      <c r="V10" s="3">
        <f t="shared" si="3"/>
        <v>112964.80533774001</v>
      </c>
      <c r="W10" s="3">
        <f t="shared" si="3"/>
        <v>159608.39341416</v>
      </c>
      <c r="X10" s="3">
        <f t="shared" si="3"/>
        <v>109375.96829420999</v>
      </c>
      <c r="Y10" s="3">
        <f t="shared" si="3"/>
        <v>98744.351201160011</v>
      </c>
      <c r="Z10" s="3">
        <f t="shared" si="3"/>
        <v>96975.182702400009</v>
      </c>
      <c r="AA10" s="3">
        <f t="shared" si="3"/>
        <v>128774.61604275001</v>
      </c>
      <c r="AB10" s="3">
        <f t="shared" si="3"/>
        <v>93198.14997998999</v>
      </c>
      <c r="AC10" s="24">
        <f t="shared" si="3"/>
        <v>115428.17484194999</v>
      </c>
      <c r="AD10" s="24">
        <f t="shared" si="3"/>
        <v>129135.87260598</v>
      </c>
      <c r="AE10" s="3">
        <f t="shared" si="2"/>
        <v>1487095.54189161</v>
      </c>
    </row>
    <row r="11" spans="1:31" x14ac:dyDescent="0.3">
      <c r="A11" t="s">
        <v>98</v>
      </c>
      <c r="B11" t="s">
        <v>14</v>
      </c>
      <c r="D11" s="5">
        <v>1</v>
      </c>
      <c r="E11" s="5">
        <v>2</v>
      </c>
      <c r="F11" s="5">
        <v>1</v>
      </c>
      <c r="G11" s="5">
        <v>1</v>
      </c>
      <c r="H11" s="5">
        <v>1</v>
      </c>
      <c r="I11" s="5">
        <v>3</v>
      </c>
      <c r="J11" s="5">
        <v>3</v>
      </c>
      <c r="K11" s="5">
        <v>4</v>
      </c>
      <c r="L11" s="5">
        <v>8</v>
      </c>
      <c r="M11" s="5">
        <v>5</v>
      </c>
      <c r="N11" s="10">
        <v>2</v>
      </c>
      <c r="O11" s="10">
        <v>1</v>
      </c>
      <c r="P11" s="2">
        <f t="shared" si="1"/>
        <v>32</v>
      </c>
      <c r="Q11" s="2"/>
      <c r="R11" s="13">
        <v>0</v>
      </c>
      <c r="S11" s="3">
        <f t="shared" si="3"/>
        <v>0</v>
      </c>
      <c r="T11" s="3">
        <f t="shared" si="3"/>
        <v>0</v>
      </c>
      <c r="U11" s="3">
        <f t="shared" si="3"/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  <c r="Y11" s="3">
        <f t="shared" si="3"/>
        <v>0</v>
      </c>
      <c r="Z11" s="3">
        <f t="shared" si="3"/>
        <v>0</v>
      </c>
      <c r="AA11" s="3">
        <f t="shared" si="3"/>
        <v>0</v>
      </c>
      <c r="AB11" s="3">
        <f t="shared" si="3"/>
        <v>0</v>
      </c>
      <c r="AC11" s="24">
        <f t="shared" si="3"/>
        <v>0</v>
      </c>
      <c r="AD11" s="24">
        <f t="shared" si="3"/>
        <v>0</v>
      </c>
      <c r="AE11" s="3">
        <f t="shared" si="2"/>
        <v>0</v>
      </c>
    </row>
    <row r="12" spans="1:31" x14ac:dyDescent="0.3">
      <c r="B12" t="s">
        <v>83</v>
      </c>
      <c r="D12" s="5">
        <v>9251.7729999999992</v>
      </c>
      <c r="E12" s="5">
        <v>6.5970000000000004</v>
      </c>
      <c r="F12" s="5">
        <v>4.7</v>
      </c>
      <c r="G12" s="5">
        <v>11.268000000000001</v>
      </c>
      <c r="H12" s="5">
        <v>14.234999999999999</v>
      </c>
      <c r="I12" s="5">
        <v>7513.7240000000002</v>
      </c>
      <c r="J12" s="5">
        <v>96025.369000000006</v>
      </c>
      <c r="K12" s="5">
        <v>20339.934000000001</v>
      </c>
      <c r="L12" s="5">
        <v>130256.88</v>
      </c>
      <c r="M12" s="5">
        <v>68656.894</v>
      </c>
      <c r="N12" s="10">
        <v>11166.555</v>
      </c>
      <c r="O12" s="10">
        <v>2976.3829999999998</v>
      </c>
      <c r="P12" s="2">
        <f t="shared" si="1"/>
        <v>346224.31199999992</v>
      </c>
      <c r="Q12" s="2"/>
      <c r="R12" s="14">
        <v>0.55445999999999995</v>
      </c>
      <c r="S12" s="3">
        <f t="shared" ref="S12:AD24" si="4">$R12*D12</f>
        <v>5129.7380575799989</v>
      </c>
      <c r="T12" s="3">
        <f t="shared" si="4"/>
        <v>3.6577726199999998</v>
      </c>
      <c r="U12" s="3">
        <f t="shared" si="4"/>
        <v>2.6059619999999999</v>
      </c>
      <c r="V12" s="3">
        <f t="shared" si="4"/>
        <v>6.24765528</v>
      </c>
      <c r="W12" s="3">
        <f t="shared" si="4"/>
        <v>7.892738099999999</v>
      </c>
      <c r="X12" s="3">
        <f t="shared" si="4"/>
        <v>4166.05940904</v>
      </c>
      <c r="Y12" s="3">
        <f t="shared" si="4"/>
        <v>53242.226095739999</v>
      </c>
      <c r="Z12" s="3">
        <f t="shared" si="4"/>
        <v>11277.67980564</v>
      </c>
      <c r="AA12" s="3">
        <f t="shared" si="4"/>
        <v>72222.229684799997</v>
      </c>
      <c r="AB12" s="3">
        <f t="shared" si="4"/>
        <v>38067.50144724</v>
      </c>
      <c r="AC12" s="24">
        <f t="shared" si="4"/>
        <v>6191.4080852999996</v>
      </c>
      <c r="AD12" s="24">
        <f t="shared" si="4"/>
        <v>1650.2853181799996</v>
      </c>
      <c r="AE12" s="3">
        <f t="shared" si="2"/>
        <v>191967.53203151998</v>
      </c>
    </row>
    <row r="13" spans="1:31" x14ac:dyDescent="0.3">
      <c r="A13" t="s">
        <v>99</v>
      </c>
      <c r="B13" t="s">
        <v>14</v>
      </c>
      <c r="D13" s="5">
        <v>38</v>
      </c>
      <c r="E13" s="5">
        <v>38</v>
      </c>
      <c r="F13" s="5">
        <v>38</v>
      </c>
      <c r="G13" s="5">
        <v>38</v>
      </c>
      <c r="H13" s="5">
        <v>38</v>
      </c>
      <c r="I13" s="5">
        <v>38</v>
      </c>
      <c r="J13" s="5">
        <v>38</v>
      </c>
      <c r="K13" s="5">
        <v>38</v>
      </c>
      <c r="L13" s="5">
        <v>38</v>
      </c>
      <c r="M13" s="5">
        <v>38</v>
      </c>
      <c r="N13" s="10">
        <v>38</v>
      </c>
      <c r="O13" s="10">
        <v>38</v>
      </c>
      <c r="P13" s="2">
        <f t="shared" si="1"/>
        <v>456</v>
      </c>
      <c r="Q13" s="2"/>
      <c r="R13" s="13">
        <v>275</v>
      </c>
      <c r="S13" s="3">
        <f t="shared" si="4"/>
        <v>10450</v>
      </c>
      <c r="T13" s="3">
        <f t="shared" si="4"/>
        <v>10450</v>
      </c>
      <c r="U13" s="3">
        <f t="shared" si="4"/>
        <v>10450</v>
      </c>
      <c r="V13" s="3">
        <f t="shared" si="4"/>
        <v>10450</v>
      </c>
      <c r="W13" s="3">
        <f t="shared" si="4"/>
        <v>10450</v>
      </c>
      <c r="X13" s="3">
        <f t="shared" si="4"/>
        <v>10450</v>
      </c>
      <c r="Y13" s="3">
        <f t="shared" si="4"/>
        <v>10450</v>
      </c>
      <c r="Z13" s="3">
        <f t="shared" si="4"/>
        <v>10450</v>
      </c>
      <c r="AA13" s="3">
        <f t="shared" si="4"/>
        <v>10450</v>
      </c>
      <c r="AB13" s="3">
        <f t="shared" si="4"/>
        <v>10450</v>
      </c>
      <c r="AC13" s="24">
        <f t="shared" si="4"/>
        <v>10450</v>
      </c>
      <c r="AD13" s="24">
        <f t="shared" si="4"/>
        <v>10450</v>
      </c>
      <c r="AE13" s="3">
        <f t="shared" si="2"/>
        <v>125400</v>
      </c>
    </row>
    <row r="14" spans="1:31" x14ac:dyDescent="0.3">
      <c r="B14" t="s">
        <v>83</v>
      </c>
      <c r="D14" s="5">
        <v>373433</v>
      </c>
      <c r="E14" s="5">
        <v>367392</v>
      </c>
      <c r="F14" s="5">
        <v>358999</v>
      </c>
      <c r="G14" s="5">
        <v>370000</v>
      </c>
      <c r="H14" s="5">
        <v>370000</v>
      </c>
      <c r="I14" s="5">
        <v>370000</v>
      </c>
      <c r="J14" s="5">
        <v>356638</v>
      </c>
      <c r="K14" s="5">
        <v>357322</v>
      </c>
      <c r="L14" s="5">
        <v>354406</v>
      </c>
      <c r="M14" s="5">
        <v>365461</v>
      </c>
      <c r="N14" s="10">
        <v>370000</v>
      </c>
      <c r="O14" s="10">
        <v>370000</v>
      </c>
      <c r="P14" s="2">
        <f t="shared" si="1"/>
        <v>4383651</v>
      </c>
      <c r="Q14" s="2"/>
      <c r="R14" s="14">
        <v>0.15</v>
      </c>
      <c r="S14" s="3">
        <f t="shared" si="4"/>
        <v>56014.95</v>
      </c>
      <c r="T14" s="3">
        <f t="shared" si="4"/>
        <v>55108.799999999996</v>
      </c>
      <c r="U14" s="3">
        <f t="shared" si="4"/>
        <v>53849.85</v>
      </c>
      <c r="V14" s="3">
        <f t="shared" si="4"/>
        <v>55500</v>
      </c>
      <c r="W14" s="3">
        <f t="shared" si="4"/>
        <v>55500</v>
      </c>
      <c r="X14" s="3">
        <f t="shared" si="4"/>
        <v>55500</v>
      </c>
      <c r="Y14" s="3">
        <f t="shared" si="4"/>
        <v>53495.7</v>
      </c>
      <c r="Z14" s="3">
        <f t="shared" si="4"/>
        <v>53598.299999999996</v>
      </c>
      <c r="AA14" s="3">
        <f t="shared" si="4"/>
        <v>53160.9</v>
      </c>
      <c r="AB14" s="3">
        <f t="shared" si="4"/>
        <v>54819.15</v>
      </c>
      <c r="AC14" s="24">
        <f t="shared" si="4"/>
        <v>55500</v>
      </c>
      <c r="AD14" s="24">
        <f t="shared" si="4"/>
        <v>55500</v>
      </c>
      <c r="AE14" s="3">
        <f t="shared" si="2"/>
        <v>657547.65</v>
      </c>
    </row>
    <row r="15" spans="1:31" x14ac:dyDescent="0.3">
      <c r="B15" t="s">
        <v>84</v>
      </c>
      <c r="D15" s="5">
        <v>706868</v>
      </c>
      <c r="E15" s="5">
        <v>690830</v>
      </c>
      <c r="F15" s="5">
        <v>647830</v>
      </c>
      <c r="G15" s="5">
        <v>669590</v>
      </c>
      <c r="H15" s="5">
        <v>685406</v>
      </c>
      <c r="I15" s="5">
        <v>678618</v>
      </c>
      <c r="J15" s="5">
        <v>625606</v>
      </c>
      <c r="K15" s="5">
        <v>596239</v>
      </c>
      <c r="L15" s="5">
        <v>600088</v>
      </c>
      <c r="M15" s="5">
        <v>628415</v>
      </c>
      <c r="N15" s="10">
        <v>692956</v>
      </c>
      <c r="O15" s="10">
        <v>690004</v>
      </c>
      <c r="P15" s="2">
        <f t="shared" si="1"/>
        <v>7912450</v>
      </c>
      <c r="Q15" s="2"/>
      <c r="R15" s="14">
        <v>9.0359999999999996E-2</v>
      </c>
      <c r="S15" s="3">
        <f t="shared" si="4"/>
        <v>63872.592479999999</v>
      </c>
      <c r="T15" s="3">
        <f t="shared" si="4"/>
        <v>62423.398799999995</v>
      </c>
      <c r="U15" s="3">
        <f t="shared" si="4"/>
        <v>58537.918799999999</v>
      </c>
      <c r="V15" s="3">
        <f t="shared" si="4"/>
        <v>60504.152399999999</v>
      </c>
      <c r="W15" s="3">
        <f t="shared" si="4"/>
        <v>61933.286159999996</v>
      </c>
      <c r="X15" s="3">
        <f t="shared" si="4"/>
        <v>61319.922479999994</v>
      </c>
      <c r="Y15" s="3">
        <f t="shared" si="4"/>
        <v>56529.758159999998</v>
      </c>
      <c r="Z15" s="3">
        <f t="shared" si="4"/>
        <v>53876.156039999994</v>
      </c>
      <c r="AA15" s="3">
        <f t="shared" si="4"/>
        <v>54223.951679999998</v>
      </c>
      <c r="AB15" s="3">
        <f t="shared" si="4"/>
        <v>56783.579399999995</v>
      </c>
      <c r="AC15" s="24">
        <f t="shared" si="4"/>
        <v>62615.504159999997</v>
      </c>
      <c r="AD15" s="24">
        <f t="shared" si="4"/>
        <v>62348.761439999995</v>
      </c>
      <c r="AE15" s="3">
        <f t="shared" si="2"/>
        <v>714968.98200000008</v>
      </c>
    </row>
    <row r="16" spans="1:31" x14ac:dyDescent="0.3">
      <c r="B16" t="s">
        <v>85</v>
      </c>
      <c r="D16" s="5">
        <v>547399</v>
      </c>
      <c r="E16" s="5">
        <v>567506</v>
      </c>
      <c r="F16" s="5">
        <v>534663</v>
      </c>
      <c r="G16" s="5">
        <v>532796</v>
      </c>
      <c r="H16" s="5">
        <v>560601</v>
      </c>
      <c r="I16" s="5">
        <v>516655</v>
      </c>
      <c r="J16" s="5">
        <v>505602</v>
      </c>
      <c r="K16" s="5">
        <v>497371</v>
      </c>
      <c r="L16" s="5">
        <v>483286</v>
      </c>
      <c r="M16" s="5">
        <v>487427</v>
      </c>
      <c r="N16" s="10">
        <v>559490</v>
      </c>
      <c r="O16" s="10">
        <v>563780</v>
      </c>
      <c r="P16" s="2">
        <f t="shared" si="1"/>
        <v>6356576</v>
      </c>
      <c r="Q16" s="2"/>
      <c r="R16" s="14">
        <v>7.4310000000000001E-2</v>
      </c>
      <c r="S16" s="3">
        <f t="shared" si="4"/>
        <v>40677.219689999998</v>
      </c>
      <c r="T16" s="3">
        <f t="shared" si="4"/>
        <v>42171.370860000003</v>
      </c>
      <c r="U16" s="3">
        <f t="shared" si="4"/>
        <v>39730.807529999998</v>
      </c>
      <c r="V16" s="3">
        <f t="shared" si="4"/>
        <v>39592.070760000002</v>
      </c>
      <c r="W16" s="3">
        <f t="shared" si="4"/>
        <v>41658.260309999998</v>
      </c>
      <c r="X16" s="3">
        <f t="shared" si="4"/>
        <v>38392.633050000004</v>
      </c>
      <c r="Y16" s="3">
        <f t="shared" si="4"/>
        <v>37571.284619999999</v>
      </c>
      <c r="Z16" s="3">
        <f t="shared" si="4"/>
        <v>36959.639009999999</v>
      </c>
      <c r="AA16" s="3">
        <f t="shared" si="4"/>
        <v>35912.982660000001</v>
      </c>
      <c r="AB16" s="3">
        <f t="shared" si="4"/>
        <v>36220.700369999999</v>
      </c>
      <c r="AC16" s="24">
        <f t="shared" si="4"/>
        <v>41575.7019</v>
      </c>
      <c r="AD16" s="24">
        <f t="shared" si="4"/>
        <v>41894.491800000003</v>
      </c>
      <c r="AE16" s="3">
        <f t="shared" si="2"/>
        <v>472357.16255999991</v>
      </c>
    </row>
    <row r="17" spans="1:32" x14ac:dyDescent="0.3">
      <c r="B17" t="s">
        <v>86</v>
      </c>
      <c r="D17" s="5">
        <v>2019739</v>
      </c>
      <c r="E17" s="5">
        <v>2351253</v>
      </c>
      <c r="F17" s="5">
        <v>1900254</v>
      </c>
      <c r="G17" s="5">
        <v>2014860</v>
      </c>
      <c r="H17" s="5">
        <v>2063827</v>
      </c>
      <c r="I17" s="5">
        <v>1603396</v>
      </c>
      <c r="J17" s="5">
        <v>1541236</v>
      </c>
      <c r="K17" s="5">
        <v>1286323</v>
      </c>
      <c r="L17" s="5">
        <v>1416803</v>
      </c>
      <c r="M17" s="5">
        <v>1264113</v>
      </c>
      <c r="N17" s="10">
        <v>1905828</v>
      </c>
      <c r="O17" s="10">
        <v>1921314</v>
      </c>
      <c r="P17" s="2">
        <f t="shared" si="1"/>
        <v>21288946</v>
      </c>
      <c r="Q17" s="2"/>
      <c r="R17" s="14">
        <v>5.8209999999999998E-2</v>
      </c>
      <c r="S17" s="3">
        <f t="shared" si="4"/>
        <v>117569.00718999999</v>
      </c>
      <c r="T17" s="3">
        <f t="shared" si="4"/>
        <v>136866.43713000001</v>
      </c>
      <c r="U17" s="3">
        <f t="shared" si="4"/>
        <v>110613.78534</v>
      </c>
      <c r="V17" s="3">
        <f t="shared" si="4"/>
        <v>117285.0006</v>
      </c>
      <c r="W17" s="3">
        <f t="shared" si="4"/>
        <v>120135.36967</v>
      </c>
      <c r="X17" s="3">
        <f t="shared" si="4"/>
        <v>93333.681159999993</v>
      </c>
      <c r="Y17" s="3">
        <f t="shared" si="4"/>
        <v>89715.347559999995</v>
      </c>
      <c r="Z17" s="3">
        <f t="shared" si="4"/>
        <v>74876.861829999994</v>
      </c>
      <c r="AA17" s="3">
        <f t="shared" si="4"/>
        <v>82472.102629999994</v>
      </c>
      <c r="AB17" s="3">
        <f t="shared" si="4"/>
        <v>73584.017729999992</v>
      </c>
      <c r="AC17" s="24">
        <f t="shared" si="4"/>
        <v>110938.24788</v>
      </c>
      <c r="AD17" s="24">
        <f t="shared" si="4"/>
        <v>111839.68793999999</v>
      </c>
      <c r="AE17" s="3">
        <f t="shared" ref="AE17" si="5">SUM(S17:AD17)</f>
        <v>1239229.54666</v>
      </c>
    </row>
    <row r="18" spans="1:32" x14ac:dyDescent="0.3">
      <c r="B18" t="s">
        <v>87</v>
      </c>
      <c r="D18" s="5">
        <v>25009</v>
      </c>
      <c r="E18" s="5">
        <v>42649</v>
      </c>
      <c r="F18" s="5">
        <v>17576</v>
      </c>
      <c r="G18" s="5">
        <v>60453</v>
      </c>
      <c r="H18" s="5">
        <v>45299</v>
      </c>
      <c r="I18" s="5">
        <v>2960</v>
      </c>
      <c r="J18" s="5">
        <v>217</v>
      </c>
      <c r="K18" s="5">
        <v>0</v>
      </c>
      <c r="L18" s="5">
        <v>50838</v>
      </c>
      <c r="M18" s="5">
        <v>29732</v>
      </c>
      <c r="N18" s="10">
        <v>98847</v>
      </c>
      <c r="O18" s="10">
        <v>58564</v>
      </c>
      <c r="P18" s="2">
        <f t="shared" si="1"/>
        <v>432144</v>
      </c>
      <c r="Q18" s="2"/>
      <c r="R18" s="14">
        <v>2.964E-2</v>
      </c>
      <c r="S18" s="3">
        <f t="shared" si="4"/>
        <v>741.26675999999998</v>
      </c>
      <c r="T18" s="3">
        <f t="shared" si="4"/>
        <v>1264.11636</v>
      </c>
      <c r="U18" s="3">
        <f t="shared" si="4"/>
        <v>520.95263999999997</v>
      </c>
      <c r="V18" s="3">
        <f t="shared" si="4"/>
        <v>1791.82692</v>
      </c>
      <c r="W18" s="3">
        <f t="shared" si="4"/>
        <v>1342.66236</v>
      </c>
      <c r="X18" s="3">
        <f t="shared" si="4"/>
        <v>87.734399999999994</v>
      </c>
      <c r="Y18" s="3">
        <f t="shared" si="4"/>
        <v>6.4318799999999996</v>
      </c>
      <c r="Z18" s="3">
        <f t="shared" si="4"/>
        <v>0</v>
      </c>
      <c r="AA18" s="3">
        <f t="shared" si="4"/>
        <v>1506.8383200000001</v>
      </c>
      <c r="AB18" s="3">
        <f t="shared" si="4"/>
        <v>881.25648000000001</v>
      </c>
      <c r="AC18" s="24">
        <f t="shared" si="4"/>
        <v>2929.8250800000001</v>
      </c>
      <c r="AD18" s="24">
        <f t="shared" si="4"/>
        <v>1735.8369600000001</v>
      </c>
      <c r="AE18" s="3">
        <f t="shared" si="2"/>
        <v>12808.748160000001</v>
      </c>
    </row>
    <row r="19" spans="1:32" x14ac:dyDescent="0.3">
      <c r="A19" s="16" t="s">
        <v>101</v>
      </c>
      <c r="B19" t="s">
        <v>14</v>
      </c>
      <c r="D19" s="5">
        <v>1</v>
      </c>
      <c r="E19" s="5">
        <v>2</v>
      </c>
      <c r="F19" s="5">
        <v>1</v>
      </c>
      <c r="G19" s="5">
        <v>2</v>
      </c>
      <c r="H19" s="5">
        <v>2</v>
      </c>
      <c r="I19" s="5">
        <v>1</v>
      </c>
      <c r="J19" s="5">
        <v>1</v>
      </c>
      <c r="K19" s="5">
        <v>2</v>
      </c>
      <c r="L19" s="5">
        <v>2</v>
      </c>
      <c r="M19" s="5">
        <v>2</v>
      </c>
      <c r="N19" s="10">
        <v>2</v>
      </c>
      <c r="O19" s="10">
        <v>2</v>
      </c>
      <c r="P19" s="2">
        <f t="shared" ref="P19:P20" si="6">SUM(D19:O19)</f>
        <v>20</v>
      </c>
      <c r="Q19" s="2"/>
      <c r="R19" s="13">
        <v>0</v>
      </c>
      <c r="S19" s="3">
        <f t="shared" ref="S19:S20" si="7">$R19*D19</f>
        <v>0</v>
      </c>
      <c r="T19" s="3">
        <f t="shared" ref="T19:T20" si="8">$R19*E19</f>
        <v>0</v>
      </c>
      <c r="U19" s="3">
        <f t="shared" ref="U19:U20" si="9">$R19*F19</f>
        <v>0</v>
      </c>
      <c r="V19" s="3">
        <f t="shared" ref="V19:V20" si="10">$R19*G19</f>
        <v>0</v>
      </c>
      <c r="W19" s="3">
        <f t="shared" ref="W19:W20" si="11">$R19*H19</f>
        <v>0</v>
      </c>
      <c r="X19" s="3">
        <f t="shared" ref="X19:X20" si="12">$R19*I19</f>
        <v>0</v>
      </c>
      <c r="Y19" s="3">
        <f t="shared" ref="Y19:Y20" si="13">$R19*J19</f>
        <v>0</v>
      </c>
      <c r="Z19" s="3">
        <f t="shared" ref="Z19:Z20" si="14">$R19*K19</f>
        <v>0</v>
      </c>
      <c r="AA19" s="3">
        <f t="shared" ref="AA19:AA20" si="15">$R19*L19</f>
        <v>0</v>
      </c>
      <c r="AB19" s="3">
        <f t="shared" ref="AB19:AB20" si="16">$R19*M19</f>
        <v>0</v>
      </c>
      <c r="AC19" s="24">
        <f t="shared" ref="AC19:AC20" si="17">$R19*N19</f>
        <v>0</v>
      </c>
      <c r="AD19" s="24">
        <f t="shared" ref="AD19:AD20" si="18">$R19*O19</f>
        <v>0</v>
      </c>
      <c r="AE19" s="3">
        <f t="shared" ref="AE19:AE20" si="19">SUM(S19:AD19)</f>
        <v>0</v>
      </c>
    </row>
    <row r="20" spans="1:32" x14ac:dyDescent="0.3">
      <c r="A20" s="16"/>
      <c r="B20" t="s">
        <v>88</v>
      </c>
      <c r="D20" s="5">
        <v>174246</v>
      </c>
      <c r="E20" s="5">
        <v>198741</v>
      </c>
      <c r="F20" s="5">
        <v>194058</v>
      </c>
      <c r="G20" s="5">
        <v>214134</v>
      </c>
      <c r="H20" s="5">
        <v>194867</v>
      </c>
      <c r="I20" s="5">
        <v>200342</v>
      </c>
      <c r="J20" s="5">
        <v>193211</v>
      </c>
      <c r="K20" s="5">
        <v>197093</v>
      </c>
      <c r="L20" s="5">
        <v>210434</v>
      </c>
      <c r="M20" s="5">
        <v>198096</v>
      </c>
      <c r="N20" s="10">
        <v>221817</v>
      </c>
      <c r="O20" s="10">
        <v>192243</v>
      </c>
      <c r="P20" s="2">
        <f t="shared" si="6"/>
        <v>2389282</v>
      </c>
      <c r="Q20" s="2"/>
      <c r="R20" s="14">
        <v>2.75E-2</v>
      </c>
      <c r="S20" s="3">
        <f t="shared" si="7"/>
        <v>4791.7650000000003</v>
      </c>
      <c r="T20" s="3">
        <f t="shared" si="8"/>
        <v>5465.3774999999996</v>
      </c>
      <c r="U20" s="3">
        <f t="shared" si="9"/>
        <v>5336.5950000000003</v>
      </c>
      <c r="V20" s="3">
        <f t="shared" si="10"/>
        <v>5888.6850000000004</v>
      </c>
      <c r="W20" s="3">
        <f t="shared" si="11"/>
        <v>5358.8424999999997</v>
      </c>
      <c r="X20" s="3">
        <f t="shared" si="12"/>
        <v>5509.4049999999997</v>
      </c>
      <c r="Y20" s="3">
        <f t="shared" si="13"/>
        <v>5313.3024999999998</v>
      </c>
      <c r="Z20" s="3">
        <f t="shared" si="14"/>
        <v>5420.0574999999999</v>
      </c>
      <c r="AA20" s="3">
        <f t="shared" si="15"/>
        <v>5786.9350000000004</v>
      </c>
      <c r="AB20" s="3">
        <f t="shared" si="16"/>
        <v>5447.64</v>
      </c>
      <c r="AC20" s="24">
        <f t="shared" si="17"/>
        <v>6099.9674999999997</v>
      </c>
      <c r="AD20" s="24">
        <f t="shared" si="18"/>
        <v>5286.6824999999999</v>
      </c>
      <c r="AE20" s="3">
        <f t="shared" si="19"/>
        <v>65705.25499999999</v>
      </c>
    </row>
    <row r="21" spans="1:32" ht="14.4" customHeight="1" x14ac:dyDescent="0.3">
      <c r="A21" s="16" t="s">
        <v>102</v>
      </c>
      <c r="B21" t="s">
        <v>14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10">
        <v>1</v>
      </c>
      <c r="O21" s="10">
        <v>1</v>
      </c>
      <c r="P21" s="2">
        <f t="shared" si="1"/>
        <v>12</v>
      </c>
      <c r="Q21" s="2"/>
      <c r="R21" s="13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4">
        <f t="shared" si="4"/>
        <v>0</v>
      </c>
      <c r="AD21" s="24">
        <f t="shared" si="4"/>
        <v>0</v>
      </c>
      <c r="AE21" s="3">
        <f t="shared" si="2"/>
        <v>0</v>
      </c>
    </row>
    <row r="22" spans="1:32" x14ac:dyDescent="0.3">
      <c r="A22" s="16"/>
      <c r="B22" t="s">
        <v>88</v>
      </c>
      <c r="D22" s="5">
        <v>265784</v>
      </c>
      <c r="E22" s="5">
        <v>314160</v>
      </c>
      <c r="F22" s="5">
        <v>284816</v>
      </c>
      <c r="G22" s="5">
        <v>332660</v>
      </c>
      <c r="H22" s="5">
        <v>316978</v>
      </c>
      <c r="I22" s="5">
        <v>315747</v>
      </c>
      <c r="J22" s="5">
        <v>308805</v>
      </c>
      <c r="K22" s="5">
        <v>300702</v>
      </c>
      <c r="L22" s="5">
        <v>308873</v>
      </c>
      <c r="M22" s="5">
        <v>282357</v>
      </c>
      <c r="N22" s="10">
        <v>345013</v>
      </c>
      <c r="O22" s="10">
        <v>311209</v>
      </c>
      <c r="P22" s="2">
        <f t="shared" si="1"/>
        <v>3687104</v>
      </c>
      <c r="Q22" s="2"/>
      <c r="R22" s="14">
        <v>2.5000000000000001E-2</v>
      </c>
      <c r="S22" s="3">
        <f t="shared" si="4"/>
        <v>6644.6</v>
      </c>
      <c r="T22" s="3">
        <f t="shared" si="4"/>
        <v>7854</v>
      </c>
      <c r="U22" s="3">
        <f t="shared" si="4"/>
        <v>7120.4000000000005</v>
      </c>
      <c r="V22" s="3">
        <f t="shared" si="4"/>
        <v>8316.5</v>
      </c>
      <c r="W22" s="3">
        <f t="shared" si="4"/>
        <v>7924.4500000000007</v>
      </c>
      <c r="X22" s="3">
        <f t="shared" si="4"/>
        <v>7893.6750000000002</v>
      </c>
      <c r="Y22" s="3">
        <f t="shared" si="4"/>
        <v>7720.125</v>
      </c>
      <c r="Z22" s="3">
        <f t="shared" si="4"/>
        <v>7517.55</v>
      </c>
      <c r="AA22" s="3">
        <f t="shared" si="4"/>
        <v>7721.8250000000007</v>
      </c>
      <c r="AB22" s="3">
        <f t="shared" si="4"/>
        <v>7058.9250000000002</v>
      </c>
      <c r="AC22" s="24">
        <f t="shared" si="4"/>
        <v>8625.3250000000007</v>
      </c>
      <c r="AD22" s="24">
        <f t="shared" si="4"/>
        <v>7780.2250000000004</v>
      </c>
      <c r="AE22" s="3">
        <f t="shared" si="2"/>
        <v>92177.600000000006</v>
      </c>
    </row>
    <row r="23" spans="1:32" x14ac:dyDescent="0.3">
      <c r="A23" s="16" t="s">
        <v>103</v>
      </c>
      <c r="B23" t="s">
        <v>14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10"/>
      <c r="O23" s="10"/>
      <c r="P23" s="2">
        <f t="shared" si="1"/>
        <v>0</v>
      </c>
      <c r="Q23" s="2"/>
      <c r="R23" s="13">
        <v>0</v>
      </c>
      <c r="S23" s="3">
        <f t="shared" si="4"/>
        <v>0</v>
      </c>
      <c r="T23" s="3">
        <f t="shared" si="4"/>
        <v>0</v>
      </c>
      <c r="U23" s="3">
        <f t="shared" si="4"/>
        <v>0</v>
      </c>
      <c r="V23" s="3">
        <f t="shared" si="4"/>
        <v>0</v>
      </c>
      <c r="W23" s="3">
        <f t="shared" si="4"/>
        <v>0</v>
      </c>
      <c r="X23" s="3">
        <f t="shared" si="4"/>
        <v>0</v>
      </c>
      <c r="Y23" s="3">
        <f t="shared" si="4"/>
        <v>0</v>
      </c>
      <c r="Z23" s="3">
        <f t="shared" si="4"/>
        <v>0</v>
      </c>
      <c r="AA23" s="3">
        <f t="shared" si="4"/>
        <v>0</v>
      </c>
      <c r="AB23" s="3">
        <f t="shared" si="4"/>
        <v>0</v>
      </c>
      <c r="AC23" s="24">
        <f t="shared" si="4"/>
        <v>0</v>
      </c>
      <c r="AD23" s="24">
        <f t="shared" si="4"/>
        <v>0</v>
      </c>
      <c r="AE23" s="3">
        <f t="shared" si="2"/>
        <v>0</v>
      </c>
    </row>
    <row r="24" spans="1:32" x14ac:dyDescent="0.3">
      <c r="A24" s="16"/>
      <c r="B24" t="s">
        <v>88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10"/>
      <c r="O24" s="10"/>
      <c r="P24" s="2">
        <f t="shared" si="1"/>
        <v>0</v>
      </c>
      <c r="Q24" s="2"/>
      <c r="R24" s="15">
        <v>0</v>
      </c>
      <c r="S24" s="3">
        <f t="shared" si="4"/>
        <v>0</v>
      </c>
      <c r="T24" s="3">
        <f t="shared" ref="T24" si="20">$R24*E24</f>
        <v>0</v>
      </c>
      <c r="U24" s="3">
        <f t="shared" ref="U24" si="21">$R24*F24</f>
        <v>0</v>
      </c>
      <c r="V24" s="3">
        <f t="shared" ref="V24" si="22">$R24*G24</f>
        <v>0</v>
      </c>
      <c r="W24" s="3">
        <f t="shared" ref="W24" si="23">$R24*H24</f>
        <v>0</v>
      </c>
      <c r="X24" s="3">
        <f t="shared" ref="X24" si="24">$R24*I24</f>
        <v>0</v>
      </c>
      <c r="Y24" s="3">
        <f t="shared" ref="Y24" si="25">$R24*J24</f>
        <v>0</v>
      </c>
      <c r="Z24" s="3">
        <f t="shared" ref="Z24" si="26">$R24*K24</f>
        <v>0</v>
      </c>
      <c r="AA24" s="3">
        <f t="shared" ref="AA24" si="27">$R24*L24</f>
        <v>0</v>
      </c>
      <c r="AB24" s="3">
        <f t="shared" ref="AB24" si="28">$R24*M24</f>
        <v>0</v>
      </c>
      <c r="AC24" s="24">
        <f t="shared" ref="AC24" si="29">$R24*N24</f>
        <v>0</v>
      </c>
      <c r="AD24" s="24">
        <f t="shared" ref="AD24" si="30">$R24*O24</f>
        <v>0</v>
      </c>
      <c r="AE24" s="3">
        <f t="shared" si="2"/>
        <v>0</v>
      </c>
    </row>
    <row r="26" spans="1:32" x14ac:dyDescent="0.3">
      <c r="A26" t="s">
        <v>94</v>
      </c>
      <c r="B26" t="s">
        <v>26</v>
      </c>
      <c r="D26" s="5">
        <v>5042779</v>
      </c>
      <c r="E26" s="5">
        <v>3401294</v>
      </c>
      <c r="F26" s="5">
        <v>2444900</v>
      </c>
      <c r="G26" s="5">
        <v>2161147</v>
      </c>
      <c r="H26" s="5">
        <v>1010893</v>
      </c>
      <c r="I26" s="5">
        <v>699511</v>
      </c>
      <c r="J26" s="5">
        <v>561881</v>
      </c>
      <c r="K26" s="5">
        <v>734098</v>
      </c>
      <c r="L26" s="5">
        <v>986805</v>
      </c>
      <c r="M26" s="5">
        <v>2319774</v>
      </c>
      <c r="N26" s="10">
        <v>3870554</v>
      </c>
      <c r="O26" s="10">
        <v>5295935</v>
      </c>
      <c r="P26" s="2">
        <f t="shared" si="1"/>
        <v>28529571</v>
      </c>
      <c r="Q26" s="2"/>
      <c r="S26" s="3">
        <f t="shared" ref="S26:AD26" si="31">SUM(S4:S4)/SUM(D4:D4)*D26</f>
        <v>5015951.4157199999</v>
      </c>
      <c r="T26" s="3">
        <f t="shared" si="31"/>
        <v>3383199.1159200002</v>
      </c>
      <c r="U26" s="3">
        <f t="shared" si="31"/>
        <v>2431893.1320000002</v>
      </c>
      <c r="V26" s="3">
        <f t="shared" si="31"/>
        <v>2149649.6979599996</v>
      </c>
      <c r="W26" s="3">
        <f t="shared" si="31"/>
        <v>1005515.04924</v>
      </c>
      <c r="X26" s="3">
        <f t="shared" si="31"/>
        <v>695789.60147999995</v>
      </c>
      <c r="Y26" s="3">
        <f t="shared" si="31"/>
        <v>558891.79307999997</v>
      </c>
      <c r="Z26" s="3">
        <f t="shared" si="31"/>
        <v>730192.59863999998</v>
      </c>
      <c r="AA26" s="3">
        <f t="shared" si="31"/>
        <v>981555.19740000006</v>
      </c>
      <c r="AB26" s="3">
        <f t="shared" si="31"/>
        <v>2307432.8023200002</v>
      </c>
      <c r="AC26" s="24">
        <f t="shared" si="31"/>
        <v>3849962.6527200006</v>
      </c>
      <c r="AD26" s="24">
        <f t="shared" si="31"/>
        <v>5267760.6258000005</v>
      </c>
      <c r="AE26" s="3">
        <f>SUM(S26:AD26)</f>
        <v>28377793.682280004</v>
      </c>
      <c r="AF26" t="s">
        <v>30</v>
      </c>
    </row>
    <row r="27" spans="1:32" x14ac:dyDescent="0.3">
      <c r="B27" t="s">
        <v>27</v>
      </c>
      <c r="D27" s="5">
        <v>-5372423</v>
      </c>
      <c r="E27" s="5">
        <v>-5042779</v>
      </c>
      <c r="F27" s="5">
        <v>-3401294</v>
      </c>
      <c r="G27" s="5">
        <v>-2444900</v>
      </c>
      <c r="H27" s="5">
        <v>-2161147</v>
      </c>
      <c r="I27" s="5">
        <v>-1010893</v>
      </c>
      <c r="J27" s="5">
        <v>-699511</v>
      </c>
      <c r="K27" s="5">
        <v>-561881</v>
      </c>
      <c r="L27" s="5">
        <v>-734098</v>
      </c>
      <c r="M27" s="5">
        <v>-986805</v>
      </c>
      <c r="N27" s="10">
        <v>-2319774</v>
      </c>
      <c r="O27" s="10">
        <v>-3870554</v>
      </c>
      <c r="P27" s="2">
        <f t="shared" si="1"/>
        <v>-28606059</v>
      </c>
      <c r="Q27" s="2"/>
      <c r="S27" s="3">
        <f>SUM(S4:S4)/SUM(D4:D4)*D27</f>
        <v>-5343841.70964</v>
      </c>
      <c r="T27" s="3">
        <f>-S26</f>
        <v>-5015951.4157199999</v>
      </c>
      <c r="U27" s="3">
        <f t="shared" ref="U27:AD27" si="32">-T26</f>
        <v>-3383199.1159200002</v>
      </c>
      <c r="V27" s="3">
        <f t="shared" si="32"/>
        <v>-2431893.1320000002</v>
      </c>
      <c r="W27" s="3">
        <f t="shared" si="32"/>
        <v>-2149649.6979599996</v>
      </c>
      <c r="X27" s="3">
        <f t="shared" si="32"/>
        <v>-1005515.04924</v>
      </c>
      <c r="Y27" s="3">
        <f t="shared" si="32"/>
        <v>-695789.60147999995</v>
      </c>
      <c r="Z27" s="3">
        <f t="shared" si="32"/>
        <v>-558891.79307999997</v>
      </c>
      <c r="AA27" s="3">
        <f t="shared" si="32"/>
        <v>-730192.59863999998</v>
      </c>
      <c r="AB27" s="3">
        <f t="shared" si="32"/>
        <v>-981555.19740000006</v>
      </c>
      <c r="AC27" s="24">
        <f t="shared" si="32"/>
        <v>-2307432.8023200002</v>
      </c>
      <c r="AD27" s="24">
        <f t="shared" si="32"/>
        <v>-3849962.6527200006</v>
      </c>
      <c r="AE27" s="3">
        <f>SUM(S27:AD27)</f>
        <v>-28453874.766119998</v>
      </c>
      <c r="AF27" t="s">
        <v>31</v>
      </c>
    </row>
    <row r="28" spans="1:32" x14ac:dyDescent="0.3">
      <c r="B28" t="s">
        <v>25</v>
      </c>
      <c r="D28" s="6">
        <f>D26+D27</f>
        <v>-329644</v>
      </c>
      <c r="E28" s="6">
        <f t="shared" ref="E28:O28" si="33">E26+E27</f>
        <v>-1641485</v>
      </c>
      <c r="F28" s="6">
        <f t="shared" si="33"/>
        <v>-956394</v>
      </c>
      <c r="G28" s="6">
        <f t="shared" si="33"/>
        <v>-283753</v>
      </c>
      <c r="H28" s="6">
        <f t="shared" si="33"/>
        <v>-1150254</v>
      </c>
      <c r="I28" s="6">
        <f t="shared" si="33"/>
        <v>-311382</v>
      </c>
      <c r="J28" s="6">
        <f t="shared" si="33"/>
        <v>-137630</v>
      </c>
      <c r="K28" s="6">
        <f t="shared" si="33"/>
        <v>172217</v>
      </c>
      <c r="L28" s="6">
        <f t="shared" si="33"/>
        <v>252707</v>
      </c>
      <c r="M28" s="6">
        <f t="shared" si="33"/>
        <v>1332969</v>
      </c>
      <c r="N28" s="20">
        <f t="shared" si="33"/>
        <v>1550780</v>
      </c>
      <c r="O28" s="20">
        <f t="shared" si="33"/>
        <v>1425381</v>
      </c>
      <c r="P28" s="2">
        <f t="shared" si="1"/>
        <v>-76488</v>
      </c>
      <c r="Q28" s="2"/>
      <c r="R28" s="14">
        <f>ROUND(SUM(AE4:AE4)/SUM(P4:P4),5)</f>
        <v>0.99468000000000001</v>
      </c>
      <c r="S28" s="3">
        <f t="shared" ref="S28:AD28" si="34">$R28*D28</f>
        <v>-327890.29392000003</v>
      </c>
      <c r="T28" s="3">
        <f t="shared" si="34"/>
        <v>-1632752.2997999999</v>
      </c>
      <c r="U28" s="3">
        <f t="shared" si="34"/>
        <v>-951305.98392000003</v>
      </c>
      <c r="V28" s="3">
        <f t="shared" si="34"/>
        <v>-282243.43404000002</v>
      </c>
      <c r="W28" s="3">
        <f t="shared" si="34"/>
        <v>-1144134.6487199999</v>
      </c>
      <c r="X28" s="3">
        <f t="shared" si="34"/>
        <v>-309725.44776000001</v>
      </c>
      <c r="Y28" s="3">
        <f t="shared" si="34"/>
        <v>-136897.80840000001</v>
      </c>
      <c r="Z28" s="3">
        <f t="shared" si="34"/>
        <v>171300.80556000001</v>
      </c>
      <c r="AA28" s="3">
        <f t="shared" si="34"/>
        <v>251362.59875999999</v>
      </c>
      <c r="AB28" s="3">
        <f t="shared" si="34"/>
        <v>1325877.6049200001</v>
      </c>
      <c r="AC28" s="24">
        <f t="shared" si="34"/>
        <v>1542529.8504000001</v>
      </c>
      <c r="AD28" s="24">
        <f t="shared" si="34"/>
        <v>1417797.9730799999</v>
      </c>
      <c r="AE28" s="3">
        <f t="shared" ref="AE28:AE47" si="35">SUM(S28:AD28)</f>
        <v>-76081.083839999279</v>
      </c>
      <c r="AF28" t="s">
        <v>33</v>
      </c>
    </row>
    <row r="29" spans="1:32" x14ac:dyDescent="0.3">
      <c r="A29" t="s">
        <v>95</v>
      </c>
      <c r="B29" t="s">
        <v>26</v>
      </c>
      <c r="D29" s="5">
        <v>2666717</v>
      </c>
      <c r="E29" s="5">
        <v>1879274</v>
      </c>
      <c r="F29" s="5">
        <v>1302700</v>
      </c>
      <c r="G29" s="5">
        <v>1171336</v>
      </c>
      <c r="H29" s="5">
        <v>512087</v>
      </c>
      <c r="I29" s="5">
        <v>439283</v>
      </c>
      <c r="J29" s="5">
        <v>405123</v>
      </c>
      <c r="K29" s="5">
        <v>596603</v>
      </c>
      <c r="L29" s="5">
        <v>758606</v>
      </c>
      <c r="M29" s="5">
        <v>1291855</v>
      </c>
      <c r="N29" s="10">
        <v>1984727</v>
      </c>
      <c r="O29" s="10">
        <v>2731158</v>
      </c>
      <c r="P29" s="2">
        <f t="shared" si="1"/>
        <v>15739469</v>
      </c>
      <c r="Q29" s="2"/>
      <c r="S29" s="3">
        <f t="shared" ref="S29:AD29" si="36">SUM(S6:S6)/SUM(D6:D6)*D29</f>
        <v>2502607.2358199996</v>
      </c>
      <c r="T29" s="3">
        <f t="shared" si="36"/>
        <v>1763623.47804</v>
      </c>
      <c r="U29" s="3">
        <f t="shared" si="36"/>
        <v>1222531.8419999997</v>
      </c>
      <c r="V29" s="3">
        <f t="shared" si="36"/>
        <v>1099251.9825600001</v>
      </c>
      <c r="W29" s="3">
        <f t="shared" si="36"/>
        <v>480573.16602</v>
      </c>
      <c r="X29" s="3">
        <f t="shared" si="36"/>
        <v>412249.52418000001</v>
      </c>
      <c r="Y29" s="3">
        <f t="shared" si="36"/>
        <v>380191.73057999997</v>
      </c>
      <c r="Z29" s="3">
        <f t="shared" si="36"/>
        <v>559888.05137999996</v>
      </c>
      <c r="AA29" s="3">
        <f t="shared" si="36"/>
        <v>711921.38676000002</v>
      </c>
      <c r="AB29" s="3">
        <f t="shared" si="36"/>
        <v>1212354.2433</v>
      </c>
      <c r="AC29" s="24">
        <f t="shared" si="36"/>
        <v>1862586.9004200001</v>
      </c>
      <c r="AD29" s="24">
        <f t="shared" si="36"/>
        <v>2563082.5366799999</v>
      </c>
      <c r="AE29" s="3">
        <f t="shared" si="35"/>
        <v>14770862.077740001</v>
      </c>
      <c r="AF29" t="s">
        <v>30</v>
      </c>
    </row>
    <row r="30" spans="1:32" x14ac:dyDescent="0.3">
      <c r="B30" t="s">
        <v>27</v>
      </c>
      <c r="D30" s="5">
        <v>-2705049</v>
      </c>
      <c r="E30" s="5">
        <v>-2666717</v>
      </c>
      <c r="F30" s="5">
        <v>-1879274</v>
      </c>
      <c r="G30" s="5">
        <v>-1302700</v>
      </c>
      <c r="H30" s="5">
        <v>-1171336</v>
      </c>
      <c r="I30" s="5">
        <v>-512087</v>
      </c>
      <c r="J30" s="5">
        <v>-439283</v>
      </c>
      <c r="K30" s="5">
        <v>-405123</v>
      </c>
      <c r="L30" s="5">
        <v>-596603</v>
      </c>
      <c r="M30" s="5">
        <v>-758606</v>
      </c>
      <c r="N30" s="10">
        <v>-1291855</v>
      </c>
      <c r="O30" s="10">
        <v>-1984727</v>
      </c>
      <c r="P30" s="2">
        <f t="shared" si="1"/>
        <v>-15713360</v>
      </c>
      <c r="Q30" s="2"/>
      <c r="S30" s="3">
        <f>SUM(S6:S6)/SUM(D6:D6)*D30</f>
        <v>-2538580.2845399994</v>
      </c>
      <c r="T30" s="3">
        <f>-S29</f>
        <v>-2502607.2358199996</v>
      </c>
      <c r="U30" s="3">
        <f t="shared" ref="U30:AD30" si="37">-T29</f>
        <v>-1763623.47804</v>
      </c>
      <c r="V30" s="3">
        <f t="shared" si="37"/>
        <v>-1222531.8419999997</v>
      </c>
      <c r="W30" s="3">
        <f t="shared" si="37"/>
        <v>-1099251.9825600001</v>
      </c>
      <c r="X30" s="3">
        <f t="shared" si="37"/>
        <v>-480573.16602</v>
      </c>
      <c r="Y30" s="3">
        <f t="shared" si="37"/>
        <v>-412249.52418000001</v>
      </c>
      <c r="Z30" s="3">
        <f t="shared" si="37"/>
        <v>-380191.73057999997</v>
      </c>
      <c r="AA30" s="3">
        <f t="shared" si="37"/>
        <v>-559888.05137999996</v>
      </c>
      <c r="AB30" s="3">
        <f t="shared" si="37"/>
        <v>-711921.38676000002</v>
      </c>
      <c r="AC30" s="24">
        <f t="shared" si="37"/>
        <v>-1212354.2433</v>
      </c>
      <c r="AD30" s="24">
        <f t="shared" si="37"/>
        <v>-1862586.9004200001</v>
      </c>
      <c r="AE30" s="3">
        <f t="shared" si="35"/>
        <v>-14746359.8256</v>
      </c>
      <c r="AF30" t="s">
        <v>31</v>
      </c>
    </row>
    <row r="31" spans="1:32" x14ac:dyDescent="0.3">
      <c r="B31" t="s">
        <v>25</v>
      </c>
      <c r="D31" s="6">
        <f>D29+D30</f>
        <v>-38332</v>
      </c>
      <c r="E31" s="6">
        <f t="shared" ref="E31:O31" si="38">E29+E30</f>
        <v>-787443</v>
      </c>
      <c r="F31" s="6">
        <f t="shared" si="38"/>
        <v>-576574</v>
      </c>
      <c r="G31" s="6">
        <f t="shared" si="38"/>
        <v>-131364</v>
      </c>
      <c r="H31" s="6">
        <f t="shared" si="38"/>
        <v>-659249</v>
      </c>
      <c r="I31" s="6">
        <f t="shared" si="38"/>
        <v>-72804</v>
      </c>
      <c r="J31" s="6">
        <f t="shared" si="38"/>
        <v>-34160</v>
      </c>
      <c r="K31" s="6">
        <f t="shared" si="38"/>
        <v>191480</v>
      </c>
      <c r="L31" s="6">
        <f t="shared" si="38"/>
        <v>162003</v>
      </c>
      <c r="M31" s="6">
        <f t="shared" si="38"/>
        <v>533249</v>
      </c>
      <c r="N31" s="20">
        <f t="shared" si="38"/>
        <v>692872</v>
      </c>
      <c r="O31" s="20">
        <f t="shared" si="38"/>
        <v>746431</v>
      </c>
      <c r="P31" s="2">
        <f t="shared" si="1"/>
        <v>26109</v>
      </c>
      <c r="Q31" s="2"/>
      <c r="R31" s="14">
        <f>ROUND(SUM(AE6:AE6)/SUM(P6:P6),5)</f>
        <v>0.93845999999999996</v>
      </c>
      <c r="S31" s="3">
        <f t="shared" ref="S31:AD31" si="39">$R31*D31</f>
        <v>-35973.048719999999</v>
      </c>
      <c r="T31" s="3">
        <f t="shared" si="39"/>
        <v>-738983.75777999999</v>
      </c>
      <c r="U31" s="3">
        <f t="shared" si="39"/>
        <v>-541091.63604000001</v>
      </c>
      <c r="V31" s="3">
        <f t="shared" si="39"/>
        <v>-123279.85944</v>
      </c>
      <c r="W31" s="3">
        <f t="shared" si="39"/>
        <v>-618678.81654000003</v>
      </c>
      <c r="X31" s="3">
        <f t="shared" si="39"/>
        <v>-68323.641839999997</v>
      </c>
      <c r="Y31" s="3">
        <f t="shared" si="39"/>
        <v>-32057.793599999997</v>
      </c>
      <c r="Z31" s="3">
        <f t="shared" si="39"/>
        <v>179696.32079999999</v>
      </c>
      <c r="AA31" s="3">
        <f t="shared" si="39"/>
        <v>152033.33538</v>
      </c>
      <c r="AB31" s="3">
        <f t="shared" si="39"/>
        <v>500432.85654000001</v>
      </c>
      <c r="AC31" s="24">
        <f t="shared" si="39"/>
        <v>650232.65711999999</v>
      </c>
      <c r="AD31" s="24">
        <f t="shared" si="39"/>
        <v>700495.63625999994</v>
      </c>
      <c r="AE31" s="3">
        <f t="shared" si="35"/>
        <v>24502.252139999764</v>
      </c>
      <c r="AF31" t="s">
        <v>33</v>
      </c>
    </row>
    <row r="32" spans="1:32" x14ac:dyDescent="0.3">
      <c r="A32" t="s">
        <v>96</v>
      </c>
      <c r="B32" t="s">
        <v>26</v>
      </c>
      <c r="D32" s="5">
        <v>231888</v>
      </c>
      <c r="E32" s="5">
        <v>190389</v>
      </c>
      <c r="F32" s="5">
        <v>148034</v>
      </c>
      <c r="G32" s="5">
        <v>165085</v>
      </c>
      <c r="H32" s="5">
        <v>96522</v>
      </c>
      <c r="I32" s="5">
        <v>98622</v>
      </c>
      <c r="J32" s="5">
        <v>99388</v>
      </c>
      <c r="K32" s="5">
        <v>154125</v>
      </c>
      <c r="L32" s="5">
        <v>181942</v>
      </c>
      <c r="M32" s="5">
        <v>252729</v>
      </c>
      <c r="N32" s="10">
        <v>287481</v>
      </c>
      <c r="O32" s="10">
        <v>292000</v>
      </c>
      <c r="P32" s="2">
        <f t="shared" si="1"/>
        <v>2198205</v>
      </c>
      <c r="Q32" s="2"/>
      <c r="S32" s="3">
        <f t="shared" ref="S32:AD32" si="40">SUM(S8:S8)/SUM(D8:D8)*D32</f>
        <v>120924.95424000001</v>
      </c>
      <c r="T32" s="3">
        <f t="shared" si="40"/>
        <v>99284.055720000004</v>
      </c>
      <c r="U32" s="3">
        <f t="shared" si="40"/>
        <v>77196.770320000011</v>
      </c>
      <c r="V32" s="3">
        <f t="shared" si="40"/>
        <v>86088.525800000003</v>
      </c>
      <c r="W32" s="3">
        <f t="shared" si="40"/>
        <v>50334.292560000002</v>
      </c>
      <c r="X32" s="3">
        <f t="shared" si="40"/>
        <v>51429.400560000002</v>
      </c>
      <c r="Y32" s="3">
        <f t="shared" si="40"/>
        <v>51828.854240000008</v>
      </c>
      <c r="Z32" s="3">
        <f t="shared" si="40"/>
        <v>80373.10500000001</v>
      </c>
      <c r="AA32" s="3">
        <f t="shared" si="40"/>
        <v>94879.114160000012</v>
      </c>
      <c r="AB32" s="3">
        <f t="shared" si="40"/>
        <v>131793.11892000001</v>
      </c>
      <c r="AC32" s="24">
        <f t="shared" si="40"/>
        <v>149915.59188000002</v>
      </c>
      <c r="AD32" s="24">
        <f t="shared" si="40"/>
        <v>152272.16</v>
      </c>
      <c r="AE32" s="3">
        <f t="shared" si="35"/>
        <v>1146319.9434</v>
      </c>
      <c r="AF32" t="s">
        <v>30</v>
      </c>
    </row>
    <row r="33" spans="1:32" x14ac:dyDescent="0.3">
      <c r="B33" t="s">
        <v>27</v>
      </c>
      <c r="D33" s="5">
        <v>-294700</v>
      </c>
      <c r="E33" s="5">
        <v>-231888</v>
      </c>
      <c r="F33" s="5">
        <v>-190389</v>
      </c>
      <c r="G33" s="5">
        <v>-148034</v>
      </c>
      <c r="H33" s="5">
        <v>-165085</v>
      </c>
      <c r="I33" s="5">
        <v>-96522</v>
      </c>
      <c r="J33" s="5">
        <v>-98622</v>
      </c>
      <c r="K33" s="5">
        <v>-99388</v>
      </c>
      <c r="L33" s="5">
        <v>-154125</v>
      </c>
      <c r="M33" s="5">
        <v>-181942</v>
      </c>
      <c r="N33" s="10">
        <v>-252729</v>
      </c>
      <c r="O33" s="10">
        <v>-287481</v>
      </c>
      <c r="P33" s="2">
        <f t="shared" ref="P33:P47" si="41">SUM(D33:O33)</f>
        <v>-2200905</v>
      </c>
      <c r="Q33" s="2"/>
      <c r="S33" s="3">
        <f>SUM(S8:S8)/SUM(D8:D8)*D33</f>
        <v>-153680.15600000002</v>
      </c>
      <c r="T33" s="3">
        <f>-S32</f>
        <v>-120924.95424000001</v>
      </c>
      <c r="U33" s="3">
        <f t="shared" ref="U33:AD33" si="42">-T32</f>
        <v>-99284.055720000004</v>
      </c>
      <c r="V33" s="3">
        <f t="shared" si="42"/>
        <v>-77196.770320000011</v>
      </c>
      <c r="W33" s="3">
        <f t="shared" si="42"/>
        <v>-86088.525800000003</v>
      </c>
      <c r="X33" s="3">
        <f t="shared" si="42"/>
        <v>-50334.292560000002</v>
      </c>
      <c r="Y33" s="3">
        <f t="shared" si="42"/>
        <v>-51429.400560000002</v>
      </c>
      <c r="Z33" s="3">
        <f t="shared" si="42"/>
        <v>-51828.854240000008</v>
      </c>
      <c r="AA33" s="3">
        <f t="shared" si="42"/>
        <v>-80373.10500000001</v>
      </c>
      <c r="AB33" s="3">
        <f t="shared" si="42"/>
        <v>-94879.114160000012</v>
      </c>
      <c r="AC33" s="24">
        <f t="shared" si="42"/>
        <v>-131793.11892000001</v>
      </c>
      <c r="AD33" s="24">
        <f t="shared" si="42"/>
        <v>-149915.59188000002</v>
      </c>
      <c r="AE33" s="3">
        <f t="shared" si="35"/>
        <v>-1147727.9394</v>
      </c>
      <c r="AF33" t="s">
        <v>31</v>
      </c>
    </row>
    <row r="34" spans="1:32" x14ac:dyDescent="0.3">
      <c r="B34" t="s">
        <v>25</v>
      </c>
      <c r="D34" s="6">
        <f>D32+D33</f>
        <v>-62812</v>
      </c>
      <c r="E34" s="6">
        <f t="shared" ref="E34:O34" si="43">E32+E33</f>
        <v>-41499</v>
      </c>
      <c r="F34" s="6">
        <f t="shared" si="43"/>
        <v>-42355</v>
      </c>
      <c r="G34" s="6">
        <f t="shared" si="43"/>
        <v>17051</v>
      </c>
      <c r="H34" s="6">
        <f t="shared" si="43"/>
        <v>-68563</v>
      </c>
      <c r="I34" s="6">
        <f t="shared" si="43"/>
        <v>2100</v>
      </c>
      <c r="J34" s="6">
        <f t="shared" si="43"/>
        <v>766</v>
      </c>
      <c r="K34" s="6">
        <f t="shared" si="43"/>
        <v>54737</v>
      </c>
      <c r="L34" s="6">
        <f t="shared" si="43"/>
        <v>27817</v>
      </c>
      <c r="M34" s="6">
        <f t="shared" si="43"/>
        <v>70787</v>
      </c>
      <c r="N34" s="20">
        <f t="shared" si="43"/>
        <v>34752</v>
      </c>
      <c r="O34" s="20">
        <f t="shared" si="43"/>
        <v>4519</v>
      </c>
      <c r="P34" s="2">
        <f t="shared" si="41"/>
        <v>-2700</v>
      </c>
      <c r="Q34" s="2"/>
      <c r="R34" s="14">
        <f>ROUND(SUM(AE8:AE8)/SUM(P8:P8),5)</f>
        <v>0.52148000000000005</v>
      </c>
      <c r="S34" s="3">
        <f t="shared" ref="S34:AD34" si="44">$R34*D34</f>
        <v>-32755.201760000004</v>
      </c>
      <c r="T34" s="3">
        <f t="shared" si="44"/>
        <v>-21640.898520000002</v>
      </c>
      <c r="U34" s="3">
        <f t="shared" si="44"/>
        <v>-22087.285400000001</v>
      </c>
      <c r="V34" s="3">
        <f t="shared" si="44"/>
        <v>8891.7554800000016</v>
      </c>
      <c r="W34" s="3">
        <f t="shared" si="44"/>
        <v>-35754.233240000001</v>
      </c>
      <c r="X34" s="3">
        <f t="shared" si="44"/>
        <v>1095.1080000000002</v>
      </c>
      <c r="Y34" s="3">
        <f t="shared" si="44"/>
        <v>399.45368000000002</v>
      </c>
      <c r="Z34" s="3">
        <f t="shared" si="44"/>
        <v>28544.250760000003</v>
      </c>
      <c r="AA34" s="3">
        <f t="shared" si="44"/>
        <v>14506.009160000001</v>
      </c>
      <c r="AB34" s="3">
        <f t="shared" si="44"/>
        <v>36914.004760000003</v>
      </c>
      <c r="AC34" s="24">
        <f t="shared" si="44"/>
        <v>18122.472960000003</v>
      </c>
      <c r="AD34" s="24">
        <f t="shared" si="44"/>
        <v>2356.5681200000004</v>
      </c>
      <c r="AE34" s="3">
        <f t="shared" si="35"/>
        <v>-1407.9959999999987</v>
      </c>
      <c r="AF34" t="s">
        <v>33</v>
      </c>
    </row>
    <row r="35" spans="1:32" x14ac:dyDescent="0.3">
      <c r="A35" t="s">
        <v>97</v>
      </c>
      <c r="B35" t="s">
        <v>26</v>
      </c>
      <c r="D35" s="5">
        <v>232867</v>
      </c>
      <c r="E35" s="5">
        <v>224338</v>
      </c>
      <c r="F35" s="5">
        <v>196764</v>
      </c>
      <c r="G35" s="5">
        <v>151034</v>
      </c>
      <c r="H35" s="5">
        <v>139624</v>
      </c>
      <c r="I35" s="5">
        <v>115584</v>
      </c>
      <c r="J35" s="5">
        <v>105498</v>
      </c>
      <c r="K35" s="5">
        <v>105587</v>
      </c>
      <c r="L35" s="5">
        <v>96672</v>
      </c>
      <c r="M35" s="5">
        <v>170631</v>
      </c>
      <c r="N35" s="10">
        <v>218569</v>
      </c>
      <c r="O35" s="10">
        <v>194622</v>
      </c>
      <c r="P35" s="2">
        <f t="shared" si="41"/>
        <v>1951790</v>
      </c>
      <c r="Q35" s="2"/>
      <c r="S35" s="3">
        <f t="shared" ref="S35:AD35" si="45">SUM(S10)/SUM(S10)*D35</f>
        <v>232867</v>
      </c>
      <c r="T35" s="3">
        <f t="shared" si="45"/>
        <v>224338</v>
      </c>
      <c r="U35" s="3">
        <f t="shared" si="45"/>
        <v>196764</v>
      </c>
      <c r="V35" s="3">
        <f t="shared" si="45"/>
        <v>151034</v>
      </c>
      <c r="W35" s="3">
        <f t="shared" si="45"/>
        <v>139624</v>
      </c>
      <c r="X35" s="3">
        <f t="shared" si="45"/>
        <v>115584</v>
      </c>
      <c r="Y35" s="3">
        <f t="shared" si="45"/>
        <v>105498</v>
      </c>
      <c r="Z35" s="3">
        <f t="shared" si="45"/>
        <v>105587</v>
      </c>
      <c r="AA35" s="3">
        <f t="shared" si="45"/>
        <v>96672</v>
      </c>
      <c r="AB35" s="3">
        <f t="shared" si="45"/>
        <v>170631</v>
      </c>
      <c r="AC35" s="24">
        <f t="shared" si="45"/>
        <v>218569</v>
      </c>
      <c r="AD35" s="24">
        <f t="shared" si="45"/>
        <v>194622</v>
      </c>
      <c r="AE35" s="3">
        <f t="shared" si="35"/>
        <v>1951790</v>
      </c>
      <c r="AF35" t="s">
        <v>30</v>
      </c>
    </row>
    <row r="36" spans="1:32" x14ac:dyDescent="0.3">
      <c r="B36" t="s">
        <v>27</v>
      </c>
      <c r="D36" s="5">
        <v>-237944</v>
      </c>
      <c r="E36" s="5">
        <v>-232867</v>
      </c>
      <c r="F36" s="5">
        <v>-224338</v>
      </c>
      <c r="G36" s="5">
        <v>-196764</v>
      </c>
      <c r="H36" s="5">
        <v>-151034</v>
      </c>
      <c r="I36" s="5">
        <v>-139624</v>
      </c>
      <c r="J36" s="5">
        <v>-115584</v>
      </c>
      <c r="K36" s="5">
        <v>-105498</v>
      </c>
      <c r="L36" s="5">
        <v>-105587</v>
      </c>
      <c r="M36" s="5">
        <v>-96672</v>
      </c>
      <c r="N36" s="10">
        <v>-170631</v>
      </c>
      <c r="O36" s="10">
        <v>-218569</v>
      </c>
      <c r="P36" s="2">
        <f t="shared" si="41"/>
        <v>-1995112</v>
      </c>
      <c r="Q36" s="2"/>
      <c r="S36" s="3">
        <f>SUM(S10)/SUM(S10)*D36</f>
        <v>-237944</v>
      </c>
      <c r="T36" s="3">
        <f>-S35</f>
        <v>-232867</v>
      </c>
      <c r="U36" s="3">
        <f t="shared" ref="U36:AD36" si="46">-T35</f>
        <v>-224338</v>
      </c>
      <c r="V36" s="3">
        <f t="shared" si="46"/>
        <v>-196764</v>
      </c>
      <c r="W36" s="3">
        <f t="shared" si="46"/>
        <v>-151034</v>
      </c>
      <c r="X36" s="3">
        <f t="shared" si="46"/>
        <v>-139624</v>
      </c>
      <c r="Y36" s="3">
        <f t="shared" si="46"/>
        <v>-115584</v>
      </c>
      <c r="Z36" s="3">
        <f t="shared" si="46"/>
        <v>-105498</v>
      </c>
      <c r="AA36" s="3">
        <f t="shared" si="46"/>
        <v>-105587</v>
      </c>
      <c r="AB36" s="3">
        <f t="shared" si="46"/>
        <v>-96672</v>
      </c>
      <c r="AC36" s="24">
        <f t="shared" si="46"/>
        <v>-170631</v>
      </c>
      <c r="AD36" s="24">
        <f t="shared" si="46"/>
        <v>-218569</v>
      </c>
      <c r="AE36" s="3">
        <f t="shared" si="35"/>
        <v>-1995112</v>
      </c>
      <c r="AF36" t="s">
        <v>31</v>
      </c>
    </row>
    <row r="37" spans="1:32" x14ac:dyDescent="0.3">
      <c r="B37" t="s">
        <v>25</v>
      </c>
      <c r="D37" s="6">
        <f>D35+D36</f>
        <v>-5077</v>
      </c>
      <c r="E37" s="6">
        <f t="shared" ref="E37:O37" si="47">E35+E36</f>
        <v>-8529</v>
      </c>
      <c r="F37" s="6">
        <f t="shared" si="47"/>
        <v>-27574</v>
      </c>
      <c r="G37" s="6">
        <f t="shared" si="47"/>
        <v>-45730</v>
      </c>
      <c r="H37" s="6">
        <f t="shared" si="47"/>
        <v>-11410</v>
      </c>
      <c r="I37" s="6">
        <f t="shared" si="47"/>
        <v>-24040</v>
      </c>
      <c r="J37" s="6">
        <f t="shared" si="47"/>
        <v>-10086</v>
      </c>
      <c r="K37" s="6">
        <f t="shared" si="47"/>
        <v>89</v>
      </c>
      <c r="L37" s="6">
        <f t="shared" si="47"/>
        <v>-8915</v>
      </c>
      <c r="M37" s="6">
        <f t="shared" si="47"/>
        <v>73959</v>
      </c>
      <c r="N37" s="20">
        <f t="shared" si="47"/>
        <v>47938</v>
      </c>
      <c r="O37" s="20">
        <f t="shared" si="47"/>
        <v>-23947</v>
      </c>
      <c r="P37" s="2">
        <f t="shared" si="41"/>
        <v>-43322</v>
      </c>
      <c r="Q37" s="2"/>
      <c r="R37" s="14">
        <f>ROUND(SUM(AE10)/SUM(P10),5)</f>
        <v>0.32871</v>
      </c>
      <c r="S37" s="3">
        <f t="shared" ref="S37:AD37" si="48">$R37*D37</f>
        <v>-1668.86067</v>
      </c>
      <c r="T37" s="3">
        <f t="shared" si="48"/>
        <v>-2803.5675900000001</v>
      </c>
      <c r="U37" s="3">
        <f t="shared" si="48"/>
        <v>-9063.8495399999993</v>
      </c>
      <c r="V37" s="3">
        <f t="shared" si="48"/>
        <v>-15031.908300000001</v>
      </c>
      <c r="W37" s="3">
        <f t="shared" si="48"/>
        <v>-3750.5810999999999</v>
      </c>
      <c r="X37" s="3">
        <f t="shared" si="48"/>
        <v>-7902.1884</v>
      </c>
      <c r="Y37" s="3">
        <f t="shared" si="48"/>
        <v>-3315.36906</v>
      </c>
      <c r="Z37" s="3">
        <f t="shared" si="48"/>
        <v>29.255189999999999</v>
      </c>
      <c r="AA37" s="3">
        <f t="shared" si="48"/>
        <v>-2930.44965</v>
      </c>
      <c r="AB37" s="3">
        <f t="shared" si="48"/>
        <v>24311.062890000001</v>
      </c>
      <c r="AC37" s="24">
        <f t="shared" si="48"/>
        <v>15757.699979999999</v>
      </c>
      <c r="AD37" s="24">
        <f t="shared" si="48"/>
        <v>-7871.6183700000001</v>
      </c>
      <c r="AE37" s="3">
        <f t="shared" si="35"/>
        <v>-14240.374619999997</v>
      </c>
      <c r="AF37" t="s">
        <v>33</v>
      </c>
    </row>
    <row r="38" spans="1:32" x14ac:dyDescent="0.3">
      <c r="A38" t="s">
        <v>99</v>
      </c>
      <c r="B38" t="s">
        <v>26</v>
      </c>
      <c r="D38" s="5">
        <v>3701554</v>
      </c>
      <c r="E38" s="5">
        <v>3183211</v>
      </c>
      <c r="F38" s="5">
        <v>3286683</v>
      </c>
      <c r="G38" s="5">
        <v>3311785</v>
      </c>
      <c r="H38" s="5">
        <v>2924280</v>
      </c>
      <c r="I38" s="5">
        <v>2781008</v>
      </c>
      <c r="J38" s="5">
        <v>2571856</v>
      </c>
      <c r="K38" s="5">
        <v>2742173</v>
      </c>
      <c r="L38" s="5">
        <v>2638955</v>
      </c>
      <c r="M38" s="5">
        <v>3402139</v>
      </c>
      <c r="N38" s="10">
        <v>3300595</v>
      </c>
      <c r="O38" s="10">
        <v>3394528</v>
      </c>
      <c r="P38" s="2">
        <f t="shared" si="41"/>
        <v>37238767</v>
      </c>
      <c r="Q38" s="2"/>
      <c r="S38" s="3">
        <f t="shared" ref="S38:AD38" si="49">SUM(S14:S18)/SUM(D14:D18)*D38</f>
        <v>281085.26123450365</v>
      </c>
      <c r="T38" s="3">
        <f t="shared" si="49"/>
        <v>235859.73260883085</v>
      </c>
      <c r="U38" s="3">
        <f t="shared" si="49"/>
        <v>250115.54080144427</v>
      </c>
      <c r="V38" s="3">
        <f t="shared" si="49"/>
        <v>249378.6052923401</v>
      </c>
      <c r="W38" s="3">
        <f t="shared" si="49"/>
        <v>220250.9298368622</v>
      </c>
      <c r="X38" s="3">
        <f t="shared" si="49"/>
        <v>218011.9625192791</v>
      </c>
      <c r="Y38" s="3">
        <f t="shared" si="49"/>
        <v>201481.94855728679</v>
      </c>
      <c r="Z38" s="3">
        <f t="shared" si="49"/>
        <v>219704.99078839942</v>
      </c>
      <c r="AA38" s="3">
        <f t="shared" si="49"/>
        <v>206432.45248637701</v>
      </c>
      <c r="AB38" s="3">
        <f t="shared" si="49"/>
        <v>272510.53603981237</v>
      </c>
      <c r="AC38" s="24">
        <f t="shared" si="49"/>
        <v>248932.52486945342</v>
      </c>
      <c r="AD38" s="24">
        <f t="shared" si="49"/>
        <v>257457.06598510567</v>
      </c>
      <c r="AE38" s="3">
        <f>SUM(S38:AD38)</f>
        <v>2861221.5510196947</v>
      </c>
      <c r="AF38" t="s">
        <v>30</v>
      </c>
    </row>
    <row r="39" spans="1:32" x14ac:dyDescent="0.3">
      <c r="B39" t="s">
        <v>27</v>
      </c>
      <c r="D39" s="5">
        <v>-3385585</v>
      </c>
      <c r="E39" s="5">
        <v>-3701554</v>
      </c>
      <c r="F39" s="5">
        <v>-3183211</v>
      </c>
      <c r="G39" s="5">
        <v>-3286683</v>
      </c>
      <c r="H39" s="5">
        <v>-3311785</v>
      </c>
      <c r="I39" s="5">
        <v>-2924280</v>
      </c>
      <c r="J39" s="5">
        <v>-2781008</v>
      </c>
      <c r="K39" s="5">
        <v>-2571856</v>
      </c>
      <c r="L39" s="5">
        <v>-2742173</v>
      </c>
      <c r="M39" s="5">
        <v>-2638955</v>
      </c>
      <c r="N39" s="10">
        <v>-3402139</v>
      </c>
      <c r="O39" s="10">
        <v>-3300595</v>
      </c>
      <c r="P39" s="2">
        <f t="shared" si="41"/>
        <v>-37229824</v>
      </c>
      <c r="Q39" s="2"/>
      <c r="S39" s="3">
        <f>SUM(S14:S18)/SUM(D14:D18)*D39</f>
        <v>-257091.49296663431</v>
      </c>
      <c r="T39" s="3">
        <f>-S38</f>
        <v>-281085.26123450365</v>
      </c>
      <c r="U39" s="3">
        <f t="shared" ref="U39:AD39" si="50">-T38</f>
        <v>-235859.73260883085</v>
      </c>
      <c r="V39" s="3">
        <f t="shared" si="50"/>
        <v>-250115.54080144427</v>
      </c>
      <c r="W39" s="3">
        <f t="shared" si="50"/>
        <v>-249378.6052923401</v>
      </c>
      <c r="X39" s="3">
        <f t="shared" si="50"/>
        <v>-220250.9298368622</v>
      </c>
      <c r="Y39" s="3">
        <f t="shared" si="50"/>
        <v>-218011.9625192791</v>
      </c>
      <c r="Z39" s="3">
        <f t="shared" si="50"/>
        <v>-201481.94855728679</v>
      </c>
      <c r="AA39" s="3">
        <f t="shared" si="50"/>
        <v>-219704.99078839942</v>
      </c>
      <c r="AB39" s="3">
        <f t="shared" si="50"/>
        <v>-206432.45248637701</v>
      </c>
      <c r="AC39" s="24">
        <f t="shared" si="50"/>
        <v>-272510.53603981237</v>
      </c>
      <c r="AD39" s="24">
        <f t="shared" si="50"/>
        <v>-248932.52486945342</v>
      </c>
      <c r="AE39" s="3">
        <f t="shared" si="35"/>
        <v>-2860855.9780012239</v>
      </c>
      <c r="AF39" t="s">
        <v>31</v>
      </c>
    </row>
    <row r="40" spans="1:32" x14ac:dyDescent="0.3">
      <c r="B40" t="s">
        <v>25</v>
      </c>
      <c r="D40" s="6">
        <f t="shared" ref="D40:O40" si="51">D38+D39</f>
        <v>315969</v>
      </c>
      <c r="E40" s="6">
        <f t="shared" si="51"/>
        <v>-518343</v>
      </c>
      <c r="F40" s="6">
        <f t="shared" si="51"/>
        <v>103472</v>
      </c>
      <c r="G40" s="6">
        <f t="shared" si="51"/>
        <v>25102</v>
      </c>
      <c r="H40" s="6">
        <f t="shared" si="51"/>
        <v>-387505</v>
      </c>
      <c r="I40" s="6">
        <f t="shared" si="51"/>
        <v>-143272</v>
      </c>
      <c r="J40" s="6">
        <f t="shared" si="51"/>
        <v>-209152</v>
      </c>
      <c r="K40" s="6">
        <f t="shared" si="51"/>
        <v>170317</v>
      </c>
      <c r="L40" s="6">
        <f t="shared" si="51"/>
        <v>-103218</v>
      </c>
      <c r="M40" s="6">
        <f t="shared" si="51"/>
        <v>763184</v>
      </c>
      <c r="N40" s="20">
        <f t="shared" si="51"/>
        <v>-101544</v>
      </c>
      <c r="O40" s="20">
        <f t="shared" si="51"/>
        <v>93933</v>
      </c>
      <c r="P40" s="2">
        <f t="shared" si="41"/>
        <v>8943</v>
      </c>
      <c r="Q40" s="2"/>
      <c r="R40" s="14">
        <f>ROUND(SUM(AE14:AE18)/SUM(P14:P18),5)</f>
        <v>7.671E-2</v>
      </c>
      <c r="S40" s="3">
        <f t="shared" ref="S40:AD40" si="52">$R40*D40</f>
        <v>24237.98199</v>
      </c>
      <c r="T40" s="3">
        <f t="shared" si="52"/>
        <v>-39762.091529999998</v>
      </c>
      <c r="U40" s="3">
        <f t="shared" si="52"/>
        <v>7937.3371200000001</v>
      </c>
      <c r="V40" s="3">
        <f t="shared" si="52"/>
        <v>1925.5744199999999</v>
      </c>
      <c r="W40" s="3">
        <f t="shared" si="52"/>
        <v>-29725.508549999999</v>
      </c>
      <c r="X40" s="3">
        <f t="shared" si="52"/>
        <v>-10990.395119999999</v>
      </c>
      <c r="Y40" s="3">
        <f t="shared" si="52"/>
        <v>-16044.049919999999</v>
      </c>
      <c r="Z40" s="3">
        <f t="shared" si="52"/>
        <v>13065.01707</v>
      </c>
      <c r="AA40" s="3">
        <f t="shared" si="52"/>
        <v>-7917.8527800000002</v>
      </c>
      <c r="AB40" s="3">
        <f t="shared" si="52"/>
        <v>58543.844640000003</v>
      </c>
      <c r="AC40" s="24">
        <f t="shared" si="52"/>
        <v>-7789.4402399999999</v>
      </c>
      <c r="AD40" s="24">
        <f t="shared" si="52"/>
        <v>7205.6004300000004</v>
      </c>
      <c r="AE40" s="3">
        <f t="shared" si="35"/>
        <v>686.01753000001008</v>
      </c>
      <c r="AF40" t="s">
        <v>33</v>
      </c>
    </row>
    <row r="41" spans="1:32" x14ac:dyDescent="0.3">
      <c r="A41" t="s">
        <v>100</v>
      </c>
      <c r="B41" t="s">
        <v>26</v>
      </c>
      <c r="D41" s="5">
        <v>830977</v>
      </c>
      <c r="E41" s="5">
        <v>754985</v>
      </c>
      <c r="F41" s="5">
        <v>907810</v>
      </c>
      <c r="G41" s="5">
        <v>925193</v>
      </c>
      <c r="H41" s="5">
        <v>763438</v>
      </c>
      <c r="I41" s="5">
        <v>750307</v>
      </c>
      <c r="J41" s="5">
        <v>663194</v>
      </c>
      <c r="K41" s="5">
        <v>682555</v>
      </c>
      <c r="L41" s="5">
        <v>684416</v>
      </c>
      <c r="M41" s="5">
        <v>791812</v>
      </c>
      <c r="N41" s="10">
        <v>806519</v>
      </c>
      <c r="O41" s="10">
        <v>795609</v>
      </c>
      <c r="P41" s="2">
        <f t="shared" ref="P41:P43" si="53">SUM(D41:O41)</f>
        <v>9356815</v>
      </c>
      <c r="Q41" s="2"/>
      <c r="S41" s="3">
        <f t="shared" ref="S41:AD41" si="54">SUM(S20,S22,S24)/SUM(D20,D22,D24)*D41</f>
        <v>21597.064469706616</v>
      </c>
      <c r="T41" s="3">
        <f t="shared" si="54"/>
        <v>19605.986772959106</v>
      </c>
      <c r="U41" s="3">
        <f t="shared" si="54"/>
        <v>23614.948046772224</v>
      </c>
      <c r="V41" s="3">
        <f t="shared" si="54"/>
        <v>24035.629004167935</v>
      </c>
      <c r="W41" s="3">
        <f t="shared" si="54"/>
        <v>19812.580487481559</v>
      </c>
      <c r="X41" s="3">
        <f t="shared" si="54"/>
        <v>19485.834314546522</v>
      </c>
      <c r="Y41" s="3">
        <f t="shared" si="54"/>
        <v>17217.959024084888</v>
      </c>
      <c r="Z41" s="3">
        <f t="shared" si="54"/>
        <v>17739.488518692433</v>
      </c>
      <c r="AA41" s="3">
        <f t="shared" si="54"/>
        <v>17803.749004269153</v>
      </c>
      <c r="AB41" s="3">
        <f t="shared" si="54"/>
        <v>20611.481759464506</v>
      </c>
      <c r="AC41" s="20">
        <f t="shared" si="54"/>
        <v>20952.010623657006</v>
      </c>
      <c r="AD41" s="20">
        <f t="shared" si="54"/>
        <v>20649.732664022591</v>
      </c>
      <c r="AE41" s="3">
        <f t="shared" ref="AE41:AE43" si="55">SUM(S41:AD41)</f>
        <v>243126.46468982456</v>
      </c>
      <c r="AF41" t="s">
        <v>30</v>
      </c>
    </row>
    <row r="42" spans="1:32" x14ac:dyDescent="0.3">
      <c r="B42" t="s">
        <v>27</v>
      </c>
      <c r="D42" s="5">
        <v>-726893</v>
      </c>
      <c r="E42" s="5">
        <v>-830977</v>
      </c>
      <c r="F42" s="5">
        <v>-754985</v>
      </c>
      <c r="G42" s="5">
        <v>-907810</v>
      </c>
      <c r="H42" s="5">
        <v>-925193</v>
      </c>
      <c r="I42" s="5">
        <v>-763438</v>
      </c>
      <c r="J42" s="5">
        <v>-750307</v>
      </c>
      <c r="K42" s="5">
        <v>-663194</v>
      </c>
      <c r="L42" s="5">
        <v>-682555</v>
      </c>
      <c r="M42" s="5">
        <v>-684416</v>
      </c>
      <c r="N42" s="10">
        <v>-791812</v>
      </c>
      <c r="O42" s="10">
        <v>-806519</v>
      </c>
      <c r="P42" s="2">
        <f t="shared" si="53"/>
        <v>-9288099</v>
      </c>
      <c r="Q42" s="2"/>
      <c r="S42" s="3">
        <f>SUM(S20,S22,S24)/SUM(D20,D22,D24)*D42</f>
        <v>-18891.924786821357</v>
      </c>
      <c r="T42" s="3">
        <f>-S41</f>
        <v>-21597.064469706616</v>
      </c>
      <c r="U42" s="3">
        <f t="shared" ref="U42:AD42" si="56">-T41</f>
        <v>-19605.986772959106</v>
      </c>
      <c r="V42" s="3">
        <f t="shared" si="56"/>
        <v>-23614.948046772224</v>
      </c>
      <c r="W42" s="3">
        <f t="shared" si="56"/>
        <v>-24035.629004167935</v>
      </c>
      <c r="X42" s="3">
        <f t="shared" si="56"/>
        <v>-19812.580487481559</v>
      </c>
      <c r="Y42" s="3">
        <f t="shared" si="56"/>
        <v>-19485.834314546522</v>
      </c>
      <c r="Z42" s="3">
        <f t="shared" si="56"/>
        <v>-17217.959024084888</v>
      </c>
      <c r="AA42" s="3">
        <f t="shared" si="56"/>
        <v>-17739.488518692433</v>
      </c>
      <c r="AB42" s="3">
        <f t="shared" si="56"/>
        <v>-17803.749004269153</v>
      </c>
      <c r="AC42" s="24">
        <f t="shared" si="56"/>
        <v>-20611.481759464506</v>
      </c>
      <c r="AD42" s="24">
        <f t="shared" si="56"/>
        <v>-20952.010623657006</v>
      </c>
      <c r="AE42" s="3">
        <f t="shared" si="55"/>
        <v>-241368.65681262332</v>
      </c>
      <c r="AF42" t="s">
        <v>31</v>
      </c>
    </row>
    <row r="43" spans="1:32" x14ac:dyDescent="0.3">
      <c r="B43" t="s">
        <v>25</v>
      </c>
      <c r="D43" s="6">
        <f t="shared" ref="D43:O43" si="57">D41+D42</f>
        <v>104084</v>
      </c>
      <c r="E43" s="6">
        <f t="shared" si="57"/>
        <v>-75992</v>
      </c>
      <c r="F43" s="6">
        <f t="shared" si="57"/>
        <v>152825</v>
      </c>
      <c r="G43" s="6">
        <f t="shared" si="57"/>
        <v>17383</v>
      </c>
      <c r="H43" s="6">
        <f t="shared" si="57"/>
        <v>-161755</v>
      </c>
      <c r="I43" s="6">
        <f t="shared" si="57"/>
        <v>-13131</v>
      </c>
      <c r="J43" s="6">
        <f t="shared" si="57"/>
        <v>-87113</v>
      </c>
      <c r="K43" s="6">
        <f t="shared" si="57"/>
        <v>19361</v>
      </c>
      <c r="L43" s="6">
        <f t="shared" si="57"/>
        <v>1861</v>
      </c>
      <c r="M43" s="6">
        <f t="shared" si="57"/>
        <v>107396</v>
      </c>
      <c r="N43" s="20">
        <f t="shared" si="57"/>
        <v>14707</v>
      </c>
      <c r="O43" s="20">
        <f t="shared" si="57"/>
        <v>-10910</v>
      </c>
      <c r="P43" s="2">
        <f t="shared" si="53"/>
        <v>68716</v>
      </c>
      <c r="Q43" s="2"/>
      <c r="R43" s="14">
        <f>ROUND(SUM(AE20,AE22,AE24)/SUM(P20,P22,P24),5)</f>
        <v>2.598E-2</v>
      </c>
      <c r="S43" s="3">
        <f t="shared" ref="S43" si="58">$R43*D43</f>
        <v>2704.10232</v>
      </c>
      <c r="T43" s="3">
        <f t="shared" ref="T43" si="59">$R43*E43</f>
        <v>-1974.27216</v>
      </c>
      <c r="U43" s="3">
        <f t="shared" ref="U43" si="60">$R43*F43</f>
        <v>3970.3935000000001</v>
      </c>
      <c r="V43" s="3">
        <f t="shared" ref="V43" si="61">$R43*G43</f>
        <v>451.61034000000001</v>
      </c>
      <c r="W43" s="3">
        <f t="shared" ref="W43" si="62">$R43*H43</f>
        <v>-4202.3949000000002</v>
      </c>
      <c r="X43" s="3">
        <f t="shared" ref="X43" si="63">$R43*I43</f>
        <v>-341.14337999999998</v>
      </c>
      <c r="Y43" s="3">
        <f t="shared" ref="Y43" si="64">$R43*J43</f>
        <v>-2263.1957400000001</v>
      </c>
      <c r="Z43" s="3">
        <f t="shared" ref="Z43" si="65">$R43*K43</f>
        <v>502.99878000000001</v>
      </c>
      <c r="AA43" s="3">
        <f t="shared" ref="AA43" si="66">$R43*L43</f>
        <v>48.348779999999998</v>
      </c>
      <c r="AB43" s="3">
        <f t="shared" ref="AB43" si="67">$R43*M43</f>
        <v>2790.1480799999999</v>
      </c>
      <c r="AC43" s="24">
        <f t="shared" ref="AC43" si="68">$R43*N43</f>
        <v>382.08785999999998</v>
      </c>
      <c r="AD43" s="24">
        <f t="shared" ref="AD43" si="69">$R43*O43</f>
        <v>-283.4418</v>
      </c>
      <c r="AE43" s="3">
        <f t="shared" si="55"/>
        <v>1785.2416799999992</v>
      </c>
      <c r="AF43" t="s">
        <v>33</v>
      </c>
    </row>
    <row r="45" spans="1:32" x14ac:dyDescent="0.3">
      <c r="A45" t="s">
        <v>94</v>
      </c>
      <c r="B45" t="s">
        <v>28</v>
      </c>
      <c r="D45" s="5">
        <v>-861671.39910000004</v>
      </c>
      <c r="E45" s="5">
        <v>371352.47702999995</v>
      </c>
      <c r="F45" s="5">
        <v>485669.15134000004</v>
      </c>
      <c r="G45" s="5">
        <v>-41535.265200000002</v>
      </c>
      <c r="H45" s="5">
        <v>291961.70650000003</v>
      </c>
      <c r="I45" s="5">
        <v>24143.621510000001</v>
      </c>
      <c r="J45" s="5">
        <v>3494.9003200000002</v>
      </c>
      <c r="K45" s="5">
        <v>8943.8910599999999</v>
      </c>
      <c r="L45" s="5">
        <v>-65940.290110000002</v>
      </c>
      <c r="M45" s="5">
        <v>-170085.28902000003</v>
      </c>
      <c r="N45" s="10">
        <v>266957.76381999999</v>
      </c>
      <c r="O45" s="10">
        <v>-388758.02694000001</v>
      </c>
      <c r="P45" s="2">
        <f t="shared" si="41"/>
        <v>-75466.758790000051</v>
      </c>
      <c r="Q45" s="2"/>
      <c r="R45" s="14">
        <f>R4</f>
        <v>0.99468000000000001</v>
      </c>
      <c r="S45" s="3">
        <f t="shared" ref="S45:AD47" si="70">$R45*D45</f>
        <v>-857087.30725678802</v>
      </c>
      <c r="T45" s="3">
        <f t="shared" si="70"/>
        <v>369376.88185220037</v>
      </c>
      <c r="U45" s="3">
        <f t="shared" si="70"/>
        <v>483085.39145487122</v>
      </c>
      <c r="V45" s="3">
        <f t="shared" si="70"/>
        <v>-41314.297589136004</v>
      </c>
      <c r="W45" s="3">
        <f t="shared" si="70"/>
        <v>290408.47022142005</v>
      </c>
      <c r="X45" s="3">
        <f t="shared" si="70"/>
        <v>24015.177443566801</v>
      </c>
      <c r="Y45" s="3">
        <f t="shared" si="70"/>
        <v>3476.3074502976001</v>
      </c>
      <c r="Z45" s="3">
        <f t="shared" si="70"/>
        <v>8896.3095595607992</v>
      </c>
      <c r="AA45" s="3">
        <f t="shared" si="70"/>
        <v>-65589.48776661481</v>
      </c>
      <c r="AB45" s="3">
        <f t="shared" si="70"/>
        <v>-169180.43528241361</v>
      </c>
      <c r="AC45" s="24">
        <f t="shared" si="70"/>
        <v>265537.54851647757</v>
      </c>
      <c r="AD45" s="24">
        <f t="shared" si="70"/>
        <v>-386689.83423667919</v>
      </c>
      <c r="AE45" s="3">
        <f t="shared" si="35"/>
        <v>-75065.275633237266</v>
      </c>
    </row>
    <row r="46" spans="1:32" x14ac:dyDescent="0.3">
      <c r="A46" t="s">
        <v>95</v>
      </c>
      <c r="B46" t="s">
        <v>28</v>
      </c>
      <c r="D46" s="5">
        <v>-467700.27880999999</v>
      </c>
      <c r="E46" s="5">
        <v>182094.79140000002</v>
      </c>
      <c r="F46" s="5">
        <v>239399.33924999999</v>
      </c>
      <c r="G46" s="5">
        <v>-21517.48258</v>
      </c>
      <c r="H46" s="5">
        <v>145375.91343999997</v>
      </c>
      <c r="I46" s="5">
        <v>15131.0272</v>
      </c>
      <c r="J46" s="5">
        <v>4972.2605400000002</v>
      </c>
      <c r="K46" s="5">
        <v>18889.230039999999</v>
      </c>
      <c r="L46" s="5">
        <v>-54626.626969999998</v>
      </c>
      <c r="M46" s="5">
        <v>-95759.750200000009</v>
      </c>
      <c r="N46" s="10">
        <v>131890.02132</v>
      </c>
      <c r="O46" s="10">
        <v>-221263.62789999999</v>
      </c>
      <c r="P46" s="2">
        <f t="shared" si="41"/>
        <v>-123115.18326999998</v>
      </c>
      <c r="Q46" s="2"/>
      <c r="R46" s="14">
        <f>R6</f>
        <v>0.93845999999999996</v>
      </c>
      <c r="S46" s="3">
        <f t="shared" si="70"/>
        <v>-438918.00365203258</v>
      </c>
      <c r="T46" s="3">
        <f t="shared" si="70"/>
        <v>170888.67793724401</v>
      </c>
      <c r="U46" s="3">
        <f t="shared" si="70"/>
        <v>224666.70391255498</v>
      </c>
      <c r="V46" s="3">
        <f t="shared" si="70"/>
        <v>-20193.296702026801</v>
      </c>
      <c r="W46" s="3">
        <f t="shared" si="70"/>
        <v>136429.47972690238</v>
      </c>
      <c r="X46" s="3">
        <f t="shared" si="70"/>
        <v>14199.863786112001</v>
      </c>
      <c r="Y46" s="3">
        <f t="shared" si="70"/>
        <v>4666.2676263683998</v>
      </c>
      <c r="Z46" s="3">
        <f t="shared" si="70"/>
        <v>17726.7868233384</v>
      </c>
      <c r="AA46" s="3">
        <f t="shared" si="70"/>
        <v>-51264.904346266194</v>
      </c>
      <c r="AB46" s="3">
        <f t="shared" si="70"/>
        <v>-89866.695172692009</v>
      </c>
      <c r="AC46" s="24">
        <f t="shared" si="70"/>
        <v>123773.5094079672</v>
      </c>
      <c r="AD46" s="24">
        <f t="shared" si="70"/>
        <v>-207647.06423903399</v>
      </c>
      <c r="AE46" s="3">
        <f t="shared" si="35"/>
        <v>-115538.67489156421</v>
      </c>
    </row>
    <row r="47" spans="1:32" x14ac:dyDescent="0.3">
      <c r="A47" t="s">
        <v>96</v>
      </c>
      <c r="B47" t="s">
        <v>28</v>
      </c>
      <c r="D47" s="5">
        <v>-5302.9790400000002</v>
      </c>
      <c r="E47" s="5">
        <v>1134.1511</v>
      </c>
      <c r="F47" s="5">
        <v>3158.8477800000001</v>
      </c>
      <c r="G47" s="5">
        <v>-1198.0749000000001</v>
      </c>
      <c r="H47" s="5">
        <v>4755.01865</v>
      </c>
      <c r="I47" s="5">
        <v>1712.4667200000001</v>
      </c>
      <c r="J47" s="5">
        <v>1421.28612</v>
      </c>
      <c r="K47" s="5">
        <v>13752.37861</v>
      </c>
      <c r="L47" s="5">
        <v>-12998.320965000001</v>
      </c>
      <c r="M47" s="5">
        <v>-10046.13586</v>
      </c>
      <c r="N47" s="10">
        <v>2163.5458099999996</v>
      </c>
      <c r="O47" s="10">
        <v>-3153.3882599999997</v>
      </c>
      <c r="P47" s="2">
        <f t="shared" si="41"/>
        <v>-4601.2042350000011</v>
      </c>
      <c r="Q47" s="2"/>
      <c r="R47" s="14">
        <f>R8</f>
        <v>0.52148000000000005</v>
      </c>
      <c r="S47" s="3">
        <f t="shared" si="70"/>
        <v>-2765.3975097792004</v>
      </c>
      <c r="T47" s="3">
        <f t="shared" si="70"/>
        <v>591.43711562800013</v>
      </c>
      <c r="U47" s="3">
        <f t="shared" si="70"/>
        <v>1647.2759403144003</v>
      </c>
      <c r="V47" s="3">
        <f t="shared" si="70"/>
        <v>-624.77209885200011</v>
      </c>
      <c r="W47" s="3">
        <f t="shared" si="70"/>
        <v>2479.6471256020004</v>
      </c>
      <c r="X47" s="3">
        <f t="shared" si="70"/>
        <v>893.01714514560013</v>
      </c>
      <c r="Y47" s="3">
        <f t="shared" si="70"/>
        <v>741.17228585760006</v>
      </c>
      <c r="Z47" s="3">
        <f t="shared" si="70"/>
        <v>7171.5903975428009</v>
      </c>
      <c r="AA47" s="3">
        <f t="shared" si="70"/>
        <v>-6778.3644168282008</v>
      </c>
      <c r="AB47" s="3">
        <f t="shared" si="70"/>
        <v>-5238.8589282728008</v>
      </c>
      <c r="AC47" s="24">
        <f t="shared" si="70"/>
        <v>1128.2458689988</v>
      </c>
      <c r="AD47" s="24">
        <f t="shared" si="70"/>
        <v>-1644.4289098248</v>
      </c>
      <c r="AE47" s="3">
        <f t="shared" si="35"/>
        <v>-2399.4359844678011</v>
      </c>
    </row>
    <row r="49" spans="1:34" x14ac:dyDescent="0.3">
      <c r="A49" t="s">
        <v>45</v>
      </c>
      <c r="C49" t="s">
        <v>82</v>
      </c>
    </row>
    <row r="50" spans="1:34" x14ac:dyDescent="0.3">
      <c r="A50" t="s">
        <v>104</v>
      </c>
      <c r="D50" s="2">
        <f t="shared" ref="D50:O50" si="71">SUM(D4:D4)+D28+D45</f>
        <v>9081061.8268999998</v>
      </c>
      <c r="E50" s="2">
        <f t="shared" si="71"/>
        <v>6892677.83103</v>
      </c>
      <c r="F50" s="2">
        <f t="shared" si="71"/>
        <v>6205934.1533400007</v>
      </c>
      <c r="G50" s="2">
        <f t="shared" si="71"/>
        <v>4307727.6178000001</v>
      </c>
      <c r="H50" s="2">
        <f t="shared" si="71"/>
        <v>2697677.6114999996</v>
      </c>
      <c r="I50" s="2">
        <f t="shared" si="71"/>
        <v>1500491.2545099999</v>
      </c>
      <c r="J50" s="2">
        <f t="shared" si="71"/>
        <v>1053031.17032</v>
      </c>
      <c r="K50" s="2">
        <f t="shared" si="71"/>
        <v>1113670.2930600001</v>
      </c>
      <c r="L50" s="2">
        <f t="shared" si="71"/>
        <v>1271690.1178900001</v>
      </c>
      <c r="M50" s="2">
        <f t="shared" si="71"/>
        <v>3462855.70199</v>
      </c>
      <c r="N50" s="19">
        <f t="shared" si="71"/>
        <v>6158691.0325600002</v>
      </c>
      <c r="O50" s="19">
        <f t="shared" si="71"/>
        <v>8667905.9110400006</v>
      </c>
      <c r="P50" s="6">
        <f>SUM(D50:O50)</f>
        <v>52413414.52194</v>
      </c>
      <c r="S50" s="3">
        <f t="shared" ref="S50:AD50" si="72">SUM(S3:S4)+S28+S45</f>
        <v>9922510.5779808927</v>
      </c>
      <c r="T50" s="3">
        <f t="shared" si="72"/>
        <v>7745648.7849689191</v>
      </c>
      <c r="U50" s="3">
        <f t="shared" si="72"/>
        <v>7063168.5836442309</v>
      </c>
      <c r="V50" s="3">
        <f t="shared" si="72"/>
        <v>5173490.506873304</v>
      </c>
      <c r="W50" s="3">
        <f t="shared" si="72"/>
        <v>3571825.9666068191</v>
      </c>
      <c r="X50" s="3">
        <f t="shared" si="72"/>
        <v>2378808.6410360066</v>
      </c>
      <c r="Y50" s="3">
        <f t="shared" si="72"/>
        <v>1930529.0444938976</v>
      </c>
      <c r="Z50" s="3">
        <f t="shared" si="72"/>
        <v>1989025.5671009209</v>
      </c>
      <c r="AA50" s="3">
        <f t="shared" si="72"/>
        <v>2145574.7264628257</v>
      </c>
      <c r="AB50" s="3">
        <f t="shared" si="72"/>
        <v>4331683.309655413</v>
      </c>
      <c r="AC50" s="24">
        <f t="shared" si="72"/>
        <v>7020646.7962667812</v>
      </c>
      <c r="AD50" s="24">
        <f t="shared" si="72"/>
        <v>9520002.6515932679</v>
      </c>
      <c r="AE50" s="3">
        <f>SUM(S50:AD50)</f>
        <v>62792915.156683274</v>
      </c>
      <c r="AF50" s="3">
        <f>AE50</f>
        <v>62792915.156683274</v>
      </c>
      <c r="AH50" t="s">
        <v>111</v>
      </c>
    </row>
    <row r="51" spans="1:34" x14ac:dyDescent="0.3">
      <c r="A51" t="s">
        <v>105</v>
      </c>
      <c r="D51" s="2">
        <f t="shared" ref="D51:O51" si="73">SUM(D6:D6)+D31+D46</f>
        <v>4944700.2221900001</v>
      </c>
      <c r="E51" s="2">
        <f t="shared" si="73"/>
        <v>3922494.7093999996</v>
      </c>
      <c r="F51" s="2">
        <f t="shared" si="73"/>
        <v>3235245.0742500001</v>
      </c>
      <c r="G51" s="2">
        <f t="shared" si="73"/>
        <v>2375105.6744200001</v>
      </c>
      <c r="H51" s="2">
        <f t="shared" si="73"/>
        <v>1297829.62644</v>
      </c>
      <c r="I51" s="2">
        <f t="shared" si="73"/>
        <v>1074055.6731999998</v>
      </c>
      <c r="J51" s="2">
        <f t="shared" si="73"/>
        <v>834261.31154000002</v>
      </c>
      <c r="K51" s="2">
        <f t="shared" si="73"/>
        <v>975004.53904000006</v>
      </c>
      <c r="L51" s="2">
        <f t="shared" si="73"/>
        <v>946994.24103000003</v>
      </c>
      <c r="M51" s="2">
        <f t="shared" si="73"/>
        <v>1725578.9299599999</v>
      </c>
      <c r="N51" s="19">
        <f t="shared" si="73"/>
        <v>3061185.1100699999</v>
      </c>
      <c r="O51" s="19">
        <f t="shared" si="73"/>
        <v>4476125.430900001</v>
      </c>
      <c r="P51" s="6">
        <f t="shared" ref="P51:P56" si="74">SUM(D51:O51)</f>
        <v>28868580.542440001</v>
      </c>
      <c r="S51" s="3">
        <f t="shared" ref="S51:AD51" si="75">SUM(S5:S6)+S31+S46</f>
        <v>4840408.3705164269</v>
      </c>
      <c r="T51" s="3">
        <f t="shared" si="75"/>
        <v>3880650.3849835233</v>
      </c>
      <c r="U51" s="3">
        <f t="shared" si="75"/>
        <v>3235949.0923806545</v>
      </c>
      <c r="V51" s="3">
        <f t="shared" si="75"/>
        <v>2428419.6712161936</v>
      </c>
      <c r="W51" s="3">
        <f t="shared" si="75"/>
        <v>1417065.1912288824</v>
      </c>
      <c r="X51" s="3">
        <f t="shared" si="75"/>
        <v>1207113.287071272</v>
      </c>
      <c r="Y51" s="3">
        <f t="shared" si="75"/>
        <v>980630.8704278284</v>
      </c>
      <c r="Z51" s="3">
        <f t="shared" si="75"/>
        <v>1112287.7597074783</v>
      </c>
      <c r="AA51" s="3">
        <f t="shared" si="75"/>
        <v>1086018.2154370137</v>
      </c>
      <c r="AB51" s="3">
        <f t="shared" si="75"/>
        <v>1817181.8026102616</v>
      </c>
      <c r="AC51" s="24">
        <f t="shared" si="75"/>
        <v>3071376.7783962926</v>
      </c>
      <c r="AD51" s="24">
        <f t="shared" si="75"/>
        <v>4399989.6718824133</v>
      </c>
      <c r="AE51" s="3">
        <f t="shared" ref="AE51:AE56" si="76">SUM(S51:AD51)</f>
        <v>29477091.095858242</v>
      </c>
    </row>
    <row r="52" spans="1:34" x14ac:dyDescent="0.3">
      <c r="A52" t="s">
        <v>106</v>
      </c>
      <c r="D52" s="2">
        <f t="shared" ref="D52:O52" si="77">SUM(D8:D8)+D34+D47</f>
        <v>427279.31095999997</v>
      </c>
      <c r="E52" s="2">
        <f t="shared" si="77"/>
        <v>444822.59010000003</v>
      </c>
      <c r="F52" s="2">
        <f t="shared" si="77"/>
        <v>391632.57078000001</v>
      </c>
      <c r="G52" s="2">
        <f t="shared" si="77"/>
        <v>393999.41509999998</v>
      </c>
      <c r="H52" s="2">
        <f t="shared" si="77"/>
        <v>296743.11264999997</v>
      </c>
      <c r="I52" s="2">
        <f t="shared" si="77"/>
        <v>276187.32272000005</v>
      </c>
      <c r="J52" s="2">
        <f t="shared" si="77"/>
        <v>232781.50211999999</v>
      </c>
      <c r="K52" s="2">
        <f t="shared" si="77"/>
        <v>285910.48560999997</v>
      </c>
      <c r="L52" s="2">
        <f t="shared" si="77"/>
        <v>236215.72703500002</v>
      </c>
      <c r="M52" s="2">
        <f t="shared" si="77"/>
        <v>331092.40033000003</v>
      </c>
      <c r="N52" s="19">
        <f t="shared" si="77"/>
        <v>380658.93481000001</v>
      </c>
      <c r="O52" s="19">
        <f t="shared" si="77"/>
        <v>445323.71974000003</v>
      </c>
      <c r="P52" s="6">
        <f t="shared" si="74"/>
        <v>4142647.0919550001</v>
      </c>
      <c r="S52" s="3">
        <f t="shared" ref="S52:AD52" si="78">SUM(S7:S8)+S34+S47</f>
        <v>226867.61507942082</v>
      </c>
      <c r="T52" s="3">
        <f t="shared" si="78"/>
        <v>236066.08428534804</v>
      </c>
      <c r="U52" s="3">
        <f t="shared" si="78"/>
        <v>208428.55301035443</v>
      </c>
      <c r="V52" s="3">
        <f t="shared" si="78"/>
        <v>209612.81498634801</v>
      </c>
      <c r="W52" s="3">
        <f t="shared" si="78"/>
        <v>158895.59838472202</v>
      </c>
      <c r="X52" s="3">
        <f t="shared" si="78"/>
        <v>148176.16505202564</v>
      </c>
      <c r="Y52" s="3">
        <f t="shared" si="78"/>
        <v>125540.89772553761</v>
      </c>
      <c r="Z52" s="3">
        <f t="shared" si="78"/>
        <v>153246.60003590281</v>
      </c>
      <c r="AA52" s="3">
        <f t="shared" si="78"/>
        <v>127281.7773342118</v>
      </c>
      <c r="AB52" s="3">
        <f t="shared" si="78"/>
        <v>176858.06492408845</v>
      </c>
      <c r="AC52" s="24">
        <f t="shared" si="78"/>
        <v>202556.02132471887</v>
      </c>
      <c r="AD52" s="24">
        <f t="shared" si="78"/>
        <v>236377.41337001522</v>
      </c>
      <c r="AE52" s="3">
        <f t="shared" si="76"/>
        <v>2209907.605512694</v>
      </c>
      <c r="AF52" s="3">
        <f>SUM(AE51:AE54)</f>
        <v>33351821.400674064</v>
      </c>
      <c r="AH52" t="s">
        <v>112</v>
      </c>
    </row>
    <row r="53" spans="1:34" x14ac:dyDescent="0.3">
      <c r="A53" t="s">
        <v>107</v>
      </c>
      <c r="D53" s="2">
        <f t="shared" ref="D53:O53" si="79">SUM(D10:D10)+D37</f>
        <v>488966.386</v>
      </c>
      <c r="E53" s="2">
        <f t="shared" si="79"/>
        <v>461243.85100000002</v>
      </c>
      <c r="F53" s="2">
        <f t="shared" si="79"/>
        <v>355967.7</v>
      </c>
      <c r="G53" s="2">
        <f t="shared" si="79"/>
        <v>297930.99400000001</v>
      </c>
      <c r="H53" s="2">
        <f t="shared" si="79"/>
        <v>474149.89600000001</v>
      </c>
      <c r="I53" s="2">
        <f t="shared" si="79"/>
        <v>308703.05099999998</v>
      </c>
      <c r="J53" s="2">
        <f t="shared" si="79"/>
        <v>290313.59600000002</v>
      </c>
      <c r="K53" s="2">
        <f t="shared" si="79"/>
        <v>295106.44</v>
      </c>
      <c r="L53" s="2">
        <f t="shared" si="79"/>
        <v>382842.52500000002</v>
      </c>
      <c r="M53" s="2">
        <f t="shared" si="79"/>
        <v>357485.96899999998</v>
      </c>
      <c r="N53" s="19">
        <f t="shared" si="79"/>
        <v>399093.04499999998</v>
      </c>
      <c r="O53" s="19">
        <f t="shared" si="79"/>
        <v>368909.538</v>
      </c>
      <c r="P53" s="6">
        <f t="shared" si="74"/>
        <v>4480712.9909999995</v>
      </c>
      <c r="S53" s="3">
        <f t="shared" ref="S53:AD53" si="80">SUM(S9:S10)</f>
        <v>162397.00141206</v>
      </c>
      <c r="T53" s="3">
        <f t="shared" si="80"/>
        <v>154419.03385221001</v>
      </c>
      <c r="U53" s="3">
        <f t="shared" si="80"/>
        <v>126073.992207</v>
      </c>
      <c r="V53" s="3">
        <f t="shared" si="80"/>
        <v>112964.80533774001</v>
      </c>
      <c r="W53" s="3">
        <f t="shared" si="80"/>
        <v>159608.39341416</v>
      </c>
      <c r="X53" s="3">
        <f t="shared" si="80"/>
        <v>109375.96829420999</v>
      </c>
      <c r="Y53" s="3">
        <f t="shared" si="80"/>
        <v>98744.351201160011</v>
      </c>
      <c r="Z53" s="3">
        <f t="shared" si="80"/>
        <v>96975.182702400009</v>
      </c>
      <c r="AA53" s="3">
        <f t="shared" si="80"/>
        <v>128774.61604275001</v>
      </c>
      <c r="AB53" s="3">
        <f t="shared" si="80"/>
        <v>93198.14997998999</v>
      </c>
      <c r="AC53" s="24">
        <f t="shared" si="80"/>
        <v>115428.17484194999</v>
      </c>
      <c r="AD53" s="24">
        <f t="shared" si="80"/>
        <v>129135.87260598</v>
      </c>
      <c r="AE53" s="3">
        <f t="shared" si="76"/>
        <v>1487095.54189161</v>
      </c>
    </row>
    <row r="54" spans="1:34" x14ac:dyDescent="0.3">
      <c r="A54" t="s">
        <v>108</v>
      </c>
      <c r="D54" s="2">
        <f t="shared" ref="D54:O54" si="81">SUM(D12:D12)</f>
        <v>9251.7729999999992</v>
      </c>
      <c r="E54" s="2">
        <f t="shared" si="81"/>
        <v>6.5970000000000004</v>
      </c>
      <c r="F54" s="2">
        <f t="shared" si="81"/>
        <v>4.7</v>
      </c>
      <c r="G54" s="2">
        <f t="shared" si="81"/>
        <v>11.268000000000001</v>
      </c>
      <c r="H54" s="2">
        <f t="shared" si="81"/>
        <v>14.234999999999999</v>
      </c>
      <c r="I54" s="2">
        <f t="shared" si="81"/>
        <v>7513.7240000000002</v>
      </c>
      <c r="J54" s="2">
        <f t="shared" si="81"/>
        <v>96025.369000000006</v>
      </c>
      <c r="K54" s="2">
        <f t="shared" si="81"/>
        <v>20339.934000000001</v>
      </c>
      <c r="L54" s="2">
        <f t="shared" si="81"/>
        <v>130256.88</v>
      </c>
      <c r="M54" s="2">
        <f t="shared" si="81"/>
        <v>68656.894</v>
      </c>
      <c r="N54" s="19">
        <f t="shared" si="81"/>
        <v>11166.555</v>
      </c>
      <c r="O54" s="19">
        <f t="shared" si="81"/>
        <v>2976.3829999999998</v>
      </c>
      <c r="P54" s="6">
        <f t="shared" si="74"/>
        <v>346224.31199999992</v>
      </c>
      <c r="S54" s="3">
        <f t="shared" ref="S54:AD54" si="82">SUM(S11:S12)+S37</f>
        <v>3460.8773875799989</v>
      </c>
      <c r="T54" s="3">
        <f t="shared" si="82"/>
        <v>-2799.9098173800003</v>
      </c>
      <c r="U54" s="3">
        <f t="shared" si="82"/>
        <v>-9061.2435779999996</v>
      </c>
      <c r="V54" s="3">
        <f t="shared" si="82"/>
        <v>-15025.660644720001</v>
      </c>
      <c r="W54" s="3">
        <f t="shared" si="82"/>
        <v>-3742.6883619</v>
      </c>
      <c r="X54" s="3">
        <f t="shared" si="82"/>
        <v>-3736.12899096</v>
      </c>
      <c r="Y54" s="3">
        <f t="shared" si="82"/>
        <v>49926.857035740002</v>
      </c>
      <c r="Z54" s="3">
        <f t="shared" si="82"/>
        <v>11306.93499564</v>
      </c>
      <c r="AA54" s="3">
        <f t="shared" si="82"/>
        <v>69291.780034800002</v>
      </c>
      <c r="AB54" s="3">
        <f t="shared" si="82"/>
        <v>62378.564337240001</v>
      </c>
      <c r="AC54" s="24">
        <f t="shared" si="82"/>
        <v>21949.108065299999</v>
      </c>
      <c r="AD54" s="24">
        <f t="shared" si="82"/>
        <v>-6221.33305182</v>
      </c>
      <c r="AE54" s="3">
        <f t="shared" si="76"/>
        <v>177727.15741152002</v>
      </c>
      <c r="AF54" s="3">
        <f>AE55+AE56</f>
        <v>3382666.2035899996</v>
      </c>
      <c r="AH54" t="s">
        <v>113</v>
      </c>
    </row>
    <row r="55" spans="1:34" x14ac:dyDescent="0.3">
      <c r="A55" t="s">
        <v>109</v>
      </c>
      <c r="D55" s="2">
        <f t="shared" ref="D55:O55" si="83">SUM(D14:D18)+D40</f>
        <v>3988417</v>
      </c>
      <c r="E55" s="2">
        <f t="shared" si="83"/>
        <v>3501287</v>
      </c>
      <c r="F55" s="2">
        <f t="shared" si="83"/>
        <v>3562794</v>
      </c>
      <c r="G55" s="2">
        <f t="shared" si="83"/>
        <v>3672801</v>
      </c>
      <c r="H55" s="2">
        <f t="shared" si="83"/>
        <v>3337628</v>
      </c>
      <c r="I55" s="2">
        <f t="shared" si="83"/>
        <v>3028357</v>
      </c>
      <c r="J55" s="2">
        <f t="shared" si="83"/>
        <v>2820147</v>
      </c>
      <c r="K55" s="2">
        <f t="shared" si="83"/>
        <v>2907572</v>
      </c>
      <c r="L55" s="2">
        <f t="shared" si="83"/>
        <v>2802203</v>
      </c>
      <c r="M55" s="2">
        <f t="shared" si="83"/>
        <v>3538332</v>
      </c>
      <c r="N55" s="19">
        <f t="shared" si="83"/>
        <v>3525577</v>
      </c>
      <c r="O55" s="19">
        <f t="shared" si="83"/>
        <v>3697595</v>
      </c>
      <c r="P55" s="6">
        <f t="shared" si="74"/>
        <v>40382710</v>
      </c>
      <c r="S55" s="3">
        <f t="shared" ref="S55:AD55" si="84">SUM(S13:S18)+S40</f>
        <v>313563.01811</v>
      </c>
      <c r="T55" s="3">
        <f t="shared" si="84"/>
        <v>268522.03162000002</v>
      </c>
      <c r="U55" s="3">
        <f t="shared" si="84"/>
        <v>281640.65142999997</v>
      </c>
      <c r="V55" s="3">
        <f t="shared" si="84"/>
        <v>287048.6251</v>
      </c>
      <c r="W55" s="3">
        <f t="shared" si="84"/>
        <v>261294.06995</v>
      </c>
      <c r="X55" s="3">
        <f t="shared" si="84"/>
        <v>248093.57596999998</v>
      </c>
      <c r="Y55" s="3">
        <f t="shared" si="84"/>
        <v>231724.47229999999</v>
      </c>
      <c r="Z55" s="3">
        <f t="shared" si="84"/>
        <v>242825.97395000001</v>
      </c>
      <c r="AA55" s="3">
        <f t="shared" si="84"/>
        <v>229808.92251</v>
      </c>
      <c r="AB55" s="3">
        <f t="shared" si="84"/>
        <v>291282.54862000002</v>
      </c>
      <c r="AC55" s="24">
        <f t="shared" si="84"/>
        <v>276219.83877999993</v>
      </c>
      <c r="AD55" s="24">
        <f t="shared" si="84"/>
        <v>290974.37856999994</v>
      </c>
      <c r="AE55" s="3">
        <f t="shared" si="76"/>
        <v>3222998.1069099996</v>
      </c>
    </row>
    <row r="56" spans="1:34" x14ac:dyDescent="0.3">
      <c r="A56" t="s">
        <v>110</v>
      </c>
      <c r="D56" s="2">
        <f t="shared" ref="D56:O56" si="85">D20+D22+D24+D43</f>
        <v>544114</v>
      </c>
      <c r="E56" s="2">
        <f t="shared" si="85"/>
        <v>436909</v>
      </c>
      <c r="F56" s="2">
        <f t="shared" si="85"/>
        <v>631699</v>
      </c>
      <c r="G56" s="2">
        <f t="shared" si="85"/>
        <v>564177</v>
      </c>
      <c r="H56" s="2">
        <f t="shared" si="85"/>
        <v>350090</v>
      </c>
      <c r="I56" s="2">
        <f t="shared" si="85"/>
        <v>502958</v>
      </c>
      <c r="J56" s="2">
        <f t="shared" si="85"/>
        <v>414903</v>
      </c>
      <c r="K56" s="2">
        <f t="shared" si="85"/>
        <v>517156</v>
      </c>
      <c r="L56" s="2">
        <f t="shared" si="85"/>
        <v>521168</v>
      </c>
      <c r="M56" s="2">
        <f t="shared" si="85"/>
        <v>587849</v>
      </c>
      <c r="N56" s="19">
        <f t="shared" si="85"/>
        <v>581537</v>
      </c>
      <c r="O56" s="19">
        <f t="shared" si="85"/>
        <v>492542</v>
      </c>
      <c r="P56" s="6">
        <f t="shared" si="74"/>
        <v>6145102</v>
      </c>
      <c r="S56" s="3">
        <f t="shared" ref="S56:AD56" si="86">SUM(S19:S24)+S43</f>
        <v>14140.467320000002</v>
      </c>
      <c r="T56" s="3">
        <f t="shared" si="86"/>
        <v>11345.105339999998</v>
      </c>
      <c r="U56" s="3">
        <f t="shared" si="86"/>
        <v>16427.388500000001</v>
      </c>
      <c r="V56" s="3">
        <f t="shared" si="86"/>
        <v>14656.795340000001</v>
      </c>
      <c r="W56" s="3">
        <f t="shared" si="86"/>
        <v>9080.8976000000002</v>
      </c>
      <c r="X56" s="3">
        <f t="shared" si="86"/>
        <v>13061.93662</v>
      </c>
      <c r="Y56" s="3">
        <f t="shared" si="86"/>
        <v>10770.231759999999</v>
      </c>
      <c r="Z56" s="3">
        <f t="shared" si="86"/>
        <v>13440.60628</v>
      </c>
      <c r="AA56" s="3">
        <f t="shared" si="86"/>
        <v>13557.108780000002</v>
      </c>
      <c r="AB56" s="3">
        <f t="shared" si="86"/>
        <v>15296.713080000001</v>
      </c>
      <c r="AC56" s="24">
        <f t="shared" si="86"/>
        <v>15107.380359999999</v>
      </c>
      <c r="AD56" s="24">
        <f t="shared" si="86"/>
        <v>12783.465700000001</v>
      </c>
      <c r="AE56" s="3">
        <f t="shared" si="76"/>
        <v>159668.09668000002</v>
      </c>
    </row>
    <row r="57" spans="1:34" x14ac:dyDescent="0.3">
      <c r="A57" t="s">
        <v>52</v>
      </c>
      <c r="D57" s="8">
        <f>SUM(D50:D56)</f>
        <v>19483790.519050002</v>
      </c>
      <c r="E57" s="8">
        <f t="shared" ref="E57:P57" si="87">SUM(E50:E56)</f>
        <v>15659441.578529999</v>
      </c>
      <c r="F57" s="8">
        <f t="shared" si="87"/>
        <v>14383277.198369998</v>
      </c>
      <c r="G57" s="8">
        <f t="shared" si="87"/>
        <v>11611752.969319999</v>
      </c>
      <c r="H57" s="8">
        <f t="shared" si="87"/>
        <v>8454132.481589999</v>
      </c>
      <c r="I57" s="8">
        <f t="shared" si="87"/>
        <v>6698266.0254299995</v>
      </c>
      <c r="J57" s="8">
        <f t="shared" si="87"/>
        <v>5741462.9489799999</v>
      </c>
      <c r="K57" s="8">
        <f t="shared" si="87"/>
        <v>6114759.6917099999</v>
      </c>
      <c r="L57" s="8">
        <f t="shared" si="87"/>
        <v>6291370.4909549998</v>
      </c>
      <c r="M57" s="8">
        <f t="shared" si="87"/>
        <v>10071850.89528</v>
      </c>
      <c r="N57" s="22">
        <f t="shared" si="87"/>
        <v>14117908.677439999</v>
      </c>
      <c r="O57" s="22">
        <f t="shared" si="87"/>
        <v>18151377.98268</v>
      </c>
      <c r="P57" s="8">
        <f t="shared" si="87"/>
        <v>136779391.45933503</v>
      </c>
      <c r="S57" s="7">
        <f>SUM(S50:S56)</f>
        <v>15483347.927806381</v>
      </c>
      <c r="T57" s="7">
        <f t="shared" ref="T57:AD57" si="88">SUM(T50:T56)</f>
        <v>12293851.515232621</v>
      </c>
      <c r="U57" s="7">
        <f t="shared" si="88"/>
        <v>10922627.017594239</v>
      </c>
      <c r="V57" s="7">
        <f t="shared" si="88"/>
        <v>8211167.5582088651</v>
      </c>
      <c r="W57" s="7">
        <f t="shared" si="88"/>
        <v>5574027.4288226841</v>
      </c>
      <c r="X57" s="7">
        <f t="shared" si="88"/>
        <v>4100893.4450525539</v>
      </c>
      <c r="Y57" s="7">
        <f t="shared" si="88"/>
        <v>3427866.7249441631</v>
      </c>
      <c r="Z57" s="7">
        <f t="shared" si="88"/>
        <v>3619108.6247723424</v>
      </c>
      <c r="AA57" s="7">
        <f t="shared" si="88"/>
        <v>3800307.146601601</v>
      </c>
      <c r="AB57" s="7">
        <f t="shared" si="88"/>
        <v>6787879.1532069929</v>
      </c>
      <c r="AC57" s="25">
        <f t="shared" si="88"/>
        <v>10723284.098035041</v>
      </c>
      <c r="AD57" s="25">
        <f t="shared" si="88"/>
        <v>14583042.120669857</v>
      </c>
      <c r="AE57" s="7">
        <f>SUM(AE50:AE56)</f>
        <v>99527402.760947332</v>
      </c>
      <c r="AF57" s="3">
        <f>SUM(AF50:AF55)</f>
        <v>99527402.760947347</v>
      </c>
    </row>
    <row r="59" spans="1:34" x14ac:dyDescent="0.3">
      <c r="A59" t="s">
        <v>54</v>
      </c>
      <c r="C59" t="s">
        <v>55</v>
      </c>
      <c r="R59" s="12" t="s">
        <v>56</v>
      </c>
    </row>
    <row r="60" spans="1:34" x14ac:dyDescent="0.3">
      <c r="A60" t="s">
        <v>104</v>
      </c>
      <c r="D60" s="2">
        <f t="shared" ref="D60:P60" si="89">D50/(D3)</f>
        <v>102.06192486625606</v>
      </c>
      <c r="E60" s="2">
        <f t="shared" si="89"/>
        <v>77.477157401083588</v>
      </c>
      <c r="F60" s="2">
        <f t="shared" si="89"/>
        <v>69.710015763437241</v>
      </c>
      <c r="G60" s="2">
        <f t="shared" si="89"/>
        <v>48.47332693207904</v>
      </c>
      <c r="H60" s="2">
        <f t="shared" si="89"/>
        <v>30.36215657287563</v>
      </c>
      <c r="I60" s="2">
        <f t="shared" si="89"/>
        <v>16.929834756967164</v>
      </c>
      <c r="J60" s="2">
        <f t="shared" si="89"/>
        <v>11.924257392367796</v>
      </c>
      <c r="K60" s="2">
        <f t="shared" si="89"/>
        <v>12.636963201933552</v>
      </c>
      <c r="L60" s="2">
        <f t="shared" si="89"/>
        <v>14.440357893487766</v>
      </c>
      <c r="M60" s="2">
        <f t="shared" si="89"/>
        <v>39.0290865256692</v>
      </c>
      <c r="N60" s="19">
        <f t="shared" si="89"/>
        <v>68.833724881080116</v>
      </c>
      <c r="O60" s="19">
        <f t="shared" si="89"/>
        <v>96.501997428663685</v>
      </c>
      <c r="P60" s="2">
        <f t="shared" si="89"/>
        <v>49.175964101295321</v>
      </c>
      <c r="S60" s="3">
        <f t="shared" ref="S60:AE60" si="90">S50/(D3)</f>
        <v>111.51895542596759</v>
      </c>
      <c r="T60" s="3">
        <f t="shared" si="90"/>
        <v>87.064978923709802</v>
      </c>
      <c r="U60" s="3">
        <f t="shared" si="90"/>
        <v>79.339158479575744</v>
      </c>
      <c r="V60" s="3">
        <f t="shared" si="90"/>
        <v>58.215448832800377</v>
      </c>
      <c r="W60" s="3">
        <f t="shared" si="90"/>
        <v>40.200629899907923</v>
      </c>
      <c r="X60" s="3">
        <f t="shared" si="90"/>
        <v>26.8397680360601</v>
      </c>
      <c r="Y60" s="3">
        <f t="shared" si="90"/>
        <v>21.860820343040398</v>
      </c>
      <c r="Z60" s="3">
        <f t="shared" si="90"/>
        <v>22.569734557699267</v>
      </c>
      <c r="AA60" s="3">
        <f t="shared" si="90"/>
        <v>24.363535189494414</v>
      </c>
      <c r="AB60" s="3">
        <f t="shared" si="90"/>
        <v>48.821451785352643</v>
      </c>
      <c r="AC60" s="24">
        <f t="shared" si="90"/>
        <v>78.467529464712769</v>
      </c>
      <c r="AD60" s="24">
        <f t="shared" si="90"/>
        <v>105.9886068023432</v>
      </c>
      <c r="AE60" s="3">
        <f t="shared" si="90"/>
        <v>58.914347972276424</v>
      </c>
    </row>
    <row r="61" spans="1:34" x14ac:dyDescent="0.3">
      <c r="A61" t="s">
        <v>105</v>
      </c>
      <c r="D61" s="2">
        <f t="shared" ref="D61:P61" si="91">D51/(D5)</f>
        <v>420.28901166085848</v>
      </c>
      <c r="E61" s="2">
        <f t="shared" si="91"/>
        <v>334.17061760095413</v>
      </c>
      <c r="F61" s="2">
        <f t="shared" si="91"/>
        <v>275.2697246873139</v>
      </c>
      <c r="G61" s="2">
        <f t="shared" si="91"/>
        <v>202.41227837225159</v>
      </c>
      <c r="H61" s="2">
        <f t="shared" si="91"/>
        <v>110.81195580942624</v>
      </c>
      <c r="I61" s="2">
        <f t="shared" si="91"/>
        <v>91.682089048228747</v>
      </c>
      <c r="J61" s="2">
        <f t="shared" si="91"/>
        <v>71.733560751504726</v>
      </c>
      <c r="K61" s="2">
        <f t="shared" si="91"/>
        <v>84.015901683757008</v>
      </c>
      <c r="L61" s="2">
        <f t="shared" si="91"/>
        <v>81.59523014216785</v>
      </c>
      <c r="M61" s="2">
        <f t="shared" si="91"/>
        <v>148.30931929179201</v>
      </c>
      <c r="N61" s="19">
        <f t="shared" si="91"/>
        <v>262.06532917301598</v>
      </c>
      <c r="O61" s="19">
        <f t="shared" si="91"/>
        <v>381.75909858422182</v>
      </c>
      <c r="P61" s="2">
        <f t="shared" si="91"/>
        <v>205.76469213921698</v>
      </c>
      <c r="S61" s="3">
        <f t="shared" ref="S61:AE61" si="92">S51/(D5)</f>
        <v>411.42442588324923</v>
      </c>
      <c r="T61" s="3">
        <f t="shared" si="92"/>
        <v>330.60575779379138</v>
      </c>
      <c r="U61" s="3">
        <f t="shared" si="92"/>
        <v>275.32962583005656</v>
      </c>
      <c r="V61" s="3">
        <f t="shared" si="92"/>
        <v>206.95582676122325</v>
      </c>
      <c r="W61" s="3">
        <f t="shared" si="92"/>
        <v>120.99258804891414</v>
      </c>
      <c r="X61" s="3">
        <f t="shared" si="92"/>
        <v>103.03997328820077</v>
      </c>
      <c r="Y61" s="3">
        <f t="shared" si="92"/>
        <v>84.319077422857134</v>
      </c>
      <c r="Z61" s="3">
        <f t="shared" si="92"/>
        <v>95.845563094138583</v>
      </c>
      <c r="AA61" s="3">
        <f t="shared" si="92"/>
        <v>93.573859679218828</v>
      </c>
      <c r="AB61" s="3">
        <f t="shared" si="92"/>
        <v>156.18236378257512</v>
      </c>
      <c r="AC61" s="24">
        <f t="shared" si="92"/>
        <v>262.93782881570866</v>
      </c>
      <c r="AD61" s="24">
        <f t="shared" si="92"/>
        <v>375.26564365734868</v>
      </c>
      <c r="AE61" s="3">
        <f t="shared" si="92"/>
        <v>210.10193298496955</v>
      </c>
    </row>
    <row r="62" spans="1:34" x14ac:dyDescent="0.3">
      <c r="A62" t="s">
        <v>106</v>
      </c>
      <c r="D62" s="2">
        <f t="shared" ref="D62:P62" si="93">D52/(D7)</f>
        <v>5275.0532217283944</v>
      </c>
      <c r="E62" s="2">
        <f t="shared" si="93"/>
        <v>5424.6657329268301</v>
      </c>
      <c r="F62" s="2">
        <f t="shared" si="93"/>
        <v>4662.292509285714</v>
      </c>
      <c r="G62" s="2">
        <f t="shared" si="93"/>
        <v>4746.9809048192765</v>
      </c>
      <c r="H62" s="2">
        <f t="shared" si="93"/>
        <v>3575.218224698795</v>
      </c>
      <c r="I62" s="2">
        <f t="shared" si="93"/>
        <v>3327.5581050602418</v>
      </c>
      <c r="J62" s="2">
        <f t="shared" si="93"/>
        <v>2804.5964110843374</v>
      </c>
      <c r="K62" s="2">
        <f t="shared" si="93"/>
        <v>3444.7046459036142</v>
      </c>
      <c r="L62" s="2">
        <f t="shared" si="93"/>
        <v>2880.6795979878052</v>
      </c>
      <c r="M62" s="2">
        <f t="shared" si="93"/>
        <v>3941.5761944047622</v>
      </c>
      <c r="N62" s="19">
        <f t="shared" si="93"/>
        <v>4699.4930223456795</v>
      </c>
      <c r="O62" s="19">
        <f t="shared" si="93"/>
        <v>5365.3460209638561</v>
      </c>
      <c r="P62" s="2">
        <f t="shared" si="93"/>
        <v>4176.0555362449595</v>
      </c>
      <c r="S62" s="3">
        <f t="shared" ref="S62:AE62" si="94">S52/(D7)</f>
        <v>2800.8347540669238</v>
      </c>
      <c r="T62" s="3">
        <f t="shared" si="94"/>
        <v>2878.8546864066834</v>
      </c>
      <c r="U62" s="3">
        <f t="shared" si="94"/>
        <v>2481.2922977423145</v>
      </c>
      <c r="V62" s="3">
        <f t="shared" si="94"/>
        <v>2525.4556022451566</v>
      </c>
      <c r="W62" s="3">
        <f t="shared" si="94"/>
        <v>1914.4047998159278</v>
      </c>
      <c r="X62" s="3">
        <f t="shared" si="94"/>
        <v>1785.255000626815</v>
      </c>
      <c r="Y62" s="3">
        <f t="shared" si="94"/>
        <v>1512.5409364522604</v>
      </c>
      <c r="Z62" s="3">
        <f t="shared" si="94"/>
        <v>1846.344578745817</v>
      </c>
      <c r="AA62" s="3">
        <f t="shared" si="94"/>
        <v>1552.2167967586804</v>
      </c>
      <c r="AB62" s="3">
        <f t="shared" si="94"/>
        <v>2105.4531538581959</v>
      </c>
      <c r="AC62" s="24">
        <f t="shared" si="94"/>
        <v>2500.6916212928254</v>
      </c>
      <c r="AD62" s="24">
        <f t="shared" si="94"/>
        <v>2847.9206430122317</v>
      </c>
      <c r="AE62" s="3">
        <f t="shared" si="94"/>
        <v>2227.7294410410223</v>
      </c>
    </row>
    <row r="63" spans="1:34" x14ac:dyDescent="0.3">
      <c r="A63" t="s">
        <v>107</v>
      </c>
      <c r="D63" s="2">
        <f t="shared" ref="D63:P63" si="95">D53/(D9)</f>
        <v>13970.468171428571</v>
      </c>
      <c r="E63" s="2">
        <f t="shared" si="95"/>
        <v>13178.395742857143</v>
      </c>
      <c r="F63" s="2">
        <f t="shared" si="95"/>
        <v>10786.9</v>
      </c>
      <c r="G63" s="2">
        <f t="shared" si="95"/>
        <v>9028.2119393939392</v>
      </c>
      <c r="H63" s="2">
        <f t="shared" si="95"/>
        <v>11564.631609756098</v>
      </c>
      <c r="I63" s="2">
        <f t="shared" si="95"/>
        <v>9079.5014999999985</v>
      </c>
      <c r="J63" s="2">
        <f t="shared" si="95"/>
        <v>8294.6741714285727</v>
      </c>
      <c r="K63" s="2">
        <f t="shared" si="95"/>
        <v>8942.6193939393943</v>
      </c>
      <c r="L63" s="2">
        <f t="shared" si="95"/>
        <v>10347.095270270271</v>
      </c>
      <c r="M63" s="2">
        <f t="shared" si="95"/>
        <v>9661.7829459459463</v>
      </c>
      <c r="N63" s="19">
        <f t="shared" si="95"/>
        <v>11402.658428571429</v>
      </c>
      <c r="O63" s="19">
        <f t="shared" si="95"/>
        <v>10247.487166666666</v>
      </c>
      <c r="P63" s="2">
        <f t="shared" si="95"/>
        <v>10567.719318396224</v>
      </c>
      <c r="S63" s="3">
        <f t="shared" ref="S63:AE63" si="96">S53/(D9)</f>
        <v>4639.9143260588571</v>
      </c>
      <c r="T63" s="3">
        <f t="shared" si="96"/>
        <v>4411.9723957774286</v>
      </c>
      <c r="U63" s="3">
        <f t="shared" si="96"/>
        <v>3820.4240062727272</v>
      </c>
      <c r="V63" s="3">
        <f t="shared" si="96"/>
        <v>3423.1759193254547</v>
      </c>
      <c r="W63" s="3">
        <f t="shared" si="96"/>
        <v>3892.8876442478049</v>
      </c>
      <c r="X63" s="3">
        <f t="shared" si="96"/>
        <v>3216.9402439473524</v>
      </c>
      <c r="Y63" s="3">
        <f t="shared" si="96"/>
        <v>2821.2671771760001</v>
      </c>
      <c r="Z63" s="3">
        <f t="shared" si="96"/>
        <v>2938.6419000727274</v>
      </c>
      <c r="AA63" s="3">
        <f t="shared" si="96"/>
        <v>3480.3950281824327</v>
      </c>
      <c r="AB63" s="3">
        <f t="shared" si="96"/>
        <v>2518.868918378108</v>
      </c>
      <c r="AC63" s="24">
        <f t="shared" si="96"/>
        <v>3297.9478526271428</v>
      </c>
      <c r="AD63" s="24">
        <f t="shared" si="96"/>
        <v>3587.1075723883332</v>
      </c>
      <c r="AE63" s="3">
        <f t="shared" si="96"/>
        <v>3507.300806348137</v>
      </c>
    </row>
    <row r="64" spans="1:34" x14ac:dyDescent="0.3">
      <c r="A64" t="s">
        <v>108</v>
      </c>
      <c r="D64" s="2">
        <f t="shared" ref="D64:P64" si="97">D54/(D11)</f>
        <v>9251.7729999999992</v>
      </c>
      <c r="E64" s="2">
        <f t="shared" si="97"/>
        <v>3.2985000000000002</v>
      </c>
      <c r="F64" s="2">
        <f t="shared" si="97"/>
        <v>4.7</v>
      </c>
      <c r="G64" s="2">
        <f t="shared" si="97"/>
        <v>11.268000000000001</v>
      </c>
      <c r="H64" s="2">
        <f t="shared" si="97"/>
        <v>14.234999999999999</v>
      </c>
      <c r="I64" s="2">
        <f t="shared" si="97"/>
        <v>2504.5746666666669</v>
      </c>
      <c r="J64" s="2">
        <f t="shared" si="97"/>
        <v>32008.456333333335</v>
      </c>
      <c r="K64" s="2">
        <f t="shared" si="97"/>
        <v>5084.9835000000003</v>
      </c>
      <c r="L64" s="2">
        <f t="shared" si="97"/>
        <v>16282.11</v>
      </c>
      <c r="M64" s="2">
        <f t="shared" si="97"/>
        <v>13731.3788</v>
      </c>
      <c r="N64" s="19">
        <f t="shared" si="97"/>
        <v>5583.2775000000001</v>
      </c>
      <c r="O64" s="19">
        <f t="shared" si="97"/>
        <v>2976.3829999999998</v>
      </c>
      <c r="P64" s="2">
        <f t="shared" si="97"/>
        <v>10819.509749999997</v>
      </c>
      <c r="S64" s="3">
        <f t="shared" ref="S64:AE64" si="98">S54/(D11)</f>
        <v>3460.8773875799989</v>
      </c>
      <c r="T64" s="3">
        <f t="shared" si="98"/>
        <v>-1399.9549086900001</v>
      </c>
      <c r="U64" s="3">
        <f t="shared" si="98"/>
        <v>-9061.2435779999996</v>
      </c>
      <c r="V64" s="3">
        <f t="shared" si="98"/>
        <v>-15025.660644720001</v>
      </c>
      <c r="W64" s="3">
        <f t="shared" si="98"/>
        <v>-3742.6883619</v>
      </c>
      <c r="X64" s="3">
        <f t="shared" si="98"/>
        <v>-1245.3763303200001</v>
      </c>
      <c r="Y64" s="3">
        <f t="shared" si="98"/>
        <v>16642.28567858</v>
      </c>
      <c r="Z64" s="3">
        <f t="shared" si="98"/>
        <v>2826.73374891</v>
      </c>
      <c r="AA64" s="3">
        <f t="shared" si="98"/>
        <v>8661.4725043500002</v>
      </c>
      <c r="AB64" s="3">
        <f t="shared" si="98"/>
        <v>12475.712867448001</v>
      </c>
      <c r="AC64" s="24">
        <f t="shared" si="98"/>
        <v>10974.554032649999</v>
      </c>
      <c r="AD64" s="24">
        <f t="shared" si="98"/>
        <v>-6221.33305182</v>
      </c>
      <c r="AE64" s="3">
        <f t="shared" si="98"/>
        <v>5553.9736691100006</v>
      </c>
    </row>
    <row r="65" spans="1:31" x14ac:dyDescent="0.3">
      <c r="A65" t="s">
        <v>109</v>
      </c>
      <c r="D65" s="2">
        <f t="shared" ref="D65:P65" si="99">D55/(D13)</f>
        <v>104958.34210526316</v>
      </c>
      <c r="E65" s="2">
        <f t="shared" si="99"/>
        <v>92139.131578947374</v>
      </c>
      <c r="F65" s="2">
        <f t="shared" si="99"/>
        <v>93757.736842105267</v>
      </c>
      <c r="G65" s="2">
        <f t="shared" si="99"/>
        <v>96652.65789473684</v>
      </c>
      <c r="H65" s="2">
        <f t="shared" si="99"/>
        <v>87832.31578947368</v>
      </c>
      <c r="I65" s="2">
        <f t="shared" si="99"/>
        <v>79693.605263157893</v>
      </c>
      <c r="J65" s="2">
        <f t="shared" si="99"/>
        <v>74214.394736842107</v>
      </c>
      <c r="K65" s="2">
        <f t="shared" si="99"/>
        <v>76515.052631578947</v>
      </c>
      <c r="L65" s="2">
        <f t="shared" si="99"/>
        <v>73742.18421052632</v>
      </c>
      <c r="M65" s="2">
        <f t="shared" si="99"/>
        <v>93114</v>
      </c>
      <c r="N65" s="19">
        <f t="shared" si="99"/>
        <v>92778.34210526316</v>
      </c>
      <c r="O65" s="19">
        <f t="shared" si="99"/>
        <v>97305.131578947374</v>
      </c>
      <c r="P65" s="2">
        <f t="shared" si="99"/>
        <v>88558.574561403511</v>
      </c>
      <c r="S65" s="3">
        <f t="shared" ref="S65:AE65" si="100">S55/(D13)</f>
        <v>8251.6583713157888</v>
      </c>
      <c r="T65" s="3">
        <f t="shared" si="100"/>
        <v>7066.3692531578954</v>
      </c>
      <c r="U65" s="3">
        <f t="shared" si="100"/>
        <v>7411.5960902631568</v>
      </c>
      <c r="V65" s="3">
        <f t="shared" si="100"/>
        <v>7553.9111868421051</v>
      </c>
      <c r="W65" s="3">
        <f t="shared" si="100"/>
        <v>6876.1597355263157</v>
      </c>
      <c r="X65" s="3">
        <f t="shared" si="100"/>
        <v>6528.7783149999996</v>
      </c>
      <c r="Y65" s="3">
        <f t="shared" si="100"/>
        <v>6098.0124289473679</v>
      </c>
      <c r="Z65" s="3">
        <f t="shared" si="100"/>
        <v>6390.1572092105271</v>
      </c>
      <c r="AA65" s="3">
        <f t="shared" si="100"/>
        <v>6047.6032239473689</v>
      </c>
      <c r="AB65" s="3">
        <f t="shared" si="100"/>
        <v>7665.3302268421057</v>
      </c>
      <c r="AC65" s="24">
        <f t="shared" si="100"/>
        <v>7268.9431257894721</v>
      </c>
      <c r="AD65" s="24">
        <f t="shared" si="100"/>
        <v>7657.2204886842092</v>
      </c>
      <c r="AE65" s="3">
        <f t="shared" si="100"/>
        <v>7067.9783046271923</v>
      </c>
    </row>
    <row r="66" spans="1:31" x14ac:dyDescent="0.3">
      <c r="A66" t="s">
        <v>110</v>
      </c>
      <c r="D66" s="17">
        <f t="shared" ref="D66:P66" si="101">D56/(D19+D21+D23)</f>
        <v>272057</v>
      </c>
      <c r="E66" s="17">
        <f t="shared" si="101"/>
        <v>145636.33333333334</v>
      </c>
      <c r="F66" s="17">
        <f t="shared" si="101"/>
        <v>315849.5</v>
      </c>
      <c r="G66" s="17">
        <f t="shared" si="101"/>
        <v>188059</v>
      </c>
      <c r="H66" s="17">
        <f t="shared" si="101"/>
        <v>116696.66666666667</v>
      </c>
      <c r="I66" s="17">
        <f t="shared" si="101"/>
        <v>251479</v>
      </c>
      <c r="J66" s="17">
        <f t="shared" si="101"/>
        <v>207451.5</v>
      </c>
      <c r="K66" s="17">
        <f t="shared" si="101"/>
        <v>172385.33333333334</v>
      </c>
      <c r="L66" s="17">
        <f t="shared" si="101"/>
        <v>173722.66666666666</v>
      </c>
      <c r="M66" s="17">
        <f t="shared" si="101"/>
        <v>195949.66666666666</v>
      </c>
      <c r="N66" s="29">
        <f t="shared" si="101"/>
        <v>193845.66666666666</v>
      </c>
      <c r="O66" s="29">
        <f t="shared" si="101"/>
        <v>164180.66666666666</v>
      </c>
      <c r="P66" s="17">
        <f t="shared" si="101"/>
        <v>192034.4375</v>
      </c>
      <c r="S66" s="3">
        <f t="shared" ref="S66:AE66" si="102">S56/(D19+D21+D23)</f>
        <v>7070.2336600000008</v>
      </c>
      <c r="T66" s="3">
        <f t="shared" si="102"/>
        <v>3781.7017799999994</v>
      </c>
      <c r="U66" s="3">
        <f t="shared" si="102"/>
        <v>8213.6942500000005</v>
      </c>
      <c r="V66" s="3">
        <f t="shared" si="102"/>
        <v>4885.5984466666669</v>
      </c>
      <c r="W66" s="3">
        <f t="shared" si="102"/>
        <v>3026.9658666666669</v>
      </c>
      <c r="X66" s="3">
        <f t="shared" si="102"/>
        <v>6530.9683100000002</v>
      </c>
      <c r="Y66" s="3">
        <f t="shared" si="102"/>
        <v>5385.1158799999994</v>
      </c>
      <c r="Z66" s="3">
        <f t="shared" si="102"/>
        <v>4480.2020933333333</v>
      </c>
      <c r="AA66" s="3">
        <f t="shared" si="102"/>
        <v>4519.0362600000008</v>
      </c>
      <c r="AB66" s="3">
        <f t="shared" si="102"/>
        <v>5098.9043600000005</v>
      </c>
      <c r="AC66" s="24">
        <f t="shared" si="102"/>
        <v>5035.7934533333328</v>
      </c>
      <c r="AD66" s="24">
        <f t="shared" si="102"/>
        <v>4261.1552333333339</v>
      </c>
      <c r="AE66" s="3">
        <f t="shared" si="102"/>
        <v>4989.6280212500005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24" max="16383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F76D97CE6385419569574D0F429477" ma:contentTypeVersion="76" ma:contentTypeDescription="" ma:contentTypeScope="" ma:versionID="c4ea5ede09f6f815be440764eea04c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E1C478-B646-46C7-A604-2F9E4F824117}"/>
</file>

<file path=customXml/itemProps2.xml><?xml version="1.0" encoding="utf-8"?>
<ds:datastoreItem xmlns:ds="http://schemas.openxmlformats.org/officeDocument/2006/customXml" ds:itemID="{BE87CDE4-859B-4231-97DE-9371C8576B44}"/>
</file>

<file path=customXml/itemProps3.xml><?xml version="1.0" encoding="utf-8"?>
<ds:datastoreItem xmlns:ds="http://schemas.openxmlformats.org/officeDocument/2006/customXml" ds:itemID="{F2949FC8-304D-492D-9C8D-36DFE2D9F63E}"/>
</file>

<file path=customXml/itemProps4.xml><?xml version="1.0" encoding="utf-8"?>
<ds:datastoreItem xmlns:ds="http://schemas.openxmlformats.org/officeDocument/2006/customXml" ds:itemID="{03A0B783-6603-481B-82EE-7AE0FE094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WA Electric</vt:lpstr>
      <vt:lpstr>ID Electric</vt:lpstr>
      <vt:lpstr>WA Nat Gas</vt:lpstr>
      <vt:lpstr>ID Nat Gas</vt:lpstr>
      <vt:lpstr>OR Nat Gas</vt:lpstr>
      <vt:lpstr>'ID Electric'!Print_Titles</vt:lpstr>
      <vt:lpstr>'ID Nat Gas'!Print_Titles</vt:lpstr>
      <vt:lpstr>'OR Nat Gas'!Print_Titles</vt:lpstr>
      <vt:lpstr>'WA Electric'!Print_Titles</vt:lpstr>
      <vt:lpstr>'WA Nat Gas'!Print_Titles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2018-07-31T23:27:37Z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0x0101006E56B4D1795A2E4DB2F0B01679ED314A004AF76D97CE6385419569574D0F429477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